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86" yWindow="2355" windowWidth="19440" windowHeight="6195" tabRatio="881" activeTab="3"/>
  </bookViews>
  <sheets>
    <sheet name="Instructions" sheetId="1" r:id="rId1"/>
    <sheet name="Applicant Information" sheetId="2" r:id="rId2"/>
    <sheet name="Facility &amp; Product Information" sheetId="3" r:id="rId3"/>
    <sheet name="Environmental Benefits Info" sheetId="4" r:id="rId4"/>
    <sheet name="Supplemental Information" sheetId="5" r:id="rId5"/>
    <sheet name="Qualified Property List" sheetId="6" r:id="rId6"/>
    <sheet name="Scoring" sheetId="7" r:id="rId7"/>
    <sheet name="Pollution Costs" sheetId="8" state="hidden" r:id="rId8"/>
    <sheet name="External Data" sheetId="9" state="hidden" r:id="rId9"/>
  </sheets>
  <externalReferences>
    <externalReference r:id="rId12"/>
    <externalReference r:id="rId13"/>
  </externalReferences>
  <definedNames>
    <definedName name="AIEW">'Scoring'!$C$35</definedName>
    <definedName name="AS">'Scoring'!$C$65</definedName>
    <definedName name="ATL">'Facility &amp; Product Information'!$E$19</definedName>
    <definedName name="City_County">'External Data'!$C$7:$E$1780</definedName>
    <definedName name="city_list">'External Data'!$C$8:$C$1780</definedName>
    <definedName name="company_type">'Scoring'!$A$255:$A$259</definedName>
    <definedName name="CORatio">#REF!</definedName>
    <definedName name="County_List">'External Data'!#REF!</definedName>
    <definedName name="DFB">'Scoring'!$C$54</definedName>
    <definedName name="Discount_rate">'Scoring'!$G$23</definedName>
    <definedName name="energy_type">'Scoring'!$A$250:$A$252</definedName>
    <definedName name="energy_type_limited">'Scoring'!$A$262:$A$264</definedName>
    <definedName name="EnvBenefits">'Scoring'!$A$64:$I$143</definedName>
    <definedName name="environmental_benefits_start">'Environmental Benefits Info'!$E$10</definedName>
    <definedName name="Estimated_Annual_Sales">'Scoring'!$C$30</definedName>
    <definedName name="EXTRACT" localSheetId="6">'Scoring'!#REF!</definedName>
    <definedName name="FCC">'Scoring'!$C$63</definedName>
    <definedName name="GRSO">'Scoring'!$G$45</definedName>
    <definedName name="ICIT">'Scoring'!$C$51</definedName>
    <definedName name="IFB">'Scoring'!$C$55</definedName>
    <definedName name="IPIT">'Scoring'!$C$50</definedName>
    <definedName name="IPT">'Scoring'!$C$52</definedName>
    <definedName name="IST">'Scoring'!$C$49</definedName>
    <definedName name="LPB">'Scoring'!$C$88</definedName>
    <definedName name="MIEPU">'Scoring'!#REF!</definedName>
    <definedName name="MIQP">'Scoring'!$C$28</definedName>
    <definedName name="MIS">'Scoring'!$C$32</definedName>
    <definedName name="MISO">'Scoring'!$C$36</definedName>
    <definedName name="MISP">'Scoring'!$C$34</definedName>
    <definedName name="MIU">'Scoring'!$C$33</definedName>
    <definedName name="Multiplier">'Scoring'!$G$22</definedName>
    <definedName name="NI">'Scoring'!$C$85</definedName>
    <definedName name="output_method">'Scoring'!$A$215:$A$217</definedName>
    <definedName name="Percent_of_Sales_in_California">'Scoring'!$C$43</definedName>
    <definedName name="PICI">'Scoring'!$C$25</definedName>
    <definedName name="POSCA">'Scoring'!$C$43</definedName>
    <definedName name="POT">'Scoring'!$C$64</definedName>
    <definedName name="_xlnm.Print_Area" localSheetId="1">'Applicant Information'!$A$1:$F$61</definedName>
    <definedName name="_xlnm.Print_Area" localSheetId="3">'Environmental Benefits Info'!$A$1:$F$37</definedName>
    <definedName name="_xlnm.Print_Area" localSheetId="2">'Facility &amp; Product Information'!$A$9:$F$35</definedName>
    <definedName name="_xlnm.Print_Area" localSheetId="5">'Qualified Property List'!$A$14:$G$63</definedName>
    <definedName name="_xlnm.Print_Area" localSheetId="6">'Scoring'!$A$6:$H$167</definedName>
    <definedName name="_xlnm.Print_Titles" localSheetId="2">'Facility &amp; Product Information'!$1:$8</definedName>
    <definedName name="_xlnm.Print_Titles" localSheetId="5">'Qualified Property List'!$1:$13</definedName>
    <definedName name="_xlnm.Print_Titles" localSheetId="6">'Scoring'!$1:$5</definedName>
    <definedName name="product_cat">'Scoring'!$A$239:$A$242</definedName>
    <definedName name="product_type">#REF!</definedName>
    <definedName name="Project_types">'Scoring'!$A$267:$A$270</definedName>
    <definedName name="ProjectList">#REF!</definedName>
    <definedName name="Prop_Tax_Rates">'External Data'!$J$7:$K$66</definedName>
    <definedName name="PTC">'Scoring'!$C$29</definedName>
    <definedName name="PTR">'Scoring'!$G$44</definedName>
    <definedName name="PTR2">'[2]PTR'!$V$8:$W$67</definedName>
    <definedName name="PVMIS">'Scoring'!$C$38</definedName>
    <definedName name="PVMISO">'Scoring'!$C$39</definedName>
    <definedName name="PVMS">'Scoring'!$C$38</definedName>
    <definedName name="qualified_property_list_start">'Qualified Property List'!$B$14</definedName>
    <definedName name="Sales">'External Data'!#REF!</definedName>
    <definedName name="SIR">'Scoring'!$G$43</definedName>
    <definedName name="SourceGood" localSheetId="8">'[1]Application'!#REF!</definedName>
    <definedName name="SourceGood">#REF!</definedName>
    <definedName name="SourceProducts" localSheetId="8">'[1]Application'!#REF!</definedName>
    <definedName name="SourceProducts">#REF!</definedName>
    <definedName name="STR">'Scoring'!$G$24</definedName>
    <definedName name="supplemental_benefits_start">'Supplemental Information'!$E$8</definedName>
    <definedName name="TFB">'Scoring'!$C$56</definedName>
    <definedName name="Timeline_start">#REF!</definedName>
    <definedName name="TransGood" localSheetId="8">'[1]Application'!#REF!</definedName>
    <definedName name="TransGood">#REF!</definedName>
    <definedName name="TransProducts" localSheetId="8">'[1]Application'!#REF!</definedName>
    <definedName name="TransProducts">#REF!</definedName>
    <definedName name="ULOP">'Scoring'!$C$66</definedName>
    <definedName name="Unemployment">#REF!</definedName>
    <definedName name="unemployment_rates">'External Data'!$G$8:$H$66</definedName>
    <definedName name="VA">'Scoring'!$C$44</definedName>
    <definedName name="VCS">'Facility &amp; Product Information'!$E$16</definedName>
    <definedName name="VQP">'Scoring'!$C$26</definedName>
    <definedName name="WALS">'Scoring'!$C$37</definedName>
    <definedName name="yes_no">'Scoring'!$A$246:$A$247</definedName>
    <definedName name="YesNo">#REF!</definedName>
  </definedNames>
  <calcPr fullCalcOnLoad="1"/>
</workbook>
</file>

<file path=xl/sharedStrings.xml><?xml version="1.0" encoding="utf-8"?>
<sst xmlns="http://schemas.openxmlformats.org/spreadsheetml/2006/main" count="4324" uniqueCount="2383">
  <si>
    <t>Valinda</t>
  </si>
  <si>
    <t>Vallecito</t>
  </si>
  <si>
    <t>Vallejo</t>
  </si>
  <si>
    <t>Valley Center</t>
  </si>
  <si>
    <t>Valley Fair</t>
  </si>
  <si>
    <t>Valley Ford</t>
  </si>
  <si>
    <t>Valley Home</t>
  </si>
  <si>
    <t>Valley Springs</t>
  </si>
  <si>
    <t>Valley Village</t>
  </si>
  <si>
    <t>Valyermo</t>
  </si>
  <si>
    <t xml:space="preserve">Van Nuys </t>
  </si>
  <si>
    <t>Vandenberg A.F.B</t>
  </si>
  <si>
    <t>Vasquez Rocks</t>
  </si>
  <si>
    <t>Venice</t>
  </si>
  <si>
    <t>Ventucopa</t>
  </si>
  <si>
    <t xml:space="preserve">Verdugo City </t>
  </si>
  <si>
    <t>Vernalis</t>
  </si>
  <si>
    <t>Vernon</t>
  </si>
  <si>
    <t xml:space="preserve">Veteran's Hospital </t>
  </si>
  <si>
    <t>Victor</t>
  </si>
  <si>
    <t>Victorville</t>
  </si>
  <si>
    <t>Vidal</t>
  </si>
  <si>
    <t>View Park</t>
  </si>
  <si>
    <t>Villa Grande</t>
  </si>
  <si>
    <t>Villa Park</t>
  </si>
  <si>
    <t>Vina</t>
  </si>
  <si>
    <t>Vincent</t>
  </si>
  <si>
    <t>Vineburg</t>
  </si>
  <si>
    <t>Vinton</t>
  </si>
  <si>
    <t>Virgilia</t>
  </si>
  <si>
    <t>Visalia</t>
  </si>
  <si>
    <t>Vista</t>
  </si>
  <si>
    <t>Vista Park</t>
  </si>
  <si>
    <t>Volcano</t>
  </si>
  <si>
    <t>Volta</t>
  </si>
  <si>
    <t>Wallace</t>
  </si>
  <si>
    <t>Walnut</t>
  </si>
  <si>
    <t>Walnut Creek</t>
  </si>
  <si>
    <t>Walnut Grove</t>
  </si>
  <si>
    <t>Walnut Park</t>
  </si>
  <si>
    <t xml:space="preserve">Warm Springs </t>
  </si>
  <si>
    <t>Warner Springs</t>
  </si>
  <si>
    <t>Wasco</t>
  </si>
  <si>
    <t>Waterford</t>
  </si>
  <si>
    <t>Watsonville</t>
  </si>
  <si>
    <t>Watts</t>
  </si>
  <si>
    <t>Waukena</t>
  </si>
  <si>
    <t>Wawona</t>
  </si>
  <si>
    <t>Weaverville</t>
  </si>
  <si>
    <t>Weed</t>
  </si>
  <si>
    <t>Weimar</t>
  </si>
  <si>
    <t>Weldon</t>
  </si>
  <si>
    <t>Wendel</t>
  </si>
  <si>
    <t>Weott</t>
  </si>
  <si>
    <t>West Covina</t>
  </si>
  <si>
    <t>West Hills</t>
  </si>
  <si>
    <t>West Hollywood</t>
  </si>
  <si>
    <t>West Los Angeles</t>
  </si>
  <si>
    <t>West Pittsburg</t>
  </si>
  <si>
    <t>West Point</t>
  </si>
  <si>
    <t>West Sacramento</t>
  </si>
  <si>
    <t xml:space="preserve">Westchester </t>
  </si>
  <si>
    <t>Westend</t>
  </si>
  <si>
    <t>Westhaven</t>
  </si>
  <si>
    <t>Westlake</t>
  </si>
  <si>
    <t xml:space="preserve">Westlake Village </t>
  </si>
  <si>
    <t>Westlake Village</t>
  </si>
  <si>
    <t>Westley</t>
  </si>
  <si>
    <t>Westminster</t>
  </si>
  <si>
    <t>Westmorland</t>
  </si>
  <si>
    <t>Westport</t>
  </si>
  <si>
    <t>Westside</t>
  </si>
  <si>
    <t xml:space="preserve">Westwood </t>
  </si>
  <si>
    <t>Westwood</t>
  </si>
  <si>
    <t>Wheatland</t>
  </si>
  <si>
    <t>Wheeler Ridge</t>
  </si>
  <si>
    <t>Whiskeytown</t>
  </si>
  <si>
    <t>Whispering Pines</t>
  </si>
  <si>
    <t>White Pines</t>
  </si>
  <si>
    <t>Whitethorn</t>
  </si>
  <si>
    <t>Whitewater</t>
  </si>
  <si>
    <t>Whitlow</t>
  </si>
  <si>
    <t>Whitmore</t>
  </si>
  <si>
    <t>Whittier</t>
  </si>
  <si>
    <t>Wildomar</t>
  </si>
  <si>
    <t>Wildwood</t>
  </si>
  <si>
    <t>Williams</t>
  </si>
  <si>
    <t>Willits</t>
  </si>
  <si>
    <t>Willow Creek</t>
  </si>
  <si>
    <t>Willow Ranch</t>
  </si>
  <si>
    <t xml:space="preserve">All Applicant provided values may be subject to verification. </t>
  </si>
  <si>
    <t>Chula Vista</t>
  </si>
  <si>
    <t>Cima</t>
  </si>
  <si>
    <t>Citrus Heights</t>
  </si>
  <si>
    <t>City of Commerce</t>
  </si>
  <si>
    <t>City of Industry</t>
  </si>
  <si>
    <t>City Terrace</t>
  </si>
  <si>
    <t>Claremont</t>
  </si>
  <si>
    <t>Clarksburg</t>
  </si>
  <si>
    <t>Clayton</t>
  </si>
  <si>
    <t>Clear Creek</t>
  </si>
  <si>
    <t>Clearlake</t>
  </si>
  <si>
    <t>Lake</t>
  </si>
  <si>
    <t>Clearlake Highlands</t>
  </si>
  <si>
    <t>Clearlake Oaks</t>
  </si>
  <si>
    <t>Clearlake Park</t>
  </si>
  <si>
    <t>Clements</t>
  </si>
  <si>
    <t>Clinter</t>
  </si>
  <si>
    <r>
      <t>Is the product a sub-component of an Advanced Transportation or Alternative Source end of supply chain product? (</t>
    </r>
    <r>
      <rPr>
        <sz val="10"/>
        <rFont val="Arial"/>
        <family val="2"/>
      </rPr>
      <t>Select from list.) For example, if the product produced with the Qualified Property is a battery pack for an electric car drive train, enter "Yes" here. If the product is an end of supply chain product capable of producing environmental benefits without further assembly or addition of other components, enter "No" here. (Note that cells in the rows below are intentionally shaded when "No" is selected in the box at right.)</t>
    </r>
  </si>
  <si>
    <r>
      <t>What is the total value of the efficiency or energy generation component of the end of supply chain product?</t>
    </r>
    <r>
      <rPr>
        <sz val="10"/>
        <rFont val="Arial"/>
        <family val="2"/>
      </rPr>
      <t xml:space="preserve"> For example, if the product is a battery pack for an electric car, enter the value of the electric drive train here and the value of the battery pack in box E4 above. </t>
    </r>
  </si>
  <si>
    <r>
      <t xml:space="preserve">Advanced Transportation: </t>
    </r>
    <r>
      <rPr>
        <sz val="10"/>
        <rFont val="Arial"/>
        <family val="2"/>
      </rPr>
      <t xml:space="preserve">Select this option for advanced transportation products such as electric vehicles or electric vehicle components. </t>
    </r>
  </si>
  <si>
    <r>
      <t>Other Product Types:</t>
    </r>
    <r>
      <rPr>
        <b/>
        <i/>
        <sz val="10"/>
        <rFont val="Arial"/>
        <family val="2"/>
      </rPr>
      <t xml:space="preserve"> </t>
    </r>
    <r>
      <rPr>
        <sz val="10"/>
        <rFont val="Arial"/>
        <family val="2"/>
      </rPr>
      <t>Select this option for any other type of Alternative Source or Advanced Transportation product.</t>
    </r>
  </si>
  <si>
    <t>Marginal increase in in-state supplier purchases</t>
  </si>
  <si>
    <t>Annual increase in employee wages</t>
  </si>
  <si>
    <t>Annual multiplier Increase in statewide output</t>
  </si>
  <si>
    <t>`</t>
  </si>
  <si>
    <t>Official Use Only</t>
  </si>
  <si>
    <t>Application Version</t>
  </si>
  <si>
    <t>Marginal Increase in Qualified Property</t>
  </si>
  <si>
    <t>MIQP</t>
  </si>
  <si>
    <t>VQP</t>
  </si>
  <si>
    <t>PICI</t>
  </si>
  <si>
    <t>MIS</t>
  </si>
  <si>
    <t>MISP</t>
  </si>
  <si>
    <t>AIEW</t>
  </si>
  <si>
    <t>MISO</t>
  </si>
  <si>
    <t>PVMISO</t>
  </si>
  <si>
    <t>IST</t>
  </si>
  <si>
    <t>IPIT</t>
  </si>
  <si>
    <t>ICIT</t>
  </si>
  <si>
    <t>IPT</t>
  </si>
  <si>
    <t>GRSO</t>
  </si>
  <si>
    <t>Willowbrook</t>
  </si>
  <si>
    <t>Willows</t>
  </si>
  <si>
    <t xml:space="preserve">Wilmington </t>
  </si>
  <si>
    <t>Wilseyville</t>
  </si>
  <si>
    <t>Wilsona Gardens</t>
  </si>
  <si>
    <t>Wilton</t>
  </si>
  <si>
    <t>Winchester</t>
  </si>
  <si>
    <t>Windsor</t>
  </si>
  <si>
    <t>Windsor Hills</t>
  </si>
  <si>
    <t xml:space="preserve">Winnetka </t>
  </si>
  <si>
    <t>Winterhaven</t>
  </si>
  <si>
    <t>Winters</t>
  </si>
  <si>
    <t>Winton</t>
  </si>
  <si>
    <t>Wishon</t>
  </si>
  <si>
    <t>Witter Springs</t>
  </si>
  <si>
    <t>Wofford Heights</t>
  </si>
  <si>
    <t>Woodacre</t>
  </si>
  <si>
    <t>Woodbridge</t>
  </si>
  <si>
    <t>Woodfords</t>
  </si>
  <si>
    <t>Woodlake</t>
  </si>
  <si>
    <t>Woodland</t>
  </si>
  <si>
    <t xml:space="preserve">Woodland Hills </t>
  </si>
  <si>
    <t>Woodleaf</t>
  </si>
  <si>
    <t>Woodside</t>
  </si>
  <si>
    <t>Woodville</t>
  </si>
  <si>
    <t>Woody</t>
  </si>
  <si>
    <t>Wrightwood</t>
  </si>
  <si>
    <t>Yankee Hill</t>
  </si>
  <si>
    <t>Yermo</t>
  </si>
  <si>
    <t>Yettem</t>
  </si>
  <si>
    <t>Yorba Linda</t>
  </si>
  <si>
    <t>Yorkville</t>
  </si>
  <si>
    <t>Yosemite Lodge</t>
  </si>
  <si>
    <t>Yosemite National Park</t>
  </si>
  <si>
    <t>Yountville</t>
  </si>
  <si>
    <t>Yreka</t>
  </si>
  <si>
    <t>Yuba City</t>
  </si>
  <si>
    <t>Yucaipa</t>
  </si>
  <si>
    <t>Yucca Valley</t>
  </si>
  <si>
    <t>Zamora</t>
  </si>
  <si>
    <t>Zenia</t>
  </si>
  <si>
    <t>Unemployment</t>
  </si>
  <si>
    <t>State Unemployment Rate</t>
  </si>
  <si>
    <t>Construction Jobs Score</t>
  </si>
  <si>
    <t xml:space="preserve">Emerging Green Industry </t>
  </si>
  <si>
    <t>Construction Jobs</t>
  </si>
  <si>
    <t>New Jobs</t>
  </si>
  <si>
    <t>Total Additional Points</t>
  </si>
  <si>
    <t>Process Improvement</t>
  </si>
  <si>
    <t>Process Improvement Score</t>
  </si>
  <si>
    <t>Non-CA Environmental Benefits</t>
  </si>
  <si>
    <t>Total facility FTEs</t>
  </si>
  <si>
    <t>Marginal additional jobs</t>
  </si>
  <si>
    <t>New Jobs Points</t>
  </si>
  <si>
    <t>min</t>
  </si>
  <si>
    <t>points</t>
  </si>
  <si>
    <t>Sales tax exclusion/job</t>
  </si>
  <si>
    <t>Max</t>
  </si>
  <si>
    <r>
      <t>Instructions:</t>
    </r>
    <r>
      <rPr>
        <sz val="12"/>
        <rFont val="Arial"/>
        <family val="2"/>
      </rPr>
      <t xml:space="preserve"> Select the type of product you will be producing with the qualified property in Box F1, then enter the requested information in the section for that product type.</t>
    </r>
  </si>
  <si>
    <r>
      <t>Estimated percent of total end of supply chain product sales in California?</t>
    </r>
    <r>
      <rPr>
        <sz val="10"/>
        <rFont val="Arial"/>
        <family val="2"/>
      </rPr>
      <t xml:space="preserve"> Enter the estimated percent of the end product's total sales to California customers. Value should be calculated over the Estimated Useful Lifespan of the Qualified Property.</t>
    </r>
  </si>
  <si>
    <t>E14</t>
  </si>
  <si>
    <t>Output (Value-added)</t>
  </si>
  <si>
    <t>Annual Labor</t>
  </si>
  <si>
    <t>Additional Employee Benefit Assumption</t>
  </si>
  <si>
    <t>Capital Share of Output</t>
  </si>
  <si>
    <t>Annual implied payment for capital stock used for production</t>
  </si>
  <si>
    <t>Implied total annual capital (total - labor)</t>
  </si>
  <si>
    <t>Equipment capital as % of Total capital (max = 100)</t>
  </si>
  <si>
    <t>Weighted applicant factor share of capital</t>
  </si>
  <si>
    <t>Alternative Source (Energy Efficiency)</t>
  </si>
  <si>
    <t>time the Qualified Property is used for an Advanced Transportation or Alternative Source purpose.</t>
  </si>
  <si>
    <t>PICI based on weighted applicant factor share</t>
  </si>
  <si>
    <t>Applicant Cost of Capital</t>
  </si>
  <si>
    <t>Price Elasticity of Demand for Output</t>
  </si>
  <si>
    <t>Elasticity of Substitution between Capital &amp; Labor</t>
  </si>
  <si>
    <t>La Crescenta</t>
  </si>
  <si>
    <t>La Cresta Village</t>
  </si>
  <si>
    <t>La Grange</t>
  </si>
  <si>
    <t>La Habra</t>
  </si>
  <si>
    <t>La Habra Heights</t>
  </si>
  <si>
    <t>La Honda</t>
  </si>
  <si>
    <t xml:space="preserve">La Jolla </t>
  </si>
  <si>
    <t>La Mesa</t>
  </si>
  <si>
    <t>La Mirada</t>
  </si>
  <si>
    <t>Palos Verdes/Peninsula</t>
  </si>
  <si>
    <t xml:space="preserve">Panorama City </t>
  </si>
  <si>
    <t>Paradise</t>
  </si>
  <si>
    <t>Paramount</t>
  </si>
  <si>
    <t>Parker Dam</t>
  </si>
  <si>
    <t>Parkfield</t>
  </si>
  <si>
    <t>Parlier</t>
  </si>
  <si>
    <t>Pasadena</t>
  </si>
  <si>
    <t>Paskenta</t>
  </si>
  <si>
    <t>Paso Robles</t>
  </si>
  <si>
    <t>Patterson</t>
  </si>
  <si>
    <t>Patton</t>
  </si>
  <si>
    <t>Pauma Valley</t>
  </si>
  <si>
    <t>Paynes Creek</t>
  </si>
  <si>
    <t>Pearblossom</t>
  </si>
  <si>
    <t>Pearland</t>
  </si>
  <si>
    <t>Pebble Beach</t>
  </si>
  <si>
    <t>Pedley</t>
  </si>
  <si>
    <t>Peninsula Village</t>
  </si>
  <si>
    <t>Penn Valley</t>
  </si>
  <si>
    <t>Penngrove</t>
  </si>
  <si>
    <t>Penryn</t>
  </si>
  <si>
    <t>Pepperwood</t>
  </si>
  <si>
    <t>Permanente</t>
  </si>
  <si>
    <t>Perris</t>
  </si>
  <si>
    <t xml:space="preserve">Perry </t>
  </si>
  <si>
    <t>Pescadero</t>
  </si>
  <si>
    <t>Petaluma</t>
  </si>
  <si>
    <t>Petrolia</t>
  </si>
  <si>
    <t>Phelan</t>
  </si>
  <si>
    <t>Phillipsville</t>
  </si>
  <si>
    <t>Philo</t>
  </si>
  <si>
    <t>Pico Rivera</t>
  </si>
  <si>
    <t>Piedmont</t>
  </si>
  <si>
    <t>Piedra</t>
  </si>
  <si>
    <t>Piercy</t>
  </si>
  <si>
    <t>Pilot Hill</t>
  </si>
  <si>
    <t>Pine Grove</t>
  </si>
  <si>
    <t>Pine Valley</t>
  </si>
  <si>
    <t>Pinecrest</t>
  </si>
  <si>
    <t xml:space="preserve">Pinedale </t>
  </si>
  <si>
    <t>Pinetree</t>
  </si>
  <si>
    <t>Pinole</t>
  </si>
  <si>
    <t>Pinon Hills</t>
  </si>
  <si>
    <t>Pioneer</t>
  </si>
  <si>
    <t>Pioneertown</t>
  </si>
  <si>
    <t>Piru</t>
  </si>
  <si>
    <t>Pismo Beach</t>
  </si>
  <si>
    <t>Pittsburg</t>
  </si>
  <si>
    <t>Pixley</t>
  </si>
  <si>
    <t>Placentia</t>
  </si>
  <si>
    <t>Placerville</t>
  </si>
  <si>
    <t>Plainview</t>
  </si>
  <si>
    <t>Planada</t>
  </si>
  <si>
    <t>Plaster City</t>
  </si>
  <si>
    <t>Platina</t>
  </si>
  <si>
    <t>Playa Del Rey</t>
  </si>
  <si>
    <t>Pleasant Grove</t>
  </si>
  <si>
    <t>Pleasant Hill</t>
  </si>
  <si>
    <t>Pleasanton</t>
  </si>
  <si>
    <t>Plymouth</t>
  </si>
  <si>
    <t>Point Arena</t>
  </si>
  <si>
    <t>Point Mugu</t>
  </si>
  <si>
    <t xml:space="preserve">Point Pittsburg </t>
  </si>
  <si>
    <t>Point Reyes Station</t>
  </si>
  <si>
    <t>Pollock Pines</t>
  </si>
  <si>
    <t>Pomona</t>
  </si>
  <si>
    <t>Pond</t>
  </si>
  <si>
    <t>Pondosa</t>
  </si>
  <si>
    <t>Pope Valley</t>
  </si>
  <si>
    <t>Poplar</t>
  </si>
  <si>
    <t>Port Costa</t>
  </si>
  <si>
    <t>Port Hueneme</t>
  </si>
  <si>
    <t xml:space="preserve">Porter Ranch </t>
  </si>
  <si>
    <t>Porterville</t>
  </si>
  <si>
    <t>Portola</t>
  </si>
  <si>
    <t>Portola Valley</t>
  </si>
  <si>
    <t>Portuguese Bend</t>
  </si>
  <si>
    <t>Posey</t>
  </si>
  <si>
    <t>Potrero</t>
  </si>
  <si>
    <t>Potter Valley</t>
  </si>
  <si>
    <t>Poway</t>
  </si>
  <si>
    <r>
      <t xml:space="preserve">Brief description of Qualified Property to be purchased. </t>
    </r>
    <r>
      <rPr>
        <sz val="10"/>
        <rFont val="Arial"/>
        <family val="0"/>
      </rPr>
      <t xml:space="preserve">
Please provide a brief (&lt;25 words) description of the Qualified Property to be purchased. </t>
    </r>
  </si>
  <si>
    <t>Prather</t>
  </si>
  <si>
    <t xml:space="preserve">Presidio </t>
  </si>
  <si>
    <t>San Francisco</t>
  </si>
  <si>
    <t xml:space="preserve">Presidio of Monterey </t>
  </si>
  <si>
    <t>Priest Valley</t>
  </si>
  <si>
    <t>Princeton</t>
  </si>
  <si>
    <t>Proberta</t>
  </si>
  <si>
    <t>Project City</t>
  </si>
  <si>
    <t>Prunedale</t>
  </si>
  <si>
    <t>Pt. Dume</t>
  </si>
  <si>
    <t>Pulga</t>
  </si>
  <si>
    <t>Pumpkin Center</t>
  </si>
  <si>
    <t>Quail Valley</t>
  </si>
  <si>
    <t>Quartz Hill</t>
  </si>
  <si>
    <t>Quincy</t>
  </si>
  <si>
    <t>Rackerby</t>
  </si>
  <si>
    <t>Rail Road Flat</t>
  </si>
  <si>
    <t>Rainbow</t>
  </si>
  <si>
    <t>Raisin City</t>
  </si>
  <si>
    <t>Ramona</t>
  </si>
  <si>
    <t>Ranchita</t>
  </si>
  <si>
    <t xml:space="preserve">Rancho Bernardo </t>
  </si>
  <si>
    <t>Rancho California</t>
  </si>
  <si>
    <t>Rancho Cordova</t>
  </si>
  <si>
    <t>Rancho Cucamonga</t>
  </si>
  <si>
    <t>Rancho Dominguez</t>
  </si>
  <si>
    <t>Rancho Mirage</t>
  </si>
  <si>
    <t>Rancho Murieta</t>
  </si>
  <si>
    <t>Rancho Palos Verdes</t>
  </si>
  <si>
    <t xml:space="preserve">Rancho Park </t>
  </si>
  <si>
    <t>Rancho Santa Fe</t>
  </si>
  <si>
    <t>Rancho Santa Margarita</t>
  </si>
  <si>
    <t>Randsburg</t>
  </si>
  <si>
    <t>Ravendale</t>
  </si>
  <si>
    <t>Ravenna</t>
  </si>
  <si>
    <t>Raymond</t>
  </si>
  <si>
    <t>Red Bluff</t>
  </si>
  <si>
    <t>Red Mountain</t>
  </si>
  <si>
    <t>Red Top</t>
  </si>
  <si>
    <t>Redcrest</t>
  </si>
  <si>
    <t>Redding</t>
  </si>
  <si>
    <t>Redlands</t>
  </si>
  <si>
    <t>Redondo Beach</t>
  </si>
  <si>
    <t>Redway</t>
  </si>
  <si>
    <t>Redwood City</t>
  </si>
  <si>
    <t>Redwood Estates</t>
  </si>
  <si>
    <t>Redwood Valley</t>
  </si>
  <si>
    <t>Reedley</t>
  </si>
  <si>
    <t>Refugio Beach</t>
  </si>
  <si>
    <t>Represa</t>
  </si>
  <si>
    <t>Requa</t>
  </si>
  <si>
    <t>Rescue</t>
  </si>
  <si>
    <t xml:space="preserve">Reseda </t>
  </si>
  <si>
    <t xml:space="preserve">Rheem Valley </t>
  </si>
  <si>
    <t>Rialto</t>
  </si>
  <si>
    <t>Richardson Grove</t>
  </si>
  <si>
    <t>Richardson Springs</t>
  </si>
  <si>
    <t>Richfield</t>
  </si>
  <si>
    <t>Richgrove</t>
  </si>
  <si>
    <t>Richmond</t>
  </si>
  <si>
    <t>Richvale</t>
  </si>
  <si>
    <t>Ridgecrest</t>
  </si>
  <si>
    <t>Rimforest</t>
  </si>
  <si>
    <t xml:space="preserve">Rimpau </t>
  </si>
  <si>
    <t>Rio Bravo</t>
  </si>
  <si>
    <t>Rio Dell</t>
  </si>
  <si>
    <t>Rio Linda</t>
  </si>
  <si>
    <t>Rio Nido</t>
  </si>
  <si>
    <t>Rio Oso</t>
  </si>
  <si>
    <t>Rio Vista</t>
  </si>
  <si>
    <t>Ripley</t>
  </si>
  <si>
    <t>Ripon</t>
  </si>
  <si>
    <t>River Pines</t>
  </si>
  <si>
    <t>Riverbank</t>
  </si>
  <si>
    <t>Riverdale</t>
  </si>
  <si>
    <t>Robbins</t>
  </si>
  <si>
    <t>Rocklin</t>
  </si>
  <si>
    <t>Rodeo</t>
  </si>
  <si>
    <t>Rohnert Park</t>
  </si>
  <si>
    <t>Rohnerville</t>
  </si>
  <si>
    <t>Rolling Hills</t>
  </si>
  <si>
    <t>Rolling Hills Estates</t>
  </si>
  <si>
    <t>Romoland</t>
  </si>
  <si>
    <t>Rosamond</t>
  </si>
  <si>
    <t xml:space="preserve">Rose Bowl </t>
  </si>
  <si>
    <t xml:space="preserve">Roseland </t>
  </si>
  <si>
    <t>Rosemead</t>
  </si>
  <si>
    <t>Roseville</t>
  </si>
  <si>
    <t>Ross</t>
  </si>
  <si>
    <t>Rossmoor</t>
  </si>
  <si>
    <t>Rough and Ready</t>
  </si>
  <si>
    <t>Round Mountain</t>
  </si>
  <si>
    <t>Rowland Heights</t>
  </si>
  <si>
    <t>Royal Oaks</t>
  </si>
  <si>
    <t>Rubidoux</t>
  </si>
  <si>
    <t>Ruby Valley</t>
  </si>
  <si>
    <t>Rumsey</t>
  </si>
  <si>
    <t>Running Springs</t>
  </si>
  <si>
    <t>Ruth</t>
  </si>
  <si>
    <t>Rutherford</t>
  </si>
  <si>
    <t>Ryde</t>
  </si>
  <si>
    <t>Saint Helena</t>
  </si>
  <si>
    <t>Salida</t>
  </si>
  <si>
    <t>Salinas</t>
  </si>
  <si>
    <t>Salton City</t>
  </si>
  <si>
    <t>Salyer</t>
  </si>
  <si>
    <t>Samoa</t>
  </si>
  <si>
    <t>San Andreas</t>
  </si>
  <si>
    <t>San Anselmo</t>
  </si>
  <si>
    <t>San Ardo</t>
  </si>
  <si>
    <t>San Bruno</t>
  </si>
  <si>
    <t>San Carlos</t>
  </si>
  <si>
    <t>San Clemente</t>
  </si>
  <si>
    <t>San Dimas</t>
  </si>
  <si>
    <t>San Fernando</t>
  </si>
  <si>
    <t>San Gabriel</t>
  </si>
  <si>
    <t>San Geronimo</t>
  </si>
  <si>
    <t>San Gregorio</t>
  </si>
  <si>
    <t>San Jacinto</t>
  </si>
  <si>
    <t>San Jose</t>
  </si>
  <si>
    <t>San Juan Bautista</t>
  </si>
  <si>
    <t>San Juan Capistrano</t>
  </si>
  <si>
    <t xml:space="preserve">San Juan Plaza </t>
  </si>
  <si>
    <t>San Leandro</t>
  </si>
  <si>
    <t>San Lorenzo</t>
  </si>
  <si>
    <t>San Lucas</t>
  </si>
  <si>
    <t xml:space="preserve">San Luis Rey </t>
  </si>
  <si>
    <t>G1</t>
  </si>
  <si>
    <t>G2</t>
  </si>
  <si>
    <t>G3</t>
  </si>
  <si>
    <t>ii. Manufacturing Process Improvements</t>
  </si>
  <si>
    <t>G4</t>
  </si>
  <si>
    <t>G5</t>
  </si>
  <si>
    <t>G6</t>
  </si>
  <si>
    <t>G7</t>
  </si>
  <si>
    <t>G8</t>
  </si>
  <si>
    <t>G9</t>
  </si>
  <si>
    <t>iii. Sales Tax Exclusion's Role in Project Location</t>
  </si>
  <si>
    <t>G10</t>
  </si>
  <si>
    <t>NI Units</t>
  </si>
  <si>
    <t>Energy improvement/unit (NI)</t>
  </si>
  <si>
    <t xml:space="preserve">If there are more than 2 Facilities, list the additional locations here. </t>
  </si>
  <si>
    <t xml:space="preserve">This workbook contains multiple tabs. Applicants are required to provide the information requested in the tabs labeled "Applicant Information," "Facility &amp; Product Information," "Environmental Benefits Info," "Qualified Property List," and "Timeline." Applicants should fill out the "Supplemental Information" tab if they qualify for a supplemental scoring category. The remaining tabs are provided for informational purposes only. The "Scoring" tab contains calculations and assumptions similar to the ones CAEATFA staff may use in evaluating the Application, but these calculations and assumptions are provided for informational purposes and do not necessarily reflect the actual calculations and assumptions that the Authority will use to evaluate and score an individual application. </t>
  </si>
  <si>
    <t>Annual offsetting energy/unit</t>
  </si>
  <si>
    <t>CALIFORNIA</t>
  </si>
  <si>
    <t>Offsetting GGEs per unit (none)</t>
  </si>
  <si>
    <t>$ value of avoided out-of-state MWh (non-CO2)</t>
  </si>
  <si>
    <t>$ value of avoided out-of-state GGE (non-CO2)</t>
  </si>
  <si>
    <t>Offsetting MWhs per unit</t>
  </si>
  <si>
    <t>Offsetting lbs of SO2 per unit</t>
  </si>
  <si>
    <t>Offsetting lbs of NOx per unit</t>
  </si>
  <si>
    <t>Total out of state pollution benefit (life of facility)</t>
  </si>
  <si>
    <t>A15</t>
  </si>
  <si>
    <t>Percent of time use for AT or AS</t>
  </si>
  <si>
    <t>Weighted Average Worksheet for the Estimated Useful Lifespan of Qualified Property (provisional Qualified Property list)</t>
  </si>
  <si>
    <t>If you have any additional comments or explanations about the information you entered, please place them in Applicant Notes section.</t>
  </si>
  <si>
    <t>ADVANCED TRANSPORTATION AND ALTERNATIVE SOURCE MANUFACTURING SALES AND USE TAX EXCLUSION PROGRAM APPLICATION</t>
  </si>
  <si>
    <t xml:space="preserve">This workbook contains the application materials for the CAEATFA Advanced Transportation and Alternative Source Manufacturing Sales Tax Exclusion Program. </t>
  </si>
  <si>
    <t>Note:  This information is not required, but may be submitted by an Applicant.  Submission of the this information may increase an Applicant's score.</t>
  </si>
  <si>
    <t>Cost</t>
  </si>
  <si>
    <t>Date Received</t>
  </si>
  <si>
    <t xml:space="preserve">Value of the Qualified Property </t>
  </si>
  <si>
    <t>$ pollution cost of pound of CO2</t>
  </si>
  <si>
    <t>$ pollution cost of pound of SO2</t>
  </si>
  <si>
    <t>San Marcos</t>
  </si>
  <si>
    <t>San Marino</t>
  </si>
  <si>
    <t>San Martin</t>
  </si>
  <si>
    <t>San Miguel</t>
  </si>
  <si>
    <t>San Pablo</t>
  </si>
  <si>
    <t xml:space="preserve">San Pedro </t>
  </si>
  <si>
    <t>San Quentin</t>
  </si>
  <si>
    <t>San Rafael</t>
  </si>
  <si>
    <t>San Ramon</t>
  </si>
  <si>
    <t>San Simeon</t>
  </si>
  <si>
    <t>San Tomas</t>
  </si>
  <si>
    <t xml:space="preserve">San Ysidro </t>
  </si>
  <si>
    <t>Sand City</t>
  </si>
  <si>
    <t>Sanger</t>
  </si>
  <si>
    <t>Santa Ana</t>
  </si>
  <si>
    <t>Santa Clarita</t>
  </si>
  <si>
    <t>Santa Fe Springs</t>
  </si>
  <si>
    <t>Santa Margarita</t>
  </si>
  <si>
    <t>Santa Maria</t>
  </si>
  <si>
    <t>Santa Monica</t>
  </si>
  <si>
    <t>Santa Nella</t>
  </si>
  <si>
    <t>Santa Paula</t>
  </si>
  <si>
    <t>Santa Rita Park</t>
  </si>
  <si>
    <t>Santa Rosa</t>
  </si>
  <si>
    <t>Santa Ynez</t>
  </si>
  <si>
    <t>Santa Ysabel</t>
  </si>
  <si>
    <t>Santee</t>
  </si>
  <si>
    <t>Saratoga</t>
  </si>
  <si>
    <t>Saticoy</t>
  </si>
  <si>
    <t>Sattley</t>
  </si>
  <si>
    <t xml:space="preserve">Saugus </t>
  </si>
  <si>
    <t>Sausalito</t>
  </si>
  <si>
    <t xml:space="preserve">Sawtelle </t>
  </si>
  <si>
    <t>Sawyers Bar</t>
  </si>
  <si>
    <t>Scotia</t>
  </si>
  <si>
    <t>Scott Bar</t>
  </si>
  <si>
    <t>Scotts Valley</t>
  </si>
  <si>
    <t>Sea Ranch</t>
  </si>
  <si>
    <t>Seabright</t>
  </si>
  <si>
    <t>Seal Beach</t>
  </si>
  <si>
    <t>Seaside</t>
  </si>
  <si>
    <t>Sebastopol</t>
  </si>
  <si>
    <t>Seeley</t>
  </si>
  <si>
    <t>Seiad Valley</t>
  </si>
  <si>
    <t>Selby</t>
  </si>
  <si>
    <t>Selma</t>
  </si>
  <si>
    <t>Seminole Hot Springs</t>
  </si>
  <si>
    <t xml:space="preserve">Sepulveda </t>
  </si>
  <si>
    <t>Sequoia National Park</t>
  </si>
  <si>
    <t>Shafter</t>
  </si>
  <si>
    <t>Shandon</t>
  </si>
  <si>
    <t>Sharpe Army Depot</t>
  </si>
  <si>
    <t>Shasta Lake</t>
  </si>
  <si>
    <t>Shaver Lake</t>
  </si>
  <si>
    <t>Sheepranch</t>
  </si>
  <si>
    <t xml:space="preserve">Shell Beach </t>
  </si>
  <si>
    <t>Sheridan</t>
  </si>
  <si>
    <t>Sherman Island</t>
  </si>
  <si>
    <t xml:space="preserve">Sherman Oaks </t>
  </si>
  <si>
    <t>Sherwin Plaza</t>
  </si>
  <si>
    <t>Shingle Springs</t>
  </si>
  <si>
    <t>Shingletown</t>
  </si>
  <si>
    <t>Shively</t>
  </si>
  <si>
    <t>Shore Acres</t>
  </si>
  <si>
    <t>Shoshone</t>
  </si>
  <si>
    <t>Sierra City</t>
  </si>
  <si>
    <t>Sierra Madre</t>
  </si>
  <si>
    <t>Sierraville</t>
  </si>
  <si>
    <t>Signal Hill</t>
  </si>
  <si>
    <t>Silver Lake</t>
  </si>
  <si>
    <t>Silverado Canyon</t>
  </si>
  <si>
    <t>Simi Valley</t>
  </si>
  <si>
    <t>Sisquoc</t>
  </si>
  <si>
    <t>Sites</t>
  </si>
  <si>
    <t>Sky Valley</t>
  </si>
  <si>
    <t>Skyforest</t>
  </si>
  <si>
    <t>Sleepy Valley</t>
  </si>
  <si>
    <t>Sloat</t>
  </si>
  <si>
    <t>Sloughhouse</t>
  </si>
  <si>
    <t>Smartsville</t>
  </si>
  <si>
    <t>Smith River</t>
  </si>
  <si>
    <t>Smithflat</t>
  </si>
  <si>
    <t xml:space="preserve">Smoke Tree </t>
  </si>
  <si>
    <t>Snelling</t>
  </si>
  <si>
    <t>Soda Springs</t>
  </si>
  <si>
    <t>Solana Beach</t>
  </si>
  <si>
    <t>Soledad</t>
  </si>
  <si>
    <t>Solemint</t>
  </si>
  <si>
    <t>Solvang</t>
  </si>
  <si>
    <t>Somerset</t>
  </si>
  <si>
    <t>Somes Bar</t>
  </si>
  <si>
    <t>Somis</t>
  </si>
  <si>
    <t>Sonora</t>
  </si>
  <si>
    <t>Soquel</t>
  </si>
  <si>
    <t>Soulsbyville</t>
  </si>
  <si>
    <t>South Dos Palos</t>
  </si>
  <si>
    <t>South El Monte</t>
  </si>
  <si>
    <t>South Fork</t>
  </si>
  <si>
    <t>South Gate</t>
  </si>
  <si>
    <t xml:space="preserve">South Laguna </t>
  </si>
  <si>
    <t>South Lake Tahoe</t>
  </si>
  <si>
    <t>South Pasadena</t>
  </si>
  <si>
    <t>South San Francisco</t>
  </si>
  <si>
    <t xml:space="preserve">South Shore </t>
  </si>
  <si>
    <t>South Whittier</t>
  </si>
  <si>
    <t>Spanish Flat</t>
  </si>
  <si>
    <t>Spreckels</t>
  </si>
  <si>
    <t>Spring Garden</t>
  </si>
  <si>
    <t>Spring Valley</t>
  </si>
  <si>
    <t>Springville</t>
  </si>
  <si>
    <t>Spyrock</t>
  </si>
  <si>
    <t>Squaw Valley</t>
  </si>
  <si>
    <t>St. Helena</t>
  </si>
  <si>
    <t>Standard</t>
  </si>
  <si>
    <t>Standish</t>
  </si>
  <si>
    <t>Stanford</t>
  </si>
  <si>
    <t>Stanton</t>
  </si>
  <si>
    <t>Steele Park</t>
  </si>
  <si>
    <t>Stevenson Ranch</t>
  </si>
  <si>
    <t>Stevinson</t>
  </si>
  <si>
    <t>Stewarts Point</t>
  </si>
  <si>
    <t>Stinson Beach</t>
  </si>
  <si>
    <t>Stirling City</t>
  </si>
  <si>
    <t>Stockton</t>
  </si>
  <si>
    <t>Stonyford</t>
  </si>
  <si>
    <t>Storrie</t>
  </si>
  <si>
    <t>Stratford</t>
  </si>
  <si>
    <t xml:space="preserve">An explanation of any calculations or assumptions relied upon by the Applicant in completing this Application, including an explanation of the basis for the value resulting from a calculation and/or assumption is required. If space permits, these explanations may be provided in the "Applicant Notes" or "Explanation of Input Values and Assumptions" sections of the relevant worksheets. Alternatively, Applicants may attach additional documentation as needed. Applicants may be asked to provide additional supporting information, including business plans, pro forma financial statements or other comparable documents used for the purpose of soliciting investors to verify responses contained in the Application. All Applicant provided values may be subject to verification. </t>
  </si>
  <si>
    <t xml:space="preserve">Please explain all calculations and assumptions in the "Explanation of Input Values and Assumptions" column to the right of each entry. </t>
  </si>
  <si>
    <r>
      <t>Estimated cost of Qualified Property to be purchased.</t>
    </r>
    <r>
      <rPr>
        <b/>
        <sz val="11"/>
        <rFont val="Arial"/>
        <family val="2"/>
      </rPr>
      <t xml:space="preserve"> </t>
    </r>
    <r>
      <rPr>
        <sz val="10"/>
        <rFont val="Arial"/>
        <family val="0"/>
      </rPr>
      <t xml:space="preserve">
Enter total cost here from "Qualified Property List" tab. </t>
    </r>
  </si>
  <si>
    <r>
      <t>Estimated percent of time Qualified Property will be used to make Advanced Transportation Technology (AT) or Alternative Source (AS) products, components or systems.</t>
    </r>
    <r>
      <rPr>
        <b/>
        <sz val="11"/>
        <rFont val="Arial"/>
        <family val="2"/>
      </rPr>
      <t xml:space="preserve"> </t>
    </r>
    <r>
      <rPr>
        <sz val="10"/>
        <rFont val="Arial"/>
        <family val="0"/>
      </rPr>
      <t xml:space="preserve">If the Qualified Property will be used to make products other than (AT) or (AS) products, enter the average percent of time the property will be used for the AT or AS purpose during the estimated useful lifespan. Otherwise enter 100%. Must be a value between 75% and 100%. </t>
    </r>
  </si>
  <si>
    <r>
      <t xml:space="preserve">Type of Product. </t>
    </r>
    <r>
      <rPr>
        <sz val="10"/>
        <rFont val="Arial"/>
        <family val="2"/>
      </rPr>
      <t>Select the type of product from the list below, then enter in your product's environmental benefit information in the corresponding section with the same name below.</t>
    </r>
  </si>
  <si>
    <r>
      <t>Annual baseline system consumption</t>
    </r>
    <r>
      <rPr>
        <b/>
        <i/>
        <sz val="11"/>
        <color indexed="10"/>
        <rFont val="Arial"/>
        <family val="2"/>
      </rPr>
      <t xml:space="preserve"> per unit. </t>
    </r>
    <r>
      <rPr>
        <sz val="10"/>
        <color indexed="10"/>
        <rFont val="Arial"/>
        <family val="2"/>
      </rPr>
      <t xml:space="preserve">
</t>
    </r>
    <r>
      <rPr>
        <sz val="10"/>
        <rFont val="Arial"/>
        <family val="2"/>
      </rPr>
      <t>A</t>
    </r>
    <r>
      <rPr>
        <sz val="10"/>
        <color indexed="8"/>
        <rFont val="Arial"/>
        <family val="2"/>
      </rPr>
      <t>nnual energy consumption of baseline system (system WITHOUT efficiency technology under typical operation).</t>
    </r>
  </si>
  <si>
    <r>
      <t xml:space="preserve">Annual improved system consumption </t>
    </r>
    <r>
      <rPr>
        <b/>
        <i/>
        <sz val="11"/>
        <color indexed="10"/>
        <rFont val="Arial"/>
        <family val="2"/>
      </rPr>
      <t>per unit.</t>
    </r>
    <r>
      <rPr>
        <sz val="10"/>
        <color indexed="10"/>
        <rFont val="Arial"/>
        <family val="2"/>
      </rPr>
      <t xml:space="preserve"> </t>
    </r>
    <r>
      <rPr>
        <sz val="10"/>
        <rFont val="Arial"/>
        <family val="2"/>
      </rPr>
      <t>A</t>
    </r>
    <r>
      <rPr>
        <sz val="10"/>
        <color indexed="8"/>
        <rFont val="Arial"/>
        <family val="2"/>
      </rPr>
      <t>nnual energy consumption of improved system (WITH efficiency technology under typical operation).</t>
    </r>
  </si>
  <si>
    <r>
      <t xml:space="preserve">Annual baseline system consumption (GGE/yr) </t>
    </r>
    <r>
      <rPr>
        <b/>
        <i/>
        <sz val="11"/>
        <color indexed="10"/>
        <rFont val="Arial"/>
        <family val="2"/>
      </rPr>
      <t xml:space="preserve">per unit. </t>
    </r>
    <r>
      <rPr>
        <sz val="10"/>
        <color indexed="10"/>
        <rFont val="Arial"/>
        <family val="2"/>
      </rPr>
      <t xml:space="preserve">
</t>
    </r>
    <r>
      <rPr>
        <sz val="10"/>
        <color indexed="8"/>
        <rFont val="Arial"/>
        <family val="2"/>
      </rPr>
      <t xml:space="preserve">For products that will improve fuel efficiency, state the likely annual fuel consumption of baseline system WITHOUT efficiency technology under typical operation (in GGE/year). All electric cars should enter the estimated GGE/year consumed by a comparable non-electric car. A GGE is a Gallon of Gas Equivalent, defined as the amount of fuel that has the equivalent amount of energy as one gallon of gasoline. </t>
    </r>
  </si>
  <si>
    <r>
      <t xml:space="preserve">Annual consumption of offsetting energy per unit (in MWh) </t>
    </r>
    <r>
      <rPr>
        <b/>
        <i/>
        <sz val="11"/>
        <color indexed="10"/>
        <rFont val="Arial"/>
        <family val="2"/>
      </rPr>
      <t xml:space="preserve">per unit. </t>
    </r>
    <r>
      <rPr>
        <sz val="10"/>
        <color indexed="10"/>
        <rFont val="Arial"/>
        <family val="2"/>
      </rPr>
      <t xml:space="preserve">
</t>
    </r>
    <r>
      <rPr>
        <sz val="10"/>
        <color indexed="8"/>
        <rFont val="Arial"/>
        <family val="2"/>
      </rPr>
      <t xml:space="preserve">For technologies, such as electric vehicles, that require electricity consumption to enable fuel savings listed, state the estimated MWh consumed per year. </t>
    </r>
  </si>
  <si>
    <r>
      <t xml:space="preserve">Annual improved system consumption (GGE/yr) </t>
    </r>
    <r>
      <rPr>
        <b/>
        <i/>
        <sz val="11"/>
        <color indexed="10"/>
        <rFont val="Arial"/>
        <family val="2"/>
      </rPr>
      <t xml:space="preserve">per unit. </t>
    </r>
    <r>
      <rPr>
        <i/>
        <sz val="10"/>
        <color indexed="10"/>
        <rFont val="Arial"/>
        <family val="2"/>
      </rPr>
      <t xml:space="preserve">
</t>
    </r>
    <r>
      <rPr>
        <sz val="10"/>
        <color indexed="8"/>
        <rFont val="Arial"/>
        <family val="2"/>
      </rPr>
      <t xml:space="preserve">For products that will improve fuel efficiency, state the likely annual fuel consumption of baseline system WITH efficiency technology under typical operation (in GGE/year). Electric vehicles enter zero here. </t>
    </r>
  </si>
  <si>
    <r>
      <t>Facility City and County.</t>
    </r>
    <r>
      <rPr>
        <sz val="10"/>
        <rFont val="Arial"/>
        <family val="2"/>
      </rPr>
      <t xml:space="preserve"> Select from list.</t>
    </r>
  </si>
  <si>
    <r>
      <t xml:space="preserve">Instructions: </t>
    </r>
    <r>
      <rPr>
        <sz val="12"/>
        <rFont val="Arial"/>
        <family val="2"/>
      </rPr>
      <t xml:space="preserve">Please enter the information requested in the grey shaded area below or select from the choices in the blue drop down lists. </t>
    </r>
  </si>
  <si>
    <t>Property taxes</t>
  </si>
  <si>
    <t>Fiscal Benefit Calculation</t>
  </si>
  <si>
    <t>Exclusion Amount</t>
  </si>
  <si>
    <t>Environmental Benefit Calculation</t>
  </si>
  <si>
    <t>Discount rate</t>
  </si>
  <si>
    <t>Economic Benefit Calculation</t>
  </si>
  <si>
    <t>Net Benefits Score</t>
  </si>
  <si>
    <t>Annual baseline system consumption</t>
  </si>
  <si>
    <t>Annual improved system consumption</t>
  </si>
  <si>
    <t>MWh/yr</t>
  </si>
  <si>
    <t>GGE/yr</t>
  </si>
  <si>
    <t>City</t>
  </si>
  <si>
    <t>Multiplier for Increase in Statewide Output</t>
  </si>
  <si>
    <t>Weighted average capital life span (yrs)</t>
  </si>
  <si>
    <t>Increased taxable CA sales</t>
  </si>
  <si>
    <t>Expected useful life of product (yrs)</t>
  </si>
  <si>
    <t>Box no.</t>
  </si>
  <si>
    <t>C. Qualified Property Information</t>
  </si>
  <si>
    <t>D. Facility Information</t>
  </si>
  <si>
    <t>F. Environmental Benefits Information</t>
  </si>
  <si>
    <t>A1</t>
  </si>
  <si>
    <t>A2</t>
  </si>
  <si>
    <t>A3</t>
  </si>
  <si>
    <t>A4</t>
  </si>
  <si>
    <t>A5</t>
  </si>
  <si>
    <t>A6</t>
  </si>
  <si>
    <t>A7</t>
  </si>
  <si>
    <t>A8</t>
  </si>
  <si>
    <t>A9</t>
  </si>
  <si>
    <t>A10</t>
  </si>
  <si>
    <t>B1</t>
  </si>
  <si>
    <t>B2</t>
  </si>
  <si>
    <t>B3</t>
  </si>
  <si>
    <t>C1</t>
  </si>
  <si>
    <t>C2</t>
  </si>
  <si>
    <t>C3</t>
  </si>
  <si>
    <t>C4</t>
  </si>
  <si>
    <t>D1</t>
  </si>
  <si>
    <t>D2</t>
  </si>
  <si>
    <t>D3</t>
  </si>
  <si>
    <t>D4</t>
  </si>
  <si>
    <t>E1</t>
  </si>
  <si>
    <t>E2</t>
  </si>
  <si>
    <t>E3</t>
  </si>
  <si>
    <t>E4</t>
  </si>
  <si>
    <t>E5</t>
  </si>
  <si>
    <t>E6</t>
  </si>
  <si>
    <t>E7</t>
  </si>
  <si>
    <t>E8</t>
  </si>
  <si>
    <t>E9</t>
  </si>
  <si>
    <t>E10</t>
  </si>
  <si>
    <t>E11</t>
  </si>
  <si>
    <t>F1</t>
  </si>
  <si>
    <t>F2</t>
  </si>
  <si>
    <t>F3</t>
  </si>
  <si>
    <t>F4</t>
  </si>
  <si>
    <t>F5</t>
  </si>
  <si>
    <t>F6</t>
  </si>
  <si>
    <t>F7</t>
  </si>
  <si>
    <t>F8</t>
  </si>
  <si>
    <t>F9</t>
  </si>
  <si>
    <t>F10</t>
  </si>
  <si>
    <t>F11</t>
  </si>
  <si>
    <t>F12</t>
  </si>
  <si>
    <t>F13</t>
  </si>
  <si>
    <t>F14</t>
  </si>
  <si>
    <t>F15</t>
  </si>
  <si>
    <t>Alternative Source</t>
  </si>
  <si>
    <t>B. Facility Location Information</t>
  </si>
  <si>
    <t>Energy type</t>
  </si>
  <si>
    <t>All Cities - As of 4/1/2010</t>
  </si>
  <si>
    <t>County</t>
  </si>
  <si>
    <t>Acampo</t>
  </si>
  <si>
    <t>San Joaquin</t>
  </si>
  <si>
    <t>Acton</t>
  </si>
  <si>
    <t>Los Angeles</t>
  </si>
  <si>
    <t>Adelaida</t>
  </si>
  <si>
    <t>San Luis Obispo</t>
  </si>
  <si>
    <t>Adelanto</t>
  </si>
  <si>
    <t>San Bernardino</t>
  </si>
  <si>
    <t>Adin</t>
  </si>
  <si>
    <t>Modoc</t>
  </si>
  <si>
    <t xml:space="preserve">Agoura </t>
  </si>
  <si>
    <t>Agoura Hills</t>
  </si>
  <si>
    <t>Agua Caliente</t>
  </si>
  <si>
    <t>Sonoma</t>
  </si>
  <si>
    <t>Agua Caliente Springs</t>
  </si>
  <si>
    <t>San Diego</t>
  </si>
  <si>
    <t>Agua Dulce</t>
  </si>
  <si>
    <t>Aguanga</t>
  </si>
  <si>
    <t>Riverside</t>
  </si>
  <si>
    <t>Ahwahnee</t>
  </si>
  <si>
    <t>Madera</t>
  </si>
  <si>
    <t>Al Tahoe</t>
  </si>
  <si>
    <t>El Dorado</t>
  </si>
  <si>
    <t>Alameda</t>
  </si>
  <si>
    <t>Alamo</t>
  </si>
  <si>
    <t>Contra Costa</t>
  </si>
  <si>
    <t>Albany</t>
  </si>
  <si>
    <t>Alberhill</t>
  </si>
  <si>
    <t>Albion</t>
  </si>
  <si>
    <t>Mendocino</t>
  </si>
  <si>
    <t>Alderpoint</t>
  </si>
  <si>
    <t>Humboldt</t>
  </si>
  <si>
    <t>Alhambra</t>
  </si>
  <si>
    <t>Aliso Viejo</t>
  </si>
  <si>
    <t>Orange</t>
  </si>
  <si>
    <t>Alleghany</t>
  </si>
  <si>
    <t>Sierra</t>
  </si>
  <si>
    <t>Almaden Valley</t>
  </si>
  <si>
    <t>Santa Clara</t>
  </si>
  <si>
    <t>Almanor</t>
  </si>
  <si>
    <t>Plumas</t>
  </si>
  <si>
    <t>Almondale</t>
  </si>
  <si>
    <t>Alondra</t>
  </si>
  <si>
    <t>Alpaugh</t>
  </si>
  <si>
    <t>Tulare</t>
  </si>
  <si>
    <t>Alpine</t>
  </si>
  <si>
    <t>Alta</t>
  </si>
  <si>
    <t>Placer</t>
  </si>
  <si>
    <t>Alta Loma</t>
  </si>
  <si>
    <t>Altadena</t>
  </si>
  <si>
    <t>Altaville</t>
  </si>
  <si>
    <t>Calaveras</t>
  </si>
  <si>
    <t>Alton</t>
  </si>
  <si>
    <t>Alturas</t>
  </si>
  <si>
    <t>Alviso</t>
  </si>
  <si>
    <t>Amador City</t>
  </si>
  <si>
    <t>Amador</t>
  </si>
  <si>
    <t>Amargosa</t>
  </si>
  <si>
    <t>Inyo</t>
  </si>
  <si>
    <t>Amboy</t>
  </si>
  <si>
    <t>American Canyon</t>
  </si>
  <si>
    <t>Napa</t>
  </si>
  <si>
    <t>Anaheim</t>
  </si>
  <si>
    <t>Anderson</t>
  </si>
  <si>
    <t>Shasta</t>
  </si>
  <si>
    <t>Angels Camp</t>
  </si>
  <si>
    <t>Angelus Oaks</t>
  </si>
  <si>
    <t>Angwin</t>
  </si>
  <si>
    <t>Annapolis</t>
  </si>
  <si>
    <t>Antelope</t>
  </si>
  <si>
    <t>Sacramento</t>
  </si>
  <si>
    <t>Antelope Acres</t>
  </si>
  <si>
    <t>Antioch</t>
  </si>
  <si>
    <t>Anza</t>
  </si>
  <si>
    <t>Apple Valley</t>
  </si>
  <si>
    <t>Applegate</t>
  </si>
  <si>
    <t>Aptos</t>
  </si>
  <si>
    <t>Santa Cruz</t>
  </si>
  <si>
    <t>Arbuckle</t>
  </si>
  <si>
    <t>Colusa</t>
  </si>
  <si>
    <t>Arcadia</t>
  </si>
  <si>
    <t>Arcata</t>
  </si>
  <si>
    <t>Argus</t>
  </si>
  <si>
    <t>Arleta</t>
  </si>
  <si>
    <t>Arlington</t>
  </si>
  <si>
    <t>Armona</t>
  </si>
  <si>
    <t>Kings</t>
  </si>
  <si>
    <t>Army Terminal</t>
  </si>
  <si>
    <t>Arnold</t>
  </si>
  <si>
    <t>Aromas</t>
  </si>
  <si>
    <t>Monterey</t>
  </si>
  <si>
    <t>Arrowbear Lake</t>
  </si>
  <si>
    <t>Arrowhead Highlands</t>
  </si>
  <si>
    <t>Arroyo Grande</t>
  </si>
  <si>
    <t>Artesia</t>
  </si>
  <si>
    <t>Artois</t>
  </si>
  <si>
    <t>Glenn</t>
  </si>
  <si>
    <t>Arvin</t>
  </si>
  <si>
    <t>Kern</t>
  </si>
  <si>
    <t>Ashland</t>
  </si>
  <si>
    <t>Asti</t>
  </si>
  <si>
    <t>Atascadero</t>
  </si>
  <si>
    <t>Athens</t>
  </si>
  <si>
    <t>Atherton</t>
  </si>
  <si>
    <t>San Mateo</t>
  </si>
  <si>
    <t>Atwater</t>
  </si>
  <si>
    <t>Merced</t>
  </si>
  <si>
    <t>Atwood</t>
  </si>
  <si>
    <t>Auberry</t>
  </si>
  <si>
    <t>Fresno</t>
  </si>
  <si>
    <t>Auburn</t>
  </si>
  <si>
    <t>Avalon</t>
  </si>
  <si>
    <t>Avenal</t>
  </si>
  <si>
    <t>Avery</t>
  </si>
  <si>
    <t>Avila Beach</t>
  </si>
  <si>
    <t>Azusa</t>
  </si>
  <si>
    <t>Badger</t>
  </si>
  <si>
    <t>Bailey</t>
  </si>
  <si>
    <t>Baker</t>
  </si>
  <si>
    <t>Bakersfield</t>
  </si>
  <si>
    <t>Balboa</t>
  </si>
  <si>
    <t>Balboa Island</t>
  </si>
  <si>
    <t xml:space="preserve">Balboa Park </t>
  </si>
  <si>
    <t>Baldwin Park</t>
  </si>
  <si>
    <t>Ballard</t>
  </si>
  <si>
    <t>Santa Barbara</t>
  </si>
  <si>
    <t>Ballico</t>
  </si>
  <si>
    <t>Ballroad</t>
  </si>
  <si>
    <t>Bangor</t>
  </si>
  <si>
    <t>Butte</t>
  </si>
  <si>
    <t>Banning</t>
  </si>
  <si>
    <t>Banta</t>
  </si>
  <si>
    <t>Bard</t>
  </si>
  <si>
    <t>Imperial</t>
  </si>
  <si>
    <t>Barrington</t>
  </si>
  <si>
    <t>Barstow</t>
  </si>
  <si>
    <t>Bartlett</t>
  </si>
  <si>
    <t>Barton</t>
  </si>
  <si>
    <t>Base Line</t>
  </si>
  <si>
    <t>Bass Lake</t>
  </si>
  <si>
    <t>Bassett</t>
  </si>
  <si>
    <t>Baxter</t>
  </si>
  <si>
    <t>Bay Point</t>
  </si>
  <si>
    <t>Bayside</t>
  </si>
  <si>
    <t>Baywood Park</t>
  </si>
  <si>
    <t>Beale A.F.B.</t>
  </si>
  <si>
    <t>Yuba</t>
  </si>
  <si>
    <t>Bear River Lake</t>
  </si>
  <si>
    <t>Bear Valley</t>
  </si>
  <si>
    <t>Mariposa</t>
  </si>
  <si>
    <t>Beaumont</t>
  </si>
  <si>
    <t>Beckwourth</t>
  </si>
  <si>
    <t>Bel Air Estates</t>
  </si>
  <si>
    <t>Belden</t>
  </si>
  <si>
    <t>Bell</t>
  </si>
  <si>
    <t>Bell Gardens</t>
  </si>
  <si>
    <t>Bella Vista</t>
  </si>
  <si>
    <t>Bellflower</t>
  </si>
  <si>
    <t>Belmont</t>
  </si>
  <si>
    <t>Belvedere</t>
  </si>
  <si>
    <t>Marin</t>
  </si>
  <si>
    <t>Ben Lomond</t>
  </si>
  <si>
    <t>Benicia</t>
  </si>
  <si>
    <t>Solano</t>
  </si>
  <si>
    <t>Benton</t>
  </si>
  <si>
    <t>Mono</t>
  </si>
  <si>
    <t>Berkeley</t>
  </si>
  <si>
    <t>Bermuda Dunes</t>
  </si>
  <si>
    <t>Berry Creek</t>
  </si>
  <si>
    <t>Bethel Island</t>
  </si>
  <si>
    <t>Betteravia</t>
  </si>
  <si>
    <t>Beverly Hills</t>
  </si>
  <si>
    <t>Bieber</t>
  </si>
  <si>
    <t>Lassen</t>
  </si>
  <si>
    <t>Big Bar</t>
  </si>
  <si>
    <t>Trinity</t>
  </si>
  <si>
    <t>Big Basin</t>
  </si>
  <si>
    <t>Big Bear City</t>
  </si>
  <si>
    <t>Big Bear Lake</t>
  </si>
  <si>
    <t>Big Bend</t>
  </si>
  <si>
    <t>Big Creek</t>
  </si>
  <si>
    <t>Big Oak Flat</t>
  </si>
  <si>
    <t>Tuolumne</t>
  </si>
  <si>
    <t>Big Pine</t>
  </si>
  <si>
    <t>Big River</t>
  </si>
  <si>
    <t>Big Sur</t>
  </si>
  <si>
    <t>Biggs</t>
  </si>
  <si>
    <t>Bijou</t>
  </si>
  <si>
    <t>Biola</t>
  </si>
  <si>
    <t>Biola College</t>
  </si>
  <si>
    <t>Birds Landing</t>
  </si>
  <si>
    <t>Bishop</t>
  </si>
  <si>
    <t>Black Hawk</t>
  </si>
  <si>
    <t>Blairsden</t>
  </si>
  <si>
    <t>Blocksburg</t>
  </si>
  <si>
    <t>Bloomington</t>
  </si>
  <si>
    <t>Blossom Hill</t>
  </si>
  <si>
    <t>Blossom Valley</t>
  </si>
  <si>
    <t>Blue Jay</t>
  </si>
  <si>
    <t>Blue Lake</t>
  </si>
  <si>
    <t>Blythe</t>
  </si>
  <si>
    <t>Bodega</t>
  </si>
  <si>
    <t>Bodega Bay</t>
  </si>
  <si>
    <t>Bodfish</t>
  </si>
  <si>
    <t>Bolinas</t>
  </si>
  <si>
    <t>Bolsa</t>
  </si>
  <si>
    <t>Bombay Beach</t>
  </si>
  <si>
    <t>Bonita</t>
  </si>
  <si>
    <t>Bonny Doon</t>
  </si>
  <si>
    <t>Bonsall</t>
  </si>
  <si>
    <t>Boonville</t>
  </si>
  <si>
    <t>Boron</t>
  </si>
  <si>
    <t>Borrego Springs</t>
  </si>
  <si>
    <t>Bostonia</t>
  </si>
  <si>
    <t>Boulder Creek</t>
  </si>
  <si>
    <t>Boulevard</t>
  </si>
  <si>
    <t>Bouquet Canyon</t>
  </si>
  <si>
    <t>Bowman</t>
  </si>
  <si>
    <t>Boyes Hot Springs</t>
  </si>
  <si>
    <t>Bradbury</t>
  </si>
  <si>
    <t>Bradford</t>
  </si>
  <si>
    <t>Bradley</t>
  </si>
  <si>
    <t>Branscomb</t>
  </si>
  <si>
    <t>Brawley</t>
  </si>
  <si>
    <t>Brea</t>
  </si>
  <si>
    <t>Brents Junction</t>
  </si>
  <si>
    <t>Brentwood</t>
  </si>
  <si>
    <t>Briceland</t>
  </si>
  <si>
    <t>Bridgeport</t>
  </si>
  <si>
    <t>Bridgeville</t>
  </si>
  <si>
    <t>Brisbane</t>
  </si>
  <si>
    <t>Broderick</t>
  </si>
  <si>
    <t>Yolo</t>
  </si>
  <si>
    <t>Brookdale</t>
  </si>
  <si>
    <t>Brookhurst Center</t>
  </si>
  <si>
    <t>Brooks</t>
  </si>
  <si>
    <t>Browns Valley</t>
  </si>
  <si>
    <t>Brownsville</t>
  </si>
  <si>
    <t>Bryn Mawr</t>
  </si>
  <si>
    <t>Bryte</t>
  </si>
  <si>
    <t>Buellton</t>
  </si>
  <si>
    <t>Buena Park</t>
  </si>
  <si>
    <t xml:space="preserve">For facilities producing multiple products that are not simply similar products of different capacities or sizes, separate applications may be required. If actual values are not known, good faith estimates are acceptable. </t>
  </si>
  <si>
    <r>
      <t>Value of capital stock used to produce Advanced Transportation Technology or Alternative Source products.</t>
    </r>
    <r>
      <rPr>
        <b/>
        <sz val="11"/>
        <rFont val="Arial"/>
        <family val="2"/>
      </rPr>
      <t xml:space="preserve"> </t>
    </r>
    <r>
      <rPr>
        <sz val="10"/>
        <rFont val="Arial"/>
        <family val="2"/>
      </rPr>
      <t xml:space="preserve">Enter the total value of the capital stock used to produce the AT or AS product. Value should be in current dollars inclusive of depreciation, and should include anticipated Qualified Property purchases. Include all equipment and other tangible personal property; exclude the value of land and structures. This is the total value of all equipment used to produce the output listed in section E below. </t>
    </r>
  </si>
  <si>
    <r>
      <t>Estimated annual California Corporation or Income Tax liability</t>
    </r>
    <r>
      <rPr>
        <b/>
        <sz val="11"/>
        <rFont val="Arial"/>
        <family val="2"/>
      </rPr>
      <t>.</t>
    </r>
    <r>
      <rPr>
        <sz val="10"/>
        <rFont val="Arial"/>
        <family val="0"/>
      </rPr>
      <t xml:space="preserve"> Enter the estimated annual state tax liability for the Facility, averaged over the estimated useful life of the Qualified Property. If multiple products are produced, include only the prorated share of the estimated annual tax liability associated with the production of the product listed in Section E below. Assume that current rates remain in effect throughout the period. Explain the basis for the estimate provided in the explanation section at right. </t>
    </r>
  </si>
  <si>
    <r>
      <t>Brief description/name of product to be produced with Qualified Property.</t>
    </r>
    <r>
      <rPr>
        <sz val="11"/>
        <rFont val="Arial"/>
        <family val="2"/>
      </rPr>
      <t xml:space="preserve"> </t>
    </r>
    <r>
      <rPr>
        <sz val="10"/>
        <rFont val="Arial"/>
        <family val="0"/>
      </rPr>
      <t xml:space="preserve">Please provide a brief (&lt;25 words) description of the product to be made with the Qualified Property. </t>
    </r>
  </si>
  <si>
    <r>
      <t>NAICS Code.</t>
    </r>
    <r>
      <rPr>
        <sz val="11"/>
        <rFont val="Arial"/>
        <family val="2"/>
      </rPr>
      <t xml:space="preserve"> </t>
    </r>
    <r>
      <rPr>
        <sz val="10"/>
        <rFont val="Arial"/>
        <family val="0"/>
      </rPr>
      <t>Enter NAICS code applicable to product to be produced with Qualified Property</t>
    </r>
  </si>
  <si>
    <r>
      <t xml:space="preserve">Total facility sales in dollars. </t>
    </r>
    <r>
      <rPr>
        <sz val="10"/>
        <rFont val="Arial"/>
        <family val="2"/>
      </rPr>
      <t xml:space="preserve">
Enter the total estimated sales for all facility production (in dollars). This should normally be equal to E3 * E4. If a different value, please explain the reason for the difference. </t>
    </r>
  </si>
  <si>
    <t>i. Significant Environmental Benefits from Product not Related to Reduced Energy Use.</t>
  </si>
  <si>
    <t xml:space="preserve">Provide evidence of alternative sites reviewed or financial analyses performed, or other evidence demonstrating that without sales tax exclusion Facility will be located in another state </t>
  </si>
  <si>
    <r>
      <t xml:space="preserve">Water use. </t>
    </r>
    <r>
      <rPr>
        <sz val="10"/>
        <rFont val="Arial"/>
        <family val="2"/>
      </rPr>
      <t xml:space="preserve">
Enter the percent improvement and a brief narrative description of decreased water use of the Applicant's manufacturing process relative to comparable production processes for like products. Attach additional supporting documentation.</t>
    </r>
  </si>
  <si>
    <r>
      <t xml:space="preserve">Atmospheric emissions. </t>
    </r>
    <r>
      <rPr>
        <sz val="10"/>
        <rFont val="Arial"/>
        <family val="2"/>
      </rPr>
      <t xml:space="preserve">
Enter the percent improvement and a brief narrative description of decreased atmospheric emission from the Applicant's manufacturing process relative to comparable production processes for like products. Attach additional supporting documentation.</t>
    </r>
  </si>
  <si>
    <r>
      <t xml:space="preserve">Waterborne wastes. </t>
    </r>
    <r>
      <rPr>
        <sz val="10"/>
        <rFont val="Arial"/>
        <family val="2"/>
      </rPr>
      <t xml:space="preserve">
Enter the percent improvement and a brief narrative description of decreased waterborne waste from the Applicant's manufacturing process relative to comparable production processes for like products. Attach additional supporting documentation.</t>
    </r>
  </si>
  <si>
    <r>
      <t xml:space="preserve">Industrial solid waste. </t>
    </r>
    <r>
      <rPr>
        <sz val="10"/>
        <rFont val="Arial"/>
        <family val="2"/>
      </rPr>
      <t xml:space="preserve">
Enter the percent improvement and a brief narrative description of decreased industrial solid waste from the Applicant's manufacturing process relative to comparable production processes for like products. Attach additional supporting documentation.</t>
    </r>
  </si>
  <si>
    <r>
      <t xml:space="preserve">Post-consumer solid waste. </t>
    </r>
    <r>
      <rPr>
        <sz val="10"/>
        <rFont val="Arial"/>
        <family val="2"/>
      </rPr>
      <t xml:space="preserve">
Enter the percent improvement and a brief narrative description of decreased post-consumer solid waste from the Applicant's manufacturing process relative to comparable production processes for like products. Attach additional supporting documentation.</t>
    </r>
  </si>
  <si>
    <r>
      <t>Projected average number of employees (FTE) at Facility, assuming Qualified Property is utilized.</t>
    </r>
    <r>
      <rPr>
        <sz val="10"/>
        <rFont val="Arial"/>
        <family val="0"/>
      </rPr>
      <t xml:space="preserve"> Enter total estimated average annual facility FTEs employed to produce AT or AS products assuming Qualified Property is utilized. Entry should reflect the average annual FTEs over the estimated useful life of Qualified Property. These are not construction related FTEs.</t>
    </r>
  </si>
  <si>
    <r>
      <t>Estimated percent of production costs from California suppliers.</t>
    </r>
    <r>
      <rPr>
        <sz val="10"/>
        <rFont val="Arial"/>
        <family val="0"/>
      </rPr>
      <t xml:space="preserve"> Estimate the fraction of the total production-related costs (from Box E6) from California suppliers. Entry should reflect average value over Estimated Useful Lifespan of Qualified Property.</t>
    </r>
  </si>
  <si>
    <t>Annual Pollution benefit/unit</t>
  </si>
  <si>
    <t>Lifetime pollution benefit/unit</t>
  </si>
  <si>
    <t>Annual Pollution Cost/unit</t>
  </si>
  <si>
    <t>Annual net improvement/unit</t>
  </si>
  <si>
    <t>Annual offsetting energy cost/unit</t>
  </si>
  <si>
    <t>Net annual pollution benefit/unit</t>
  </si>
  <si>
    <t>A11</t>
  </si>
  <si>
    <t>A12</t>
  </si>
  <si>
    <t>A. Applicant Information</t>
  </si>
  <si>
    <t>A13</t>
  </si>
  <si>
    <t>A14</t>
  </si>
  <si>
    <t>Estimated Useful Lifespan (in years)</t>
  </si>
  <si>
    <t xml:space="preserve">Weighted Average: </t>
  </si>
  <si>
    <t xml:space="preserve">Total: </t>
  </si>
  <si>
    <t>Qualified Property</t>
  </si>
  <si>
    <t>The worksheet will calculate the total cost of the Qualified property, the Weighted Average of the Estimated Useful Lifespan of Qualified Property, and the percent of</t>
  </si>
  <si>
    <t>Enter above value in Box C2</t>
  </si>
  <si>
    <t>Enter above value in Box C3</t>
  </si>
  <si>
    <t>Environmental Benefits (TPB)</t>
  </si>
  <si>
    <t>Fiscal Benefits (TFB)</t>
  </si>
  <si>
    <t>Enter above value in Box C4</t>
  </si>
  <si>
    <t>Enter result shown at right in box indicated on "Facility &amp; Product Information" tab</t>
  </si>
  <si>
    <t>Applicants are required to complete this Application workbook as well as the companion Application document, "CAEATFA Application.doc."</t>
  </si>
  <si>
    <t xml:space="preserve">All calculations and resulting scores are for the Applicants information only, and do not represent the actual score an Application will receive. </t>
  </si>
  <si>
    <t>E12</t>
  </si>
  <si>
    <t>Burbank</t>
  </si>
  <si>
    <t>Burlingame</t>
  </si>
  <si>
    <r>
      <t xml:space="preserve">Parent Company Ownership Information. </t>
    </r>
    <r>
      <rPr>
        <sz val="10"/>
        <rFont val="Arial"/>
        <family val="2"/>
      </rPr>
      <t xml:space="preserve">For all types of business entities, other than publicly traded corporations, private equity firms or sole proprietorships, that are owned by another business entity with an ownership share greater than or equal to 10 percent, identify any individuals or businesses with an ownership share in the parent entity of 10 percent or more.  </t>
    </r>
  </si>
  <si>
    <t>A21</t>
  </si>
  <si>
    <t>If your Facility produces multiple Advanced Transportation or Alternative Source products (e.g. units of different sizes or capacities), enter the average value across all relevant products in the boxes below.</t>
  </si>
  <si>
    <t>Read additional Instructions.</t>
  </si>
  <si>
    <t xml:space="preserve">Additional Instructions: </t>
  </si>
  <si>
    <t>Back to top.</t>
  </si>
  <si>
    <r>
      <t>Projected average annual number of Advanced Transportation Technology or Alternative Source products to be sold or shipped (number of units).</t>
    </r>
    <r>
      <rPr>
        <sz val="11"/>
        <rFont val="Arial"/>
        <family val="2"/>
      </rPr>
      <t xml:space="preserve"> </t>
    </r>
    <r>
      <rPr>
        <sz val="10"/>
        <rFont val="Arial"/>
        <family val="0"/>
      </rPr>
      <t xml:space="preserve">Enter total estimated average annual facility production that will be sold or shipped, assuming Qualified Property is utilized. Entry should reflect average annual sales over estimated weighted average useful life of Qualified Property (i.e. should reflect any ramp up period and not just peak production). If units of multiple sizes or capacities are produced, enter the average value here or a standardized value (e.g. 1 watt of generation capacity for a solar panel). </t>
    </r>
    <r>
      <rPr>
        <sz val="10"/>
        <color indexed="10"/>
        <rFont val="Arial"/>
        <family val="2"/>
      </rPr>
      <t xml:space="preserve">Note that units must be consistent throughout Sections E and F. Explain unit used in the explanation section at right. </t>
    </r>
  </si>
  <si>
    <t>Environmental benefits are reported per unit, per year. One unit in this section should match one unit as described in Section E: Product Information.</t>
  </si>
  <si>
    <r>
      <t>Pounds of CO2 emitted per MWh of generation capacity.</t>
    </r>
    <r>
      <rPr>
        <b/>
        <sz val="11"/>
        <rFont val="Arial"/>
        <family val="2"/>
      </rPr>
      <t xml:space="preserve"> </t>
    </r>
    <r>
      <rPr>
        <sz val="10"/>
        <rFont val="Arial"/>
        <family val="0"/>
      </rPr>
      <t xml:space="preserve">
State the calculated lbs/MWh of CO2 emitted per year. Note that this is use-phase emissions only, and does not include emissions associated with production or disposal.  For products that result in the accelerated release of C02 (or equivalent) relative to what would occur without the product (such as electricity generated by burning wood), enter the net increase relative to what otherwise would occur. </t>
    </r>
  </si>
  <si>
    <r>
      <t xml:space="preserve">Pounds of SO2 emitted per MWh of generation capacity. </t>
    </r>
    <r>
      <rPr>
        <sz val="10"/>
        <rFont val="Arial"/>
        <family val="0"/>
      </rPr>
      <t xml:space="preserve">
State the calculated lbs/MWh of SO2 emitted per year. Note that this is use-phase emissions only, and does not include emissions associated with production or disposal.  For products that result in the accelerated release of S02 relative to what would occur without the product (such as electricity generated by burning wood), enter the net increase relative to what otherwise would occur. </t>
    </r>
  </si>
  <si>
    <r>
      <t xml:space="preserve">Pounds of NOx emitted per MWh of generation capacity. </t>
    </r>
    <r>
      <rPr>
        <sz val="10"/>
        <rFont val="Arial"/>
        <family val="0"/>
      </rPr>
      <t xml:space="preserve">
State the calculated lbs/MWh of NOx emitted per year. Note that this is use-phase emissions only, and does not include emissions associated with production or disposal.  For products that result in the accelerated release of NOx relative to what would occur without the product (such as electricity generated by burning wood), enter the net increase relative to what otherwise would occur. </t>
    </r>
  </si>
  <si>
    <r>
      <t>Pounds of Other pollutants emitted per MWh of generation capacity (please specify).</t>
    </r>
    <r>
      <rPr>
        <b/>
        <sz val="11"/>
        <rFont val="Arial"/>
        <family val="2"/>
      </rPr>
      <t xml:space="preserve"> </t>
    </r>
    <r>
      <rPr>
        <sz val="10"/>
        <rFont val="Arial"/>
        <family val="0"/>
      </rPr>
      <t xml:space="preserve">State the calculated lbs/MWh of other pollutants emitted per year in California. Note that this is use-phase emissions only, and does not include emissions associated with production or disposal.  For products that result in the accelerated release of other pollutants relative to what would occur without the product (such as electricity generated by burning wood), enter the net increase relative to what otherwise would occur. </t>
    </r>
  </si>
  <si>
    <r>
      <t xml:space="preserve">Cost in dollars per pound for Other pollutants emitted per MWh of generation capacity (please specify). </t>
    </r>
    <r>
      <rPr>
        <sz val="10"/>
        <rFont val="Arial"/>
        <family val="2"/>
      </rPr>
      <t>Provide the cost in dollars per pound for the other pollutants identified in Box F7. Provide an explanation of the calculations and assumptions in the explanation box at right.</t>
    </r>
  </si>
  <si>
    <r>
      <t>Type of energy conserved (units).</t>
    </r>
    <r>
      <rPr>
        <b/>
        <sz val="11"/>
        <rFont val="Arial"/>
        <family val="2"/>
      </rPr>
      <t xml:space="preserve"> </t>
    </r>
    <r>
      <rPr>
        <sz val="10"/>
        <rFont val="Arial"/>
        <family val="2"/>
      </rPr>
      <t xml:space="preserve">
Select the type of energy units conserved here. If type is not electricity (KWh/yr), gasoline (GGE/yr) or natural gas (BTU/yr), convert to kWh, Gallon of Gas Equivalent (GGE), or BTU</t>
    </r>
    <r>
      <rPr>
        <b/>
        <sz val="10"/>
        <rFont val="Arial"/>
        <family val="2"/>
      </rPr>
      <t>.</t>
    </r>
  </si>
  <si>
    <t xml:space="preserve">Note that Qualified Property must be used more than 50.0 percent of the time in any year and more than 75.0 percent of the time on average for an AT or AS purpose. </t>
  </si>
  <si>
    <r>
      <t xml:space="preserve">Company Ownership Information. </t>
    </r>
    <r>
      <rPr>
        <sz val="10"/>
        <rFont val="Arial"/>
        <family val="2"/>
      </rPr>
      <t xml:space="preserve">If the Applicant is a corporation, include the names of the officers of the corporation and major shareholders (10.0% or greater). List each owner and share of ownership in boxes at left. </t>
    </r>
  </si>
  <si>
    <t xml:space="preserve">→ Go to "Facility &amp; Product Information" tab </t>
  </si>
  <si>
    <t>Facility Location</t>
  </si>
  <si>
    <t>Primary Facility</t>
  </si>
  <si>
    <t>Secondary Facility (if any)</t>
  </si>
  <si>
    <t>B4</t>
  </si>
  <si>
    <t>B5</t>
  </si>
  <si>
    <t>B6</t>
  </si>
  <si>
    <r>
      <t xml:space="preserve">Annual value of pollution benefits </t>
    </r>
    <r>
      <rPr>
        <b/>
        <i/>
        <sz val="11"/>
        <color indexed="10"/>
        <rFont val="Arial"/>
        <family val="2"/>
      </rPr>
      <t>per unit</t>
    </r>
    <r>
      <rPr>
        <b/>
        <i/>
        <sz val="11"/>
        <rFont val="Arial"/>
        <family val="2"/>
      </rPr>
      <t xml:space="preserve">. </t>
    </r>
    <r>
      <rPr>
        <sz val="10"/>
        <rFont val="Arial"/>
        <family val="2"/>
      </rPr>
      <t xml:space="preserve">Enter the annual dollar value of allowable pollution benefits per unit. Provide an explanation of the calculations and assumptions used in the explanation box at the right. </t>
    </r>
  </si>
  <si>
    <r>
      <t xml:space="preserve">Annual cost of off-setting energy use </t>
    </r>
    <r>
      <rPr>
        <b/>
        <i/>
        <sz val="11"/>
        <color indexed="10"/>
        <rFont val="Arial"/>
        <family val="2"/>
      </rPr>
      <t>per unit</t>
    </r>
    <r>
      <rPr>
        <b/>
        <i/>
        <sz val="11"/>
        <rFont val="Arial"/>
        <family val="2"/>
      </rPr>
      <t>.</t>
    </r>
    <r>
      <rPr>
        <b/>
        <i/>
        <sz val="10"/>
        <rFont val="Arial"/>
        <family val="2"/>
      </rPr>
      <t xml:space="preserve"> </t>
    </r>
    <r>
      <rPr>
        <sz val="10"/>
        <rFont val="Arial"/>
        <family val="2"/>
      </rPr>
      <t xml:space="preserve">Enter the annual dollar value of any off-setting energy pollution costs from the production of one unit. Provide an explanation of the calculations and assumptions used in the explanation box at the right. </t>
    </r>
  </si>
  <si>
    <r>
      <t>Description of environmental benefits.</t>
    </r>
    <r>
      <rPr>
        <sz val="10"/>
        <rFont val="Arial"/>
        <family val="2"/>
      </rPr>
      <t xml:space="preserve"> Please provide a brief (&lt;25 words) description of the environmental benefits produced by a unit of your product.</t>
    </r>
  </si>
  <si>
    <r>
      <t>Alternative Source</t>
    </r>
    <r>
      <rPr>
        <b/>
        <i/>
        <sz val="10"/>
        <rFont val="Arial"/>
        <family val="2"/>
      </rPr>
      <t>:</t>
    </r>
    <r>
      <rPr>
        <sz val="10"/>
        <rFont val="Arial"/>
        <family val="0"/>
      </rPr>
      <t xml:space="preserve"> Select for products capable of generating energy by utilizing an alternative source, such as wind or the sun. Examples include wind turbines and solar panels. Also select this option for fuels made from renewable resources, such as captured methane from dairies or landfills. </t>
    </r>
  </si>
  <si>
    <r>
      <t>Alternative Source (Energy Efficiency):</t>
    </r>
    <r>
      <rPr>
        <sz val="10"/>
        <rFont val="Arial"/>
        <family val="2"/>
      </rPr>
      <t xml:space="preserve"> Select this option for products that conserve energy, such as more efficient light bulbs or appliances.</t>
    </r>
  </si>
  <si>
    <r>
      <t xml:space="preserve">Annual energy generation capacity </t>
    </r>
    <r>
      <rPr>
        <b/>
        <i/>
        <sz val="11"/>
        <color indexed="10"/>
        <rFont val="Arial"/>
        <family val="2"/>
      </rPr>
      <t xml:space="preserve">per unit </t>
    </r>
    <r>
      <rPr>
        <b/>
        <i/>
        <sz val="11"/>
        <color indexed="8"/>
        <rFont val="Arial"/>
        <family val="2"/>
      </rPr>
      <t>(in MWh)</t>
    </r>
    <r>
      <rPr>
        <b/>
        <i/>
        <sz val="11"/>
        <rFont val="Arial"/>
        <family val="2"/>
      </rPr>
      <t>.</t>
    </r>
    <r>
      <rPr>
        <b/>
        <i/>
        <sz val="11"/>
        <color indexed="10"/>
        <rFont val="Arial"/>
        <family val="2"/>
      </rPr>
      <t xml:space="preserve"> </t>
    </r>
    <r>
      <rPr>
        <sz val="10"/>
        <color indexed="10"/>
        <rFont val="Arial"/>
        <family val="2"/>
      </rPr>
      <t xml:space="preserve">
</t>
    </r>
    <r>
      <rPr>
        <sz val="10"/>
        <color indexed="8"/>
        <rFont val="Arial"/>
        <family val="2"/>
      </rPr>
      <t>Projected annual energy generation capacity of the Alternative Source product, per unit. Attach a separate explanation of calculations and assumptions used. For Alternative Source products that can be used to generate electricity directly (such as solar panels), enter the electricity generation capacity of the product, averaged over the estimated useful lifespan of the product and adjusted for any efficiency loss over this period. For Alternative Source fuels that can be used to generate electricity, such as bio gas or bio mass, enter the electricity generation potential of the alternative source fuel (in MWh) per unit</t>
    </r>
    <r>
      <rPr>
        <sz val="10"/>
        <rFont val="Arial"/>
        <family val="2"/>
      </rPr>
      <t>.</t>
    </r>
  </si>
  <si>
    <r>
      <t xml:space="preserve">Amount of pollution avoided </t>
    </r>
    <r>
      <rPr>
        <b/>
        <i/>
        <sz val="11"/>
        <color indexed="10"/>
        <rFont val="Arial"/>
        <family val="2"/>
      </rPr>
      <t>per unit.</t>
    </r>
    <r>
      <rPr>
        <b/>
        <i/>
        <sz val="11"/>
        <rFont val="Arial"/>
        <family val="2"/>
      </rPr>
      <t xml:space="preserve"> </t>
    </r>
    <r>
      <rPr>
        <i/>
        <sz val="10"/>
        <rFont val="Arial"/>
        <family val="2"/>
      </rPr>
      <t xml:space="preserve">
</t>
    </r>
    <r>
      <rPr>
        <sz val="10"/>
        <rFont val="Arial"/>
        <family val="2"/>
      </rPr>
      <t>State the amount of pollution avoided in standard mass or volume metrics for the pollution type.</t>
    </r>
  </si>
  <si>
    <r>
      <t xml:space="preserve">Value of environmental benefits (pollution avoided) </t>
    </r>
    <r>
      <rPr>
        <b/>
        <i/>
        <sz val="11"/>
        <color indexed="10"/>
        <rFont val="Arial"/>
        <family val="2"/>
      </rPr>
      <t>per unit</t>
    </r>
    <r>
      <rPr>
        <b/>
        <i/>
        <sz val="11"/>
        <rFont val="Arial"/>
        <family val="2"/>
      </rPr>
      <t xml:space="preserve">. </t>
    </r>
    <r>
      <rPr>
        <sz val="10"/>
        <rFont val="Arial"/>
        <family val="2"/>
      </rPr>
      <t xml:space="preserve">
Enter the </t>
    </r>
    <r>
      <rPr>
        <i/>
        <sz val="10"/>
        <rFont val="Arial"/>
        <family val="2"/>
      </rPr>
      <t xml:space="preserve">annual </t>
    </r>
    <r>
      <rPr>
        <sz val="10"/>
        <rFont val="Arial"/>
        <family val="2"/>
      </rPr>
      <t>value of the pollution avoided (in dollars).</t>
    </r>
  </si>
  <si>
    <t>Burney</t>
  </si>
  <si>
    <t>Burnt Ranch</t>
  </si>
  <si>
    <t>Burrel</t>
  </si>
  <si>
    <t>Burson</t>
  </si>
  <si>
    <t>Butte City</t>
  </si>
  <si>
    <t>Butte Meadows</t>
  </si>
  <si>
    <t>Buttonwillow</t>
  </si>
  <si>
    <t>Byron</t>
  </si>
  <si>
    <t>Cabazon</t>
  </si>
  <si>
    <t>Cabrillo</t>
  </si>
  <si>
    <t>Cadiz</t>
  </si>
  <si>
    <t>Calabasas</t>
  </si>
  <si>
    <t>Calabasas Highlands</t>
  </si>
  <si>
    <t>Calabasas Park</t>
  </si>
  <si>
    <t>Calexico</t>
  </si>
  <si>
    <t>Caliente</t>
  </si>
  <si>
    <t>California City</t>
  </si>
  <si>
    <t>California Hot Springs</t>
  </si>
  <si>
    <t>California Valley</t>
  </si>
  <si>
    <t>Calimesa</t>
  </si>
  <si>
    <t>Calipatria</t>
  </si>
  <si>
    <t>Calistoga</t>
  </si>
  <si>
    <t>Callahan</t>
  </si>
  <si>
    <t>Siskiyou</t>
  </si>
  <si>
    <t>Calpella</t>
  </si>
  <si>
    <t>Calpine</t>
  </si>
  <si>
    <t>Calwa</t>
  </si>
  <si>
    <t>Camarillo</t>
  </si>
  <si>
    <t>Ventura</t>
  </si>
  <si>
    <t>Cambria</t>
  </si>
  <si>
    <t>Cambrian Park</t>
  </si>
  <si>
    <t>Cameron Park</t>
  </si>
  <si>
    <t>Camino</t>
  </si>
  <si>
    <t>Camp Beale</t>
  </si>
  <si>
    <t>Camp Connell</t>
  </si>
  <si>
    <t>Camp Curry</t>
  </si>
  <si>
    <t>Camp Kaweah</t>
  </si>
  <si>
    <t>Camp Meeker</t>
  </si>
  <si>
    <t>Camp Nelson</t>
  </si>
  <si>
    <t>Camp Pendleton</t>
  </si>
  <si>
    <t>Property Tax Rate Information</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</si>
  <si>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</si>
  <si>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</si>
  <si>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</si>
  <si>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</si>
  <si>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</si>
  <si>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</si>
  <si>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</si>
  <si>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</si>
  <si>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</si>
  <si>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</si>
  <si>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</si>
  <si>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</si>
  <si>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</si>
  <si>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</si>
  <si>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</si>
  <si>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</si>
  <si>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</si>
  <si>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</si>
  <si>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</si>
  <si>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</si>
  <si>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</si>
  <si>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</si>
  <si>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</si>
  <si>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</si>
  <si>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</si>
  <si>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</si>
  <si>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</si>
  <si>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</si>
  <si>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</si>
  <si>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</si>
  <si>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</si>
  <si>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</si>
  <si>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</si>
  <si>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</si>
  <si>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</si>
  <si>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</si>
  <si>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</si>
  <si>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</si>
  <si>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</si>
  <si>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</si>
  <si>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</si>
  <si>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</si>
  <si>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</si>
  <si>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</si>
  <si>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</si>
  <si>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</si>
  <si>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</si>
  <si>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</si>
  <si>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</si>
  <si>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</si>
  <si>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</si>
  <si>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</si>
  <si>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</si>
  <si>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</si>
  <si>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</si>
  <si>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</si>
  <si>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</si>
  <si>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</si>
  <si>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Rate</t>
  </si>
  <si>
    <t>Applicable Unemploment Rate</t>
  </si>
  <si>
    <t>Applicable Property Tax Rate</t>
  </si>
  <si>
    <t>Source: http://www.boe.ca.gov/annual/pdf/2009/table14_09.xls</t>
  </si>
  <si>
    <t>Camp Roberts</t>
  </si>
  <si>
    <t>Campbell</t>
  </si>
  <si>
    <t>Campo</t>
  </si>
  <si>
    <t>Campo Seco</t>
  </si>
  <si>
    <t>Camptonville</t>
  </si>
  <si>
    <t>Canby</t>
  </si>
  <si>
    <t>Canoga Annex</t>
  </si>
  <si>
    <t>Canoga Park</t>
  </si>
  <si>
    <t>Cantil</t>
  </si>
  <si>
    <t>Cantua Creek</t>
  </si>
  <si>
    <t>Canyon</t>
  </si>
  <si>
    <t>Canyon Country</t>
  </si>
  <si>
    <t>Canyon Lake</t>
  </si>
  <si>
    <t>Canyondam</t>
  </si>
  <si>
    <t>Capay</t>
  </si>
  <si>
    <t>Capistrano Beach</t>
  </si>
  <si>
    <t>Capitola</t>
  </si>
  <si>
    <t xml:space="preserve">Cardiff By The Sea </t>
  </si>
  <si>
    <t>Cardwell</t>
  </si>
  <si>
    <t>Carlotta</t>
  </si>
  <si>
    <t>Carlsbad</t>
  </si>
  <si>
    <t>Carmel</t>
  </si>
  <si>
    <t>Carmel Rancho</t>
  </si>
  <si>
    <t>Carmel Valley</t>
  </si>
  <si>
    <t>Marginal Increase % of total capital</t>
  </si>
  <si>
    <t>Construction Jobs Points</t>
  </si>
  <si>
    <t>WALS</t>
  </si>
  <si>
    <t>MIU</t>
  </si>
  <si>
    <t>AS</t>
  </si>
  <si>
    <t>ULOP</t>
  </si>
  <si>
    <t>Carmichael</t>
  </si>
  <si>
    <t>Carnelian Bay</t>
  </si>
  <si>
    <t>Carpinteria</t>
  </si>
  <si>
    <t>Carson</t>
  </si>
  <si>
    <t>Cartago</t>
  </si>
  <si>
    <t>Caruthers</t>
  </si>
  <si>
    <t>Casitas Springs</t>
  </si>
  <si>
    <t>Casmalia</t>
  </si>
  <si>
    <t>Caspar</t>
  </si>
  <si>
    <t>Cassel</t>
  </si>
  <si>
    <t>Castaic</t>
  </si>
  <si>
    <t>Castella</t>
  </si>
  <si>
    <t>Castle A.F.B.</t>
  </si>
  <si>
    <t>Castro Valley</t>
  </si>
  <si>
    <t>Castroville</t>
  </si>
  <si>
    <t>Project Types</t>
  </si>
  <si>
    <t>PV Manufacturer</t>
  </si>
  <si>
    <t>Bio Gas</t>
  </si>
  <si>
    <t>Electric Vehicles</t>
  </si>
  <si>
    <t>Explain Input Values and Assumptions Here (with Calculations if relevant)</t>
  </si>
  <si>
    <t>Project Type</t>
  </si>
  <si>
    <t>Fee Amount Received</t>
  </si>
  <si>
    <t>Submission Date</t>
  </si>
  <si>
    <t>Requested Approval Date</t>
  </si>
  <si>
    <t>Primary Reviewer</t>
  </si>
  <si>
    <t>Cathedral City</t>
  </si>
  <si>
    <t>Catheys Valley</t>
  </si>
  <si>
    <t>Cayucos</t>
  </si>
  <si>
    <t>Cazadero</t>
  </si>
  <si>
    <t>Cecilville</t>
  </si>
  <si>
    <t>Cedar</t>
  </si>
  <si>
    <t>Cedar Crest</t>
  </si>
  <si>
    <t>Cedar Glen</t>
  </si>
  <si>
    <t>Cedar Ridge</t>
  </si>
  <si>
    <t>Nevada</t>
  </si>
  <si>
    <t>Cedarpines Park</t>
  </si>
  <si>
    <t>Cedarville</t>
  </si>
  <si>
    <t>Central Valley</t>
  </si>
  <si>
    <t>Century City</t>
  </si>
  <si>
    <t>Ceres</t>
  </si>
  <si>
    <t>Stanislaus</t>
  </si>
  <si>
    <t>Cerritos</t>
  </si>
  <si>
    <t>Challenge</t>
  </si>
  <si>
    <t>Chambers Lodge</t>
  </si>
  <si>
    <t>Charter Oak</t>
  </si>
  <si>
    <t>Chatsworth</t>
  </si>
  <si>
    <t>Cherry Valley</t>
  </si>
  <si>
    <t>Chester</t>
  </si>
  <si>
    <t>Chicago Park</t>
  </si>
  <si>
    <t>Chico</t>
  </si>
  <si>
    <t>Chilcoot</t>
  </si>
  <si>
    <t>China Lake NWC</t>
  </si>
  <si>
    <t>Chinese Camp</t>
  </si>
  <si>
    <t>Chino</t>
  </si>
  <si>
    <t>Chino Hills</t>
  </si>
  <si>
    <t>Chiriaco Summit</t>
  </si>
  <si>
    <t>Cholame</t>
  </si>
  <si>
    <t>Chowchilla</t>
  </si>
  <si>
    <t>Chualar</t>
  </si>
  <si>
    <t>La Palma</t>
  </si>
  <si>
    <t>La Porte</t>
  </si>
  <si>
    <t>La Puente</t>
  </si>
  <si>
    <t>La Quinta</t>
  </si>
  <si>
    <t>La Selva Beach</t>
  </si>
  <si>
    <t>La Verne</t>
  </si>
  <si>
    <t>La Vina</t>
  </si>
  <si>
    <t>Ladera</t>
  </si>
  <si>
    <t>Ladera Heights</t>
  </si>
  <si>
    <t>Ladera Ranch</t>
  </si>
  <si>
    <t>Lafayette</t>
  </si>
  <si>
    <t>Laguna Beach</t>
  </si>
  <si>
    <t>Laguna Hills</t>
  </si>
  <si>
    <t>Laguna Niguel</t>
  </si>
  <si>
    <t>Laguna Woods</t>
  </si>
  <si>
    <t>Lagunitas</t>
  </si>
  <si>
    <t>Lake Alpine</t>
  </si>
  <si>
    <t>Lake Arrowhead</t>
  </si>
  <si>
    <t>Lake City</t>
  </si>
  <si>
    <t>Lake Elsinore</t>
  </si>
  <si>
    <t>Lake Forest</t>
  </si>
  <si>
    <t>Lake Hughes</t>
  </si>
  <si>
    <t>Lake Isabella</t>
  </si>
  <si>
    <t>Lake Los Angeles</t>
  </si>
  <si>
    <t>Lake Mary</t>
  </si>
  <si>
    <t>Lake San Marcos</t>
  </si>
  <si>
    <t>Lake Shastina</t>
  </si>
  <si>
    <t>Lake Sherwood</t>
  </si>
  <si>
    <t>Lakehead</t>
  </si>
  <si>
    <t>Lakeport</t>
  </si>
  <si>
    <t>Lakeshore</t>
  </si>
  <si>
    <t>Lakeside</t>
  </si>
  <si>
    <t>Lakeview</t>
  </si>
  <si>
    <t xml:space="preserve">Lakeview Terrace </t>
  </si>
  <si>
    <t>Lakewood</t>
  </si>
  <si>
    <t>Lamont</t>
  </si>
  <si>
    <t>Lancaster</t>
  </si>
  <si>
    <t>Landers</t>
  </si>
  <si>
    <t>Landscape</t>
  </si>
  <si>
    <t>Lang</t>
  </si>
  <si>
    <t>Larkfield</t>
  </si>
  <si>
    <t>Larkspur</t>
  </si>
  <si>
    <t>Larwin Plaza</t>
  </si>
  <si>
    <t>Lathrop</t>
  </si>
  <si>
    <t>Laton</t>
  </si>
  <si>
    <t>Lawndale</t>
  </si>
  <si>
    <t>Laws</t>
  </si>
  <si>
    <t>Laytonville</t>
  </si>
  <si>
    <t xml:space="preserve">Le Grand </t>
  </si>
  <si>
    <t>Lebec</t>
  </si>
  <si>
    <t>Lee Vining</t>
  </si>
  <si>
    <t>Leggett</t>
  </si>
  <si>
    <t xml:space="preserve">Leisure World </t>
  </si>
  <si>
    <t>Leisure World</t>
  </si>
  <si>
    <t>Lemon Grove</t>
  </si>
  <si>
    <t>Lemoncove</t>
  </si>
  <si>
    <t>Lemoore</t>
  </si>
  <si>
    <t>Lennox</t>
  </si>
  <si>
    <t>Lenwood</t>
  </si>
  <si>
    <t>Leona Valley</t>
  </si>
  <si>
    <t xml:space="preserve">Leucadia </t>
  </si>
  <si>
    <t>Lewiston</t>
  </si>
  <si>
    <t>Liberty Farms</t>
  </si>
  <si>
    <t>Likely</t>
  </si>
  <si>
    <t>Lincoln</t>
  </si>
  <si>
    <t>Lincoln Acres</t>
  </si>
  <si>
    <t xml:space="preserve">Lincoln Heights </t>
  </si>
  <si>
    <t>Lincoln Village</t>
  </si>
  <si>
    <t>Linda</t>
  </si>
  <si>
    <t>Linden</t>
  </si>
  <si>
    <t>Lindsay</t>
  </si>
  <si>
    <t>Linnell</t>
  </si>
  <si>
    <t>Litchfield</t>
  </si>
  <si>
    <t>Little Lake</t>
  </si>
  <si>
    <t>Little Norway</t>
  </si>
  <si>
    <t>Little Valley</t>
  </si>
  <si>
    <t>Littleriver</t>
  </si>
  <si>
    <t xml:space="preserve">Littlerock </t>
  </si>
  <si>
    <t>Live Oak</t>
  </si>
  <si>
    <t>Livermore</t>
  </si>
  <si>
    <t>Livingston</t>
  </si>
  <si>
    <t>Llano</t>
  </si>
  <si>
    <t>Loch Lomond</t>
  </si>
  <si>
    <t>Locke</t>
  </si>
  <si>
    <t>Lockeford</t>
  </si>
  <si>
    <t>Lockheed</t>
  </si>
  <si>
    <t>Lockwood</t>
  </si>
  <si>
    <t>Lodi</t>
  </si>
  <si>
    <t>Loleta</t>
  </si>
  <si>
    <t>Loma Linda</t>
  </si>
  <si>
    <t>Loma Mar</t>
  </si>
  <si>
    <t>Loma Rica</t>
  </si>
  <si>
    <t>Lomita</t>
  </si>
  <si>
    <t>Lompoc</t>
  </si>
  <si>
    <t>London</t>
  </si>
  <si>
    <t>Lone Pine</t>
  </si>
  <si>
    <t>Long Barn</t>
  </si>
  <si>
    <t>Long Beach</t>
  </si>
  <si>
    <t>Longview</t>
  </si>
  <si>
    <t>Lookout</t>
  </si>
  <si>
    <t>Loomis</t>
  </si>
  <si>
    <t>Lorre Estates</t>
  </si>
  <si>
    <t>Los Alamitos</t>
  </si>
  <si>
    <t>Los Alamos</t>
  </si>
  <si>
    <t>Los Altos</t>
  </si>
  <si>
    <t>Los Altos Hills</t>
  </si>
  <si>
    <t>Los Banos</t>
  </si>
  <si>
    <t>Los Gatos</t>
  </si>
  <si>
    <t>Los Molinos</t>
  </si>
  <si>
    <t>Los Nietos</t>
  </si>
  <si>
    <t>Los Olivos</t>
  </si>
  <si>
    <r>
      <t>Expected useful life of product, in years.</t>
    </r>
    <r>
      <rPr>
        <i/>
        <sz val="10"/>
        <rFont val="Arial"/>
        <family val="2"/>
      </rPr>
      <t xml:space="preserve">
</t>
    </r>
    <r>
      <rPr>
        <sz val="10"/>
        <rFont val="Arial"/>
        <family val="2"/>
      </rPr>
      <t xml:space="preserve">Enter the number of years that the product is expected to last. For Alternative Source fuels or other products used or consumed immediately, enter 1. </t>
    </r>
  </si>
  <si>
    <r>
      <t>Projected number of employees (FTE) employed for purposes of constructing facility or installing Qualified Property.</t>
    </r>
    <r>
      <rPr>
        <sz val="10"/>
        <rFont val="Arial"/>
        <family val="0"/>
      </rPr>
      <t xml:space="preserve"> Enter number of construction-related jobs here. Construction-related jobs are those jobs used to build a production facility or install equipment, but do not include jobs associated with the on-going production of the AT or AS product. Value should be in annual full time equivalents (FTE). </t>
    </r>
  </si>
  <si>
    <t>Waterborne waste improvement</t>
  </si>
  <si>
    <t>Industrial solid waste improvement</t>
  </si>
  <si>
    <t>Post consumer solid waste</t>
  </si>
  <si>
    <t>External Data Sources</t>
  </si>
  <si>
    <t>City List</t>
  </si>
  <si>
    <r>
      <t xml:space="preserve"> </t>
    </r>
    <r>
      <rPr>
        <b/>
        <sz val="10"/>
        <color indexed="8"/>
        <rFont val="Arial"/>
        <family val="2"/>
      </rPr>
      <t xml:space="preserve">COUNTY </t>
    </r>
    <r>
      <rPr>
        <sz val="10"/>
        <rFont val="Arial"/>
        <family val="2"/>
      </rPr>
      <t xml:space="preserve"> </t>
    </r>
  </si>
  <si>
    <r>
      <t xml:space="preserve"> </t>
    </r>
    <r>
      <rPr>
        <b/>
        <sz val="10"/>
        <color indexed="8"/>
        <rFont val="Arial"/>
        <family val="2"/>
      </rPr>
      <t xml:space="preserve">RATE </t>
    </r>
    <r>
      <rPr>
        <sz val="10"/>
        <rFont val="Arial"/>
        <family val="2"/>
      </rPr>
      <t xml:space="preserve"> </t>
    </r>
  </si>
  <si>
    <t>Total Pollution Benefit (life of facility)</t>
  </si>
  <si>
    <t>Net pollution benefit/unit</t>
  </si>
  <si>
    <t>Allocated Share</t>
  </si>
  <si>
    <t>NOx</t>
  </si>
  <si>
    <t>VOC+NOx</t>
  </si>
  <si>
    <t>$ Value of avoided GGE (All CO2 +  CA non-CO2)</t>
  </si>
  <si>
    <t>$ Cost of MWh (All CO2 + CA non-CO2)</t>
  </si>
  <si>
    <t>Street Address</t>
  </si>
  <si>
    <t>State</t>
  </si>
  <si>
    <t>Zip Code</t>
  </si>
  <si>
    <t>Facility Zip Code</t>
  </si>
  <si>
    <t>Advanced Transportation</t>
  </si>
  <si>
    <t>Product_Cat</t>
  </si>
  <si>
    <t>Alternative Source (energy efficiency)</t>
  </si>
  <si>
    <t>yes_no</t>
  </si>
  <si>
    <t>Yes</t>
  </si>
  <si>
    <t>No</t>
  </si>
  <si>
    <t>Substantial use percentage</t>
  </si>
  <si>
    <t>Value Added %</t>
  </si>
  <si>
    <t>Energy_type</t>
  </si>
  <si>
    <t>Net Environmental Benefit</t>
  </si>
  <si>
    <t>Input Values Here</t>
  </si>
  <si>
    <t>Information Requested</t>
  </si>
  <si>
    <t>Increased AV (equip)</t>
  </si>
  <si>
    <t>Assumptions</t>
  </si>
  <si>
    <t>Marginal increase in sales</t>
  </si>
  <si>
    <t>Input Values/Calculations</t>
  </si>
  <si>
    <r>
      <t xml:space="preserve">Does the product require consumption of fuel or energy to achieve the generation output listed above in F2? </t>
    </r>
    <r>
      <rPr>
        <sz val="10"/>
        <rFont val="Arial"/>
        <family val="0"/>
      </rPr>
      <t xml:space="preserve">
(Select from list. Note that cells in the rows below are intentionally shaded when "No" is selected in the box at right.) For technologies such as fuel cells, which require consumption of fuel or energy to achieve the generation output listed above, select "Yes." For products that result in an accelerated release of C02 (or equivalent) relative to what would occur without the product (such as electricity generated by burning wood), also select "Yes." For these products, this section will measure the net change relative to what otherwise would occur. </t>
    </r>
  </si>
  <si>
    <r>
      <t xml:space="preserve">Instructions: </t>
    </r>
    <r>
      <rPr>
        <sz val="12"/>
        <rFont val="Arial"/>
        <family val="2"/>
      </rPr>
      <t xml:space="preserve">Please enter the numbers requested in the shaded area below. Enter the description of each piece of Qualified Property in the white areas. </t>
    </r>
  </si>
  <si>
    <t>Non-CA Environmental Benefits Score</t>
  </si>
  <si>
    <t>Application Number</t>
  </si>
  <si>
    <t>Sub-total other factors</t>
  </si>
  <si>
    <r>
      <t xml:space="preserve">Applicant Name. </t>
    </r>
    <r>
      <rPr>
        <sz val="10"/>
        <rFont val="Arial"/>
        <family val="2"/>
      </rPr>
      <t xml:space="preserve">Enter the full name of the company or entity applying for the sales tax exclusion here. </t>
    </r>
  </si>
  <si>
    <r>
      <t>Applicant/Company Type.</t>
    </r>
    <r>
      <rPr>
        <sz val="10"/>
        <rFont val="Arial"/>
        <family val="2"/>
      </rPr>
      <t xml:space="preserve"> Select from list.</t>
    </r>
  </si>
  <si>
    <r>
      <t>Date of incorporation or establishment.</t>
    </r>
    <r>
      <rPr>
        <sz val="10"/>
        <rFont val="Arial"/>
        <family val="2"/>
      </rPr>
      <t xml:space="preserve"> If the Applicant is a corporation, include date of incorporation. If the Applicant is a sole proprietorship, include the date of establishment. </t>
    </r>
  </si>
  <si>
    <r>
      <t>Place of incorporation or establishment.</t>
    </r>
    <r>
      <rPr>
        <sz val="10"/>
        <rFont val="Arial"/>
        <family val="2"/>
      </rPr>
      <t xml:space="preserve"> If the Applicant is a corporation, include place of incorporation. If the Applicant is a sole proprietorship, include the place of establishment.</t>
    </r>
  </si>
  <si>
    <t xml:space="preserve">Applicant's Tax Payer ID Number. </t>
  </si>
  <si>
    <t>kWh/yr</t>
  </si>
  <si>
    <t>BTU/yr</t>
  </si>
  <si>
    <t>Product Type</t>
  </si>
  <si>
    <t xml:space="preserve">Annual costs per unit </t>
  </si>
  <si>
    <t>Clio</t>
  </si>
  <si>
    <t>Clipper Mills</t>
  </si>
  <si>
    <t>Cloverdale</t>
  </si>
  <si>
    <t>Clovis</t>
  </si>
  <si>
    <t>Coachella</t>
  </si>
  <si>
    <t>Coalinga</t>
  </si>
  <si>
    <t>Coarsegold</t>
  </si>
  <si>
    <t>Cobb</t>
  </si>
  <si>
    <t>Cohasset</t>
  </si>
  <si>
    <t>Cole</t>
  </si>
  <si>
    <t>Coleville</t>
  </si>
  <si>
    <t>Colfax</t>
  </si>
  <si>
    <t>College City</t>
  </si>
  <si>
    <t>Average state income tax rate</t>
  </si>
  <si>
    <t>Estimated Annual Sales</t>
  </si>
  <si>
    <t>Fremont</t>
  </si>
  <si>
    <t>Corporation</t>
  </si>
  <si>
    <t>LLC</t>
  </si>
  <si>
    <t>Partnership</t>
  </si>
  <si>
    <t>Sole Proprietorship</t>
  </si>
  <si>
    <t>Company_type</t>
  </si>
  <si>
    <t>Firm taxes on profits</t>
  </si>
  <si>
    <t>Personal income taxes</t>
  </si>
  <si>
    <t>Average Statewide Sales Tax Rate</t>
  </si>
  <si>
    <t xml:space="preserve">E. Product Information (for product to be produced using the Qualified Property and other equipment listed in Section C above). </t>
  </si>
  <si>
    <t>F16</t>
  </si>
  <si>
    <t>F17</t>
  </si>
  <si>
    <t>G. Optional Supplemental Information</t>
  </si>
  <si>
    <t>Discount Rate for Environmental Benefits</t>
  </si>
  <si>
    <t>Facility Unemployment Rate</t>
  </si>
  <si>
    <t>Energy Improvement</t>
  </si>
  <si>
    <t>Water Improvement</t>
  </si>
  <si>
    <t>Atmospheric Emissions Improvement</t>
  </si>
  <si>
    <t>Knightsen</t>
  </si>
  <si>
    <t>Korbel</t>
  </si>
  <si>
    <t>Kyburz</t>
  </si>
  <si>
    <t xml:space="preserve">L.A. Airport </t>
  </si>
  <si>
    <t>La Canada- Flintridge</t>
  </si>
  <si>
    <t>Percent of end product sold in California</t>
  </si>
  <si>
    <t>$MMBtu</t>
  </si>
  <si>
    <t>Energy_type_limited</t>
  </si>
  <si>
    <t>Secondary Contact Person</t>
  </si>
  <si>
    <t>Primary Contact Person</t>
  </si>
  <si>
    <t>A16</t>
  </si>
  <si>
    <t>A17</t>
  </si>
  <si>
    <t>A18</t>
  </si>
  <si>
    <t>A19</t>
  </si>
  <si>
    <t>A20</t>
  </si>
  <si>
    <t>Section G.i. Supplemental Score</t>
  </si>
  <si>
    <t>Annual dollar impact of pollution avoided</t>
  </si>
  <si>
    <t>Lifetime pollution benefit</t>
  </si>
  <si>
    <t>Additional Pollution Benefit (life of facility)</t>
  </si>
  <si>
    <t>Secondary Contact Email Address</t>
  </si>
  <si>
    <t>Secondary Contact Mailing Address</t>
  </si>
  <si>
    <t>Primary Contact's title or relationship to Applicant</t>
  </si>
  <si>
    <t>Primary Contact Phone Number</t>
  </si>
  <si>
    <t>Primary Contact Email Address</t>
  </si>
  <si>
    <t>Primary Contact Mailing Address</t>
  </si>
  <si>
    <t>Secondary Contact's title or relationship to Applicant</t>
  </si>
  <si>
    <t>Secondary Contact Phone Number</t>
  </si>
  <si>
    <t>Government Island</t>
  </si>
  <si>
    <t>Graeagle</t>
  </si>
  <si>
    <t xml:space="preserve">Granada Hills </t>
  </si>
  <si>
    <t>Grand Terrace</t>
  </si>
  <si>
    <t>Granite Bay</t>
  </si>
  <si>
    <t>Grass Valley</t>
  </si>
  <si>
    <t>Graton</t>
  </si>
  <si>
    <t>Green Valley</t>
  </si>
  <si>
    <t>Green Valley Lake</t>
  </si>
  <si>
    <t>Greenacres</t>
  </si>
  <si>
    <t xml:space="preserve">Greenbrae </t>
  </si>
  <si>
    <t>Greenfield</t>
  </si>
  <si>
    <t>Greenview</t>
  </si>
  <si>
    <t>Greenville</t>
  </si>
  <si>
    <t>Greenwood</t>
  </si>
  <si>
    <t>Grenada</t>
  </si>
  <si>
    <t>Gridley</t>
  </si>
  <si>
    <t>Grimes</t>
  </si>
  <si>
    <t>Grizzly Flats</t>
  </si>
  <si>
    <t>Groveland</t>
  </si>
  <si>
    <t>Grover Beach</t>
  </si>
  <si>
    <t>Guadalupe</t>
  </si>
  <si>
    <t>Gualala</t>
  </si>
  <si>
    <t>Guasti</t>
  </si>
  <si>
    <t>Guatay</t>
  </si>
  <si>
    <t>Guerneville</t>
  </si>
  <si>
    <t>Guinda</t>
  </si>
  <si>
    <t>Gustine</t>
  </si>
  <si>
    <t>Hacienda Heights</t>
  </si>
  <si>
    <t>Halcyon</t>
  </si>
  <si>
    <t>Half Moon Bay</t>
  </si>
  <si>
    <t>i.</t>
  </si>
  <si>
    <t>ii.</t>
  </si>
  <si>
    <t>iii.</t>
  </si>
  <si>
    <t>iv.</t>
  </si>
  <si>
    <t xml:space="preserve">Hamilton A.F.B. </t>
  </si>
  <si>
    <t>Hamilton City</t>
  </si>
  <si>
    <t>Hanford</t>
  </si>
  <si>
    <t>Happy Camp</t>
  </si>
  <si>
    <t xml:space="preserve">Harbor City </t>
  </si>
  <si>
    <t>Harmony</t>
  </si>
  <si>
    <t>Harris</t>
  </si>
  <si>
    <t>Hat Creek</t>
  </si>
  <si>
    <t>Hathaway Pines</t>
  </si>
  <si>
    <t>Havasu Lake</t>
  </si>
  <si>
    <t>Hawaiian Gardens</t>
  </si>
  <si>
    <t>Hawthorne</t>
  </si>
  <si>
    <t>Hayfork</t>
  </si>
  <si>
    <t>Hayward</t>
  </si>
  <si>
    <t>Hazard</t>
  </si>
  <si>
    <t>Healdsburg</t>
  </si>
  <si>
    <t>Heber</t>
  </si>
  <si>
    <t>Helena</t>
  </si>
  <si>
    <t>Helendale</t>
  </si>
  <si>
    <t>Helm</t>
  </si>
  <si>
    <t>Hemet</t>
  </si>
  <si>
    <t>Herald</t>
  </si>
  <si>
    <t>Hercules</t>
  </si>
  <si>
    <t>Herlong</t>
  </si>
  <si>
    <t>Hermosa Beach</t>
  </si>
  <si>
    <t>Herndon</t>
  </si>
  <si>
    <t>Hesperia</t>
  </si>
  <si>
    <t>Heyer</t>
  </si>
  <si>
    <t>Hickman</t>
  </si>
  <si>
    <t>Hidden Hills</t>
  </si>
  <si>
    <t>Highgrove</t>
  </si>
  <si>
    <t>Highland</t>
  </si>
  <si>
    <t xml:space="preserve">Highland Park </t>
  </si>
  <si>
    <t xml:space="preserve">Highway City </t>
  </si>
  <si>
    <t xml:space="preserve">Hillcrest </t>
  </si>
  <si>
    <t>Hillsborough</t>
  </si>
  <si>
    <t xml:space="preserve">Hillsdale </t>
  </si>
  <si>
    <t>Hilmar</t>
  </si>
  <si>
    <t>Hilt</t>
  </si>
  <si>
    <t>Hinkley</t>
  </si>
  <si>
    <t>Hobergs</t>
  </si>
  <si>
    <t>Hollister</t>
  </si>
  <si>
    <t>San Benito</t>
  </si>
  <si>
    <t xml:space="preserve">Hollywood </t>
  </si>
  <si>
    <t>Holmes</t>
  </si>
  <si>
    <t>Holt</t>
  </si>
  <si>
    <t>Holtville</t>
  </si>
  <si>
    <t>Holy City</t>
  </si>
  <si>
    <t>Homeland</t>
  </si>
  <si>
    <t>Homestead</t>
  </si>
  <si>
    <t>Homewood</t>
  </si>
  <si>
    <t>Honby</t>
  </si>
  <si>
    <t>Honeydew</t>
  </si>
  <si>
    <t>Hood</t>
  </si>
  <si>
    <t>Hoopa</t>
  </si>
  <si>
    <t xml:space="preserve">Hope Valley </t>
  </si>
  <si>
    <t>Hopland</t>
  </si>
  <si>
    <t>Hornbrook</t>
  </si>
  <si>
    <t>Hornitos</t>
  </si>
  <si>
    <t>Horse Creek</t>
  </si>
  <si>
    <t>Horse Lake</t>
  </si>
  <si>
    <t>Hughson</t>
  </si>
  <si>
    <t>Hume</t>
  </si>
  <si>
    <t>Huntington</t>
  </si>
  <si>
    <t>Huntington Beach</t>
  </si>
  <si>
    <t>Huntington Lake</t>
  </si>
  <si>
    <t>Huntington Park</t>
  </si>
  <si>
    <t>Huron</t>
  </si>
  <si>
    <t>Hyampom</t>
  </si>
  <si>
    <t xml:space="preserve">Hyde Park </t>
  </si>
  <si>
    <t>Hydesville</t>
  </si>
  <si>
    <t>Idria</t>
  </si>
  <si>
    <t>Idyllwild</t>
  </si>
  <si>
    <t xml:space="preserve">Ignacio </t>
  </si>
  <si>
    <t>Igo</t>
  </si>
  <si>
    <t xml:space="preserve">Imola </t>
  </si>
  <si>
    <t>Imperial Beach</t>
  </si>
  <si>
    <t>Independence</t>
  </si>
  <si>
    <t>Indian Wells</t>
  </si>
  <si>
    <t>Indio</t>
  </si>
  <si>
    <t>Industry</t>
  </si>
  <si>
    <t>Inglewood</t>
  </si>
  <si>
    <t>Inverness</t>
  </si>
  <si>
    <t>Inyokern</t>
  </si>
  <si>
    <t>Ione</t>
  </si>
  <si>
    <t>Iowa Hill</t>
  </si>
  <si>
    <t>Irvine</t>
  </si>
  <si>
    <t>Irwindale</t>
  </si>
  <si>
    <t>Isla Vista</t>
  </si>
  <si>
    <t>Island Mountain</t>
  </si>
  <si>
    <t>Isleton</t>
  </si>
  <si>
    <t>Ivanhoe</t>
  </si>
  <si>
    <t>Ivanpah</t>
  </si>
  <si>
    <t>Jackson</t>
  </si>
  <si>
    <t>Jacumba</t>
  </si>
  <si>
    <t>Jamacha</t>
  </si>
  <si>
    <t>Jamestown</t>
  </si>
  <si>
    <t>Jamul</t>
  </si>
  <si>
    <t>Janesville</t>
  </si>
  <si>
    <t>Jenner</t>
  </si>
  <si>
    <t>Johannesburg</t>
  </si>
  <si>
    <t>Johnsondale</t>
  </si>
  <si>
    <t>Johnstonville</t>
  </si>
  <si>
    <t>Johnstown</t>
  </si>
  <si>
    <t>Jolon</t>
  </si>
  <si>
    <t>Joshua Tree</t>
  </si>
  <si>
    <t>Julian</t>
  </si>
  <si>
    <t>Junction City</t>
  </si>
  <si>
    <t>June Lake</t>
  </si>
  <si>
    <t>Juniper</t>
  </si>
  <si>
    <t>Kagel Canyon</t>
  </si>
  <si>
    <t>Kaweah</t>
  </si>
  <si>
    <t>Keddie</t>
  </si>
  <si>
    <t>Keeler</t>
  </si>
  <si>
    <t>Keene</t>
  </si>
  <si>
    <t>Kelsey</t>
  </si>
  <si>
    <t>Kelseyville</t>
  </si>
  <si>
    <t>Kelso</t>
  </si>
  <si>
    <t>Kensington</t>
  </si>
  <si>
    <t>Kentfield</t>
  </si>
  <si>
    <t>Kenwood</t>
  </si>
  <si>
    <t>Kerman</t>
  </si>
  <si>
    <t>Kernville</t>
  </si>
  <si>
    <t>Keswick</t>
  </si>
  <si>
    <t>Kettleman City</t>
  </si>
  <si>
    <t>Keyes</t>
  </si>
  <si>
    <t>King City</t>
  </si>
  <si>
    <t>Kings Beach</t>
  </si>
  <si>
    <t>Kings Canyon National Park</t>
  </si>
  <si>
    <t>Kingsburg</t>
  </si>
  <si>
    <t xml:space="preserve">Annual Average Unemployment Information </t>
  </si>
  <si>
    <t>Source: EDD</t>
  </si>
  <si>
    <t>Kinyon</t>
  </si>
  <si>
    <t>Kirkwood</t>
  </si>
  <si>
    <t>Kit Carson</t>
  </si>
  <si>
    <t>Klamath</t>
  </si>
  <si>
    <t>Klamath River</t>
  </si>
  <si>
    <t>Kneeland</t>
  </si>
  <si>
    <t>Purpose</t>
  </si>
  <si>
    <t>Knights Ferry</t>
  </si>
  <si>
    <t>Knights Landing</t>
  </si>
  <si>
    <t>Project Scoring Worksheet</t>
  </si>
  <si>
    <t>Lists for Calculations</t>
  </si>
  <si>
    <t>Property tax rate</t>
  </si>
  <si>
    <t>Net improvement/unit</t>
  </si>
  <si>
    <t>Sales taxes</t>
  </si>
  <si>
    <t>Total Cost</t>
  </si>
  <si>
    <t>Total State and Local Revenues/GSP</t>
  </si>
  <si>
    <t>Total price of end of supply chain product</t>
  </si>
  <si>
    <t>Palo Alto</t>
  </si>
  <si>
    <t>Sunnyvale</t>
  </si>
  <si>
    <t>Final Score</t>
  </si>
  <si>
    <t>Sales price (per unit)</t>
  </si>
  <si>
    <t>Unemployment Score</t>
  </si>
  <si>
    <t>New Jobs Score</t>
  </si>
  <si>
    <t>Net Benefits and Final Score</t>
  </si>
  <si>
    <t>Total Cost/MWh</t>
  </si>
  <si>
    <t>Increased employee wages</t>
  </si>
  <si>
    <t>Input Values</t>
  </si>
  <si>
    <t>Cost/lb</t>
  </si>
  <si>
    <t>Pollution costs of Gallon of Gasoline</t>
  </si>
  <si>
    <t>Grams/gallon</t>
  </si>
  <si>
    <t>Lbs/Ton</t>
  </si>
  <si>
    <t>Grams/Ton</t>
  </si>
  <si>
    <t>US lb/MWh</t>
  </si>
  <si>
    <t>CA lb/MWh</t>
  </si>
  <si>
    <t>Cost/Gram</t>
  </si>
  <si>
    <t>Total Cost/GGE</t>
  </si>
  <si>
    <t>Lbs/gallon</t>
  </si>
  <si>
    <t>$/Gallon</t>
  </si>
  <si>
    <t>Fractional Component Contribution</t>
  </si>
  <si>
    <t>Other</t>
  </si>
  <si>
    <t>Net Benefits</t>
  </si>
  <si>
    <t>TOTAL</t>
  </si>
  <si>
    <t>Labor as % of Total Sales</t>
  </si>
  <si>
    <t>Capital to Sales Ratio</t>
  </si>
  <si>
    <t>Present Value of Marginal Sales</t>
  </si>
  <si>
    <t>Percent of Sales in California</t>
  </si>
  <si>
    <t>Pollutant</t>
  </si>
  <si>
    <t>CA</t>
  </si>
  <si>
    <t>US</t>
  </si>
  <si>
    <t>Cost/Ton</t>
  </si>
  <si>
    <t>SO2</t>
  </si>
  <si>
    <t>CO2</t>
  </si>
  <si>
    <t>Present Value of Multiplier Output</t>
  </si>
  <si>
    <t>Los Osos</t>
  </si>
  <si>
    <t>Los Padres</t>
  </si>
  <si>
    <t xml:space="preserve">Los Serranos </t>
  </si>
  <si>
    <t>Lost Hills</t>
  </si>
  <si>
    <t>Lost Lake</t>
  </si>
  <si>
    <t>Lotus</t>
  </si>
  <si>
    <t>Lower Lake</t>
  </si>
  <si>
    <t>Loyalton</t>
  </si>
  <si>
    <t>Lucerne</t>
  </si>
  <si>
    <t>Lucerne Valley</t>
  </si>
  <si>
    <t>Lucia</t>
  </si>
  <si>
    <t>Ludlow</t>
  </si>
  <si>
    <t>Lugo</t>
  </si>
  <si>
    <t>Lynwood</t>
  </si>
  <si>
    <t>Lytle Creek</t>
  </si>
  <si>
    <t>Macdoel</t>
  </si>
  <si>
    <t>Maclay</t>
  </si>
  <si>
    <t>Mad River</t>
  </si>
  <si>
    <t>Madeline</t>
  </si>
  <si>
    <t>Madison</t>
  </si>
  <si>
    <t>Magalia</t>
  </si>
  <si>
    <t>Malaga</t>
  </si>
  <si>
    <t>Malibu</t>
  </si>
  <si>
    <t>Mammoth Lakes</t>
  </si>
  <si>
    <t>Manhattan Beach</t>
  </si>
  <si>
    <t>Manteca</t>
  </si>
  <si>
    <t>Manton</t>
  </si>
  <si>
    <t>Manzanita Lake</t>
  </si>
  <si>
    <t>Mar Vista</t>
  </si>
  <si>
    <t>Marcelina</t>
  </si>
  <si>
    <t>March A.F.B.</t>
  </si>
  <si>
    <t xml:space="preserve">Mare Island </t>
  </si>
  <si>
    <t>Maricopa</t>
  </si>
  <si>
    <t>Marin City</t>
  </si>
  <si>
    <t>Marina</t>
  </si>
  <si>
    <t>Marina Del Rey</t>
  </si>
  <si>
    <t xml:space="preserve">Marine Corps </t>
  </si>
  <si>
    <t>Mariner</t>
  </si>
  <si>
    <t>Markleeville</t>
  </si>
  <si>
    <t>Marsh Manor</t>
  </si>
  <si>
    <t>Marshall</t>
  </si>
  <si>
    <t>Martell</t>
  </si>
  <si>
    <t>Martinez</t>
  </si>
  <si>
    <t>Marysville</t>
  </si>
  <si>
    <t xml:space="preserve">Mather </t>
  </si>
  <si>
    <t>Mather</t>
  </si>
  <si>
    <t>Maxwell</t>
  </si>
  <si>
    <t>Maywood</t>
  </si>
  <si>
    <t>McArthur</t>
  </si>
  <si>
    <t xml:space="preserve">McClellan </t>
  </si>
  <si>
    <t>McCloud</t>
  </si>
  <si>
    <t>McFarland</t>
  </si>
  <si>
    <t>McKinleyville</t>
  </si>
  <si>
    <t>McKittrick</t>
  </si>
  <si>
    <t>Mead Valley</t>
  </si>
  <si>
    <t>Meadow Valley</t>
  </si>
  <si>
    <t>Meadow Vista</t>
  </si>
  <si>
    <t>Meadowbrook</t>
  </si>
  <si>
    <t>Mecca</t>
  </si>
  <si>
    <t>Meeks Bay</t>
  </si>
  <si>
    <t>Meiners Oaks</t>
  </si>
  <si>
    <t>Mendota</t>
  </si>
  <si>
    <t>Menifee</t>
  </si>
  <si>
    <t>Menlo Park</t>
  </si>
  <si>
    <t>Mentone</t>
  </si>
  <si>
    <t>Meridian</t>
  </si>
  <si>
    <t>Mettler</t>
  </si>
  <si>
    <t>Meyers</t>
  </si>
  <si>
    <t>Middletown</t>
  </si>
  <si>
    <t>Midland</t>
  </si>
  <si>
    <t>Midpines</t>
  </si>
  <si>
    <t>Midway City</t>
  </si>
  <si>
    <t>Milford</t>
  </si>
  <si>
    <t>Mill Creek</t>
  </si>
  <si>
    <r>
      <t>Projected per unit sales price in dollars.</t>
    </r>
    <r>
      <rPr>
        <b/>
        <sz val="11"/>
        <rFont val="Arial"/>
        <family val="2"/>
      </rPr>
      <t xml:space="preserve"> </t>
    </r>
    <r>
      <rPr>
        <sz val="10"/>
        <rFont val="Arial"/>
        <family val="2"/>
      </rPr>
      <t xml:space="preserve">
Enter the average sales price of just the product/component you are producing here. If multiple products are produced, enter the average across all products here. </t>
    </r>
  </si>
  <si>
    <r>
      <t>Per unit production-related purchases from suppliers, assuming Qualified Property is utilized/installed, in dollars.</t>
    </r>
    <r>
      <rPr>
        <sz val="10"/>
        <rFont val="Arial"/>
        <family val="2"/>
      </rPr>
      <t xml:space="preserve"> Include cost of materials, parts, containers, packaging, energy consumed, and products bought and sold without further processing.</t>
    </r>
    <r>
      <rPr>
        <sz val="10"/>
        <rFont val="Arial"/>
        <family val="0"/>
      </rPr>
      <t xml:space="preserve"> If multiple products are produced, enter the average across all products here. Entry should reflect average value over Estimated Useful Lifespan of Qualified Property. This information is used to calculate the value added by the Applicant. </t>
    </r>
  </si>
  <si>
    <r>
      <t>Projected per unit labor costs, assuming Qualified Property is utilized</t>
    </r>
    <r>
      <rPr>
        <b/>
        <sz val="11"/>
        <rFont val="Arial"/>
        <family val="2"/>
      </rPr>
      <t>.</t>
    </r>
    <r>
      <rPr>
        <sz val="10"/>
        <rFont val="Arial"/>
        <family val="0"/>
      </rPr>
      <t xml:space="preserve"> Include total per unit salary costs. Do not include payroll taxes, fringe benefits, or other non-salary costs. Entry should reflect average value over Estimated Useful Lifespan of Qualified Property. </t>
    </r>
  </si>
  <si>
    <r>
      <t>Energy use.</t>
    </r>
    <r>
      <rPr>
        <i/>
        <sz val="10"/>
        <rFont val="Arial"/>
        <family val="2"/>
      </rPr>
      <t xml:space="preserve"> </t>
    </r>
    <r>
      <rPr>
        <sz val="10"/>
        <rFont val="Arial"/>
        <family val="2"/>
      </rPr>
      <t xml:space="preserve">
Enter the percent improvement and a brief narrative description of decreased energy use of the Applicant's manufacturing process relative to comparable production processes for like products. Attach additional supporting documentation.</t>
    </r>
  </si>
  <si>
    <t xml:space="preserve">Explanation of Input Values and Assumptions </t>
  </si>
  <si>
    <r>
      <t xml:space="preserve">Additional environmental benefit description. </t>
    </r>
    <r>
      <rPr>
        <sz val="10"/>
        <rFont val="Arial"/>
        <family val="2"/>
      </rPr>
      <t xml:space="preserve">
Enter a narrative description of the additional environmental benefits from product use that are </t>
    </r>
    <r>
      <rPr>
        <i/>
        <sz val="10"/>
        <color indexed="10"/>
        <rFont val="Arial"/>
        <family val="2"/>
      </rPr>
      <t xml:space="preserve">unrelated to the generation of additional electricity, production of additional alternative source fuels, reduction in energy use, or increase in efficiency. </t>
    </r>
  </si>
  <si>
    <r>
      <t>Weighted average Estimated Useful Lifespan of Qualified Property, in years.</t>
    </r>
    <r>
      <rPr>
        <b/>
        <sz val="11"/>
        <rFont val="Arial"/>
        <family val="2"/>
      </rPr>
      <t xml:space="preserve"> </t>
    </r>
    <r>
      <rPr>
        <sz val="10"/>
        <rFont val="Arial"/>
        <family val="0"/>
      </rPr>
      <t xml:space="preserve">Calculate the weighted average estimated useful lifespan of Qualified Property purchases in the worksheet tab labeled "Qualified Property List" and enter the value here. </t>
    </r>
  </si>
  <si>
    <r>
      <t>Estimated percent of total product sales in California.</t>
    </r>
    <r>
      <rPr>
        <i/>
        <sz val="10"/>
        <rFont val="Arial"/>
        <family val="2"/>
      </rPr>
      <t xml:space="preserve">
</t>
    </r>
    <r>
      <rPr>
        <sz val="10"/>
        <rFont val="Arial"/>
        <family val="2"/>
      </rPr>
      <t xml:space="preserve">Enter the estimated percent of total sales to California customers. Value should be calculated over the Estimated Useful Lifespan of the Qualified Property. </t>
    </r>
  </si>
  <si>
    <t>Mill Valley</t>
  </si>
  <si>
    <t>Millbrae</t>
  </si>
  <si>
    <t>Millville</t>
  </si>
  <si>
    <t>Milpitas</t>
  </si>
  <si>
    <t>Mineral</t>
  </si>
  <si>
    <t>Mineral King</t>
  </si>
  <si>
    <t>Mint Canyon</t>
  </si>
  <si>
    <t>Mira Loma</t>
  </si>
  <si>
    <t>Mira Vista</t>
  </si>
  <si>
    <t>Miracle Hot Springs</t>
  </si>
  <si>
    <t>Total Capital</t>
  </si>
  <si>
    <t xml:space="preserve">Miramar </t>
  </si>
  <si>
    <t>Miramonte</t>
  </si>
  <si>
    <t>Miranda</t>
  </si>
  <si>
    <t xml:space="preserve">Mission Hills </t>
  </si>
  <si>
    <t>Mission Viejo</t>
  </si>
  <si>
    <t>Mi-Wuk Village</t>
  </si>
  <si>
    <t>Moccasin</t>
  </si>
  <si>
    <t>Modesto</t>
  </si>
  <si>
    <t>Moffett Field</t>
  </si>
  <si>
    <t>Mojave</t>
  </si>
  <si>
    <t>Mokelumne Hill</t>
  </si>
  <si>
    <t xml:space="preserve">Monarch Beach </t>
  </si>
  <si>
    <t>Moneta</t>
  </si>
  <si>
    <t>Mono Hot Springs</t>
  </si>
  <si>
    <t>Mono Lake</t>
  </si>
  <si>
    <t>Monolith</t>
  </si>
  <si>
    <t>Monrovia</t>
  </si>
  <si>
    <t>Monta Vista</t>
  </si>
  <si>
    <t>Montague</t>
  </si>
  <si>
    <t xml:space="preserve">Montalvo </t>
  </si>
  <si>
    <t>Montara</t>
  </si>
  <si>
    <t>Montclair</t>
  </si>
  <si>
    <t>Monte Rio</t>
  </si>
  <si>
    <t>Monte Sereno</t>
  </si>
  <si>
    <t>Montebello</t>
  </si>
  <si>
    <t>Montecito</t>
  </si>
  <si>
    <t>Monterey Bay Academy</t>
  </si>
  <si>
    <t>Monterey Park</t>
  </si>
  <si>
    <t>Montgomery Creek</t>
  </si>
  <si>
    <t>Montrose</t>
  </si>
  <si>
    <t>Mooney</t>
  </si>
  <si>
    <t>Moonridge</t>
  </si>
  <si>
    <t>Moorpark</t>
  </si>
  <si>
    <t>Moraga</t>
  </si>
  <si>
    <t>Moreno Valley</t>
  </si>
  <si>
    <t>Morgan Hill</t>
  </si>
  <si>
    <t>Morongo Valley</t>
  </si>
  <si>
    <t>Morro Bay</t>
  </si>
  <si>
    <t>Morro Plaza</t>
  </si>
  <si>
    <t>Moss Beach</t>
  </si>
  <si>
    <t>Moss Landing</t>
  </si>
  <si>
    <t>Mount Hamilton</t>
  </si>
  <si>
    <t>Mount Hebron</t>
  </si>
  <si>
    <t>Mount Hermon</t>
  </si>
  <si>
    <t>Mount Laguna</t>
  </si>
  <si>
    <t>Mount Shasta</t>
  </si>
  <si>
    <t>Mount Wilson</t>
  </si>
  <si>
    <t>Mountain Center</t>
  </si>
  <si>
    <t>Mountain Mesa</t>
  </si>
  <si>
    <t>Mountain Pass</t>
  </si>
  <si>
    <t>Mountain Ranch</t>
  </si>
  <si>
    <t>Mountain View</t>
  </si>
  <si>
    <t>Mt. Aukum</t>
  </si>
  <si>
    <t>Mt. Baldy</t>
  </si>
  <si>
    <t>Murphys</t>
  </si>
  <si>
    <t>Murrieta</t>
  </si>
  <si>
    <t>Muscoy</t>
  </si>
  <si>
    <t>Myers Flat</t>
  </si>
  <si>
    <t>Naples</t>
  </si>
  <si>
    <t>Nashville</t>
  </si>
  <si>
    <t>National City</t>
  </si>
  <si>
    <t xml:space="preserve">Naval </t>
  </si>
  <si>
    <t xml:space="preserve">Naval Air Station </t>
  </si>
  <si>
    <t>Naval Air Station</t>
  </si>
  <si>
    <t xml:space="preserve">Naval Hospital </t>
  </si>
  <si>
    <t xml:space="preserve">Naval Supply Center </t>
  </si>
  <si>
    <t xml:space="preserve">Naval Training Center </t>
  </si>
  <si>
    <t>Navarro</t>
  </si>
  <si>
    <t>Needles</t>
  </si>
  <si>
    <t>Nelson</t>
  </si>
  <si>
    <t>Nevada City</t>
  </si>
  <si>
    <t>New Almaden</t>
  </si>
  <si>
    <t>New Cuyama</t>
  </si>
  <si>
    <t>New Idria</t>
  </si>
  <si>
    <t>Newark</t>
  </si>
  <si>
    <t>Newberry</t>
  </si>
  <si>
    <t>Newberry Springs</t>
  </si>
  <si>
    <t xml:space="preserve">Newbury Park </t>
  </si>
  <si>
    <t>Newcastle</t>
  </si>
  <si>
    <t xml:space="preserve">Newhall </t>
  </si>
  <si>
    <t>Newman</t>
  </si>
  <si>
    <t>Newport Beach</t>
  </si>
  <si>
    <t>Nicasio</t>
  </si>
  <si>
    <t>Nice</t>
  </si>
  <si>
    <t>Nicolaus</t>
  </si>
  <si>
    <t>IFB</t>
  </si>
  <si>
    <t>Indirect Fiscal Benefit</t>
  </si>
  <si>
    <t>Sub-total Direct Fiscal Benefit</t>
  </si>
  <si>
    <t>DFB</t>
  </si>
  <si>
    <t>Total Fiscal Benefit</t>
  </si>
  <si>
    <t>TFB</t>
  </si>
  <si>
    <t>STR</t>
  </si>
  <si>
    <t>POSCA</t>
  </si>
  <si>
    <t>VA</t>
  </si>
  <si>
    <t>PVMIS</t>
  </si>
  <si>
    <t>SIR</t>
  </si>
  <si>
    <t>PTR</t>
  </si>
  <si>
    <t>$Unit</t>
  </si>
  <si>
    <t>POT</t>
  </si>
  <si>
    <t>FCC</t>
  </si>
  <si>
    <t>Discount_rate</t>
  </si>
  <si>
    <t>$GGE</t>
  </si>
  <si>
    <t>$MWh</t>
  </si>
  <si>
    <t>NI</t>
  </si>
  <si>
    <t>LPB</t>
  </si>
  <si>
    <t>TPB</t>
  </si>
  <si>
    <t>Marginal increase in units</t>
  </si>
  <si>
    <t>Emerging Green Industry Score</t>
  </si>
  <si>
    <t>Total construction FTEs</t>
  </si>
  <si>
    <t>Annual out of state pollution benefit/unit</t>
  </si>
  <si>
    <t>Annual out of state pollution cost/unit</t>
  </si>
  <si>
    <t>$OSM</t>
  </si>
  <si>
    <t>$OSG</t>
  </si>
  <si>
    <t>$ pollution cost of pound of out-of-state SO2</t>
  </si>
  <si>
    <t>$ pollution cost of pound of out-of-state NOx</t>
  </si>
  <si>
    <t>Applicants may be asked to provide additional supporting information, including business plans, pro forma financial statements or other comparable documents used for the purpose of soliciting investors to verify responses contained in the Application.</t>
  </si>
  <si>
    <t>Acronym</t>
  </si>
  <si>
    <t>Niland</t>
  </si>
  <si>
    <t>Nipomo</t>
  </si>
  <si>
    <t>Nipton</t>
  </si>
  <si>
    <t>Norco</t>
  </si>
  <si>
    <t>Norden</t>
  </si>
  <si>
    <t>North Edwards</t>
  </si>
  <si>
    <t>North Fork</t>
  </si>
  <si>
    <t>North Gardena</t>
  </si>
  <si>
    <t>North Highlands</t>
  </si>
  <si>
    <t xml:space="preserve">North Hills </t>
  </si>
  <si>
    <t xml:space="preserve">North Hollywood </t>
  </si>
  <si>
    <t>North Palm Springs</t>
  </si>
  <si>
    <t>North San Juan</t>
  </si>
  <si>
    <t>North Shore</t>
  </si>
  <si>
    <t xml:space="preserve">Northridge </t>
  </si>
  <si>
    <t>Norton A.F.B.</t>
  </si>
  <si>
    <t>Norwalk</t>
  </si>
  <si>
    <t>Novato</t>
  </si>
  <si>
    <t>Nubieber</t>
  </si>
  <si>
    <t>Nuevo</t>
  </si>
  <si>
    <t>Nyeland Acres</t>
  </si>
  <si>
    <t>Oak Park</t>
  </si>
  <si>
    <t>Oak Run</t>
  </si>
  <si>
    <t>Oak View</t>
  </si>
  <si>
    <t>Oakdale</t>
  </si>
  <si>
    <t>Oakhurst</t>
  </si>
  <si>
    <t>Oakland</t>
  </si>
  <si>
    <t>Oakley</t>
  </si>
  <si>
    <t>Oakville</t>
  </si>
  <si>
    <t>Oasis</t>
  </si>
  <si>
    <t>Oban</t>
  </si>
  <si>
    <t>O'Brien</t>
  </si>
  <si>
    <t>Occidental</t>
  </si>
  <si>
    <t>Oceano</t>
  </si>
  <si>
    <t>Oceanside</t>
  </si>
  <si>
    <t>Ocotillo</t>
  </si>
  <si>
    <t>Ocotillo Wells</t>
  </si>
  <si>
    <t>Oildale</t>
  </si>
  <si>
    <t>Ojai</t>
  </si>
  <si>
    <t>Olancha</t>
  </si>
  <si>
    <t>Old Station</t>
  </si>
  <si>
    <t>Olema</t>
  </si>
  <si>
    <t>Olinda</t>
  </si>
  <si>
    <t xml:space="preserve">Olive View </t>
  </si>
  <si>
    <t>Olivehurst</t>
  </si>
  <si>
    <t xml:space="preserve">Olivenhain </t>
  </si>
  <si>
    <t>Olympic Valley</t>
  </si>
  <si>
    <t>Omo Ranch</t>
  </si>
  <si>
    <t>O'Neals</t>
  </si>
  <si>
    <t>Ono</t>
  </si>
  <si>
    <t>Ontario</t>
  </si>
  <si>
    <t>Onyx</t>
  </si>
  <si>
    <t>Opal Cliffs</t>
  </si>
  <si>
    <t>Orange Cove</t>
  </si>
  <si>
    <t>Orangevale</t>
  </si>
  <si>
    <t>Orcutt</t>
  </si>
  <si>
    <t>Ordbend</t>
  </si>
  <si>
    <t>Oregon House</t>
  </si>
  <si>
    <t>Orick</t>
  </si>
  <si>
    <t>Orinda</t>
  </si>
  <si>
    <t>Orland</t>
  </si>
  <si>
    <t>Orleans</t>
  </si>
  <si>
    <t>Oro Grande</t>
  </si>
  <si>
    <t>Orosi</t>
  </si>
  <si>
    <t>Oroville</t>
  </si>
  <si>
    <t xml:space="preserve">Otay </t>
  </si>
  <si>
    <t>Oxnard</t>
  </si>
  <si>
    <t>Pacheco</t>
  </si>
  <si>
    <t>Pacific Grove</t>
  </si>
  <si>
    <t>Pacific House</t>
  </si>
  <si>
    <t>Pacific Palisades</t>
  </si>
  <si>
    <t>Pacifica</t>
  </si>
  <si>
    <t xml:space="preserve">Pacoima </t>
  </si>
  <si>
    <t>Paicines</t>
  </si>
  <si>
    <t>Pajaro</t>
  </si>
  <si>
    <t>Pala</t>
  </si>
  <si>
    <t>Palermo</t>
  </si>
  <si>
    <t>Pallett</t>
  </si>
  <si>
    <t xml:space="preserve">Palm City </t>
  </si>
  <si>
    <t>Palm City</t>
  </si>
  <si>
    <t>Palm Desert</t>
  </si>
  <si>
    <t>Palm Springs</t>
  </si>
  <si>
    <t>Palmdale</t>
  </si>
  <si>
    <t>Palo Cedro</t>
  </si>
  <si>
    <t>Palo Verde</t>
  </si>
  <si>
    <t>Palomar Mountain</t>
  </si>
  <si>
    <t>Palos Verdes Estates</t>
  </si>
  <si>
    <t>College Grove Center</t>
  </si>
  <si>
    <t>Colma</t>
  </si>
  <si>
    <t>Coloma</t>
  </si>
  <si>
    <t>Colorado</t>
  </si>
  <si>
    <t>Colton</t>
  </si>
  <si>
    <t>Columbia</t>
  </si>
  <si>
    <t>Commerce</t>
  </si>
  <si>
    <t>Comptche</t>
  </si>
  <si>
    <t>Compton</t>
  </si>
  <si>
    <t>Concord</t>
  </si>
  <si>
    <t>Cool</t>
  </si>
  <si>
    <t>Copperopolis</t>
  </si>
  <si>
    <t>Corcoran</t>
  </si>
  <si>
    <t>Cornell</t>
  </si>
  <si>
    <t>Corning</t>
  </si>
  <si>
    <t>Tehama</t>
  </si>
  <si>
    <t>Corona</t>
  </si>
  <si>
    <t>Corona Del Mar</t>
  </si>
  <si>
    <t>Coronado</t>
  </si>
  <si>
    <t>Corralitos</t>
  </si>
  <si>
    <t>Corte Madera</t>
  </si>
  <si>
    <t>Coso Junction</t>
  </si>
  <si>
    <t>Costa Mesa</t>
  </si>
  <si>
    <t>Cotati</t>
  </si>
  <si>
    <t>Cottonwood</t>
  </si>
  <si>
    <t>Coulterville</t>
  </si>
  <si>
    <t>Courtland</t>
  </si>
  <si>
    <t>Covelo</t>
  </si>
  <si>
    <t>Covina</t>
  </si>
  <si>
    <t>Cowan Heights</t>
  </si>
  <si>
    <t>Coyote</t>
  </si>
  <si>
    <t>Crannell</t>
  </si>
  <si>
    <t>Crenshaw</t>
  </si>
  <si>
    <t>Crescent City</t>
  </si>
  <si>
    <t>Del Norte</t>
  </si>
  <si>
    <t>Crescent Mills</t>
  </si>
  <si>
    <t>Cressey</t>
  </si>
  <si>
    <t>Crest Park</t>
  </si>
  <si>
    <t>Cresta Blanca</t>
  </si>
  <si>
    <t>Crestline</t>
  </si>
  <si>
    <t>Creston</t>
  </si>
  <si>
    <t>Crockett</t>
  </si>
  <si>
    <t>Cromberg</t>
  </si>
  <si>
    <t>Cross Roads</t>
  </si>
  <si>
    <t>Crowley Lake</t>
  </si>
  <si>
    <t>Crows Landing</t>
  </si>
  <si>
    <t>Cucamonga</t>
  </si>
  <si>
    <t>Cudahy</t>
  </si>
  <si>
    <t>Culver City</t>
  </si>
  <si>
    <t>Cummings</t>
  </si>
  <si>
    <t>Cupertino</t>
  </si>
  <si>
    <t>Curry Village</t>
  </si>
  <si>
    <t>Cutler</t>
  </si>
  <si>
    <t>Cutten</t>
  </si>
  <si>
    <t>Cuyama</t>
  </si>
  <si>
    <t>Cypress</t>
  </si>
  <si>
    <t xml:space="preserve">Orange </t>
  </si>
  <si>
    <t>Daggett</t>
  </si>
  <si>
    <t>Dairy Farm</t>
  </si>
  <si>
    <t>Daly City</t>
  </si>
  <si>
    <t>Dana Point</t>
  </si>
  <si>
    <t>Danville</t>
  </si>
  <si>
    <t>Dardanelle</t>
  </si>
  <si>
    <t>Darwin</t>
  </si>
  <si>
    <t>Davenport</t>
  </si>
  <si>
    <t>Davis</t>
  </si>
  <si>
    <t>Davis Creek</t>
  </si>
  <si>
    <t>Death Valley</t>
  </si>
  <si>
    <t>Death Valley Junction</t>
  </si>
  <si>
    <t>Deer Park</t>
  </si>
  <si>
    <t>Del Kern</t>
  </si>
  <si>
    <t>Del Mar</t>
  </si>
  <si>
    <t>Del Mar Heights</t>
  </si>
  <si>
    <t xml:space="preserve">Del Monte Park </t>
  </si>
  <si>
    <t>Del Rey</t>
  </si>
  <si>
    <t>Del Rey Oaks</t>
  </si>
  <si>
    <t>Del Rosa</t>
  </si>
  <si>
    <t>Del Sur</t>
  </si>
  <si>
    <t>Delano</t>
  </si>
  <si>
    <t>Deleven</t>
  </si>
  <si>
    <t>Delhi</t>
  </si>
  <si>
    <t>Denair</t>
  </si>
  <si>
    <t>Denny</t>
  </si>
  <si>
    <t>Descanso</t>
  </si>
  <si>
    <t>Desert Center</t>
  </si>
  <si>
    <t>Desert Hot Springs</t>
  </si>
  <si>
    <t>Di Giorgio</t>
  </si>
  <si>
    <t>Diablo</t>
  </si>
  <si>
    <t>Diamond Bar</t>
  </si>
  <si>
    <t>Diamond Springs</t>
  </si>
  <si>
    <t>Dillon Beach</t>
  </si>
  <si>
    <t>Dinkey Creek</t>
  </si>
  <si>
    <t>Dinuba</t>
  </si>
  <si>
    <t>Discovery Bay</t>
  </si>
  <si>
    <t>Dixon</t>
  </si>
  <si>
    <t>Dobbins</t>
  </si>
  <si>
    <t>Dogtown</t>
  </si>
  <si>
    <t>Dollar Ranch</t>
  </si>
  <si>
    <t>Dorris</t>
  </si>
  <si>
    <t>Dos Palos</t>
  </si>
  <si>
    <t>Dos Rios</t>
  </si>
  <si>
    <t>Douglas City</t>
  </si>
  <si>
    <t>Douglas Flat</t>
  </si>
  <si>
    <t>Downey</t>
  </si>
  <si>
    <t>Downieville</t>
  </si>
  <si>
    <t>Doyle</t>
  </si>
  <si>
    <t>Drytown</t>
  </si>
  <si>
    <t>Duarte</t>
  </si>
  <si>
    <t>Dublin</t>
  </si>
  <si>
    <t>Ducor</t>
  </si>
  <si>
    <t>Dulzura</t>
  </si>
  <si>
    <t>Duncans Mills</t>
  </si>
  <si>
    <t>Dunlap</t>
  </si>
  <si>
    <t>Dunnigan</t>
  </si>
  <si>
    <t>Dunsmuir</t>
  </si>
  <si>
    <t>Durham</t>
  </si>
  <si>
    <t>Dutch Flat</t>
  </si>
  <si>
    <t>Eagle Mountain</t>
  </si>
  <si>
    <t xml:space="preserve">Eagle Rock </t>
  </si>
  <si>
    <t>Eagleville</t>
  </si>
  <si>
    <t>Earlimart</t>
  </si>
  <si>
    <t>Earp</t>
  </si>
  <si>
    <t xml:space="preserve">East Highlands </t>
  </si>
  <si>
    <t>East Irvine</t>
  </si>
  <si>
    <t>East Los Angeles</t>
  </si>
  <si>
    <t>East Lynwood</t>
  </si>
  <si>
    <t>East Nicolaus</t>
  </si>
  <si>
    <t>Sutter</t>
  </si>
  <si>
    <t>East Palo Alto</t>
  </si>
  <si>
    <t>East Porterville</t>
  </si>
  <si>
    <t>East Rancho Dominguez</t>
  </si>
  <si>
    <t>East San Pedro</t>
  </si>
  <si>
    <t>Eastgate</t>
  </si>
  <si>
    <t>Easton</t>
  </si>
  <si>
    <t>Eastside</t>
  </si>
  <si>
    <t>Echo Lake</t>
  </si>
  <si>
    <t xml:space="preserve">Echo Park </t>
  </si>
  <si>
    <t xml:space="preserve">Edgemont </t>
  </si>
  <si>
    <t>Edgewood</t>
  </si>
  <si>
    <t>Edison</t>
  </si>
  <si>
    <t>Edwards</t>
  </si>
  <si>
    <t>Edwards A.F.B.</t>
  </si>
  <si>
    <t>El Cajon</t>
  </si>
  <si>
    <t>El Centro</t>
  </si>
  <si>
    <t>El Cerrito</t>
  </si>
  <si>
    <t>El Dorado Hills</t>
  </si>
  <si>
    <t>El Granada</t>
  </si>
  <si>
    <t>El Macero</t>
  </si>
  <si>
    <t>El Modena</t>
  </si>
  <si>
    <t>El Monte</t>
  </si>
  <si>
    <t>El Nido</t>
  </si>
  <si>
    <t>El Portal</t>
  </si>
  <si>
    <t>El Segundo</t>
  </si>
  <si>
    <t>El Sobrante</t>
  </si>
  <si>
    <t>El Toro</t>
  </si>
  <si>
    <t>El Toro M.C.A.S.</t>
  </si>
  <si>
    <t>El Verano</t>
  </si>
  <si>
    <t>El Viejo</t>
  </si>
  <si>
    <t>Eldridge</t>
  </si>
  <si>
    <t>Elizabeth Lake</t>
  </si>
  <si>
    <t>Elk</t>
  </si>
  <si>
    <t>Elk Creek</t>
  </si>
  <si>
    <t>Elk Grove</t>
  </si>
  <si>
    <t>Elmira</t>
  </si>
  <si>
    <t>Elmwood</t>
  </si>
  <si>
    <t>Elverta</t>
  </si>
  <si>
    <t>Emerald Hills</t>
  </si>
  <si>
    <t>Emeryville</t>
  </si>
  <si>
    <t>Emigrant Gap</t>
  </si>
  <si>
    <t>Empire</t>
  </si>
  <si>
    <t>Encinitas</t>
  </si>
  <si>
    <t xml:space="preserve">Encino </t>
  </si>
  <si>
    <t>Enterprise</t>
  </si>
  <si>
    <t>Escalon</t>
  </si>
  <si>
    <t>Escondido</t>
  </si>
  <si>
    <t>Esparto</t>
  </si>
  <si>
    <t>Essex</t>
  </si>
  <si>
    <t xml:space="preserve">Etiwanda </t>
  </si>
  <si>
    <t>Etna</t>
  </si>
  <si>
    <t>Ettersburg</t>
  </si>
  <si>
    <t>Eureka</t>
  </si>
  <si>
    <t>Exeter</t>
  </si>
  <si>
    <t xml:space="preserve">Fair Oaks </t>
  </si>
  <si>
    <t>Fairfax</t>
  </si>
  <si>
    <t>Fairfield</t>
  </si>
  <si>
    <t>Fairmount</t>
  </si>
  <si>
    <t>Fall River Mills</t>
  </si>
  <si>
    <t xml:space="preserve">Fallbrook </t>
  </si>
  <si>
    <t>Fallbrook Junction</t>
  </si>
  <si>
    <t>Fallen Leaf</t>
  </si>
  <si>
    <t>Fallon</t>
  </si>
  <si>
    <t>Fancher</t>
  </si>
  <si>
    <t>Farmersville</t>
  </si>
  <si>
    <t>Farmington</t>
  </si>
  <si>
    <t>Fawnskin</t>
  </si>
  <si>
    <t>Feather Falls</t>
  </si>
  <si>
    <t>Fellows</t>
  </si>
  <si>
    <t>Felton</t>
  </si>
  <si>
    <t>Fenner</t>
  </si>
  <si>
    <t xml:space="preserve">Fernbridge </t>
  </si>
  <si>
    <t>Ferndale</t>
  </si>
  <si>
    <t>Fiddletown</t>
  </si>
  <si>
    <t>Fields Landing</t>
  </si>
  <si>
    <t>Fig Garden Village</t>
  </si>
  <si>
    <t>Fillmore</t>
  </si>
  <si>
    <t>Finley</t>
  </si>
  <si>
    <t>Firebaugh</t>
  </si>
  <si>
    <t>Fish Camp</t>
  </si>
  <si>
    <t>Five Points</t>
  </si>
  <si>
    <t>Flinn Springs</t>
  </si>
  <si>
    <t xml:space="preserve">Flintridge </t>
  </si>
  <si>
    <t>Florence</t>
  </si>
  <si>
    <t>Floriston</t>
  </si>
  <si>
    <t>Flournoy</t>
  </si>
  <si>
    <t>Folsom</t>
  </si>
  <si>
    <t>Fontana</t>
  </si>
  <si>
    <t>Foothill Ranch</t>
  </si>
  <si>
    <t>Forbestown</t>
  </si>
  <si>
    <t>Forest Falls</t>
  </si>
  <si>
    <t>Forest Glen</t>
  </si>
  <si>
    <t>Forest Knolls</t>
  </si>
  <si>
    <t>Forest Park</t>
  </si>
  <si>
    <t>Forest Ranch</t>
  </si>
  <si>
    <t>Foresthill</t>
  </si>
  <si>
    <t>Forestville</t>
  </si>
  <si>
    <t>Forks of Salmon</t>
  </si>
  <si>
    <t>Fort Bidwell</t>
  </si>
  <si>
    <t>Fort Bragg</t>
  </si>
  <si>
    <t>Fort Dick</t>
  </si>
  <si>
    <t>Fort Irwin</t>
  </si>
  <si>
    <t>Fort Jones</t>
  </si>
  <si>
    <t xml:space="preserve">Fort Ord </t>
  </si>
  <si>
    <t>Fort Seward</t>
  </si>
  <si>
    <t>Fortuna</t>
  </si>
  <si>
    <t>Foster City</t>
  </si>
  <si>
    <t>Fountain Valley</t>
  </si>
  <si>
    <t>Fowler</t>
  </si>
  <si>
    <t>Frazier Park</t>
  </si>
  <si>
    <t>Freedom</t>
  </si>
  <si>
    <t>Freeport</t>
  </si>
  <si>
    <t>Freestone</t>
  </si>
  <si>
    <t>French Camp</t>
  </si>
  <si>
    <t>French Gulch</t>
  </si>
  <si>
    <t>Freshwater</t>
  </si>
  <si>
    <t>Friant</t>
  </si>
  <si>
    <t xml:space="preserve">Friendly Valley </t>
  </si>
  <si>
    <t>Frontera</t>
  </si>
  <si>
    <t>Fullerton</t>
  </si>
  <si>
    <t>Fulton</t>
  </si>
  <si>
    <t>Galt</t>
  </si>
  <si>
    <t xml:space="preserve">→ Go to "Environmental Benefits Info" tab </t>
  </si>
  <si>
    <t xml:space="preserve">→ Go to "Supplemental Information" tab </t>
  </si>
  <si>
    <t xml:space="preserve">→ Go to "Qualified Property List" tab </t>
  </si>
  <si>
    <t>Unnecessary sections will be grayed out after you fill in Box F1 and the applicable section will have "Selected" in the blue header.</t>
  </si>
  <si>
    <r>
      <t xml:space="preserve">Instructions: </t>
    </r>
    <r>
      <rPr>
        <sz val="12"/>
        <rFont val="Arial"/>
        <family val="2"/>
      </rPr>
      <t xml:space="preserve">Please enter the information requested in the grey shaded area below. Explain calculations or assumptions in the "Explanation" section to the right of each entry.  </t>
    </r>
  </si>
  <si>
    <t>Garberville</t>
  </si>
  <si>
    <t>Garden Grove</t>
  </si>
  <si>
    <t>Garden Valley</t>
  </si>
  <si>
    <t>Gardena</t>
  </si>
  <si>
    <t>Garey</t>
  </si>
  <si>
    <t>Garnet</t>
  </si>
  <si>
    <t>Gasquet</t>
  </si>
  <si>
    <t>Gaviota</t>
  </si>
  <si>
    <t>Gazelle</t>
  </si>
  <si>
    <t>George A.F.B.</t>
  </si>
  <si>
    <t>Georgetown</t>
  </si>
  <si>
    <t>Gerber</t>
  </si>
  <si>
    <t>Geyserville</t>
  </si>
  <si>
    <t>Giant Forest</t>
  </si>
  <si>
    <t>Gillman Hot Springs</t>
  </si>
  <si>
    <t>Gilroy</t>
  </si>
  <si>
    <t>Glassell Park</t>
  </si>
  <si>
    <t>Glen Avon</t>
  </si>
  <si>
    <t>Glen Ellen</t>
  </si>
  <si>
    <t>Glenburn</t>
  </si>
  <si>
    <t>Glencoe</t>
  </si>
  <si>
    <t>Glendale</t>
  </si>
  <si>
    <t>Glendora</t>
  </si>
  <si>
    <t>Glenhaven</t>
  </si>
  <si>
    <t>Glennville</t>
  </si>
  <si>
    <t xml:space="preserve">Gold River </t>
  </si>
  <si>
    <t>Gold Run</t>
  </si>
  <si>
    <t>Golden Hills</t>
  </si>
  <si>
    <t>Goleta</t>
  </si>
  <si>
    <t>Gonzales</t>
  </si>
  <si>
    <t>Goodyears Bar</t>
  </si>
  <si>
    <t>Gorman</t>
  </si>
  <si>
    <t>Goshen</t>
  </si>
  <si>
    <t>Pollution costs of MMBTU</t>
  </si>
  <si>
    <t>Lbs/MMBTU</t>
  </si>
  <si>
    <t>Total Cost/MMBTU</t>
  </si>
  <si>
    <t>$ Value of avoided MMBtu (All CO2)</t>
  </si>
  <si>
    <t>MMBTU/yr</t>
  </si>
  <si>
    <t>Annual savings per unit</t>
  </si>
  <si>
    <t>Annual MWh per Unit</t>
  </si>
  <si>
    <t>$ value of avoided out-of-state MMBTU (none)</t>
  </si>
  <si>
    <t>Pollution costs of MWh</t>
  </si>
  <si>
    <t>Strathmore</t>
  </si>
  <si>
    <t>Strawberry</t>
  </si>
  <si>
    <t>Strawberry Valley</t>
  </si>
  <si>
    <t xml:space="preserve">Studio City </t>
  </si>
  <si>
    <t>Sugarloaf</t>
  </si>
  <si>
    <t>Suisun City</t>
  </si>
  <si>
    <t>Sulphur Springs</t>
  </si>
  <si>
    <t>Sultana</t>
  </si>
  <si>
    <t>Summerland</t>
  </si>
  <si>
    <t>Summit</t>
  </si>
  <si>
    <t>Summit City</t>
  </si>
  <si>
    <t>Sun City</t>
  </si>
  <si>
    <t xml:space="preserve">Sun Valley </t>
  </si>
  <si>
    <t xml:space="preserve">Sunland </t>
  </si>
  <si>
    <t xml:space="preserve">Sunnymead </t>
  </si>
  <si>
    <t>Sunnyside</t>
  </si>
  <si>
    <t>Sunol</t>
  </si>
  <si>
    <t>Sunset Beach</t>
  </si>
  <si>
    <t>Sunset Whitney Ranch</t>
  </si>
  <si>
    <t xml:space="preserve">Surfside </t>
  </si>
  <si>
    <t>Susanville</t>
  </si>
  <si>
    <t>Sutter Creek</t>
  </si>
  <si>
    <t xml:space="preserve">Swall Meadows </t>
  </si>
  <si>
    <t xml:space="preserve">Sylmar </t>
  </si>
  <si>
    <t>Taft</t>
  </si>
  <si>
    <t>Tagus Ranch</t>
  </si>
  <si>
    <t>Tahoe City</t>
  </si>
  <si>
    <t>Tahoe Paradise</t>
  </si>
  <si>
    <t>Tahoe Valley</t>
  </si>
  <si>
    <t>Tahoe Vista</t>
  </si>
  <si>
    <t>Tahoma</t>
  </si>
  <si>
    <t>Talmage</t>
  </si>
  <si>
    <t xml:space="preserve">Tamal </t>
  </si>
  <si>
    <t>Tarzana</t>
  </si>
  <si>
    <t>Taylorsville</t>
  </si>
  <si>
    <t>Tecate</t>
  </si>
  <si>
    <t>Tecopa</t>
  </si>
  <si>
    <t>Tehachapi</t>
  </si>
  <si>
    <t>Temecula</t>
  </si>
  <si>
    <t>Temple City</t>
  </si>
  <si>
    <t>Templeton</t>
  </si>
  <si>
    <t xml:space="preserve">Terminal Island </t>
  </si>
  <si>
    <t>Termo</t>
  </si>
  <si>
    <t>Terra Bella</t>
  </si>
  <si>
    <t>Thermal</t>
  </si>
  <si>
    <t>Thornton</t>
  </si>
  <si>
    <t>Thousand Oaks</t>
  </si>
  <si>
    <t>Thousand Palms</t>
  </si>
  <si>
    <t>Three Rivers</t>
  </si>
  <si>
    <t>Tiburon</t>
  </si>
  <si>
    <t>Tierra Del Sol</t>
  </si>
  <si>
    <t xml:space="preserve">Tierrasanta </t>
  </si>
  <si>
    <t>Tipton</t>
  </si>
  <si>
    <t>Tollhouse</t>
  </si>
  <si>
    <t xml:space="preserve">Toluca Lake </t>
  </si>
  <si>
    <t>Tomales</t>
  </si>
  <si>
    <t>Toms Place</t>
  </si>
  <si>
    <t xml:space="preserve">Topanga </t>
  </si>
  <si>
    <t xml:space="preserve">Topanga Park </t>
  </si>
  <si>
    <t>Topaz</t>
  </si>
  <si>
    <t>Torrance</t>
  </si>
  <si>
    <t>Town Center</t>
  </si>
  <si>
    <t>Trabuco Canyon</t>
  </si>
  <si>
    <t>Tracy</t>
  </si>
  <si>
    <t>Tranquillity</t>
  </si>
  <si>
    <t>Traver</t>
  </si>
  <si>
    <t xml:space="preserve">Travis A.F.B. </t>
  </si>
  <si>
    <t>Tres Pinos</t>
  </si>
  <si>
    <t>Trinidad</t>
  </si>
  <si>
    <t>Trinity Center</t>
  </si>
  <si>
    <t>Trona</t>
  </si>
  <si>
    <t>Trowbridge</t>
  </si>
  <si>
    <t>Truckee</t>
  </si>
  <si>
    <t xml:space="preserve">Tujunga </t>
  </si>
  <si>
    <t>Tulelake</t>
  </si>
  <si>
    <t>Tuolumne Meadows</t>
  </si>
  <si>
    <t>Tupman</t>
  </si>
  <si>
    <t>Turlock</t>
  </si>
  <si>
    <t>Tustin</t>
  </si>
  <si>
    <t>Twain</t>
  </si>
  <si>
    <t>Twain Harte</t>
  </si>
  <si>
    <t>Twentynine Palms</t>
  </si>
  <si>
    <t>Twin Bridges</t>
  </si>
  <si>
    <t>Twin Peaks</t>
  </si>
  <si>
    <t>Two Rock Coast Guard Station</t>
  </si>
  <si>
    <t xml:space="preserve">This section contains scoring calculations based on the Applicant provided information and the assumptions contained in the yellow shaded boxes. </t>
  </si>
  <si>
    <t>Lifetime Net out of state pollution benefit/unit</t>
  </si>
  <si>
    <t>Instructions</t>
  </si>
  <si>
    <t xml:space="preserve">For additional information about this Application or the Program, please contact CAEATFA. </t>
  </si>
  <si>
    <t>Other Scoring Factors</t>
  </si>
  <si>
    <t>$ pollution cost of pound of NOx</t>
  </si>
  <si>
    <t>Applicant Notes</t>
  </si>
  <si>
    <t>Points</t>
  </si>
  <si>
    <t xml:space="preserve">U.S.Naval Postgrad School </t>
  </si>
  <si>
    <t>Ukiah</t>
  </si>
  <si>
    <t>Union City</t>
  </si>
  <si>
    <t>Universal City</t>
  </si>
  <si>
    <t>University</t>
  </si>
  <si>
    <t xml:space="preserve">University Park </t>
  </si>
  <si>
    <t>Upland</t>
  </si>
  <si>
    <t>Upper Lake/ Upper Lake Valley</t>
  </si>
  <si>
    <t>Vacaville</t>
  </si>
  <si>
    <t>Val Verde Park</t>
  </si>
  <si>
    <t xml:space="preserve">Valencia </t>
  </si>
  <si>
    <t>Beta Biogas</t>
  </si>
  <si>
    <t>California</t>
  </si>
  <si>
    <t>123 Main St</t>
  </si>
  <si>
    <t>Jane Smith</t>
  </si>
  <si>
    <t>CFO</t>
  </si>
  <si>
    <t>510-555-0000</t>
  </si>
  <si>
    <t>janesmith@betabiogas.com</t>
  </si>
  <si>
    <t>123 Main St, Oakland, CA 94608</t>
  </si>
  <si>
    <t>Shawn Brown - 80%</t>
  </si>
  <si>
    <t>1234 First St</t>
  </si>
  <si>
    <t>San Martin - Santa Clara</t>
  </si>
  <si>
    <t>Biogas generation and collection system</t>
  </si>
  <si>
    <t>Slurry Heating</t>
  </si>
  <si>
    <t>Heat and electricity production (electricity portion excluded)</t>
  </si>
  <si>
    <t>Biogas treatment</t>
  </si>
  <si>
    <t>Emissions Control</t>
  </si>
  <si>
    <t>Heat transfer into digester</t>
  </si>
  <si>
    <t xml:space="preserve">Digester Package </t>
  </si>
  <si>
    <t>Anaerobic Digester</t>
  </si>
  <si>
    <t>Heat Recovery System</t>
  </si>
  <si>
    <t>Heat recovery system</t>
  </si>
  <si>
    <t>Manure Handling</t>
  </si>
  <si>
    <t>Foundation</t>
  </si>
  <si>
    <t>Controls</t>
  </si>
  <si>
    <t>Internal Combustion Engine and supporting system</t>
  </si>
  <si>
    <t>Slurry Heater</t>
  </si>
  <si>
    <t>Concrete</t>
  </si>
  <si>
    <t>Pipe and Fittings</t>
  </si>
  <si>
    <t>Sensor Probe</t>
  </si>
  <si>
    <t>Computer</t>
  </si>
  <si>
    <t>Urea tank</t>
  </si>
  <si>
    <t>Slurry pumps</t>
  </si>
  <si>
    <t>Transfer pump</t>
  </si>
  <si>
    <t>See "Qualified Property List"</t>
  </si>
  <si>
    <t>40 full-time workers for 6 months.</t>
  </si>
  <si>
    <t>Based on number of hours required at similar facilities.</t>
  </si>
  <si>
    <t>Methane-rich biogas</t>
  </si>
  <si>
    <t>Is equal to E3 * E4.</t>
  </si>
  <si>
    <t>CAEATFA's CO2e price of $12.40 per ton</t>
  </si>
  <si>
    <t>Not entered since scoring threshold has  been met</t>
  </si>
  <si>
    <t xml:space="preserve">See "Qualified Property List." </t>
  </si>
  <si>
    <t>Energy is kept within the California grid.</t>
  </si>
  <si>
    <t>7000 metric tons / 261,168 therms.</t>
  </si>
  <si>
    <t>Slurry Transfer</t>
  </si>
  <si>
    <t>ABC Dairy, LLC  - 20%</t>
  </si>
  <si>
    <t>ABC Dairy, LLC owners</t>
  </si>
  <si>
    <t>Trent Green - 60%</t>
  </si>
  <si>
    <t>Don Sharp - 40%</t>
  </si>
  <si>
    <t>Biogas is used immediately so the value is 1.</t>
  </si>
  <si>
    <t>The 261,168 therms produced in a year create an average annual production of 2587 MWhs after taking into account off-peak and on-peak production and seasonal power output variance. (2,587 / 261,168)</t>
  </si>
  <si>
    <t>7,000 metric tons of CO2e reduced per year based on the CAR Livestock Tool 3.0 using 2011 weather patterns and cow populations. Rounded down to 7,000 to be conservative.</t>
  </si>
  <si>
    <t>Labor costs minus benefits will average $94,200 per year over the next 26 years. ($94,200 / 261,168)</t>
  </si>
  <si>
    <t>Emissions control equip</t>
  </si>
  <si>
    <t>Valves and Fittings</t>
  </si>
  <si>
    <t>Biogas treatment equip</t>
  </si>
  <si>
    <t>Includes additional components previously purchased that are not listed in the Qualified Property purchases.</t>
  </si>
  <si>
    <t>From Census Bureau NAICS list: http://www.census.gov/cgi-bin/sssd/naics/naicsrch?chart=2007</t>
  </si>
  <si>
    <t xml:space="preserve">Therms of biogas per year. Based on rated capacity of system per engineering specifications. </t>
  </si>
  <si>
    <t>Dollars/ therm of biogas, based on an average price of $1.27 per therm for renewable natural gas and an average of $0.47 per therm for carbon offsets over the next 26 years. Carbon offsets were calculated based on 7000 metric tons of projected carbon offsets and a price of $8.96 per ton of CO2e that increased every year by 5%.</t>
  </si>
  <si>
    <t>Supply purchases will average $146,720 per year over the next 26 years ($146,720 average annual purchases / 261,168 therms each year = $0.56 per therm produced)</t>
  </si>
  <si>
    <t>Supplies for the facility are purchased mainly from an in-state specialty supplier.</t>
  </si>
  <si>
    <t>The anaerobic digestion of livestock manure will create biogas.</t>
  </si>
  <si>
    <t>Based on 26.1 year (estimated average life of equipment) taxable income assumption of $6.2 million times 8.84% tax rate for a total of $548,080 in total taxes, or $20,999 per year.</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</si>
</sst>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0%"/>
    <numFmt numFmtId="170" formatCode="0.000"/>
    <numFmt numFmtId="171" formatCode="0.0000"/>
    <numFmt numFmtId="172" formatCode="0.0"/>
    <numFmt numFmtId="173" formatCode="&quot;$&quot;#,##0"/>
    <numFmt numFmtId="174" formatCode="&quot;$&quot;#,##0.0"/>
    <numFmt numFmtId="175" formatCode="0.0%"/>
    <numFmt numFmtId="176" formatCode="&quot;$&quot;#,##0.0_);[Red]\(&quot;$&quot;#,##0.0\)"/>
    <numFmt numFmtId="177" formatCode="_(&quot;$&quot;* #,##0.0_);_(&quot;$&quot;* \(#,##0.0\);_(&quot;$&quot;* &quot;-&quot;??_);_(@_)"/>
    <numFmt numFmtId="178" formatCode="_(&quot;$&quot;* #,##0_);_(&quot;$&quot;* \(#,##0\);_(&quot;$&quot;* &quot;-&quot;??_);_(@_)"/>
    <numFmt numFmtId="179" formatCode="_(* #,##0.0_);_(* \(#,##0.0\);_(* &quot;-&quot;??_);_(@_)"/>
    <numFmt numFmtId="180" formatCode="_(* #,##0_);_(* \(#,##0\);_(* &quot;-&quot;??_);_(@_)"/>
    <numFmt numFmtId="181" formatCode="_(* #,##0.000_);_(* \(#,##0.000\);_(* &quot;-&quot;??_);_(@_)"/>
    <numFmt numFmtId="182" formatCode="_(* #,##0.0000_);_(* \(#,##0.0000\);_(* &quot;-&quot;??_);_(@_)"/>
    <numFmt numFmtId="183" formatCode="&quot;$&quot;#,##0.0_);\(&quot;$&quot;#,##0.0\)"/>
    <numFmt numFmtId="184" formatCode="0.00000000"/>
    <numFmt numFmtId="185" formatCode="0.0000000"/>
    <numFmt numFmtId="186" formatCode="0.000000"/>
    <numFmt numFmtId="187" formatCode="0.00000"/>
    <numFmt numFmtId="188" formatCode="&quot;$&quot;#,##0.00000"/>
    <numFmt numFmtId="189" formatCode="&quot;$&quot;#,##0.000000"/>
    <numFmt numFmtId="190" formatCode="_(&quot;$&quot;* #,##0.00000_);_(&quot;$&quot;* \(#,##0.00000\);_(&quot;$&quot;* &quot;-&quot;?????_);_(@_)"/>
    <numFmt numFmtId="191" formatCode="#,##0.0"/>
    <numFmt numFmtId="192" formatCode="#,##0.000"/>
    <numFmt numFmtId="193" formatCode="&quot;$&quot;#,##0.000_);[Red]\(&quot;$&quot;#,##0.000\)"/>
    <numFmt numFmtId="194" formatCode="#,##0.0000"/>
    <numFmt numFmtId="195" formatCode="#,##0.00000"/>
    <numFmt numFmtId="196" formatCode="#,##0.000000"/>
    <numFmt numFmtId="197" formatCode="#,##0.0000000"/>
    <numFmt numFmtId="198" formatCode="&quot;$&quot;#,##0.0000_);[Red]\(&quot;$&quot;#,##0.0000\)"/>
    <numFmt numFmtId="199" formatCode="[$-409]dddd\,\ mmmm\ dd\,\ yyyy"/>
    <numFmt numFmtId="200" formatCode="0.0000000000"/>
    <numFmt numFmtId="201" formatCode="0.00000000000"/>
    <numFmt numFmtId="202" formatCode="0.000000000000"/>
    <numFmt numFmtId="203" formatCode="0.000000000"/>
    <numFmt numFmtId="204" formatCode="&quot;$&quot;#,##0.000_);\(&quot;$&quot;#,##0.000\)"/>
    <numFmt numFmtId="205" formatCode="&quot;$&quot;#,##0.0000_);\(&quot;$&quot;#,##0.0000\)"/>
    <numFmt numFmtId="206" formatCode="&quot;$&quot;#,##0.00000_);\(&quot;$&quot;#,##0.00000\)"/>
    <numFmt numFmtId="207" formatCode="&quot;$&quot;#,##0.000000_);\(&quot;$&quot;#,##0.000000\)"/>
    <numFmt numFmtId="208" formatCode="&quot;$&quot;#,##0.0000000_);\(&quot;$&quot;#,##0.0000000\)"/>
    <numFmt numFmtId="209" formatCode="&quot;$&quot;#,##0.00000000_);\(&quot;$&quot;#,##0.00000000\)"/>
    <numFmt numFmtId="210" formatCode="&quot;$&quot;#,##0.000000000_);\(&quot;$&quot;#,##0.000000000\)"/>
    <numFmt numFmtId="211" formatCode="0.0000000000000"/>
    <numFmt numFmtId="212" formatCode="0.00000000000000"/>
    <numFmt numFmtId="213" formatCode="0.000000000000000"/>
    <numFmt numFmtId="214" formatCode="0.0000000000000000"/>
    <numFmt numFmtId="215" formatCode="0.00000000000000000"/>
    <numFmt numFmtId="216" formatCode="0.000000000000000000"/>
    <numFmt numFmtId="217" formatCode="0.0000000000000000000"/>
    <numFmt numFmtId="218" formatCode="0.000000000000000%"/>
    <numFmt numFmtId="219" formatCode="_(&quot;$&quot;* #,##0.000_);_(&quot;$&quot;* \(#,##0.000\);_(&quot;$&quot;* &quot;-&quot;??_);_(@_)"/>
    <numFmt numFmtId="220" formatCode="_(&quot;$&quot;* #,##0.0000_);_(&quot;$&quot;* \(#,##0.0000\);_(&quot;$&quot;* &quot;-&quot;??_);_(@_)"/>
    <numFmt numFmtId="221" formatCode="_(&quot;$&quot;* #,##0.00000_);_(&quot;$&quot;* \(#,##0.00000\);_(&quot;$&quot;* &quot;-&quot;??_);_(@_)"/>
    <numFmt numFmtId="222" formatCode="_(&quot;$&quot;* #,##0.000000_);_(&quot;$&quot;* \(#,##0.000000\);_(&quot;$&quot;* &quot;-&quot;??_);_(@_)"/>
    <numFmt numFmtId="223" formatCode="_(&quot;$&quot;* #,##0.0000000_);_(&quot;$&quot;* \(#,##0.0000000\);_(&quot;$&quot;* &quot;-&quot;??_);_(@_)"/>
    <numFmt numFmtId="224" formatCode="mm/dd/yyyy;@"/>
    <numFmt numFmtId="225" formatCode="#,##0.0000_);\(#,##0.0000\)"/>
  </numFmts>
  <fonts count="72">
    <font>
      <sz val="10"/>
      <name val="Arial"/>
      <family val="0"/>
    </font>
    <font>
      <sz val="8"/>
      <name val="Arial"/>
      <family val="2"/>
    </font>
    <font>
      <b/>
      <sz val="10"/>
      <name val="Arial"/>
      <family val="2"/>
    </font>
    <font>
      <i/>
      <sz val="10"/>
      <name val="Arial"/>
      <family val="2"/>
    </font>
    <font>
      <u val="single"/>
      <sz val="10"/>
      <color indexed="36"/>
      <name val="Arial"/>
      <family val="2"/>
    </font>
    <font>
      <u val="single"/>
      <sz val="10"/>
      <color indexed="12"/>
      <name val="Arial"/>
      <family val="2"/>
    </font>
    <font>
      <b/>
      <sz val="12"/>
      <name val="Arial"/>
      <family val="2"/>
    </font>
    <font>
      <b/>
      <i/>
      <sz val="10"/>
      <name val="Arial"/>
      <family val="2"/>
    </font>
    <font>
      <sz val="10"/>
      <color indexed="9"/>
      <name val="Arial"/>
      <family val="2"/>
    </font>
    <font>
      <sz val="10"/>
      <name val="Calibri"/>
      <family val="2"/>
    </font>
    <font>
      <b/>
      <sz val="10"/>
      <name val="Calibri"/>
      <family val="2"/>
    </font>
    <font>
      <b/>
      <sz val="10"/>
      <color indexed="9"/>
      <name val="Arial"/>
      <family val="2"/>
    </font>
    <font>
      <sz val="12"/>
      <name val="Arial"/>
      <family val="2"/>
    </font>
    <font>
      <b/>
      <sz val="10"/>
      <color indexed="10"/>
      <name val="Arial"/>
      <family val="2"/>
    </font>
    <font>
      <sz val="10"/>
      <color indexed="10"/>
      <name val="Arial"/>
      <family val="2"/>
    </font>
    <font>
      <sz val="10"/>
      <color indexed="43"/>
      <name val="Arial"/>
      <family val="2"/>
    </font>
    <font>
      <b/>
      <sz val="10"/>
      <color indexed="8"/>
      <name val="Arial"/>
      <family val="2"/>
    </font>
    <font>
      <sz val="10"/>
      <color indexed="8"/>
      <name val="Arial"/>
      <family val="2"/>
    </font>
    <font>
      <sz val="10"/>
      <color indexed="22"/>
      <name val="Arial"/>
      <family val="2"/>
    </font>
    <font>
      <b/>
      <sz val="10"/>
      <color indexed="22"/>
      <name val="Arial"/>
      <family val="2"/>
    </font>
    <font>
      <i/>
      <sz val="10"/>
      <color indexed="10"/>
      <name val="Arial"/>
      <family val="2"/>
    </font>
    <font>
      <sz val="11"/>
      <name val="Arial"/>
      <family val="2"/>
    </font>
    <font>
      <b/>
      <i/>
      <sz val="11"/>
      <name val="Arial"/>
      <family val="2"/>
    </font>
    <font>
      <b/>
      <sz val="11"/>
      <name val="Arial"/>
      <family val="2"/>
    </font>
    <font>
      <b/>
      <i/>
      <sz val="14"/>
      <name val="Arial"/>
      <family val="2"/>
    </font>
    <font>
      <b/>
      <i/>
      <sz val="12"/>
      <name val="Arial"/>
      <family val="2"/>
    </font>
    <font>
      <sz val="14"/>
      <name val="Arial"/>
      <family val="2"/>
    </font>
    <font>
      <sz val="11"/>
      <color indexed="10"/>
      <name val="Arial"/>
      <family val="2"/>
    </font>
    <font>
      <b/>
      <i/>
      <sz val="11"/>
      <color indexed="10"/>
      <name val="Arial"/>
      <family val="2"/>
    </font>
    <font>
      <b/>
      <i/>
      <sz val="11"/>
      <color indexed="8"/>
      <name val="Arial"/>
      <family val="2"/>
    </font>
    <font>
      <b/>
      <sz val="14"/>
      <name val="Arial"/>
      <family val="2"/>
    </font>
    <font>
      <sz val="12"/>
      <color indexed="10"/>
      <name val="Arial"/>
      <family val="2"/>
    </font>
    <font>
      <b/>
      <i/>
      <sz val="12"/>
      <color indexed="9"/>
      <name val="Arial"/>
      <family val="2"/>
    </font>
    <font>
      <sz val="8"/>
      <name val="Tahoma"/>
      <family val="2"/>
    </font>
    <font>
      <b/>
      <u val="single"/>
      <sz val="11"/>
      <name val="Arial"/>
      <family val="2"/>
    </font>
    <font>
      <u val="single"/>
      <sz val="12"/>
      <color indexed="12"/>
      <name val="Arial"/>
      <family val="2"/>
    </font>
    <font>
      <b/>
      <sz val="12"/>
      <color indexed="10"/>
      <name val="Arial"/>
      <family val="2"/>
    </font>
    <font>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3"/>
        <bgColor indexed="64"/>
      </patternFill>
    </fill>
    <fill>
      <patternFill patternType="solid">
        <fgColor indexed="56"/>
        <bgColor indexed="64"/>
      </patternFill>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63"/>
        <bgColor indexed="64"/>
      </patternFill>
    </fill>
    <fill>
      <patternFill patternType="solid">
        <fgColor indexed="48"/>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dotted"/>
      <right style="dotted"/>
      <top style="dotted"/>
      <bottom style="dotted"/>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color indexed="63"/>
      </top>
      <bottom>
        <color indexed="63"/>
      </bottom>
    </border>
    <border>
      <left style="medium"/>
      <right style="medium"/>
      <top style="thin"/>
      <bottom>
        <color indexed="63"/>
      </bottom>
    </border>
    <border>
      <left style="medium"/>
      <right style="thin"/>
      <top style="medium"/>
      <bottom style="medium"/>
    </border>
    <border>
      <left style="thin"/>
      <right style="medium"/>
      <top style="medium"/>
      <bottom style="medium"/>
    </border>
    <border>
      <left style="medium"/>
      <right>
        <color indexed="63"/>
      </right>
      <top style="medium"/>
      <bottom style="medium"/>
    </border>
    <border>
      <left style="thin"/>
      <right>
        <color indexed="63"/>
      </right>
      <top style="thin"/>
      <bottom style="thin"/>
    </border>
    <border>
      <left>
        <color indexed="63"/>
      </left>
      <right style="thin"/>
      <top style="thin"/>
      <bottom style="thin"/>
    </border>
    <border>
      <left style="medium"/>
      <right style="medium"/>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style="dotted"/>
      <right>
        <color indexed="63"/>
      </right>
      <top style="dotted"/>
      <bottom style="dotted"/>
    </border>
    <border>
      <left>
        <color indexed="63"/>
      </left>
      <right style="dotted"/>
      <top style="dotted"/>
      <bottom style="dotted"/>
    </border>
    <border>
      <left style="medium"/>
      <right style="medium"/>
      <top style="medium"/>
      <bottom style="medium"/>
    </border>
    <border>
      <left style="medium"/>
      <right style="medium"/>
      <top>
        <color indexed="63"/>
      </top>
      <bottom style="thin"/>
    </border>
    <border>
      <left>
        <color indexed="63"/>
      </left>
      <right style="medium"/>
      <top style="medium"/>
      <bottom style="medium"/>
    </border>
    <border>
      <left style="thin"/>
      <right>
        <color indexed="63"/>
      </right>
      <top style="medium"/>
      <bottom style="medium"/>
    </border>
    <border>
      <left>
        <color indexed="63"/>
      </left>
      <right style="medium"/>
      <top>
        <color indexed="63"/>
      </top>
      <bottom>
        <color indexed="63"/>
      </bottom>
    </border>
    <border>
      <left style="thin">
        <color indexed="22"/>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thin"/>
      <bottom style="thin"/>
    </border>
    <border>
      <left style="dotted"/>
      <right>
        <color indexed="63"/>
      </right>
      <top>
        <color indexed="63"/>
      </top>
      <bottom>
        <color indexed="63"/>
      </bottom>
    </border>
    <border>
      <left style="medium"/>
      <right>
        <color indexed="63"/>
      </right>
      <top>
        <color indexed="63"/>
      </top>
      <bottom style="thin"/>
    </border>
    <border>
      <left style="medium"/>
      <right style="medium"/>
      <top style="thin"/>
      <bottom style="medium"/>
    </border>
    <border>
      <left style="medium"/>
      <right>
        <color indexed="63"/>
      </right>
      <top style="thin"/>
      <bottom>
        <color indexed="63"/>
      </bottom>
    </border>
    <border>
      <left style="thin"/>
      <right style="medium"/>
      <top style="thin"/>
      <bottom style="thin"/>
    </border>
    <border>
      <left>
        <color indexed="63"/>
      </left>
      <right style="medium"/>
      <top style="medium"/>
      <bottom>
        <color indexed="63"/>
      </bottom>
    </border>
    <border>
      <left>
        <color indexed="63"/>
      </left>
      <right style="medium"/>
      <top style="thin"/>
      <bottom>
        <color indexed="63"/>
      </bottom>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37"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95">
    <xf numFmtId="0" fontId="0" fillId="0" borderId="0" xfId="0"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Alignment="1">
      <alignment horizontal="centerContinuous"/>
    </xf>
    <xf numFmtId="0" fontId="0" fillId="0" borderId="0" xfId="0" applyFill="1" applyBorder="1" applyAlignment="1">
      <alignment horizontal="right"/>
    </xf>
    <xf numFmtId="0" fontId="0" fillId="0" borderId="0" xfId="0" applyFill="1" applyBorder="1" applyAlignment="1">
      <alignment horizontal="center"/>
    </xf>
    <xf numFmtId="0" fontId="2" fillId="0" borderId="0" xfId="0" applyFont="1" applyFill="1" applyBorder="1" applyAlignment="1">
      <alignment/>
    </xf>
    <xf numFmtId="0" fontId="0" fillId="0" borderId="0" xfId="0" applyFill="1" applyBorder="1" applyAlignment="1">
      <alignment horizontal="left"/>
    </xf>
    <xf numFmtId="173" fontId="0" fillId="0" borderId="0" xfId="0" applyNumberFormat="1" applyFont="1" applyFill="1" applyBorder="1" applyAlignment="1">
      <alignment horizontal="center"/>
    </xf>
    <xf numFmtId="0" fontId="0" fillId="0" borderId="0" xfId="0" applyFont="1" applyFill="1" applyBorder="1" applyAlignment="1">
      <alignment horizontal="center"/>
    </xf>
    <xf numFmtId="0" fontId="6" fillId="0" borderId="0" xfId="0" applyFont="1" applyFill="1" applyBorder="1" applyAlignment="1">
      <alignment/>
    </xf>
    <xf numFmtId="0" fontId="0" fillId="0" borderId="0" xfId="0" applyFont="1" applyAlignment="1">
      <alignment/>
    </xf>
    <xf numFmtId="44" fontId="0" fillId="0" borderId="0" xfId="0" applyNumberFormat="1" applyAlignment="1">
      <alignment/>
    </xf>
    <xf numFmtId="0" fontId="2" fillId="0" borderId="0" xfId="0" applyFont="1" applyAlignment="1">
      <alignment horizontal="center"/>
    </xf>
    <xf numFmtId="0" fontId="2" fillId="0" borderId="10" xfId="0" applyFont="1" applyBorder="1" applyAlignment="1">
      <alignment/>
    </xf>
    <xf numFmtId="0" fontId="0" fillId="0" borderId="10" xfId="0" applyFont="1" applyBorder="1" applyAlignment="1">
      <alignment/>
    </xf>
    <xf numFmtId="0" fontId="0" fillId="0" borderId="10" xfId="0" applyBorder="1" applyAlignment="1">
      <alignment/>
    </xf>
    <xf numFmtId="0" fontId="3" fillId="0" borderId="0" xfId="0" applyFont="1" applyAlignment="1">
      <alignment/>
    </xf>
    <xf numFmtId="0" fontId="0" fillId="33" borderId="11" xfId="0" applyFill="1" applyBorder="1" applyAlignment="1">
      <alignment/>
    </xf>
    <xf numFmtId="0" fontId="0" fillId="0" borderId="12" xfId="0" applyBorder="1" applyAlignment="1">
      <alignment/>
    </xf>
    <xf numFmtId="0" fontId="0" fillId="33" borderId="11" xfId="0" applyFill="1" applyBorder="1" applyAlignment="1">
      <alignment horizontal="left"/>
    </xf>
    <xf numFmtId="0" fontId="0" fillId="0" borderId="12" xfId="0" applyBorder="1" applyAlignment="1">
      <alignment horizontal="center"/>
    </xf>
    <xf numFmtId="5" fontId="0" fillId="0" borderId="12" xfId="44" applyNumberFormat="1" applyFont="1" applyBorder="1" applyAlignment="1">
      <alignment horizontal="center"/>
    </xf>
    <xf numFmtId="0" fontId="0" fillId="0" borderId="0" xfId="0" applyFont="1" applyAlignment="1">
      <alignment/>
    </xf>
    <xf numFmtId="0" fontId="9" fillId="0" borderId="0" xfId="0" applyFont="1" applyFill="1" applyAlignment="1">
      <alignment/>
    </xf>
    <xf numFmtId="0" fontId="10" fillId="0" borderId="0" xfId="0" applyFont="1" applyAlignment="1">
      <alignment horizontal="center" vertical="top"/>
    </xf>
    <xf numFmtId="0" fontId="9" fillId="0" borderId="0" xfId="0" applyFont="1" applyAlignment="1">
      <alignment/>
    </xf>
    <xf numFmtId="5" fontId="0" fillId="0" borderId="12" xfId="44" applyNumberFormat="1" applyFont="1" applyFill="1" applyBorder="1" applyAlignment="1">
      <alignment horizontal="center"/>
    </xf>
    <xf numFmtId="0" fontId="0" fillId="0" borderId="0" xfId="0" applyAlignment="1">
      <alignment horizontal="center"/>
    </xf>
    <xf numFmtId="10" fontId="0" fillId="33" borderId="11" xfId="0" applyNumberFormat="1" applyFill="1" applyBorder="1" applyAlignment="1">
      <alignment horizontal="center"/>
    </xf>
    <xf numFmtId="173" fontId="0" fillId="0" borderId="12" xfId="0" applyNumberFormat="1" applyFont="1" applyBorder="1" applyAlignment="1">
      <alignment horizontal="center"/>
    </xf>
    <xf numFmtId="0" fontId="0" fillId="0" borderId="12" xfId="0" applyFill="1" applyBorder="1" applyAlignment="1">
      <alignment/>
    </xf>
    <xf numFmtId="173" fontId="0" fillId="0" borderId="12" xfId="0" applyNumberFormat="1" applyBorder="1" applyAlignment="1">
      <alignment horizontal="center"/>
    </xf>
    <xf numFmtId="0" fontId="2" fillId="0" borderId="0" xfId="0" applyFont="1" applyBorder="1" applyAlignment="1">
      <alignment/>
    </xf>
    <xf numFmtId="7" fontId="0" fillId="33" borderId="11" xfId="0" applyNumberFormat="1" applyFill="1" applyBorder="1" applyAlignment="1">
      <alignment horizontal="center"/>
    </xf>
    <xf numFmtId="0" fontId="0" fillId="0" borderId="10" xfId="0" applyFill="1" applyBorder="1" applyAlignment="1">
      <alignment/>
    </xf>
    <xf numFmtId="0" fontId="0" fillId="34" borderId="12" xfId="0" applyFill="1" applyBorder="1" applyAlignment="1">
      <alignment horizontal="center"/>
    </xf>
    <xf numFmtId="44" fontId="0" fillId="34" borderId="12" xfId="44" applyFont="1" applyFill="1" applyBorder="1" applyAlignment="1">
      <alignment/>
    </xf>
    <xf numFmtId="44" fontId="0" fillId="0" borderId="12" xfId="0" applyNumberFormat="1" applyBorder="1" applyAlignment="1">
      <alignment/>
    </xf>
    <xf numFmtId="0" fontId="0" fillId="34" borderId="12" xfId="0" applyFont="1" applyFill="1" applyBorder="1" applyAlignment="1">
      <alignment horizontal="center"/>
    </xf>
    <xf numFmtId="44" fontId="0" fillId="0" borderId="12" xfId="44" applyFont="1" applyBorder="1" applyAlignment="1">
      <alignment/>
    </xf>
    <xf numFmtId="44" fontId="0" fillId="0" borderId="0" xfId="0" applyNumberFormat="1" applyBorder="1" applyAlignment="1">
      <alignment/>
    </xf>
    <xf numFmtId="44" fontId="0" fillId="0" borderId="10" xfId="0" applyNumberFormat="1" applyBorder="1" applyAlignment="1">
      <alignment/>
    </xf>
    <xf numFmtId="37" fontId="0" fillId="0" borderId="12" xfId="44" applyNumberFormat="1" applyFont="1" applyFill="1" applyBorder="1" applyAlignment="1">
      <alignment horizontal="center"/>
    </xf>
    <xf numFmtId="188" fontId="0" fillId="0" borderId="12" xfId="0" applyNumberFormat="1" applyBorder="1" applyAlignment="1">
      <alignment horizontal="center"/>
    </xf>
    <xf numFmtId="44" fontId="0" fillId="34" borderId="12" xfId="44" applyFont="1" applyFill="1" applyBorder="1" applyAlignment="1">
      <alignment horizontal="center"/>
    </xf>
    <xf numFmtId="0" fontId="3" fillId="0" borderId="0" xfId="0" applyFont="1" applyAlignment="1">
      <alignment horizontal="left"/>
    </xf>
    <xf numFmtId="0" fontId="0" fillId="0" borderId="12" xfId="0" applyFont="1" applyFill="1" applyBorder="1" applyAlignment="1">
      <alignment horizontal="center"/>
    </xf>
    <xf numFmtId="0" fontId="0" fillId="0" borderId="0" xfId="0" applyBorder="1" applyAlignment="1">
      <alignment/>
    </xf>
    <xf numFmtId="9" fontId="0" fillId="0" borderId="12" xfId="0" applyNumberFormat="1" applyFill="1" applyBorder="1" applyAlignment="1">
      <alignment horizontal="center"/>
    </xf>
    <xf numFmtId="3" fontId="0" fillId="0" borderId="12" xfId="0" applyNumberForma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10" xfId="0" applyFont="1" applyFill="1" applyBorder="1" applyAlignment="1">
      <alignment/>
    </xf>
    <xf numFmtId="0" fontId="8" fillId="35" borderId="15" xfId="0" applyFont="1" applyFill="1" applyBorder="1" applyAlignment="1">
      <alignment horizontal="right"/>
    </xf>
    <xf numFmtId="5" fontId="8" fillId="35" borderId="15" xfId="0" applyNumberFormat="1" applyFont="1" applyFill="1" applyBorder="1" applyAlignment="1">
      <alignment/>
    </xf>
    <xf numFmtId="0" fontId="8" fillId="35" borderId="0" xfId="0" applyFont="1" applyFill="1" applyBorder="1" applyAlignment="1">
      <alignment horizontal="right"/>
    </xf>
    <xf numFmtId="5" fontId="8" fillId="35" borderId="0" xfId="0" applyNumberFormat="1" applyFont="1" applyFill="1" applyBorder="1" applyAlignment="1">
      <alignment/>
    </xf>
    <xf numFmtId="0" fontId="8" fillId="35" borderId="16" xfId="0" applyFont="1" applyFill="1" applyBorder="1" applyAlignment="1">
      <alignment horizontal="right"/>
    </xf>
    <xf numFmtId="5" fontId="8" fillId="35" borderId="16" xfId="0" applyNumberFormat="1" applyFont="1" applyFill="1" applyBorder="1" applyAlignment="1">
      <alignment/>
    </xf>
    <xf numFmtId="0" fontId="11" fillId="35" borderId="0" xfId="0" applyFont="1" applyFill="1" applyBorder="1" applyAlignment="1">
      <alignment horizontal="right"/>
    </xf>
    <xf numFmtId="0" fontId="0" fillId="0" borderId="12" xfId="0" applyFont="1" applyFill="1" applyBorder="1" applyAlignment="1">
      <alignment/>
    </xf>
    <xf numFmtId="0" fontId="2" fillId="0" borderId="0" xfId="0" applyFont="1" applyBorder="1" applyAlignment="1">
      <alignment horizontal="center"/>
    </xf>
    <xf numFmtId="0" fontId="0" fillId="0" borderId="0" xfId="0" applyFont="1" applyFill="1" applyBorder="1" applyAlignment="1">
      <alignment horizontal="left"/>
    </xf>
    <xf numFmtId="37" fontId="0" fillId="0" borderId="0" xfId="0" applyNumberFormat="1" applyFont="1" applyFill="1" applyBorder="1" applyAlignment="1">
      <alignment horizontal="center"/>
    </xf>
    <xf numFmtId="0" fontId="11" fillId="35" borderId="0" xfId="0" applyFont="1" applyFill="1" applyBorder="1" applyAlignment="1">
      <alignment horizontal="center"/>
    </xf>
    <xf numFmtId="37" fontId="11" fillId="35" borderId="0" xfId="0" applyNumberFormat="1" applyFont="1" applyFill="1" applyBorder="1" applyAlignment="1">
      <alignment horizontal="center"/>
    </xf>
    <xf numFmtId="6" fontId="0" fillId="0" borderId="0" xfId="0" applyNumberFormat="1" applyFont="1" applyFill="1" applyBorder="1" applyAlignment="1">
      <alignment horizontal="left" indent="1"/>
    </xf>
    <xf numFmtId="173" fontId="2" fillId="0" borderId="12" xfId="0" applyNumberFormat="1" applyFont="1" applyBorder="1" applyAlignment="1">
      <alignment horizontal="center"/>
    </xf>
    <xf numFmtId="190" fontId="0" fillId="0" borderId="12" xfId="0" applyNumberFormat="1" applyBorder="1" applyAlignment="1">
      <alignment horizontal="center"/>
    </xf>
    <xf numFmtId="190" fontId="0" fillId="0" borderId="12" xfId="0" applyNumberFormat="1" applyBorder="1" applyAlignment="1">
      <alignment/>
    </xf>
    <xf numFmtId="0" fontId="2" fillId="0" borderId="0" xfId="0" applyFont="1" applyAlignment="1">
      <alignment/>
    </xf>
    <xf numFmtId="1" fontId="0" fillId="0" borderId="0" xfId="0" applyNumberFormat="1" applyFill="1" applyBorder="1" applyAlignment="1">
      <alignment horizontal="center"/>
    </xf>
    <xf numFmtId="0" fontId="0" fillId="0" borderId="0" xfId="0" applyFill="1" applyBorder="1" applyAlignment="1">
      <alignment wrapText="1"/>
    </xf>
    <xf numFmtId="0" fontId="0" fillId="0" borderId="0" xfId="0" applyFill="1" applyBorder="1" applyAlignment="1">
      <alignment horizontal="centerContinuous" wrapText="1"/>
    </xf>
    <xf numFmtId="0" fontId="7" fillId="0" borderId="0" xfId="0" applyFont="1" applyBorder="1" applyAlignment="1">
      <alignment wrapText="1"/>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6" fillId="0" borderId="0" xfId="0" applyFont="1" applyAlignment="1">
      <alignment/>
    </xf>
    <xf numFmtId="0" fontId="0" fillId="0" borderId="12" xfId="0" applyBorder="1" applyAlignment="1">
      <alignment horizontal="left"/>
    </xf>
    <xf numFmtId="0" fontId="0" fillId="0" borderId="12" xfId="0" applyFill="1" applyBorder="1" applyAlignment="1">
      <alignment horizontal="left"/>
    </xf>
    <xf numFmtId="0" fontId="2" fillId="0" borderId="12" xfId="0" applyFont="1" applyFill="1" applyBorder="1" applyAlignment="1">
      <alignment horizontal="left"/>
    </xf>
    <xf numFmtId="0" fontId="0" fillId="0" borderId="12" xfId="0" applyFont="1" applyFill="1" applyBorder="1" applyAlignment="1">
      <alignment/>
    </xf>
    <xf numFmtId="0" fontId="7" fillId="0" borderId="12" xfId="0" applyFont="1" applyBorder="1" applyAlignment="1">
      <alignment/>
    </xf>
    <xf numFmtId="0" fontId="0" fillId="0" borderId="12" xfId="0" applyFont="1" applyBorder="1" applyAlignment="1">
      <alignment/>
    </xf>
    <xf numFmtId="0" fontId="0" fillId="0" borderId="12" xfId="0" applyFont="1" applyFill="1" applyBorder="1" applyAlignment="1">
      <alignment horizontal="left"/>
    </xf>
    <xf numFmtId="0" fontId="0" fillId="36" borderId="12" xfId="0" applyFill="1" applyBorder="1" applyAlignment="1">
      <alignment/>
    </xf>
    <xf numFmtId="5" fontId="0" fillId="0" borderId="12" xfId="0" applyNumberFormat="1" applyFont="1" applyFill="1" applyBorder="1" applyAlignment="1">
      <alignment horizontal="center"/>
    </xf>
    <xf numFmtId="0" fontId="0" fillId="0" borderId="12" xfId="0" applyFont="1" applyFill="1" applyBorder="1" applyAlignment="1">
      <alignment horizontal="center"/>
    </xf>
    <xf numFmtId="5" fontId="11" fillId="35" borderId="15" xfId="0" applyNumberFormat="1" applyFont="1" applyFill="1" applyBorder="1" applyAlignment="1">
      <alignment/>
    </xf>
    <xf numFmtId="0" fontId="0" fillId="36" borderId="12" xfId="0" applyFont="1" applyFill="1" applyBorder="1" applyAlignment="1">
      <alignment/>
    </xf>
    <xf numFmtId="2" fontId="0" fillId="36" borderId="12" xfId="0" applyNumberFormat="1" applyFont="1" applyFill="1" applyBorder="1" applyAlignment="1">
      <alignment horizontal="center"/>
    </xf>
    <xf numFmtId="175" fontId="0" fillId="33" borderId="11" xfId="0" applyNumberFormat="1" applyFill="1" applyBorder="1" applyAlignment="1">
      <alignment horizontal="center"/>
    </xf>
    <xf numFmtId="9" fontId="0" fillId="36" borderId="12" xfId="60" applyFont="1" applyFill="1" applyBorder="1" applyAlignment="1">
      <alignment horizontal="center"/>
    </xf>
    <xf numFmtId="1" fontId="0" fillId="36" borderId="12" xfId="0" applyNumberFormat="1" applyFont="1" applyFill="1" applyBorder="1" applyAlignment="1">
      <alignment horizontal="center"/>
    </xf>
    <xf numFmtId="9" fontId="0" fillId="36" borderId="12" xfId="0" applyNumberFormat="1" applyFont="1" applyFill="1" applyBorder="1" applyAlignment="1">
      <alignment horizontal="center"/>
    </xf>
    <xf numFmtId="173" fontId="0" fillId="36" borderId="12" xfId="0" applyNumberFormat="1" applyFont="1" applyFill="1" applyBorder="1" applyAlignment="1">
      <alignment horizontal="center" vertical="center"/>
    </xf>
    <xf numFmtId="173" fontId="0" fillId="0" borderId="12" xfId="0" applyNumberFormat="1" applyFont="1" applyFill="1" applyBorder="1" applyAlignment="1">
      <alignment horizontal="center" vertical="center"/>
    </xf>
    <xf numFmtId="0" fontId="13" fillId="0" borderId="0" xfId="0" applyFont="1" applyBorder="1" applyAlignment="1">
      <alignment horizontal="left"/>
    </xf>
    <xf numFmtId="0" fontId="13" fillId="0" borderId="0" xfId="0" applyFont="1" applyAlignment="1">
      <alignment/>
    </xf>
    <xf numFmtId="10" fontId="13" fillId="0" borderId="0" xfId="60" applyNumberFormat="1" applyFont="1" applyFill="1" applyBorder="1" applyAlignment="1">
      <alignment/>
    </xf>
    <xf numFmtId="0" fontId="0" fillId="0" borderId="0" xfId="0" applyBorder="1" applyAlignment="1">
      <alignment wrapText="1"/>
    </xf>
    <xf numFmtId="0" fontId="0" fillId="0" borderId="0" xfId="0" applyFont="1" applyBorder="1" applyAlignment="1">
      <alignment wrapText="1"/>
    </xf>
    <xf numFmtId="0" fontId="0" fillId="0" borderId="17" xfId="0" applyBorder="1" applyAlignment="1">
      <alignment/>
    </xf>
    <xf numFmtId="0" fontId="0" fillId="0" borderId="18" xfId="0" applyBorder="1" applyAlignment="1">
      <alignment wrapText="1"/>
    </xf>
    <xf numFmtId="0" fontId="0" fillId="33" borderId="11" xfId="0" applyFont="1" applyFill="1" applyBorder="1" applyAlignment="1">
      <alignment horizontal="center"/>
    </xf>
    <xf numFmtId="10" fontId="0" fillId="0" borderId="12" xfId="0" applyNumberFormat="1" applyFont="1" applyBorder="1" applyAlignment="1">
      <alignment horizontal="center"/>
    </xf>
    <xf numFmtId="0" fontId="13" fillId="0" borderId="0" xfId="0" applyFont="1" applyAlignment="1">
      <alignment horizontal="center"/>
    </xf>
    <xf numFmtId="0" fontId="7" fillId="0" borderId="0" xfId="0" applyFont="1" applyAlignment="1">
      <alignment horizontal="center"/>
    </xf>
    <xf numFmtId="0" fontId="0" fillId="0" borderId="18" xfId="0" applyFont="1" applyFill="1" applyBorder="1" applyAlignment="1">
      <alignment horizontal="center"/>
    </xf>
    <xf numFmtId="0" fontId="0" fillId="0" borderId="18" xfId="0" applyFont="1" applyFill="1" applyBorder="1" applyAlignment="1">
      <alignment horizontal="center"/>
    </xf>
    <xf numFmtId="0" fontId="0" fillId="0" borderId="18" xfId="0" applyBorder="1" applyAlignment="1">
      <alignment horizontal="center"/>
    </xf>
    <xf numFmtId="0" fontId="0" fillId="0" borderId="19" xfId="0" applyFont="1" applyFill="1" applyBorder="1" applyAlignment="1">
      <alignment horizontal="center"/>
    </xf>
    <xf numFmtId="0" fontId="0" fillId="0" borderId="18" xfId="0" applyFont="1" applyFill="1" applyBorder="1" applyAlignment="1">
      <alignment horizontal="center" wrapText="1"/>
    </xf>
    <xf numFmtId="0" fontId="0" fillId="0" borderId="18" xfId="0" applyFont="1" applyFill="1" applyBorder="1" applyAlignment="1">
      <alignment horizontal="center"/>
    </xf>
    <xf numFmtId="0" fontId="0" fillId="0" borderId="18" xfId="0" applyFont="1" applyFill="1" applyBorder="1" applyAlignment="1">
      <alignment horizontal="center" wrapText="1"/>
    </xf>
    <xf numFmtId="0" fontId="0" fillId="0" borderId="18" xfId="0" applyFont="1" applyBorder="1" applyAlignment="1">
      <alignment horizontal="center"/>
    </xf>
    <xf numFmtId="0" fontId="0" fillId="0" borderId="0" xfId="0" applyFont="1" applyBorder="1" applyAlignment="1">
      <alignment/>
    </xf>
    <xf numFmtId="10" fontId="2" fillId="0" borderId="0" xfId="60" applyNumberFormat="1" applyFont="1" applyFill="1" applyBorder="1" applyAlignment="1">
      <alignment/>
    </xf>
    <xf numFmtId="0" fontId="2" fillId="0" borderId="0" xfId="0" applyFont="1" applyBorder="1" applyAlignment="1">
      <alignment horizontal="left"/>
    </xf>
    <xf numFmtId="0" fontId="2" fillId="0" borderId="10" xfId="0" applyFont="1" applyFill="1" applyBorder="1" applyAlignment="1">
      <alignment/>
    </xf>
    <xf numFmtId="0" fontId="14" fillId="0" borderId="0" xfId="0" applyFont="1" applyBorder="1" applyAlignment="1">
      <alignment/>
    </xf>
    <xf numFmtId="44" fontId="0" fillId="0" borderId="0" xfId="44" applyFont="1" applyFill="1" applyBorder="1" applyAlignment="1">
      <alignment/>
    </xf>
    <xf numFmtId="6" fontId="2" fillId="0" borderId="0" xfId="60" applyNumberFormat="1" applyFont="1" applyFill="1" applyBorder="1" applyAlignment="1">
      <alignment/>
    </xf>
    <xf numFmtId="0" fontId="2" fillId="0" borderId="0" xfId="0" applyFont="1" applyFill="1" applyBorder="1" applyAlignment="1">
      <alignment horizontal="left"/>
    </xf>
    <xf numFmtId="6" fontId="0" fillId="0" borderId="0" xfId="0" applyNumberFormat="1" applyFont="1" applyFill="1" applyBorder="1" applyAlignment="1">
      <alignment/>
    </xf>
    <xf numFmtId="1" fontId="0" fillId="0" borderId="0" xfId="0" applyNumberFormat="1" applyFont="1" applyFill="1" applyBorder="1" applyAlignment="1">
      <alignment horizontal="center"/>
    </xf>
    <xf numFmtId="9" fontId="0"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73" fontId="15" fillId="33" borderId="11" xfId="0" applyNumberFormat="1" applyFont="1" applyFill="1" applyBorder="1" applyAlignment="1">
      <alignment/>
    </xf>
    <xf numFmtId="173" fontId="0" fillId="33" borderId="11" xfId="0" applyNumberFormat="1" applyFill="1" applyBorder="1" applyAlignment="1">
      <alignment/>
    </xf>
    <xf numFmtId="173" fontId="2" fillId="33" borderId="11" xfId="0" applyNumberFormat="1" applyFont="1" applyFill="1" applyBorder="1" applyAlignment="1">
      <alignment horizontal="center"/>
    </xf>
    <xf numFmtId="170" fontId="0" fillId="0" borderId="0" xfId="0" applyNumberFormat="1" applyFill="1" applyBorder="1" applyAlignment="1">
      <alignment/>
    </xf>
    <xf numFmtId="7" fontId="0" fillId="36" borderId="12" xfId="0" applyNumberFormat="1" applyFont="1" applyFill="1" applyBorder="1" applyAlignment="1">
      <alignment horizontal="center"/>
    </xf>
    <xf numFmtId="8" fontId="0" fillId="36" borderId="12" xfId="0" applyNumberFormat="1" applyFont="1" applyFill="1" applyBorder="1" applyAlignment="1">
      <alignment horizontal="center"/>
    </xf>
    <xf numFmtId="7" fontId="0" fillId="0" borderId="12" xfId="0" applyNumberFormat="1" applyFont="1" applyFill="1" applyBorder="1" applyAlignment="1">
      <alignment horizontal="center"/>
    </xf>
    <xf numFmtId="10" fontId="0" fillId="33" borderId="11" xfId="60" applyNumberFormat="1" applyFont="1" applyFill="1" applyBorder="1" applyAlignment="1">
      <alignment horizontal="center"/>
    </xf>
    <xf numFmtId="0" fontId="7" fillId="0" borderId="0" xfId="0" applyFont="1" applyAlignment="1">
      <alignment horizontal="centerContinuous"/>
    </xf>
    <xf numFmtId="43" fontId="2" fillId="0" borderId="0" xfId="42" applyFont="1" applyFill="1" applyBorder="1" applyAlignment="1">
      <alignment/>
    </xf>
    <xf numFmtId="6" fontId="3" fillId="0" borderId="15" xfId="0" applyNumberFormat="1" applyFont="1" applyFill="1" applyBorder="1" applyAlignment="1">
      <alignment horizontal="left" indent="1"/>
    </xf>
    <xf numFmtId="0" fontId="3" fillId="0" borderId="15" xfId="0" applyFont="1" applyFill="1" applyBorder="1" applyAlignment="1">
      <alignment horizontal="center"/>
    </xf>
    <xf numFmtId="6" fontId="3" fillId="0" borderId="0" xfId="0" applyNumberFormat="1" applyFont="1" applyFill="1" applyBorder="1" applyAlignment="1">
      <alignment horizontal="left" indent="1"/>
    </xf>
    <xf numFmtId="0" fontId="3" fillId="0" borderId="0" xfId="0" applyFont="1" applyFill="1" applyBorder="1" applyAlignment="1">
      <alignment horizontal="center"/>
    </xf>
    <xf numFmtId="0" fontId="12" fillId="0" borderId="0" xfId="0" applyFont="1" applyAlignment="1">
      <alignment/>
    </xf>
    <xf numFmtId="0" fontId="0" fillId="0" borderId="0" xfId="0" applyFont="1" applyFill="1" applyAlignment="1">
      <alignment/>
    </xf>
    <xf numFmtId="0" fontId="6" fillId="0" borderId="0" xfId="0" applyFont="1" applyFill="1" applyAlignment="1">
      <alignment horizontal="center"/>
    </xf>
    <xf numFmtId="0" fontId="2" fillId="0" borderId="0" xfId="0" applyFont="1" applyAlignment="1">
      <alignment horizontal="center" vertical="top"/>
    </xf>
    <xf numFmtId="0" fontId="2" fillId="33" borderId="20" xfId="0" applyFont="1" applyFill="1" applyBorder="1" applyAlignment="1">
      <alignment horizontal="center" vertical="top"/>
    </xf>
    <xf numFmtId="0" fontId="2" fillId="33" borderId="21" xfId="0" applyFont="1" applyFill="1" applyBorder="1" applyAlignment="1">
      <alignment horizontal="center" vertical="top"/>
    </xf>
    <xf numFmtId="10" fontId="2" fillId="0" borderId="0" xfId="60" applyNumberFormat="1" applyFont="1" applyAlignment="1">
      <alignment horizontal="center" vertical="top"/>
    </xf>
    <xf numFmtId="0" fontId="0" fillId="0" borderId="13" xfId="0" applyFont="1" applyBorder="1" applyAlignment="1">
      <alignment/>
    </xf>
    <xf numFmtId="0" fontId="0" fillId="0" borderId="14" xfId="0" applyFont="1" applyBorder="1" applyAlignment="1">
      <alignment/>
    </xf>
    <xf numFmtId="0" fontId="0" fillId="0" borderId="17" xfId="0" applyFont="1" applyBorder="1" applyAlignment="1">
      <alignment/>
    </xf>
    <xf numFmtId="0" fontId="6" fillId="0" borderId="0" xfId="0" applyFont="1" applyFill="1" applyAlignment="1">
      <alignment/>
    </xf>
    <xf numFmtId="0" fontId="6" fillId="0" borderId="0" xfId="0" applyFont="1" applyFill="1" applyAlignment="1">
      <alignment horizontal="left"/>
    </xf>
    <xf numFmtId="49" fontId="0" fillId="0" borderId="13" xfId="0" applyNumberFormat="1"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3" xfId="0" applyFont="1" applyFill="1" applyBorder="1" applyAlignment="1">
      <alignment horizontal="left"/>
    </xf>
    <xf numFmtId="0" fontId="0" fillId="0" borderId="14" xfId="0" applyFont="1" applyFill="1" applyBorder="1" applyAlignment="1">
      <alignment/>
    </xf>
    <xf numFmtId="0" fontId="0" fillId="0" borderId="17" xfId="0" applyFont="1" applyFill="1" applyBorder="1" applyAlignment="1">
      <alignment/>
    </xf>
    <xf numFmtId="0" fontId="0" fillId="33" borderId="22" xfId="0" applyFont="1" applyFill="1" applyBorder="1" applyAlignment="1">
      <alignment/>
    </xf>
    <xf numFmtId="0" fontId="2" fillId="0" borderId="12" xfId="0" applyFont="1" applyFill="1" applyBorder="1" applyAlignment="1">
      <alignment/>
    </xf>
    <xf numFmtId="0" fontId="2" fillId="0" borderId="23" xfId="0" applyFont="1" applyFill="1" applyBorder="1" applyAlignment="1">
      <alignment horizontal="left"/>
    </xf>
    <xf numFmtId="37" fontId="2" fillId="0" borderId="24" xfId="0" applyNumberFormat="1" applyFont="1" applyFill="1" applyBorder="1" applyAlignment="1">
      <alignment horizontal="center"/>
    </xf>
    <xf numFmtId="0" fontId="0" fillId="0" borderId="13" xfId="0" applyFont="1" applyFill="1" applyBorder="1" applyAlignment="1">
      <alignment horizontal="left" wrapText="1"/>
    </xf>
    <xf numFmtId="0" fontId="0" fillId="0" borderId="25" xfId="0" applyFont="1" applyFill="1" applyBorder="1" applyAlignment="1">
      <alignment horizontal="center" wrapText="1"/>
    </xf>
    <xf numFmtId="0" fontId="0" fillId="0" borderId="26" xfId="0" applyFont="1" applyFill="1" applyBorder="1" applyAlignment="1">
      <alignment horizontal="left" wrapText="1"/>
    </xf>
    <xf numFmtId="0" fontId="7" fillId="0" borderId="27" xfId="0" applyFont="1" applyFill="1" applyBorder="1" applyAlignment="1">
      <alignment horizontal="left"/>
    </xf>
    <xf numFmtId="0" fontId="0" fillId="0" borderId="27" xfId="0" applyBorder="1" applyAlignment="1">
      <alignment/>
    </xf>
    <xf numFmtId="0" fontId="7" fillId="0" borderId="27" xfId="0" applyFont="1" applyBorder="1" applyAlignment="1">
      <alignment/>
    </xf>
    <xf numFmtId="3" fontId="0" fillId="37" borderId="19" xfId="0" applyNumberFormat="1" applyFont="1" applyFill="1" applyBorder="1" applyAlignment="1">
      <alignment horizontal="center"/>
    </xf>
    <xf numFmtId="0" fontId="0" fillId="0" borderId="28" xfId="0" applyFill="1" applyBorder="1" applyAlignment="1">
      <alignment wrapText="1"/>
    </xf>
    <xf numFmtId="0" fontId="0" fillId="0" borderId="0" xfId="0" applyFill="1" applyBorder="1" applyAlignment="1">
      <alignment horizontal="left" indent="1"/>
    </xf>
    <xf numFmtId="1" fontId="3" fillId="0" borderId="15" xfId="0" applyNumberFormat="1" applyFont="1" applyFill="1" applyBorder="1" applyAlignment="1">
      <alignment horizontal="center"/>
    </xf>
    <xf numFmtId="0" fontId="0" fillId="33" borderId="29" xfId="0" applyFill="1" applyBorder="1" applyAlignment="1">
      <alignment/>
    </xf>
    <xf numFmtId="0" fontId="0" fillId="33" borderId="30" xfId="0" applyFill="1" applyBorder="1" applyAlignment="1">
      <alignment/>
    </xf>
    <xf numFmtId="0" fontId="0" fillId="33" borderId="11" xfId="0" applyFill="1" applyBorder="1" applyAlignment="1">
      <alignment horizontal="center"/>
    </xf>
    <xf numFmtId="0" fontId="0" fillId="0" borderId="27" xfId="0" applyBorder="1" applyAlignment="1">
      <alignment horizontal="center"/>
    </xf>
    <xf numFmtId="175" fontId="0" fillId="0" borderId="27" xfId="60" applyNumberFormat="1" applyFont="1" applyFill="1" applyBorder="1" applyAlignment="1">
      <alignment horizontal="center"/>
    </xf>
    <xf numFmtId="0" fontId="0" fillId="0" borderId="28" xfId="0" applyBorder="1" applyAlignment="1">
      <alignment wrapText="1"/>
    </xf>
    <xf numFmtId="0" fontId="7" fillId="0" borderId="27" xfId="0" applyFont="1" applyFill="1" applyBorder="1" applyAlignment="1">
      <alignment horizontal="center"/>
    </xf>
    <xf numFmtId="0" fontId="2" fillId="0" borderId="27" xfId="0" applyFont="1" applyFill="1" applyBorder="1" applyAlignment="1">
      <alignment horizontal="center"/>
    </xf>
    <xf numFmtId="0" fontId="0" fillId="0" borderId="27" xfId="0" applyFill="1" applyBorder="1" applyAlignment="1">
      <alignment/>
    </xf>
    <xf numFmtId="0" fontId="0" fillId="0" borderId="27" xfId="0" applyFill="1" applyBorder="1" applyAlignment="1">
      <alignment horizontal="center"/>
    </xf>
    <xf numFmtId="7" fontId="0" fillId="33" borderId="11" xfId="0" applyNumberFormat="1" applyFont="1" applyFill="1" applyBorder="1" applyAlignment="1">
      <alignment horizontal="center"/>
    </xf>
    <xf numFmtId="4" fontId="0" fillId="0" borderId="12" xfId="0" applyNumberFormat="1" applyFill="1" applyBorder="1" applyAlignment="1">
      <alignment horizontal="center"/>
    </xf>
    <xf numFmtId="0" fontId="0" fillId="0" borderId="25" xfId="0" applyFont="1" applyFill="1" applyBorder="1" applyAlignment="1">
      <alignment horizontal="center"/>
    </xf>
    <xf numFmtId="0" fontId="0" fillId="0" borderId="25" xfId="0" applyBorder="1" applyAlignment="1">
      <alignment wrapText="1"/>
    </xf>
    <xf numFmtId="0" fontId="0" fillId="0" borderId="0" xfId="0" applyFill="1" applyAlignment="1">
      <alignment/>
    </xf>
    <xf numFmtId="0" fontId="19" fillId="0" borderId="0" xfId="0" applyFont="1" applyFill="1" applyAlignment="1">
      <alignment/>
    </xf>
    <xf numFmtId="0" fontId="19" fillId="0" borderId="0" xfId="0" applyFont="1" applyFill="1" applyBorder="1" applyAlignment="1">
      <alignment/>
    </xf>
    <xf numFmtId="0" fontId="18" fillId="0" borderId="0" xfId="0" applyFont="1" applyFill="1" applyAlignment="1">
      <alignment/>
    </xf>
    <xf numFmtId="0" fontId="18" fillId="0" borderId="0" xfId="0" applyFont="1" applyFill="1" applyBorder="1" applyAlignment="1">
      <alignment/>
    </xf>
    <xf numFmtId="0" fontId="18" fillId="0" borderId="0" xfId="0" applyFont="1" applyFill="1" applyBorder="1" applyAlignment="1">
      <alignment horizontal="left"/>
    </xf>
    <xf numFmtId="0" fontId="0" fillId="0" borderId="0" xfId="0" applyAlignment="1">
      <alignment wrapText="1"/>
    </xf>
    <xf numFmtId="1" fontId="2" fillId="0" borderId="0" xfId="0" applyNumberFormat="1" applyFont="1" applyBorder="1" applyAlignment="1">
      <alignment horizontal="center"/>
    </xf>
    <xf numFmtId="0" fontId="2" fillId="0" borderId="0" xfId="0" applyFont="1" applyFill="1" applyBorder="1" applyAlignment="1">
      <alignment horizontal="center"/>
    </xf>
    <xf numFmtId="7" fontId="0" fillId="0" borderId="0" xfId="0" applyNumberFormat="1" applyFont="1" applyFill="1" applyBorder="1" applyAlignment="1">
      <alignment horizontal="center"/>
    </xf>
    <xf numFmtId="175" fontId="13" fillId="0" borderId="27" xfId="60" applyNumberFormat="1" applyFont="1" applyFill="1" applyBorder="1" applyAlignment="1">
      <alignment horizontal="center"/>
    </xf>
    <xf numFmtId="1" fontId="14" fillId="0" borderId="0" xfId="0" applyNumberFormat="1" applyFont="1" applyFill="1" applyBorder="1" applyAlignment="1">
      <alignment wrapText="1"/>
    </xf>
    <xf numFmtId="8" fontId="2" fillId="0" borderId="0" xfId="60" applyNumberFormat="1" applyFont="1" applyFill="1" applyBorder="1" applyAlignment="1">
      <alignment/>
    </xf>
    <xf numFmtId="8" fontId="2" fillId="0" borderId="0" xfId="0" applyNumberFormat="1" applyFont="1" applyAlignment="1">
      <alignment/>
    </xf>
    <xf numFmtId="0" fontId="0" fillId="0" borderId="27" xfId="0" applyFill="1" applyBorder="1" applyAlignment="1">
      <alignment wrapText="1"/>
    </xf>
    <xf numFmtId="0" fontId="0" fillId="0" borderId="27" xfId="0" applyBorder="1" applyAlignment="1">
      <alignment wrapText="1"/>
    </xf>
    <xf numFmtId="0" fontId="0" fillId="0" borderId="24" xfId="0" applyFill="1" applyBorder="1" applyAlignment="1">
      <alignment wrapText="1"/>
    </xf>
    <xf numFmtId="0" fontId="0" fillId="0" borderId="19" xfId="0" applyBorder="1" applyAlignment="1">
      <alignment horizontal="center"/>
    </xf>
    <xf numFmtId="0" fontId="2" fillId="0" borderId="0" xfId="0" applyFont="1" applyAlignment="1">
      <alignment horizontal="right"/>
    </xf>
    <xf numFmtId="173" fontId="2" fillId="38" borderId="19" xfId="0" applyNumberFormat="1" applyFont="1" applyFill="1" applyBorder="1" applyAlignment="1">
      <alignment horizontal="center"/>
    </xf>
    <xf numFmtId="2" fontId="2" fillId="38" borderId="19" xfId="0" applyNumberFormat="1" applyFont="1" applyFill="1" applyBorder="1" applyAlignment="1">
      <alignment horizontal="center"/>
    </xf>
    <xf numFmtId="9" fontId="2" fillId="38" borderId="19" xfId="60" applyFont="1" applyFill="1" applyBorder="1" applyAlignment="1">
      <alignment horizontal="center"/>
    </xf>
    <xf numFmtId="0" fontId="0" fillId="0" borderId="31" xfId="0" applyBorder="1" applyAlignment="1">
      <alignment horizontal="center" wrapText="1"/>
    </xf>
    <xf numFmtId="0" fontId="0" fillId="0" borderId="0" xfId="0" applyNumberFormat="1" applyAlignment="1">
      <alignment wrapText="1"/>
    </xf>
    <xf numFmtId="0" fontId="2" fillId="0" borderId="0" xfId="0" applyFont="1" applyAlignment="1">
      <alignment horizontal="centerContinuous" wrapText="1"/>
    </xf>
    <xf numFmtId="0" fontId="7" fillId="0" borderId="27" xfId="0" applyFont="1" applyFill="1" applyBorder="1" applyAlignment="1">
      <alignment wrapText="1"/>
    </xf>
    <xf numFmtId="0" fontId="7" fillId="0" borderId="0" xfId="0" applyFont="1" applyAlignment="1">
      <alignment horizontal="centerContinuous" wrapText="1"/>
    </xf>
    <xf numFmtId="0" fontId="7" fillId="0" borderId="0" xfId="0" applyFont="1" applyAlignment="1">
      <alignment wrapText="1"/>
    </xf>
    <xf numFmtId="0" fontId="13" fillId="0" borderId="0" xfId="0" applyFont="1" applyAlignment="1">
      <alignment wrapText="1"/>
    </xf>
    <xf numFmtId="0" fontId="0" fillId="0" borderId="16" xfId="0" applyBorder="1" applyAlignment="1">
      <alignment/>
    </xf>
    <xf numFmtId="0" fontId="0" fillId="0" borderId="32" xfId="0" applyBorder="1" applyAlignment="1">
      <alignment horizontal="center"/>
    </xf>
    <xf numFmtId="0" fontId="2" fillId="33" borderId="33" xfId="0" applyFont="1" applyFill="1" applyBorder="1" applyAlignment="1">
      <alignment horizontal="center" vertical="top" wrapText="1"/>
    </xf>
    <xf numFmtId="0" fontId="2" fillId="33" borderId="34" xfId="0" applyFont="1" applyFill="1" applyBorder="1" applyAlignment="1">
      <alignment horizontal="center" vertical="top" wrapText="1"/>
    </xf>
    <xf numFmtId="0" fontId="0" fillId="0" borderId="0" xfId="0" applyFont="1" applyBorder="1" applyAlignment="1">
      <alignment horizontal="center"/>
    </xf>
    <xf numFmtId="10" fontId="0" fillId="0" borderId="35" xfId="60" applyNumberFormat="1" applyFont="1" applyBorder="1" applyAlignment="1">
      <alignment horizontal="center"/>
    </xf>
    <xf numFmtId="10" fontId="0" fillId="0" borderId="26" xfId="60" applyNumberFormat="1" applyFont="1" applyBorder="1" applyAlignment="1">
      <alignment horizontal="center"/>
    </xf>
    <xf numFmtId="0" fontId="2" fillId="33" borderId="22" xfId="0" applyFont="1" applyFill="1" applyBorder="1" applyAlignment="1">
      <alignment/>
    </xf>
    <xf numFmtId="10" fontId="0" fillId="0" borderId="35" xfId="0" applyNumberFormat="1" applyFont="1" applyBorder="1" applyAlignment="1">
      <alignment/>
    </xf>
    <xf numFmtId="10" fontId="0" fillId="0" borderId="26" xfId="0" applyNumberFormat="1" applyFont="1" applyBorder="1" applyAlignment="1">
      <alignment/>
    </xf>
    <xf numFmtId="10" fontId="0" fillId="0" borderId="0" xfId="60" applyNumberFormat="1" applyFont="1" applyAlignment="1">
      <alignment/>
    </xf>
    <xf numFmtId="10" fontId="0" fillId="0" borderId="0" xfId="60" applyNumberFormat="1" applyFont="1" applyFill="1" applyAlignment="1">
      <alignment/>
    </xf>
    <xf numFmtId="175" fontId="0" fillId="0" borderId="35" xfId="60" applyNumberFormat="1" applyFont="1" applyBorder="1" applyAlignment="1">
      <alignment/>
    </xf>
    <xf numFmtId="175" fontId="0" fillId="0" borderId="26" xfId="60" applyNumberFormat="1" applyFont="1" applyBorder="1" applyAlignment="1">
      <alignment/>
    </xf>
    <xf numFmtId="9" fontId="0" fillId="33" borderId="11" xfId="60" applyFont="1" applyFill="1" applyBorder="1" applyAlignment="1">
      <alignment horizontal="center"/>
    </xf>
    <xf numFmtId="0" fontId="0" fillId="39" borderId="23" xfId="0" applyFill="1" applyBorder="1" applyAlignment="1">
      <alignment/>
    </xf>
    <xf numFmtId="0" fontId="7" fillId="0" borderId="0" xfId="0" applyFont="1" applyAlignment="1">
      <alignment/>
    </xf>
    <xf numFmtId="0" fontId="8" fillId="40" borderId="36" xfId="0" applyFont="1" applyFill="1" applyBorder="1" applyAlignment="1">
      <alignment/>
    </xf>
    <xf numFmtId="0" fontId="8" fillId="40" borderId="37" xfId="0" applyFont="1" applyFill="1" applyBorder="1" applyAlignment="1">
      <alignment horizontal="center"/>
    </xf>
    <xf numFmtId="14" fontId="8" fillId="40" borderId="37" xfId="0" applyNumberFormat="1" applyFont="1" applyFill="1" applyBorder="1" applyAlignment="1">
      <alignment horizontal="center"/>
    </xf>
    <xf numFmtId="172" fontId="8" fillId="40" borderId="37" xfId="0" applyNumberFormat="1" applyFont="1" applyFill="1" applyBorder="1" applyAlignment="1">
      <alignment horizontal="center"/>
    </xf>
    <xf numFmtId="0" fontId="0" fillId="0" borderId="18" xfId="0" applyFont="1" applyBorder="1" applyAlignment="1">
      <alignment horizontal="center" wrapText="1"/>
    </xf>
    <xf numFmtId="0" fontId="22" fillId="0" borderId="0" xfId="0" applyFont="1" applyFill="1" applyBorder="1" applyAlignment="1">
      <alignment horizontal="left" wrapText="1"/>
    </xf>
    <xf numFmtId="0" fontId="25" fillId="0" borderId="38" xfId="0" applyFont="1" applyBorder="1" applyAlignment="1">
      <alignment/>
    </xf>
    <xf numFmtId="0" fontId="26" fillId="39" borderId="12" xfId="0" applyFont="1" applyFill="1" applyBorder="1" applyAlignment="1">
      <alignment horizontal="center"/>
    </xf>
    <xf numFmtId="0" fontId="26" fillId="39" borderId="12" xfId="0" applyFont="1" applyFill="1" applyBorder="1" applyAlignment="1">
      <alignment wrapText="1"/>
    </xf>
    <xf numFmtId="0" fontId="26" fillId="39" borderId="24" xfId="0" applyFont="1" applyFill="1" applyBorder="1" applyAlignment="1">
      <alignment horizontal="center"/>
    </xf>
    <xf numFmtId="0" fontId="24" fillId="39" borderId="27" xfId="0" applyFont="1" applyFill="1" applyBorder="1" applyAlignment="1">
      <alignment horizontal="left"/>
    </xf>
    <xf numFmtId="0" fontId="26" fillId="39" borderId="24" xfId="0" applyFont="1" applyFill="1" applyBorder="1" applyAlignment="1">
      <alignment horizontal="left"/>
    </xf>
    <xf numFmtId="0" fontId="25" fillId="0" borderId="23" xfId="0" applyFont="1" applyBorder="1" applyAlignment="1">
      <alignment/>
    </xf>
    <xf numFmtId="0" fontId="25" fillId="0" borderId="38" xfId="0" applyFont="1" applyFill="1" applyBorder="1" applyAlignment="1">
      <alignment/>
    </xf>
    <xf numFmtId="0" fontId="22" fillId="0" borderId="0" xfId="0" applyFont="1" applyBorder="1" applyAlignment="1">
      <alignment wrapText="1"/>
    </xf>
    <xf numFmtId="0" fontId="22" fillId="0" borderId="0" xfId="0" applyFont="1" applyBorder="1" applyAlignment="1">
      <alignment horizontal="left" wrapText="1"/>
    </xf>
    <xf numFmtId="0" fontId="0" fillId="39" borderId="39" xfId="0" applyFill="1" applyBorder="1" applyAlignment="1">
      <alignment/>
    </xf>
    <xf numFmtId="0" fontId="24" fillId="39" borderId="40" xfId="0" applyFont="1" applyFill="1" applyBorder="1" applyAlignment="1">
      <alignment horizontal="left"/>
    </xf>
    <xf numFmtId="0" fontId="26" fillId="39" borderId="41" xfId="0" applyFont="1" applyFill="1" applyBorder="1" applyAlignment="1">
      <alignment horizontal="left"/>
    </xf>
    <xf numFmtId="0" fontId="26" fillId="39" borderId="41" xfId="0" applyFont="1" applyFill="1" applyBorder="1" applyAlignment="1">
      <alignment horizontal="center"/>
    </xf>
    <xf numFmtId="0" fontId="26" fillId="39" borderId="42" xfId="0" applyFont="1" applyFill="1" applyBorder="1" applyAlignment="1">
      <alignment horizontal="center"/>
    </xf>
    <xf numFmtId="0" fontId="26" fillId="39" borderId="43" xfId="0" applyFont="1" applyFill="1" applyBorder="1" applyAlignment="1">
      <alignment wrapText="1"/>
    </xf>
    <xf numFmtId="0" fontId="29" fillId="0" borderId="0" xfId="0" applyFont="1" applyBorder="1" applyAlignment="1">
      <alignment wrapText="1"/>
    </xf>
    <xf numFmtId="0" fontId="22" fillId="0" borderId="0" xfId="0" applyFont="1" applyBorder="1" applyAlignment="1" applyProtection="1">
      <alignment wrapText="1"/>
      <protection/>
    </xf>
    <xf numFmtId="0" fontId="25" fillId="0" borderId="38" xfId="0" applyFont="1" applyFill="1" applyBorder="1" applyAlignment="1">
      <alignment horizontal="left"/>
    </xf>
    <xf numFmtId="0" fontId="30" fillId="0" borderId="0" xfId="0" applyFont="1" applyAlignment="1">
      <alignment/>
    </xf>
    <xf numFmtId="0" fontId="31" fillId="0" borderId="0" xfId="0" applyFont="1" applyAlignment="1">
      <alignment/>
    </xf>
    <xf numFmtId="0" fontId="12" fillId="0" borderId="0" xfId="0" applyFont="1" applyAlignment="1">
      <alignment/>
    </xf>
    <xf numFmtId="0" fontId="2" fillId="39" borderId="44" xfId="0" applyFont="1" applyFill="1" applyBorder="1" applyAlignment="1">
      <alignment horizontal="center"/>
    </xf>
    <xf numFmtId="0" fontId="2" fillId="39" borderId="44" xfId="0" applyFont="1" applyFill="1" applyBorder="1" applyAlignment="1">
      <alignment horizontal="center" wrapText="1"/>
    </xf>
    <xf numFmtId="0" fontId="13" fillId="0" borderId="0" xfId="0" applyFont="1" applyFill="1" applyBorder="1" applyAlignment="1">
      <alignment/>
    </xf>
    <xf numFmtId="0" fontId="0" fillId="33" borderId="45" xfId="0" applyFill="1" applyBorder="1" applyAlignment="1">
      <alignment/>
    </xf>
    <xf numFmtId="2" fontId="0" fillId="33" borderId="11" xfId="0" applyNumberFormat="1" applyFill="1" applyBorder="1" applyAlignment="1">
      <alignment horizontal="center"/>
    </xf>
    <xf numFmtId="0" fontId="0" fillId="0" borderId="25" xfId="0" applyFont="1" applyBorder="1" applyAlignment="1">
      <alignment horizontal="center" wrapText="1"/>
    </xf>
    <xf numFmtId="0" fontId="7" fillId="0" borderId="0" xfId="0" applyFont="1" applyFill="1" applyBorder="1" applyAlignment="1">
      <alignment/>
    </xf>
    <xf numFmtId="0" fontId="0" fillId="0" borderId="46" xfId="0" applyBorder="1" applyAlignment="1">
      <alignment/>
    </xf>
    <xf numFmtId="0" fontId="22" fillId="0" borderId="16" xfId="0" applyFont="1" applyBorder="1" applyAlignment="1" applyProtection="1">
      <alignment wrapText="1"/>
      <protection/>
    </xf>
    <xf numFmtId="0" fontId="22" fillId="0" borderId="16" xfId="0" applyFont="1" applyBorder="1" applyAlignment="1">
      <alignment wrapText="1"/>
    </xf>
    <xf numFmtId="0" fontId="0" fillId="0" borderId="32" xfId="0" applyFont="1" applyBorder="1" applyAlignment="1">
      <alignment horizontal="center"/>
    </xf>
    <xf numFmtId="0" fontId="0" fillId="0" borderId="17" xfId="0" applyFont="1" applyFill="1" applyBorder="1" applyAlignment="1">
      <alignment horizontal="left" wrapText="1"/>
    </xf>
    <xf numFmtId="3" fontId="0" fillId="37" borderId="47" xfId="0" applyNumberFormat="1" applyFont="1" applyFill="1" applyBorder="1" applyAlignment="1">
      <alignment horizontal="center"/>
    </xf>
    <xf numFmtId="0" fontId="27" fillId="0" borderId="0" xfId="0" applyFont="1" applyBorder="1" applyAlignment="1">
      <alignment/>
    </xf>
    <xf numFmtId="0" fontId="0" fillId="0" borderId="32" xfId="0" applyFont="1" applyFill="1" applyBorder="1" applyAlignment="1">
      <alignment horizontal="center" wrapText="1"/>
    </xf>
    <xf numFmtId="0" fontId="22" fillId="0" borderId="16" xfId="0" applyFont="1" applyBorder="1" applyAlignment="1">
      <alignment horizontal="left" wrapText="1"/>
    </xf>
    <xf numFmtId="0" fontId="0" fillId="0" borderId="12" xfId="0" applyFill="1" applyBorder="1" applyAlignment="1">
      <alignment horizontal="left" wrapText="1"/>
    </xf>
    <xf numFmtId="8" fontId="0" fillId="36" borderId="12" xfId="0" applyNumberFormat="1" applyFont="1" applyFill="1" applyBorder="1" applyAlignment="1">
      <alignment horizontal="center"/>
    </xf>
    <xf numFmtId="9" fontId="0" fillId="0" borderId="12" xfId="60" applyFont="1" applyBorder="1" applyAlignment="1">
      <alignment horizontal="center"/>
    </xf>
    <xf numFmtId="8" fontId="0" fillId="0" borderId="12" xfId="0" applyNumberFormat="1" applyFont="1" applyBorder="1" applyAlignment="1">
      <alignment horizontal="center"/>
    </xf>
    <xf numFmtId="0" fontId="0" fillId="0" borderId="0" xfId="0" applyBorder="1" applyAlignment="1">
      <alignment horizontal="centerContinuous" wrapText="1"/>
    </xf>
    <xf numFmtId="0" fontId="0" fillId="0" borderId="48" xfId="0" applyBorder="1" applyAlignment="1">
      <alignment/>
    </xf>
    <xf numFmtId="0" fontId="22" fillId="0" borderId="15" xfId="0" applyFont="1" applyFill="1" applyBorder="1" applyAlignment="1">
      <alignment horizontal="left" wrapText="1"/>
    </xf>
    <xf numFmtId="0" fontId="7" fillId="0" borderId="0" xfId="0" applyFont="1" applyFill="1" applyBorder="1" applyAlignment="1">
      <alignment horizontal="centerContinuous" wrapText="1"/>
    </xf>
    <xf numFmtId="0" fontId="0" fillId="0" borderId="0" xfId="0" applyFont="1" applyFill="1" applyBorder="1" applyAlignment="1">
      <alignment horizontal="centerContinuous" wrapText="1"/>
    </xf>
    <xf numFmtId="173" fontId="2" fillId="0" borderId="0" xfId="0" applyNumberFormat="1" applyFont="1" applyBorder="1" applyAlignment="1">
      <alignment horizontal="center"/>
    </xf>
    <xf numFmtId="0" fontId="0" fillId="36" borderId="12" xfId="0" applyFont="1" applyFill="1" applyBorder="1" applyAlignment="1">
      <alignment horizontal="left"/>
    </xf>
    <xf numFmtId="173" fontId="2" fillId="36" borderId="12" xfId="0" applyNumberFormat="1" applyFont="1" applyFill="1" applyBorder="1" applyAlignment="1">
      <alignment horizontal="center"/>
    </xf>
    <xf numFmtId="223" fontId="0" fillId="0" borderId="0" xfId="0" applyNumberFormat="1" applyAlignment="1">
      <alignment/>
    </xf>
    <xf numFmtId="0" fontId="22" fillId="0" borderId="35" xfId="0" applyFont="1" applyBorder="1" applyAlignment="1">
      <alignment wrapText="1"/>
    </xf>
    <xf numFmtId="0" fontId="22" fillId="0" borderId="26" xfId="0" applyFont="1" applyBorder="1" applyAlignment="1" applyProtection="1">
      <alignment wrapText="1"/>
      <protection/>
    </xf>
    <xf numFmtId="172" fontId="0" fillId="36" borderId="12" xfId="0" applyNumberFormat="1" applyFont="1" applyFill="1" applyBorder="1" applyAlignment="1">
      <alignment horizontal="center"/>
    </xf>
    <xf numFmtId="0" fontId="0" fillId="36" borderId="12" xfId="0" applyFont="1" applyFill="1" applyBorder="1" applyAlignment="1">
      <alignment horizontal="center"/>
    </xf>
    <xf numFmtId="8" fontId="0" fillId="0" borderId="12" xfId="0" applyNumberFormat="1" applyFont="1" applyFill="1" applyBorder="1" applyAlignment="1">
      <alignment horizontal="center"/>
    </xf>
    <xf numFmtId="43" fontId="0" fillId="0" borderId="0" xfId="42" applyFont="1" applyFill="1" applyBorder="1" applyAlignment="1">
      <alignment/>
    </xf>
    <xf numFmtId="7" fontId="0" fillId="0" borderId="16" xfId="0" applyNumberFormat="1" applyFont="1" applyFill="1" applyBorder="1" applyAlignment="1">
      <alignment horizontal="center"/>
    </xf>
    <xf numFmtId="0" fontId="0" fillId="0" borderId="13" xfId="0" applyBorder="1" applyAlignment="1">
      <alignment horizontal="center"/>
    </xf>
    <xf numFmtId="0" fontId="22" fillId="0" borderId="0" xfId="0" applyNumberFormat="1" applyFont="1" applyBorder="1" applyAlignment="1">
      <alignment horizontal="left" wrapText="1"/>
    </xf>
    <xf numFmtId="0" fontId="22" fillId="0" borderId="16" xfId="0" applyNumberFormat="1" applyFont="1" applyBorder="1" applyAlignment="1">
      <alignment horizontal="left" wrapText="1"/>
    </xf>
    <xf numFmtId="0" fontId="2" fillId="0" borderId="0" xfId="0" applyFont="1" applyAlignment="1">
      <alignment horizontal="left"/>
    </xf>
    <xf numFmtId="0" fontId="34" fillId="0" borderId="0" xfId="53" applyFont="1" applyAlignment="1" applyProtection="1">
      <alignment/>
      <protection/>
    </xf>
    <xf numFmtId="0" fontId="34" fillId="0" borderId="0" xfId="53" applyFont="1" applyAlignment="1" applyProtection="1">
      <alignment horizontal="left" indent="2"/>
      <protection/>
    </xf>
    <xf numFmtId="0" fontId="2" fillId="0" borderId="0" xfId="0" applyFont="1" applyFill="1" applyBorder="1" applyAlignment="1">
      <alignment horizontal="right"/>
    </xf>
    <xf numFmtId="0" fontId="2" fillId="0" borderId="35" xfId="0" applyFont="1" applyFill="1" applyBorder="1" applyAlignment="1">
      <alignment horizontal="right"/>
    </xf>
    <xf numFmtId="0" fontId="35" fillId="0" borderId="0" xfId="53" applyFont="1" applyBorder="1" applyAlignment="1" applyProtection="1">
      <alignment/>
      <protection/>
    </xf>
    <xf numFmtId="0" fontId="8" fillId="41" borderId="13" xfId="0"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wrapText="1"/>
    </xf>
    <xf numFmtId="0" fontId="0" fillId="41" borderId="35" xfId="0" applyFont="1" applyFill="1" applyBorder="1" applyAlignment="1">
      <alignment horizontal="center"/>
    </xf>
    <xf numFmtId="3" fontId="11" fillId="41" borderId="44" xfId="0" applyNumberFormat="1" applyFont="1" applyFill="1" applyBorder="1" applyAlignment="1">
      <alignment horizontal="center"/>
    </xf>
    <xf numFmtId="3" fontId="0" fillId="41" borderId="18" xfId="0" applyNumberFormat="1" applyFill="1" applyBorder="1" applyAlignment="1">
      <alignment horizontal="left" wrapText="1"/>
    </xf>
    <xf numFmtId="0" fontId="8" fillId="41" borderId="38" xfId="0" applyFont="1" applyFill="1" applyBorder="1" applyAlignment="1">
      <alignment/>
    </xf>
    <xf numFmtId="0" fontId="32" fillId="41" borderId="27" xfId="0" applyFont="1" applyFill="1" applyBorder="1" applyAlignment="1">
      <alignment/>
    </xf>
    <xf numFmtId="0" fontId="32" fillId="41" borderId="27" xfId="0" applyFont="1" applyFill="1" applyBorder="1" applyAlignment="1">
      <alignment wrapText="1"/>
    </xf>
    <xf numFmtId="0" fontId="0" fillId="41" borderId="27" xfId="0" applyFont="1" applyFill="1" applyBorder="1" applyAlignment="1">
      <alignment horizontal="center"/>
    </xf>
    <xf numFmtId="3" fontId="11" fillId="41" borderId="27" xfId="0" applyNumberFormat="1" applyFont="1" applyFill="1" applyBorder="1" applyAlignment="1">
      <alignment horizontal="center"/>
    </xf>
    <xf numFmtId="3" fontId="0" fillId="41" borderId="28" xfId="0" applyNumberFormat="1" applyFill="1" applyBorder="1" applyAlignment="1">
      <alignment horizontal="left" wrapText="1"/>
    </xf>
    <xf numFmtId="0" fontId="25" fillId="0" borderId="48" xfId="0" applyFont="1" applyBorder="1" applyAlignment="1">
      <alignment/>
    </xf>
    <xf numFmtId="0" fontId="7" fillId="0" borderId="15" xfId="0" applyFont="1" applyBorder="1" applyAlignment="1">
      <alignment/>
    </xf>
    <xf numFmtId="0" fontId="0" fillId="0" borderId="35" xfId="0" applyBorder="1" applyAlignment="1">
      <alignment wrapText="1"/>
    </xf>
    <xf numFmtId="0" fontId="0" fillId="0" borderId="13" xfId="0" applyFont="1" applyFill="1" applyBorder="1" applyAlignment="1">
      <alignment horizontal="left"/>
    </xf>
    <xf numFmtId="0" fontId="22" fillId="0" borderId="17" xfId="0" applyFont="1" applyFill="1" applyBorder="1" applyAlignment="1">
      <alignment horizontal="left" wrapText="1"/>
    </xf>
    <xf numFmtId="0" fontId="7" fillId="0" borderId="0" xfId="0" applyFont="1" applyBorder="1" applyAlignment="1">
      <alignment/>
    </xf>
    <xf numFmtId="175" fontId="0" fillId="0" borderId="12" xfId="60" applyNumberFormat="1" applyFont="1" applyFill="1" applyBorder="1" applyAlignment="1">
      <alignment horizontal="center"/>
    </xf>
    <xf numFmtId="172" fontId="0" fillId="0" borderId="0" xfId="0" applyNumberFormat="1" applyAlignment="1">
      <alignment/>
    </xf>
    <xf numFmtId="0" fontId="2" fillId="39" borderId="12" xfId="0" applyFont="1" applyFill="1" applyBorder="1" applyAlignment="1">
      <alignment horizontal="center"/>
    </xf>
    <xf numFmtId="0" fontId="2" fillId="39" borderId="49" xfId="0" applyFont="1" applyFill="1" applyBorder="1" applyAlignment="1">
      <alignment horizontal="center"/>
    </xf>
    <xf numFmtId="0" fontId="21" fillId="0" borderId="0" xfId="0" applyFont="1" applyAlignment="1">
      <alignment/>
    </xf>
    <xf numFmtId="0" fontId="27" fillId="0" borderId="0" xfId="0" applyFont="1" applyAlignment="1">
      <alignment/>
    </xf>
    <xf numFmtId="0" fontId="36" fillId="0" borderId="0" xfId="0" applyFont="1" applyBorder="1" applyAlignment="1">
      <alignment/>
    </xf>
    <xf numFmtId="0" fontId="18" fillId="0" borderId="0" xfId="0" applyFont="1" applyAlignment="1">
      <alignment/>
    </xf>
    <xf numFmtId="0" fontId="19" fillId="0" borderId="0" xfId="0" applyFont="1" applyAlignment="1">
      <alignment/>
    </xf>
    <xf numFmtId="170" fontId="0" fillId="33" borderId="11" xfId="0" applyNumberFormat="1" applyFont="1" applyFill="1" applyBorder="1" applyAlignment="1">
      <alignment horizontal="center"/>
    </xf>
    <xf numFmtId="0" fontId="0" fillId="0" borderId="39" xfId="0" applyFont="1" applyBorder="1" applyAlignment="1">
      <alignment/>
    </xf>
    <xf numFmtId="175" fontId="0" fillId="0" borderId="50" xfId="60" applyNumberFormat="1" applyFont="1" applyBorder="1" applyAlignment="1">
      <alignment/>
    </xf>
    <xf numFmtId="10" fontId="0" fillId="33" borderId="33" xfId="60" applyNumberFormat="1" applyFont="1" applyFill="1" applyBorder="1" applyAlignment="1">
      <alignment horizontal="right"/>
    </xf>
    <xf numFmtId="0" fontId="0" fillId="33" borderId="33" xfId="0" applyFont="1" applyFill="1" applyBorder="1" applyAlignment="1">
      <alignment horizontal="right"/>
    </xf>
    <xf numFmtId="43" fontId="3" fillId="0" borderId="0" xfId="42" applyFont="1" applyAlignment="1">
      <alignment/>
    </xf>
    <xf numFmtId="8" fontId="0" fillId="0" borderId="0" xfId="0" applyNumberFormat="1" applyFill="1" applyBorder="1" applyAlignment="1">
      <alignment/>
    </xf>
    <xf numFmtId="0" fontId="0" fillId="39" borderId="44" xfId="0" applyFont="1" applyFill="1" applyBorder="1" applyAlignment="1" applyProtection="1">
      <alignment horizontal="center"/>
      <protection locked="0"/>
    </xf>
    <xf numFmtId="0" fontId="0" fillId="0" borderId="18" xfId="0" applyBorder="1" applyAlignment="1" applyProtection="1">
      <alignment wrapText="1"/>
      <protection locked="0"/>
    </xf>
    <xf numFmtId="14" fontId="0" fillId="37" borderId="44" xfId="0" applyNumberFormat="1" applyFont="1" applyFill="1" applyBorder="1" applyAlignment="1" applyProtection="1">
      <alignment horizontal="center"/>
      <protection locked="0"/>
    </xf>
    <xf numFmtId="0" fontId="0" fillId="37" borderId="44" xfId="0" applyFont="1" applyFill="1" applyBorder="1" applyAlignment="1" applyProtection="1">
      <alignment horizontal="center"/>
      <protection locked="0"/>
    </xf>
    <xf numFmtId="0" fontId="5" fillId="37" borderId="44" xfId="53" applyFill="1" applyBorder="1" applyAlignment="1" applyProtection="1">
      <alignment horizontal="center"/>
      <protection locked="0"/>
    </xf>
    <xf numFmtId="0" fontId="0" fillId="37" borderId="19" xfId="0" applyFont="1" applyFill="1" applyBorder="1" applyAlignment="1" applyProtection="1">
      <alignment horizontal="center"/>
      <protection locked="0"/>
    </xf>
    <xf numFmtId="0" fontId="0" fillId="37" borderId="47" xfId="0" applyFont="1" applyFill="1" applyBorder="1" applyAlignment="1" applyProtection="1">
      <alignment horizontal="center"/>
      <protection locked="0"/>
    </xf>
    <xf numFmtId="0" fontId="0" fillId="0" borderId="25" xfId="0" applyBorder="1" applyAlignment="1" applyProtection="1">
      <alignment wrapText="1"/>
      <protection locked="0"/>
    </xf>
    <xf numFmtId="6" fontId="0" fillId="37" borderId="32" xfId="0" applyNumberFormat="1" applyFont="1" applyFill="1" applyBorder="1" applyAlignment="1" applyProtection="1">
      <alignment horizontal="left" wrapText="1"/>
      <protection locked="0"/>
    </xf>
    <xf numFmtId="6" fontId="0" fillId="37" borderId="44" xfId="0" applyNumberFormat="1" applyFont="1" applyFill="1" applyBorder="1" applyAlignment="1" applyProtection="1">
      <alignment horizontal="center"/>
      <protection locked="0"/>
    </xf>
    <xf numFmtId="9" fontId="0" fillId="37" borderId="44" xfId="0" applyNumberFormat="1" applyFont="1" applyFill="1" applyBorder="1" applyAlignment="1" applyProtection="1">
      <alignment horizontal="center"/>
      <protection locked="0"/>
    </xf>
    <xf numFmtId="9" fontId="0" fillId="37" borderId="19" xfId="0" applyNumberFormat="1" applyFont="1" applyFill="1" applyBorder="1" applyAlignment="1" applyProtection="1">
      <alignment horizontal="center"/>
      <protection locked="0"/>
    </xf>
    <xf numFmtId="6" fontId="0" fillId="37" borderId="32" xfId="0" applyNumberFormat="1" applyFont="1" applyFill="1" applyBorder="1" applyAlignment="1" applyProtection="1">
      <alignment horizontal="center"/>
      <protection locked="0"/>
    </xf>
    <xf numFmtId="3" fontId="0" fillId="37" borderId="44" xfId="0" applyNumberFormat="1" applyFont="1" applyFill="1" applyBorder="1" applyAlignment="1" applyProtection="1">
      <alignment horizontal="center"/>
      <protection locked="0"/>
    </xf>
    <xf numFmtId="175" fontId="0" fillId="37" borderId="32" xfId="60" applyNumberFormat="1" applyFont="1" applyFill="1" applyBorder="1" applyAlignment="1" applyProtection="1">
      <alignment horizontal="center" wrapText="1"/>
      <protection locked="0"/>
    </xf>
    <xf numFmtId="8" fontId="0" fillId="37" borderId="44" xfId="0" applyNumberFormat="1" applyFont="1" applyFill="1" applyBorder="1" applyAlignment="1" applyProtection="1">
      <alignment horizontal="center"/>
      <protection locked="0"/>
    </xf>
    <xf numFmtId="0" fontId="11" fillId="0" borderId="19" xfId="0" applyFont="1" applyBorder="1" applyAlignment="1" applyProtection="1">
      <alignment/>
      <protection locked="0"/>
    </xf>
    <xf numFmtId="0" fontId="13" fillId="0" borderId="51" xfId="0" applyFont="1" applyBorder="1" applyAlignment="1" applyProtection="1">
      <alignment/>
      <protection locked="0"/>
    </xf>
    <xf numFmtId="0" fontId="0" fillId="0" borderId="35" xfId="0" applyBorder="1" applyAlignment="1" applyProtection="1">
      <alignment wrapText="1"/>
      <protection locked="0"/>
    </xf>
    <xf numFmtId="0" fontId="0" fillId="0" borderId="52" xfId="0" applyBorder="1" applyAlignment="1" applyProtection="1">
      <alignment horizontal="left" vertical="top" wrapText="1" indent="2"/>
      <protection locked="0"/>
    </xf>
    <xf numFmtId="194" fontId="0" fillId="37" borderId="44" xfId="0" applyNumberFormat="1" applyFont="1" applyFill="1" applyBorder="1" applyAlignment="1" applyProtection="1">
      <alignment horizontal="center"/>
      <protection locked="0"/>
    </xf>
    <xf numFmtId="3" fontId="0" fillId="0" borderId="18" xfId="0" applyNumberFormat="1" applyFill="1" applyBorder="1" applyAlignment="1" applyProtection="1">
      <alignment horizontal="left" wrapText="1"/>
      <protection locked="0"/>
    </xf>
    <xf numFmtId="0" fontId="0" fillId="0" borderId="18" xfId="0" applyFill="1" applyBorder="1" applyAlignment="1" applyProtection="1">
      <alignment horizontal="left" wrapText="1"/>
      <protection locked="0"/>
    </xf>
    <xf numFmtId="0" fontId="0" fillId="37" borderId="32" xfId="0" applyFont="1" applyFill="1" applyBorder="1" applyAlignment="1" applyProtection="1">
      <alignment horizontal="center"/>
      <protection locked="0"/>
    </xf>
    <xf numFmtId="0" fontId="0" fillId="0" borderId="32" xfId="0" applyFill="1" applyBorder="1" applyAlignment="1" applyProtection="1">
      <alignment horizontal="left" wrapText="1"/>
      <protection locked="0"/>
    </xf>
    <xf numFmtId="0" fontId="0" fillId="39" borderId="38" xfId="0" applyFont="1" applyFill="1" applyBorder="1" applyAlignment="1" applyProtection="1">
      <alignment horizontal="center"/>
      <protection locked="0"/>
    </xf>
    <xf numFmtId="2" fontId="0" fillId="37" borderId="44" xfId="0" applyNumberFormat="1" applyFont="1" applyFill="1" applyBorder="1" applyAlignment="1" applyProtection="1">
      <alignment horizontal="center"/>
      <protection locked="0"/>
    </xf>
    <xf numFmtId="1" fontId="0" fillId="0" borderId="18" xfId="0" applyNumberFormat="1" applyFill="1" applyBorder="1" applyAlignment="1" applyProtection="1">
      <alignment horizontal="left" wrapText="1"/>
      <protection locked="0"/>
    </xf>
    <xf numFmtId="1" fontId="0" fillId="0" borderId="32" xfId="0" applyNumberFormat="1" applyFill="1" applyBorder="1" applyAlignment="1" applyProtection="1">
      <alignment horizontal="left" wrapText="1"/>
      <protection locked="0"/>
    </xf>
    <xf numFmtId="0" fontId="0" fillId="37" borderId="44" xfId="0" applyFont="1" applyFill="1" applyBorder="1" applyAlignment="1" applyProtection="1">
      <alignment horizontal="center"/>
      <protection locked="0"/>
    </xf>
    <xf numFmtId="0" fontId="0" fillId="0" borderId="18" xfId="0" applyBorder="1" applyAlignment="1" applyProtection="1">
      <alignment/>
      <protection locked="0"/>
    </xf>
    <xf numFmtId="6" fontId="0" fillId="37" borderId="47" xfId="0" applyNumberFormat="1" applyFont="1" applyFill="1" applyBorder="1" applyAlignment="1" applyProtection="1">
      <alignment horizontal="center"/>
      <protection locked="0"/>
    </xf>
    <xf numFmtId="0" fontId="0" fillId="0" borderId="25" xfId="0" applyFill="1" applyBorder="1" applyAlignment="1" applyProtection="1">
      <alignment horizontal="left" wrapText="1"/>
      <protection locked="0"/>
    </xf>
    <xf numFmtId="0" fontId="0" fillId="0" borderId="18" xfId="0" applyFill="1" applyBorder="1" applyAlignment="1" applyProtection="1">
      <alignment wrapText="1"/>
      <protection locked="0"/>
    </xf>
    <xf numFmtId="0" fontId="0" fillId="0" borderId="32" xfId="0" applyFill="1" applyBorder="1" applyAlignment="1" applyProtection="1">
      <alignment wrapText="1"/>
      <protection locked="0"/>
    </xf>
    <xf numFmtId="175" fontId="0" fillId="37" borderId="47" xfId="60" applyNumberFormat="1" applyFont="1" applyFill="1" applyBorder="1" applyAlignment="1" applyProtection="1">
      <alignment horizontal="center"/>
      <protection locked="0"/>
    </xf>
    <xf numFmtId="0" fontId="0" fillId="0" borderId="25" xfId="0" applyFont="1" applyBorder="1" applyAlignment="1" applyProtection="1">
      <alignment wrapText="1"/>
      <protection locked="0"/>
    </xf>
    <xf numFmtId="0" fontId="0" fillId="0" borderId="12" xfId="0" applyFont="1" applyFill="1" applyBorder="1" applyAlignment="1" applyProtection="1">
      <alignment horizontal="left"/>
      <protection locked="0"/>
    </xf>
    <xf numFmtId="0" fontId="0" fillId="0" borderId="49" xfId="0" applyFont="1" applyFill="1" applyBorder="1" applyAlignment="1" applyProtection="1">
      <alignment horizontal="left"/>
      <protection locked="0"/>
    </xf>
    <xf numFmtId="9" fontId="0" fillId="37" borderId="44" xfId="60" applyFont="1" applyFill="1" applyBorder="1" applyAlignment="1" applyProtection="1">
      <alignment horizontal="center"/>
      <protection locked="0"/>
    </xf>
    <xf numFmtId="0" fontId="23" fillId="39" borderId="44" xfId="0" applyFont="1" applyFill="1" applyBorder="1" applyAlignment="1" applyProtection="1">
      <alignment horizontal="left" vertical="center" wrapText="1" indent="2"/>
      <protection locked="0"/>
    </xf>
    <xf numFmtId="1" fontId="0" fillId="36" borderId="12" xfId="0" applyNumberFormat="1" applyFont="1" applyFill="1" applyBorder="1" applyAlignment="1" applyProtection="1">
      <alignment horizontal="center"/>
      <protection locked="0"/>
    </xf>
    <xf numFmtId="4" fontId="0" fillId="37" borderId="32" xfId="60" applyNumberFormat="1" applyFont="1" applyFill="1" applyBorder="1" applyAlignment="1" applyProtection="1">
      <alignment horizontal="center"/>
      <protection locked="0"/>
    </xf>
    <xf numFmtId="4" fontId="0" fillId="37" borderId="44" xfId="60" applyNumberFormat="1" applyFont="1" applyFill="1" applyBorder="1" applyAlignment="1" applyProtection="1">
      <alignment horizontal="center"/>
      <protection locked="0"/>
    </xf>
    <xf numFmtId="4" fontId="0" fillId="37" borderId="44" xfId="0" applyNumberFormat="1" applyFont="1" applyFill="1" applyBorder="1" applyAlignment="1" applyProtection="1">
      <alignment horizontal="center"/>
      <protection locked="0"/>
    </xf>
    <xf numFmtId="0" fontId="0" fillId="0" borderId="18" xfId="0" applyFont="1" applyBorder="1" applyAlignment="1" applyProtection="1">
      <alignment wrapText="1"/>
      <protection locked="0"/>
    </xf>
    <xf numFmtId="0" fontId="0" fillId="0" borderId="18" xfId="0" applyFont="1" applyBorder="1" applyAlignment="1" applyProtection="1">
      <alignment wrapText="1"/>
      <protection locked="0"/>
    </xf>
    <xf numFmtId="0" fontId="0" fillId="0" borderId="18" xfId="0" applyFont="1" applyFill="1" applyBorder="1" applyAlignment="1" applyProtection="1">
      <alignment horizontal="left" wrapText="1"/>
      <protection locked="0"/>
    </xf>
    <xf numFmtId="0" fontId="0" fillId="0" borderId="32" xfId="0" applyFont="1" applyFill="1" applyBorder="1" applyAlignment="1" applyProtection="1">
      <alignment horizontal="left" wrapText="1"/>
      <protection locked="0"/>
    </xf>
    <xf numFmtId="0" fontId="0" fillId="0" borderId="35" xfId="0" applyFont="1" applyFill="1" applyBorder="1" applyAlignment="1" applyProtection="1">
      <alignment wrapText="1"/>
      <protection locked="0"/>
    </xf>
    <xf numFmtId="3" fontId="0" fillId="0" borderId="18" xfId="0" applyNumberFormat="1" applyFont="1" applyFill="1" applyBorder="1" applyAlignment="1" applyProtection="1">
      <alignment horizontal="left" wrapText="1"/>
      <protection locked="0"/>
    </xf>
    <xf numFmtId="0" fontId="0" fillId="0" borderId="23" xfId="0" applyFont="1" applyFill="1" applyBorder="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2">
    <dxf>
      <font>
        <color indexed="9"/>
      </font>
      <fill>
        <patternFill patternType="lightUp">
          <bgColor indexed="65"/>
        </patternFill>
      </fill>
    </dxf>
    <dxf>
      <font>
        <color indexed="22"/>
      </font>
      <fill>
        <patternFill patternType="gray125">
          <bgColor indexed="65"/>
        </patternFill>
      </fill>
    </dxf>
    <dxf>
      <font>
        <color indexed="22"/>
      </font>
      <fill>
        <patternFill patternType="gray125">
          <bgColor indexed="65"/>
        </patternFill>
      </fill>
    </dxf>
    <dxf>
      <font>
        <color indexed="22"/>
      </font>
      <fill>
        <patternFill patternType="gray125">
          <bgColor indexed="65"/>
        </patternFill>
      </fill>
    </dxf>
    <dxf>
      <font>
        <color indexed="22"/>
      </font>
      <fill>
        <patternFill patternType="gray125">
          <bgColor indexed="65"/>
        </patternFill>
      </fill>
    </dxf>
    <dxf>
      <font>
        <color indexed="22"/>
      </font>
      <fill>
        <patternFill patternType="gray125">
          <bgColor indexed="65"/>
        </patternFill>
      </fill>
    </dxf>
    <dxf>
      <font>
        <strike val="0"/>
        <color auto="1"/>
      </font>
      <fill>
        <patternFill patternType="mediumGray">
          <bgColor indexed="65"/>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ont>
        <color indexed="22"/>
      </font>
      <fill>
        <patternFill patternType="gray125">
          <bgColor indexed="65"/>
        </patternFill>
      </fill>
    </dxf>
    <dxf>
      <font>
        <color auto="1"/>
      </font>
      <fill>
        <patternFill patternType="mediumGray"/>
      </fill>
    </dxf>
    <dxf>
      <fill>
        <patternFill patternType="mediumGray"/>
      </fill>
    </dxf>
    <dxf>
      <fill>
        <patternFill patternType="mediumGray"/>
      </fill>
    </dxf>
    <dxf>
      <font>
        <strike val="0"/>
        <color auto="1"/>
      </font>
      <fill>
        <patternFill patternType="mediumGray">
          <bgColor indexed="65"/>
        </patternFill>
      </fill>
    </dxf>
    <dxf>
      <font>
        <color auto="1"/>
      </font>
      <fill>
        <patternFill patternType="mediumGray">
          <bgColor indexed="65"/>
        </patternFill>
      </fill>
    </dxf>
    <dxf>
      <font>
        <strike val="0"/>
        <color auto="1"/>
      </font>
      <fill>
        <patternFill patternType="mediumGray">
          <bgColor indexed="22"/>
        </patternFill>
      </fill>
    </dxf>
    <dxf>
      <font>
        <strike val="0"/>
        <color auto="1"/>
      </font>
      <fill>
        <patternFill patternType="mediumGray">
          <bgColor indexed="9"/>
        </patternFill>
      </fill>
    </dxf>
    <dxf>
      <font>
        <color indexed="22"/>
      </font>
      <fill>
        <patternFill patternType="gray125">
          <bgColor indexed="65"/>
        </patternFill>
      </fill>
    </dxf>
    <dxf>
      <font>
        <color indexed="22"/>
      </font>
      <fill>
        <patternFill patternType="gray125">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1590675</xdr:colOff>
      <xdr:row>9</xdr:row>
      <xdr:rowOff>571500</xdr:rowOff>
    </xdr:from>
    <xdr:ext cx="85725" cy="276225"/>
    <xdr:sp fLocksText="0">
      <xdr:nvSpPr>
        <xdr:cNvPr id="1" name="Text Box 28"/>
        <xdr:cNvSpPr txBox="1">
          <a:spLocks noChangeArrowheads="1"/>
        </xdr:cNvSpPr>
      </xdr:nvSpPr>
      <xdr:spPr>
        <a:xfrm>
          <a:off x="6981825" y="2705100"/>
          <a:ext cx="857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atthew%20Newman\Local%20Settings\Temporary%20Internet%20Files\OLKA5\Applica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atthew%20Newman\AppData\Local\Microsoft\Windows\Temporary%20Internet%20Files\OLK45C7\Model\underlying%20data\To%20Update\ParameterUpdateTool%20201109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lication"/>
      <sheetName val="Calculations"/>
      <sheetName val="SalesTaxRates"/>
      <sheetName val="2009Unemploymen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Discount Rate"/>
      <sheetName val="STR"/>
      <sheetName val="SIR"/>
      <sheetName val="GRSO"/>
      <sheetName val="PTR"/>
      <sheetName val="Unemployment"/>
    </sheetNames>
    <sheetDataSet>
      <sheetData sheetId="5">
        <row r="8">
          <cell r="V8" t="str">
            <v>Data Year</v>
          </cell>
          <cell r="W8" t="str">
            <v>2009-10</v>
          </cell>
        </row>
        <row r="9">
          <cell r="V9" t="str">
            <v>Alameda County</v>
          </cell>
          <cell r="W9">
            <v>0.011890000000000001</v>
          </cell>
        </row>
        <row r="10">
          <cell r="V10" t="str">
            <v>Alpine County</v>
          </cell>
          <cell r="W10">
            <v>0.01</v>
          </cell>
        </row>
        <row r="11">
          <cell r="V11" t="str">
            <v>Amador County</v>
          </cell>
          <cell r="W11">
            <v>0.01015</v>
          </cell>
        </row>
        <row r="12">
          <cell r="V12" t="str">
            <v>Butte County</v>
          </cell>
          <cell r="W12">
            <v>0.01064</v>
          </cell>
        </row>
        <row r="13">
          <cell r="V13" t="str">
            <v>Calaveras County</v>
          </cell>
          <cell r="W13">
            <v>0.01075</v>
          </cell>
        </row>
        <row r="14">
          <cell r="V14" t="str">
            <v>Colusa County</v>
          </cell>
          <cell r="W14">
            <v>0.01027</v>
          </cell>
        </row>
        <row r="15">
          <cell r="V15" t="str">
            <v>Contra Costa County</v>
          </cell>
          <cell r="W15">
            <v>0.011080000000000001</v>
          </cell>
        </row>
        <row r="16">
          <cell r="V16" t="str">
            <v>Del Norte County</v>
          </cell>
          <cell r="W16">
            <v>0.01039</v>
          </cell>
        </row>
        <row r="17">
          <cell r="V17" t="str">
            <v>El Dorado County</v>
          </cell>
          <cell r="W17">
            <v>0.01055</v>
          </cell>
        </row>
        <row r="18">
          <cell r="V18" t="str">
            <v>Fresno County</v>
          </cell>
          <cell r="W18">
            <v>0.01165</v>
          </cell>
        </row>
        <row r="19">
          <cell r="V19" t="str">
            <v>Glenn County</v>
          </cell>
          <cell r="W19">
            <v>0.0105</v>
          </cell>
        </row>
        <row r="20">
          <cell r="V20" t="str">
            <v>Humboldt County</v>
          </cell>
          <cell r="W20">
            <v>0.01055</v>
          </cell>
        </row>
        <row r="21">
          <cell r="V21" t="str">
            <v>Imperial County</v>
          </cell>
          <cell r="W21">
            <v>0.01052</v>
          </cell>
        </row>
        <row r="22">
          <cell r="V22" t="str">
            <v>Inyo County</v>
          </cell>
          <cell r="W22">
            <v>0.01052</v>
          </cell>
        </row>
        <row r="23">
          <cell r="V23" t="str">
            <v>Kern County</v>
          </cell>
          <cell r="W23">
            <v>0.01114</v>
          </cell>
        </row>
        <row r="24">
          <cell r="V24" t="str">
            <v>Kings County</v>
          </cell>
          <cell r="W24">
            <v>0.01075</v>
          </cell>
        </row>
        <row r="25">
          <cell r="V25" t="str">
            <v>Lake County</v>
          </cell>
          <cell r="W25">
            <v>0.01068</v>
          </cell>
        </row>
        <row r="26">
          <cell r="V26" t="str">
            <v>Lassen County</v>
          </cell>
          <cell r="W26">
            <v>0.01024</v>
          </cell>
        </row>
        <row r="27">
          <cell r="V27" t="str">
            <v>Los Angeles County</v>
          </cell>
          <cell r="W27">
            <v>0.01168</v>
          </cell>
        </row>
        <row r="28">
          <cell r="V28" t="str">
            <v>Madera County</v>
          </cell>
          <cell r="W28">
            <v>0.01118</v>
          </cell>
        </row>
        <row r="29">
          <cell r="V29" t="str">
            <v>Marin County</v>
          </cell>
          <cell r="W29">
            <v>0.01105</v>
          </cell>
        </row>
        <row r="30">
          <cell r="V30" t="str">
            <v>Mariposa County</v>
          </cell>
          <cell r="W30">
            <v>0.01005</v>
          </cell>
        </row>
        <row r="31">
          <cell r="V31" t="str">
            <v>Mendocino County</v>
          </cell>
          <cell r="W31">
            <v>0.01097</v>
          </cell>
        </row>
        <row r="32">
          <cell r="V32" t="str">
            <v>Merced County</v>
          </cell>
          <cell r="W32">
            <v>0.01061</v>
          </cell>
        </row>
        <row r="33">
          <cell r="V33" t="str">
            <v>Modoc County</v>
          </cell>
          <cell r="W33">
            <v>0.01</v>
          </cell>
        </row>
        <row r="34">
          <cell r="V34" t="str">
            <v>Mono County</v>
          </cell>
          <cell r="W34">
            <v>0.01073</v>
          </cell>
        </row>
        <row r="35">
          <cell r="V35" t="str">
            <v>Monterey County</v>
          </cell>
          <cell r="W35">
            <v>0.01084</v>
          </cell>
        </row>
        <row r="36">
          <cell r="V36" t="str">
            <v>Napa County</v>
          </cell>
          <cell r="W36">
            <v>0.01093</v>
          </cell>
        </row>
        <row r="37">
          <cell r="V37" t="str">
            <v>Nevada County</v>
          </cell>
          <cell r="W37">
            <v>0.010329999999999999</v>
          </cell>
        </row>
        <row r="38">
          <cell r="V38" t="str">
            <v>Orange County</v>
          </cell>
          <cell r="W38">
            <v>0.01054</v>
          </cell>
        </row>
        <row r="39">
          <cell r="V39" t="str">
            <v>Placer County</v>
          </cell>
          <cell r="W39">
            <v>0.010629999999999999</v>
          </cell>
        </row>
        <row r="40">
          <cell r="V40" t="str">
            <v>Plumas County</v>
          </cell>
          <cell r="W40">
            <v>0.01038</v>
          </cell>
        </row>
        <row r="41">
          <cell r="V41" t="str">
            <v>Riverside County</v>
          </cell>
          <cell r="W41">
            <v>0.01089</v>
          </cell>
        </row>
        <row r="42">
          <cell r="V42" t="str">
            <v>Sacramento County</v>
          </cell>
          <cell r="W42">
            <v>0.01087</v>
          </cell>
        </row>
        <row r="43">
          <cell r="V43" t="str">
            <v>San Benito County</v>
          </cell>
          <cell r="W43">
            <v>0.01142</v>
          </cell>
        </row>
        <row r="44">
          <cell r="V44" t="str">
            <v>San Bernardino County</v>
          </cell>
          <cell r="W44">
            <v>0.01134</v>
          </cell>
        </row>
        <row r="45">
          <cell r="V45" t="str">
            <v>San Diego County</v>
          </cell>
          <cell r="W45">
            <v>0.01076</v>
          </cell>
        </row>
        <row r="46">
          <cell r="V46" t="str">
            <v>San Francisco County</v>
          </cell>
          <cell r="W46">
            <v>0.0116</v>
          </cell>
        </row>
        <row r="47">
          <cell r="V47" t="str">
            <v>San Joaquin County</v>
          </cell>
          <cell r="W47">
            <v>0.01113</v>
          </cell>
        </row>
        <row r="48">
          <cell r="V48" t="str">
            <v>San Luis Obispo County</v>
          </cell>
          <cell r="W48">
            <v>0.01039</v>
          </cell>
        </row>
        <row r="49">
          <cell r="V49" t="str">
            <v>San Mateo County</v>
          </cell>
          <cell r="W49">
            <v>0.01085</v>
          </cell>
        </row>
        <row r="50">
          <cell r="V50" t="str">
            <v>Santa Barbara County</v>
          </cell>
          <cell r="W50">
            <v>0.01055</v>
          </cell>
        </row>
        <row r="51">
          <cell r="V51" t="str">
            <v>Santa Clara County</v>
          </cell>
          <cell r="W51">
            <v>0.011810000000000001</v>
          </cell>
        </row>
        <row r="52">
          <cell r="V52" t="str">
            <v>Santa Cruz County</v>
          </cell>
          <cell r="W52">
            <v>0.01093</v>
          </cell>
        </row>
        <row r="53">
          <cell r="V53" t="str">
            <v>Shasta County</v>
          </cell>
          <cell r="W53">
            <v>0.01085</v>
          </cell>
        </row>
        <row r="54">
          <cell r="V54" t="str">
            <v>Sierra County</v>
          </cell>
          <cell r="W54">
            <v>0.010329999999999999</v>
          </cell>
        </row>
        <row r="55">
          <cell r="V55" t="str">
            <v>Siskiyou County</v>
          </cell>
          <cell r="W55">
            <v>0.01038</v>
          </cell>
        </row>
        <row r="56">
          <cell r="V56" t="str">
            <v>Solano County</v>
          </cell>
          <cell r="W56">
            <v>0.01121</v>
          </cell>
        </row>
        <row r="57">
          <cell r="V57" t="str">
            <v>Sonoma County</v>
          </cell>
          <cell r="W57">
            <v>0.01115</v>
          </cell>
        </row>
        <row r="58">
          <cell r="V58" t="str">
            <v>Stanislaus County</v>
          </cell>
          <cell r="W58">
            <v>0.01093</v>
          </cell>
        </row>
        <row r="59">
          <cell r="V59" t="str">
            <v>Sutter County</v>
          </cell>
          <cell r="W59">
            <v>0.010700000000000001</v>
          </cell>
        </row>
        <row r="60">
          <cell r="V60" t="str">
            <v>Tehama County</v>
          </cell>
          <cell r="W60">
            <v>0.01022</v>
          </cell>
        </row>
        <row r="61">
          <cell r="V61" t="str">
            <v>Trinity County</v>
          </cell>
          <cell r="W61">
            <v>0.010129999999999998</v>
          </cell>
        </row>
        <row r="62">
          <cell r="V62" t="str">
            <v>Tulare County</v>
          </cell>
          <cell r="W62">
            <v>0.01088</v>
          </cell>
        </row>
        <row r="63">
          <cell r="V63" t="str">
            <v>Tuolumne County</v>
          </cell>
          <cell r="W63">
            <v>0.01042</v>
          </cell>
        </row>
        <row r="64">
          <cell r="V64" t="str">
            <v>Ventura County</v>
          </cell>
          <cell r="W64">
            <v>0.010820000000000001</v>
          </cell>
        </row>
        <row r="65">
          <cell r="V65" t="str">
            <v>Yolo County</v>
          </cell>
          <cell r="W65">
            <v>0.01054</v>
          </cell>
        </row>
        <row r="66">
          <cell r="V66" t="str">
            <v>Yuba County</v>
          </cell>
          <cell r="W66">
            <v>0.01102</v>
          </cell>
        </row>
        <row r="67">
          <cell r="V67" t="str">
            <v>  Totals County</v>
          </cell>
          <cell r="W67">
            <v>0.01119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5"/>
  <sheetViews>
    <sheetView showGridLines="0" zoomScalePageLayoutView="0" workbookViewId="0" topLeftCell="A1">
      <selection activeCell="A5" sqref="A5"/>
    </sheetView>
  </sheetViews>
  <sheetFormatPr defaultColWidth="9.140625" defaultRowHeight="12.75"/>
  <cols>
    <col min="1" max="1" width="133.140625" style="0" customWidth="1"/>
  </cols>
  <sheetData>
    <row r="1" ht="12.75">
      <c r="A1" s="71" t="s">
        <v>455</v>
      </c>
    </row>
    <row r="2" ht="12.75" customHeight="1"/>
    <row r="3" ht="12.75">
      <c r="A3" s="71" t="s">
        <v>2303</v>
      </c>
    </row>
    <row r="4" ht="12.75">
      <c r="A4" t="s">
        <v>456</v>
      </c>
    </row>
    <row r="5" ht="12.75">
      <c r="A5" t="s">
        <v>953</v>
      </c>
    </row>
    <row r="7" ht="65.25" customHeight="1">
      <c r="A7" s="196" t="s">
        <v>441</v>
      </c>
    </row>
    <row r="9" ht="67.5" customHeight="1">
      <c r="A9" s="196" t="s">
        <v>590</v>
      </c>
    </row>
    <row r="11" ht="12.75">
      <c r="A11" t="s">
        <v>2304</v>
      </c>
    </row>
    <row r="15" ht="12.75">
      <c r="A15" s="17"/>
    </row>
  </sheetData>
  <sheetProtection password="E6A0" sheet="1" objects="1" scenarios="1"/>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K61"/>
  <sheetViews>
    <sheetView showGridLines="0" zoomScale="85" zoomScaleNormal="85" zoomScalePageLayoutView="0" workbookViewId="0" topLeftCell="A7">
      <selection activeCell="E41" sqref="E41"/>
    </sheetView>
  </sheetViews>
  <sheetFormatPr defaultColWidth="9.140625" defaultRowHeight="12.75"/>
  <cols>
    <col min="1" max="2" width="2.140625" style="0" customWidth="1"/>
    <col min="3" max="3" width="42.57421875" style="0" customWidth="1"/>
    <col min="4" max="4" width="10.140625" style="0" bestFit="1" customWidth="1"/>
    <col min="5" max="5" width="55.00390625" style="0" customWidth="1"/>
    <col min="6" max="6" width="61.8515625" style="196" customWidth="1"/>
    <col min="7" max="7" width="56.8515625" style="196" customWidth="1"/>
  </cols>
  <sheetData>
    <row r="1" ht="18">
      <c r="A1" s="261" t="s">
        <v>455</v>
      </c>
    </row>
    <row r="2" ht="12.75">
      <c r="A2" s="71"/>
    </row>
    <row r="3" ht="15.75">
      <c r="A3" s="78" t="s">
        <v>601</v>
      </c>
    </row>
    <row r="4" ht="15">
      <c r="A4" s="144" t="s">
        <v>454</v>
      </c>
    </row>
    <row r="6" ht="12.75">
      <c r="A6" s="71"/>
    </row>
    <row r="7" spans="1:11" ht="18.75">
      <c r="A7" s="234"/>
      <c r="B7" s="246"/>
      <c r="C7" s="247" t="s">
        <v>1323</v>
      </c>
      <c r="D7" s="245" t="s">
        <v>618</v>
      </c>
      <c r="E7" s="243" t="s">
        <v>1322</v>
      </c>
      <c r="F7" s="244" t="s">
        <v>2307</v>
      </c>
      <c r="G7" s="75"/>
      <c r="H7" s="75"/>
      <c r="I7" s="75"/>
      <c r="J7" s="75"/>
      <c r="K7" s="13"/>
    </row>
    <row r="8" spans="1:10" ht="15">
      <c r="A8" s="260" t="s">
        <v>939</v>
      </c>
      <c r="B8" s="169"/>
      <c r="C8" s="169"/>
      <c r="D8" s="182"/>
      <c r="E8" s="183"/>
      <c r="F8" s="181"/>
      <c r="G8" s="101"/>
      <c r="H8" s="101"/>
      <c r="I8" s="101"/>
      <c r="J8" s="13"/>
    </row>
    <row r="9" spans="1:10" ht="39.75">
      <c r="A9" s="159"/>
      <c r="B9" s="63"/>
      <c r="C9" s="241" t="s">
        <v>1333</v>
      </c>
      <c r="D9" s="109" t="s">
        <v>622</v>
      </c>
      <c r="E9" s="366" t="s">
        <v>2320</v>
      </c>
      <c r="F9" s="104"/>
      <c r="G9" s="101"/>
      <c r="H9" s="101"/>
      <c r="I9" s="101"/>
      <c r="J9" s="62"/>
    </row>
    <row r="10" spans="1:10" ht="14.25">
      <c r="A10" s="159"/>
      <c r="B10" s="63"/>
      <c r="C10" s="241" t="s">
        <v>1334</v>
      </c>
      <c r="D10" s="109" t="s">
        <v>623</v>
      </c>
      <c r="E10" s="343" t="s">
        <v>1358</v>
      </c>
      <c r="F10" s="344"/>
      <c r="G10" s="101"/>
      <c r="H10" s="101"/>
      <c r="I10" s="101"/>
      <c r="J10" s="98"/>
    </row>
    <row r="11" spans="1:10" ht="52.5">
      <c r="A11" s="159"/>
      <c r="B11" s="63"/>
      <c r="C11" s="241" t="s">
        <v>1335</v>
      </c>
      <c r="D11" s="110" t="s">
        <v>624</v>
      </c>
      <c r="E11" s="345">
        <v>40524</v>
      </c>
      <c r="F11" s="344"/>
      <c r="G11" s="101"/>
      <c r="H11" s="101"/>
      <c r="I11" s="101"/>
      <c r="J11" s="98"/>
    </row>
    <row r="12" spans="1:10" ht="65.25">
      <c r="A12" s="159"/>
      <c r="B12" s="63"/>
      <c r="C12" s="241" t="s">
        <v>1336</v>
      </c>
      <c r="D12" s="110" t="s">
        <v>625</v>
      </c>
      <c r="E12" s="346" t="s">
        <v>2321</v>
      </c>
      <c r="F12" s="344"/>
      <c r="G12" s="101"/>
      <c r="H12" s="101"/>
      <c r="I12" s="101"/>
      <c r="J12" s="98"/>
    </row>
    <row r="13" spans="1:10" ht="14.25">
      <c r="A13" s="159"/>
      <c r="B13" s="63"/>
      <c r="C13" s="241" t="s">
        <v>1337</v>
      </c>
      <c r="D13" s="110" t="s">
        <v>626</v>
      </c>
      <c r="E13" s="346">
        <v>123456789</v>
      </c>
      <c r="F13" s="344"/>
      <c r="G13" s="101"/>
      <c r="H13" s="101"/>
      <c r="I13" s="101"/>
      <c r="J13" s="98"/>
    </row>
    <row r="14" spans="1:10" ht="14.25">
      <c r="A14" s="51"/>
      <c r="B14" s="48"/>
      <c r="C14" s="241" t="s">
        <v>1308</v>
      </c>
      <c r="D14" s="110" t="s">
        <v>627</v>
      </c>
      <c r="E14" s="346" t="s">
        <v>2322</v>
      </c>
      <c r="F14" s="344"/>
      <c r="G14" s="101"/>
      <c r="H14" s="101"/>
      <c r="I14" s="101"/>
      <c r="J14" s="62"/>
    </row>
    <row r="15" spans="1:10" ht="14.25">
      <c r="A15" s="51"/>
      <c r="B15" s="48"/>
      <c r="C15" s="241" t="s">
        <v>613</v>
      </c>
      <c r="D15" s="110" t="s">
        <v>628</v>
      </c>
      <c r="E15" s="346" t="s">
        <v>1858</v>
      </c>
      <c r="F15" s="344"/>
      <c r="G15" s="101"/>
      <c r="H15" s="101"/>
      <c r="I15" s="101"/>
      <c r="J15" s="62"/>
    </row>
    <row r="16" spans="1:10" ht="14.25">
      <c r="A16" s="51"/>
      <c r="B16" s="48"/>
      <c r="C16" s="241" t="s">
        <v>1309</v>
      </c>
      <c r="D16" s="110" t="s">
        <v>629</v>
      </c>
      <c r="E16" s="346" t="s">
        <v>2321</v>
      </c>
      <c r="F16" s="344"/>
      <c r="G16" s="101"/>
      <c r="H16" s="101"/>
      <c r="I16" s="101"/>
      <c r="J16" s="62"/>
    </row>
    <row r="17" spans="1:10" ht="14.25">
      <c r="A17" s="51"/>
      <c r="B17" s="48"/>
      <c r="C17" s="241" t="s">
        <v>1310</v>
      </c>
      <c r="D17" s="110" t="s">
        <v>630</v>
      </c>
      <c r="E17" s="346">
        <v>94608</v>
      </c>
      <c r="F17" s="344"/>
      <c r="G17" s="101"/>
      <c r="H17" s="101"/>
      <c r="I17" s="101"/>
      <c r="J17" s="62"/>
    </row>
    <row r="18" spans="1:10" ht="14.25">
      <c r="A18" s="51"/>
      <c r="B18" s="48"/>
      <c r="C18" s="241" t="s">
        <v>1384</v>
      </c>
      <c r="D18" s="110" t="s">
        <v>631</v>
      </c>
      <c r="E18" s="346" t="s">
        <v>2323</v>
      </c>
      <c r="F18" s="344"/>
      <c r="G18" s="101"/>
      <c r="H18" s="101"/>
      <c r="I18" s="101"/>
      <c r="J18" s="62"/>
    </row>
    <row r="19" spans="1:10" ht="28.5">
      <c r="A19" s="51"/>
      <c r="B19" s="48"/>
      <c r="C19" s="241" t="s">
        <v>1396</v>
      </c>
      <c r="D19" s="110" t="s">
        <v>937</v>
      </c>
      <c r="E19" s="346" t="s">
        <v>2324</v>
      </c>
      <c r="F19" s="344"/>
      <c r="G19" s="101"/>
      <c r="H19" s="101"/>
      <c r="I19" s="101"/>
      <c r="J19" s="62"/>
    </row>
    <row r="20" spans="1:10" ht="14.25">
      <c r="A20" s="51"/>
      <c r="B20" s="48"/>
      <c r="C20" s="241" t="s">
        <v>1397</v>
      </c>
      <c r="D20" s="110" t="s">
        <v>938</v>
      </c>
      <c r="E20" s="346" t="s">
        <v>2325</v>
      </c>
      <c r="F20" s="344"/>
      <c r="G20" s="101"/>
      <c r="H20" s="101"/>
      <c r="I20" s="101"/>
      <c r="J20" s="62"/>
    </row>
    <row r="21" spans="1:10" ht="14.25">
      <c r="A21" s="51"/>
      <c r="B21" s="48"/>
      <c r="C21" s="241" t="s">
        <v>1398</v>
      </c>
      <c r="D21" s="110" t="s">
        <v>940</v>
      </c>
      <c r="E21" s="347" t="s">
        <v>2326</v>
      </c>
      <c r="F21" s="344"/>
      <c r="G21" s="101"/>
      <c r="H21" s="101"/>
      <c r="I21" s="101"/>
      <c r="J21" s="62"/>
    </row>
    <row r="22" spans="1:10" ht="14.25">
      <c r="A22" s="51"/>
      <c r="B22" s="48"/>
      <c r="C22" s="241" t="s">
        <v>1399</v>
      </c>
      <c r="D22" s="110" t="s">
        <v>941</v>
      </c>
      <c r="E22" s="346" t="s">
        <v>2327</v>
      </c>
      <c r="F22" s="344"/>
      <c r="G22" s="101"/>
      <c r="H22" s="101"/>
      <c r="I22" s="101"/>
      <c r="J22" s="62"/>
    </row>
    <row r="23" spans="1:10" ht="14.25">
      <c r="A23" s="51"/>
      <c r="B23" s="48"/>
      <c r="C23" s="241" t="s">
        <v>1383</v>
      </c>
      <c r="D23" s="110" t="s">
        <v>451</v>
      </c>
      <c r="E23" s="346"/>
      <c r="F23" s="344"/>
      <c r="G23" s="101"/>
      <c r="H23" s="101"/>
      <c r="I23" s="101"/>
      <c r="J23" s="62"/>
    </row>
    <row r="24" spans="1:10" ht="28.5">
      <c r="A24" s="51"/>
      <c r="B24" s="48"/>
      <c r="C24" s="241" t="s">
        <v>1400</v>
      </c>
      <c r="D24" s="110" t="s">
        <v>1385</v>
      </c>
      <c r="E24" s="346"/>
      <c r="F24" s="344"/>
      <c r="G24" s="101"/>
      <c r="H24" s="101"/>
      <c r="I24" s="101"/>
      <c r="J24" s="62"/>
    </row>
    <row r="25" spans="1:10" ht="14.25">
      <c r="A25" s="51"/>
      <c r="B25" s="48"/>
      <c r="C25" s="241" t="s">
        <v>1401</v>
      </c>
      <c r="D25" s="110" t="s">
        <v>1386</v>
      </c>
      <c r="E25" s="346"/>
      <c r="F25" s="344"/>
      <c r="G25" s="101"/>
      <c r="H25" s="101"/>
      <c r="I25" s="101"/>
      <c r="J25" s="62"/>
    </row>
    <row r="26" spans="1:10" ht="14.25">
      <c r="A26" s="51"/>
      <c r="B26" s="48"/>
      <c r="C26" s="241" t="s">
        <v>1394</v>
      </c>
      <c r="D26" s="110" t="s">
        <v>1387</v>
      </c>
      <c r="E26" s="346"/>
      <c r="F26" s="344"/>
      <c r="G26" s="101"/>
      <c r="H26" s="101"/>
      <c r="I26" s="101"/>
      <c r="J26" s="62"/>
    </row>
    <row r="27" spans="1:10" ht="14.25">
      <c r="A27" s="51"/>
      <c r="B27" s="48"/>
      <c r="C27" s="241" t="s">
        <v>1395</v>
      </c>
      <c r="D27" s="110" t="s">
        <v>1388</v>
      </c>
      <c r="E27" s="346"/>
      <c r="F27" s="344"/>
      <c r="G27" s="101"/>
      <c r="H27" s="101"/>
      <c r="I27" s="101"/>
      <c r="J27" s="62"/>
    </row>
    <row r="28" spans="1:10" ht="65.25">
      <c r="A28" s="51"/>
      <c r="B28" s="48"/>
      <c r="C28" s="241" t="s">
        <v>973</v>
      </c>
      <c r="D28" s="110" t="s">
        <v>1389</v>
      </c>
      <c r="E28" s="348" t="s">
        <v>2364</v>
      </c>
      <c r="F28" s="344"/>
      <c r="G28" s="101"/>
      <c r="H28" s="101"/>
      <c r="I28" s="101"/>
      <c r="J28" s="62"/>
    </row>
    <row r="29" spans="1:10" ht="12.75">
      <c r="A29" s="51"/>
      <c r="B29" s="48"/>
      <c r="C29" s="76"/>
      <c r="D29" s="110"/>
      <c r="E29" s="348" t="s">
        <v>2328</v>
      </c>
      <c r="F29" s="344"/>
      <c r="G29" s="101"/>
      <c r="H29" s="101"/>
      <c r="I29" s="101"/>
      <c r="J29" s="62"/>
    </row>
    <row r="30" spans="1:10" ht="12.75">
      <c r="A30" s="51"/>
      <c r="B30" s="48"/>
      <c r="C30" s="76"/>
      <c r="D30" s="110"/>
      <c r="E30" s="348"/>
      <c r="F30" s="344"/>
      <c r="G30" s="101"/>
      <c r="H30" s="101"/>
      <c r="I30" s="101"/>
      <c r="J30" s="62"/>
    </row>
    <row r="31" spans="1:10" ht="12.75">
      <c r="A31" s="51"/>
      <c r="B31" s="48"/>
      <c r="C31" s="76"/>
      <c r="D31" s="110"/>
      <c r="E31" s="348"/>
      <c r="F31" s="344"/>
      <c r="G31" s="101"/>
      <c r="H31" s="101"/>
      <c r="I31" s="101"/>
      <c r="J31" s="62"/>
    </row>
    <row r="32" spans="1:10" ht="12.75">
      <c r="A32" s="51"/>
      <c r="B32" s="48"/>
      <c r="C32" s="76"/>
      <c r="D32" s="110"/>
      <c r="E32" s="348"/>
      <c r="F32" s="344"/>
      <c r="G32" s="101"/>
      <c r="H32" s="101"/>
      <c r="I32" s="101"/>
      <c r="J32" s="62"/>
    </row>
    <row r="33" spans="1:10" ht="12.75">
      <c r="A33" s="51"/>
      <c r="B33" s="48"/>
      <c r="C33" s="76"/>
      <c r="D33" s="110"/>
      <c r="E33" s="348"/>
      <c r="F33" s="344"/>
      <c r="G33" s="101"/>
      <c r="H33" s="101"/>
      <c r="I33" s="101"/>
      <c r="J33" s="62"/>
    </row>
    <row r="34" spans="1:10" ht="12.75">
      <c r="A34" s="51"/>
      <c r="B34" s="48"/>
      <c r="C34" s="76"/>
      <c r="D34" s="110"/>
      <c r="E34" s="348"/>
      <c r="F34" s="344"/>
      <c r="G34" s="101"/>
      <c r="H34" s="101"/>
      <c r="I34" s="101"/>
      <c r="J34" s="62"/>
    </row>
    <row r="35" spans="1:10" ht="12.75">
      <c r="A35" s="51"/>
      <c r="B35" s="48"/>
      <c r="C35" s="76"/>
      <c r="D35" s="110"/>
      <c r="E35" s="348"/>
      <c r="F35" s="344"/>
      <c r="G35" s="101"/>
      <c r="H35" s="101"/>
      <c r="I35" s="101"/>
      <c r="J35" s="62"/>
    </row>
    <row r="36" spans="1:10" ht="12.75">
      <c r="A36" s="51"/>
      <c r="B36" s="48"/>
      <c r="C36" s="76"/>
      <c r="D36" s="110"/>
      <c r="E36" s="348"/>
      <c r="F36" s="344"/>
      <c r="G36" s="101"/>
      <c r="H36" s="101"/>
      <c r="I36" s="101"/>
      <c r="J36" s="62"/>
    </row>
    <row r="37" spans="1:10" ht="12.75">
      <c r="A37" s="51"/>
      <c r="B37" s="48"/>
      <c r="C37" s="76"/>
      <c r="D37" s="110"/>
      <c r="E37" s="348"/>
      <c r="F37" s="344"/>
      <c r="G37" s="101"/>
      <c r="H37" s="101"/>
      <c r="I37" s="101"/>
      <c r="J37" s="62"/>
    </row>
    <row r="38" spans="1:10" ht="12.75">
      <c r="A38" s="51"/>
      <c r="B38" s="48"/>
      <c r="C38" s="76"/>
      <c r="D38" s="110"/>
      <c r="E38" s="348"/>
      <c r="F38" s="344"/>
      <c r="G38" s="101"/>
      <c r="H38" s="101"/>
      <c r="I38" s="101"/>
      <c r="J38" s="62"/>
    </row>
    <row r="39" spans="1:10" ht="102" customHeight="1">
      <c r="A39" s="51"/>
      <c r="B39" s="48"/>
      <c r="C39" s="241" t="s">
        <v>958</v>
      </c>
      <c r="D39" s="110" t="s">
        <v>959</v>
      </c>
      <c r="E39" s="348" t="s">
        <v>2366</v>
      </c>
      <c r="F39" s="344" t="s">
        <v>2365</v>
      </c>
      <c r="G39" s="101"/>
      <c r="H39" s="101"/>
      <c r="I39" s="101"/>
      <c r="J39" s="62"/>
    </row>
    <row r="40" spans="1:10" ht="12.75">
      <c r="A40" s="51"/>
      <c r="B40" s="48"/>
      <c r="C40" s="76"/>
      <c r="D40" s="110"/>
      <c r="E40" s="348" t="s">
        <v>2367</v>
      </c>
      <c r="F40" s="344"/>
      <c r="G40" s="101"/>
      <c r="H40" s="101"/>
      <c r="I40" s="101"/>
      <c r="J40" s="62"/>
    </row>
    <row r="41" spans="1:10" ht="12.75">
      <c r="A41" s="51"/>
      <c r="B41" s="48"/>
      <c r="C41" s="76"/>
      <c r="D41" s="110"/>
      <c r="E41" s="348"/>
      <c r="F41" s="344"/>
      <c r="G41" s="101"/>
      <c r="H41" s="101"/>
      <c r="I41" s="101"/>
      <c r="J41" s="62"/>
    </row>
    <row r="42" spans="1:10" ht="12.75" customHeight="1">
      <c r="A42" s="51"/>
      <c r="B42" s="48"/>
      <c r="C42" s="76"/>
      <c r="D42" s="110"/>
      <c r="E42" s="348"/>
      <c r="F42" s="344"/>
      <c r="G42" s="101"/>
      <c r="H42" s="101"/>
      <c r="I42" s="101"/>
      <c r="J42" s="62"/>
    </row>
    <row r="43" spans="1:10" ht="12.75">
      <c r="A43" s="51"/>
      <c r="B43" s="48"/>
      <c r="C43" s="76"/>
      <c r="D43" s="110"/>
      <c r="E43" s="348"/>
      <c r="F43" s="344"/>
      <c r="G43" s="101"/>
      <c r="H43" s="101"/>
      <c r="I43" s="101"/>
      <c r="J43" s="98"/>
    </row>
    <row r="44" spans="1:6" ht="12.75">
      <c r="A44" s="51"/>
      <c r="B44" s="48"/>
      <c r="C44" s="76"/>
      <c r="D44" s="110"/>
      <c r="E44" s="348"/>
      <c r="F44" s="344"/>
    </row>
    <row r="45" spans="1:6" ht="12.75">
      <c r="A45" s="51"/>
      <c r="B45" s="48"/>
      <c r="C45" s="76"/>
      <c r="D45" s="110"/>
      <c r="E45" s="348"/>
      <c r="F45" s="344"/>
    </row>
    <row r="46" spans="1:6" ht="12.75">
      <c r="A46" s="51"/>
      <c r="B46" s="48"/>
      <c r="C46" s="76"/>
      <c r="D46" s="110"/>
      <c r="E46" s="348"/>
      <c r="F46" s="344"/>
    </row>
    <row r="47" spans="1:6" ht="12.75">
      <c r="A47" s="51"/>
      <c r="B47" s="48"/>
      <c r="C47" s="76"/>
      <c r="D47" s="110"/>
      <c r="E47" s="348"/>
      <c r="F47" s="344"/>
    </row>
    <row r="48" spans="1:6" ht="12.75">
      <c r="A48" s="51"/>
      <c r="B48" s="48"/>
      <c r="C48" s="76"/>
      <c r="D48" s="110"/>
      <c r="E48" s="348"/>
      <c r="F48" s="344"/>
    </row>
    <row r="49" spans="1:6" ht="12.75">
      <c r="A49" s="51"/>
      <c r="B49" s="48"/>
      <c r="C49" s="76"/>
      <c r="D49" s="110"/>
      <c r="E49" s="348"/>
      <c r="F49" s="344"/>
    </row>
    <row r="50" spans="1:6" ht="15">
      <c r="A50" s="242" t="s">
        <v>670</v>
      </c>
      <c r="B50" s="171"/>
      <c r="C50" s="170"/>
      <c r="D50" s="179"/>
      <c r="E50" s="180"/>
      <c r="F50" s="181"/>
    </row>
    <row r="51" spans="1:6" ht="15">
      <c r="A51" s="321"/>
      <c r="B51" s="322" t="s">
        <v>976</v>
      </c>
      <c r="C51" s="48"/>
      <c r="D51" s="21"/>
      <c r="E51" s="327"/>
      <c r="F51" s="323" t="s">
        <v>440</v>
      </c>
    </row>
    <row r="52" spans="1:6" ht="14.25">
      <c r="A52" s="324"/>
      <c r="B52" s="76"/>
      <c r="C52" s="241" t="s">
        <v>1308</v>
      </c>
      <c r="D52" s="112" t="s">
        <v>632</v>
      </c>
      <c r="E52" s="346" t="s">
        <v>2329</v>
      </c>
      <c r="F52" s="344"/>
    </row>
    <row r="53" spans="1:6" ht="14.25">
      <c r="A53" s="51"/>
      <c r="B53" s="48"/>
      <c r="C53" s="241" t="s">
        <v>600</v>
      </c>
      <c r="D53" s="110" t="s">
        <v>633</v>
      </c>
      <c r="E53" s="343" t="s">
        <v>2330</v>
      </c>
      <c r="F53" s="344"/>
    </row>
    <row r="54" spans="1:6" ht="14.25">
      <c r="A54" s="51"/>
      <c r="B54" s="48"/>
      <c r="C54" s="241" t="s">
        <v>1311</v>
      </c>
      <c r="D54" s="110" t="s">
        <v>634</v>
      </c>
      <c r="E54" s="346">
        <v>95046</v>
      </c>
      <c r="F54" s="344"/>
    </row>
    <row r="55" spans="1:6" ht="14.25">
      <c r="A55" s="51"/>
      <c r="B55" s="326" t="s">
        <v>977</v>
      </c>
      <c r="C55" s="241"/>
      <c r="D55" s="21"/>
      <c r="E55" s="327"/>
      <c r="F55" s="104"/>
    </row>
    <row r="56" spans="1:6" ht="14.25">
      <c r="A56" s="51"/>
      <c r="B56" s="48"/>
      <c r="C56" s="241" t="s">
        <v>1308</v>
      </c>
      <c r="D56" s="112" t="s">
        <v>978</v>
      </c>
      <c r="E56" s="346"/>
      <c r="F56" s="344"/>
    </row>
    <row r="57" spans="1:6" ht="14.25">
      <c r="A57" s="51"/>
      <c r="B57" s="48"/>
      <c r="C57" s="241" t="s">
        <v>600</v>
      </c>
      <c r="D57" s="110" t="s">
        <v>979</v>
      </c>
      <c r="E57" s="343"/>
      <c r="F57" s="344"/>
    </row>
    <row r="58" spans="1:6" ht="15" thickBot="1">
      <c r="A58" s="52"/>
      <c r="B58" s="103"/>
      <c r="C58" s="325" t="s">
        <v>1311</v>
      </c>
      <c r="D58" s="188" t="s">
        <v>980</v>
      </c>
      <c r="E58" s="349"/>
      <c r="F58" s="350"/>
    </row>
    <row r="60" ht="15">
      <c r="E60" s="308" t="s">
        <v>974</v>
      </c>
    </row>
    <row r="61" ht="15.75">
      <c r="E61" s="333"/>
    </row>
  </sheetData>
  <sheetProtection password="E6A0" sheet="1" objects="1" scenarios="1"/>
  <dataValidations count="2">
    <dataValidation type="list" allowBlank="1" showInputMessage="1" showErrorMessage="1" sqref="E53 E57">
      <formula1>city_list</formula1>
    </dataValidation>
    <dataValidation type="list" allowBlank="1" showInputMessage="1" showErrorMessage="1" sqref="E10">
      <formula1>company_type</formula1>
    </dataValidation>
  </dataValidations>
  <hyperlinks>
    <hyperlink ref="E60" location="'Facility &amp; Product Information'!A1" display="→ Go to &quot;Facility &amp; Product Information&quot; tab "/>
  </hyperlinks>
  <printOptions horizontalCentered="1"/>
  <pageMargins left="0.5905511811023623" right="0.5905511811023623" top="0.5905511811023623" bottom="0.5905511811023623" header="0.5118110236220472" footer="0.5118110236220472"/>
  <pageSetup fitToHeight="1" fitToWidth="1" horizontalDpi="600" verticalDpi="600" orientation="portrait" scale="54" r:id="rId1"/>
</worksheet>
</file>

<file path=xl/worksheets/sheet3.xml><?xml version="1.0" encoding="utf-8"?>
<worksheet xmlns="http://schemas.openxmlformats.org/spreadsheetml/2006/main" xmlns:r="http://schemas.openxmlformats.org/officeDocument/2006/relationships">
  <dimension ref="A1:P64"/>
  <sheetViews>
    <sheetView showGridLines="0" zoomScale="85" zoomScaleNormal="85" zoomScalePageLayoutView="0" workbookViewId="0" topLeftCell="D1">
      <pane ySplit="8" topLeftCell="A33" activePane="bottomLeft" state="frozen"/>
      <selection pane="topLeft" activeCell="A18" sqref="A18"/>
      <selection pane="bottomLeft" activeCell="E30" sqref="E30"/>
    </sheetView>
  </sheetViews>
  <sheetFormatPr defaultColWidth="9.140625" defaultRowHeight="12.75"/>
  <cols>
    <col min="1" max="2" width="2.00390625" style="0" customWidth="1"/>
    <col min="3" max="3" width="63.28125" style="196" customWidth="1"/>
    <col min="4" max="4" width="10.7109375" style="28" customWidth="1"/>
    <col min="5" max="5" width="40.28125" style="0" customWidth="1"/>
    <col min="6" max="6" width="77.28125" style="73" customWidth="1"/>
    <col min="7" max="7" width="15.421875" style="73" customWidth="1"/>
    <col min="9" max="11" width="15.421875" style="73" customWidth="1"/>
  </cols>
  <sheetData>
    <row r="1" spans="1:6" ht="18">
      <c r="A1" s="261" t="s">
        <v>455</v>
      </c>
      <c r="B1" s="78"/>
      <c r="F1" s="201"/>
    </row>
    <row r="2" spans="1:6" ht="15.75">
      <c r="A2" s="78"/>
      <c r="B2" s="78"/>
      <c r="F2" s="201"/>
    </row>
    <row r="3" spans="1:6" ht="15.75">
      <c r="A3" s="78" t="s">
        <v>601</v>
      </c>
      <c r="B3" s="71"/>
      <c r="F3" s="201"/>
    </row>
    <row r="4" spans="1:6" ht="15">
      <c r="A4" s="144" t="s">
        <v>591</v>
      </c>
      <c r="B4" s="71"/>
      <c r="F4" s="201"/>
    </row>
    <row r="5" spans="3:6" ht="15">
      <c r="C5" s="304" t="s">
        <v>961</v>
      </c>
      <c r="F5" s="201"/>
    </row>
    <row r="6" spans="2:11" ht="12.75">
      <c r="B6" s="71"/>
      <c r="C6" s="214"/>
      <c r="D6" s="13"/>
      <c r="E6" s="3"/>
      <c r="F6" s="74"/>
      <c r="G6" s="74"/>
      <c r="I6" s="74"/>
      <c r="J6" s="74"/>
      <c r="K6" s="74"/>
    </row>
    <row r="7" spans="1:11" ht="12.75">
      <c r="A7" s="99"/>
      <c r="C7" s="214"/>
      <c r="D7" s="13"/>
      <c r="E7" s="107"/>
      <c r="F7" s="74"/>
      <c r="G7" s="74"/>
      <c r="I7" s="74"/>
      <c r="J7" s="74"/>
      <c r="K7" s="74"/>
    </row>
    <row r="8" spans="1:11" ht="18.75">
      <c r="A8" s="234"/>
      <c r="B8" s="246"/>
      <c r="C8" s="247" t="s">
        <v>1323</v>
      </c>
      <c r="D8" s="245" t="s">
        <v>618</v>
      </c>
      <c r="E8" s="243" t="s">
        <v>1595</v>
      </c>
      <c r="F8" s="244" t="s">
        <v>1700</v>
      </c>
      <c r="G8" s="75"/>
      <c r="I8" s="75"/>
      <c r="J8" s="75"/>
      <c r="K8" s="75"/>
    </row>
    <row r="9" spans="1:6" ht="15">
      <c r="A9" s="242" t="s">
        <v>619</v>
      </c>
      <c r="B9" s="171"/>
      <c r="C9" s="205"/>
      <c r="D9" s="179"/>
      <c r="E9" s="200"/>
      <c r="F9" s="173"/>
    </row>
    <row r="10" spans="1:11" ht="39.75">
      <c r="A10" s="166"/>
      <c r="B10" s="77"/>
      <c r="C10" s="241" t="s">
        <v>298</v>
      </c>
      <c r="D10" s="113" t="s">
        <v>635</v>
      </c>
      <c r="E10" s="351" t="s">
        <v>2331</v>
      </c>
      <c r="F10" s="388"/>
      <c r="G10" s="102"/>
      <c r="I10" s="102"/>
      <c r="J10" s="102"/>
      <c r="K10" s="102"/>
    </row>
    <row r="11" spans="1:11" ht="27.75">
      <c r="A11" s="51"/>
      <c r="B11" s="48"/>
      <c r="C11" s="241" t="s">
        <v>592</v>
      </c>
      <c r="D11" s="113" t="s">
        <v>636</v>
      </c>
      <c r="E11" s="352">
        <v>1367970.8</v>
      </c>
      <c r="F11" s="389" t="s">
        <v>2360</v>
      </c>
      <c r="G11" s="101"/>
      <c r="I11" s="101"/>
      <c r="J11" s="101"/>
      <c r="K11" s="101"/>
    </row>
    <row r="12" spans="1:11" ht="54.75">
      <c r="A12" s="51"/>
      <c r="B12" s="48"/>
      <c r="C12" s="241" t="s">
        <v>1702</v>
      </c>
      <c r="D12" s="113" t="s">
        <v>637</v>
      </c>
      <c r="E12" s="369">
        <f>'Qualified Property List'!F10</f>
        <v>26.10296067167477</v>
      </c>
      <c r="F12" s="389" t="s">
        <v>2353</v>
      </c>
      <c r="G12" s="101"/>
      <c r="I12" s="101"/>
      <c r="J12" s="101"/>
      <c r="K12" s="101"/>
    </row>
    <row r="13" spans="1:11" ht="94.5">
      <c r="A13" s="51"/>
      <c r="B13" s="48"/>
      <c r="C13" s="241" t="s">
        <v>593</v>
      </c>
      <c r="D13" s="113" t="s">
        <v>638</v>
      </c>
      <c r="E13" s="353">
        <f>'Qualified Property List'!G10</f>
        <v>0.8105759316541464</v>
      </c>
      <c r="F13" s="389" t="s">
        <v>2353</v>
      </c>
      <c r="G13" s="101"/>
      <c r="I13" s="101"/>
      <c r="J13" s="101"/>
      <c r="K13" s="101"/>
    </row>
    <row r="14" spans="1:11" ht="12.75" customHeight="1">
      <c r="A14" s="51"/>
      <c r="B14" s="48"/>
      <c r="C14" s="77"/>
      <c r="D14" s="113"/>
      <c r="E14" s="354"/>
      <c r="F14" s="344"/>
      <c r="G14" s="101"/>
      <c r="I14" s="101"/>
      <c r="J14" s="101"/>
      <c r="K14" s="101"/>
    </row>
    <row r="15" spans="1:6" ht="15">
      <c r="A15" s="242" t="s">
        <v>620</v>
      </c>
      <c r="B15" s="171"/>
      <c r="C15" s="205"/>
      <c r="D15" s="179"/>
      <c r="E15" s="180"/>
      <c r="F15" s="173"/>
    </row>
    <row r="16" spans="1:11" ht="105.75">
      <c r="A16" s="51"/>
      <c r="B16" s="48"/>
      <c r="C16" s="241" t="s">
        <v>917</v>
      </c>
      <c r="D16" s="113" t="s">
        <v>639</v>
      </c>
      <c r="E16" s="352">
        <v>1485571.36</v>
      </c>
      <c r="F16" s="344" t="s">
        <v>2375</v>
      </c>
      <c r="G16" s="101"/>
      <c r="I16" s="101"/>
      <c r="J16" s="101"/>
      <c r="K16" s="101"/>
    </row>
    <row r="17" spans="1:11" ht="79.5">
      <c r="A17" s="51"/>
      <c r="B17" s="48"/>
      <c r="C17" s="241" t="s">
        <v>929</v>
      </c>
      <c r="D17" s="113" t="s">
        <v>640</v>
      </c>
      <c r="E17" s="356">
        <v>1.12</v>
      </c>
      <c r="F17" s="344" t="s">
        <v>2355</v>
      </c>
      <c r="G17" s="101"/>
      <c r="I17" s="101"/>
      <c r="J17" s="101"/>
      <c r="K17" s="101"/>
    </row>
    <row r="18" spans="1:11" ht="81.75" customHeight="1">
      <c r="A18" s="51"/>
      <c r="B18" s="48"/>
      <c r="C18" s="241" t="s">
        <v>1293</v>
      </c>
      <c r="D18" s="113" t="s">
        <v>641</v>
      </c>
      <c r="E18" s="356">
        <v>20</v>
      </c>
      <c r="F18" s="344" t="s">
        <v>2354</v>
      </c>
      <c r="G18" s="101"/>
      <c r="I18" s="101"/>
      <c r="J18" s="101"/>
      <c r="K18" s="101"/>
    </row>
    <row r="19" spans="1:11" ht="105.75">
      <c r="A19" s="51"/>
      <c r="B19" s="48"/>
      <c r="C19" s="241" t="s">
        <v>918</v>
      </c>
      <c r="D19" s="113" t="s">
        <v>642</v>
      </c>
      <c r="E19" s="355">
        <v>20999</v>
      </c>
      <c r="F19" s="389" t="s">
        <v>2382</v>
      </c>
      <c r="G19" s="101"/>
      <c r="I19" s="101"/>
      <c r="J19" s="101"/>
      <c r="K19" s="101"/>
    </row>
    <row r="20" spans="1:11" ht="12.75">
      <c r="A20" s="51"/>
      <c r="B20" s="48"/>
      <c r="C20" s="77"/>
      <c r="D20" s="113"/>
      <c r="E20" s="172"/>
      <c r="F20" s="104"/>
      <c r="G20" s="101"/>
      <c r="I20" s="101"/>
      <c r="J20" s="101"/>
      <c r="K20" s="101"/>
    </row>
    <row r="21" spans="1:11" ht="15">
      <c r="A21" s="248" t="s">
        <v>1366</v>
      </c>
      <c r="B21" s="171"/>
      <c r="C21" s="205"/>
      <c r="D21" s="179"/>
      <c r="E21" s="180"/>
      <c r="F21" s="206"/>
      <c r="G21" s="101"/>
      <c r="I21" s="101"/>
      <c r="J21" s="101"/>
      <c r="K21" s="101"/>
    </row>
    <row r="22" spans="1:11" ht="41.25">
      <c r="A22" s="166"/>
      <c r="B22" s="77"/>
      <c r="C22" s="241" t="s">
        <v>919</v>
      </c>
      <c r="D22" s="113" t="s">
        <v>643</v>
      </c>
      <c r="E22" s="357" t="s">
        <v>2356</v>
      </c>
      <c r="F22" s="344" t="s">
        <v>2381</v>
      </c>
      <c r="G22" s="101"/>
      <c r="I22" s="101"/>
      <c r="J22" s="101"/>
      <c r="K22" s="101"/>
    </row>
    <row r="23" spans="1:11" ht="27">
      <c r="A23" s="51"/>
      <c r="B23" s="48"/>
      <c r="C23" s="241" t="s">
        <v>920</v>
      </c>
      <c r="D23" s="110" t="s">
        <v>644</v>
      </c>
      <c r="E23" s="346">
        <v>325120</v>
      </c>
      <c r="F23" s="344" t="s">
        <v>2376</v>
      </c>
      <c r="G23" s="101"/>
      <c r="I23" s="101"/>
      <c r="J23" s="101"/>
      <c r="K23" s="101"/>
    </row>
    <row r="24" spans="1:11" ht="144.75">
      <c r="A24" s="51"/>
      <c r="B24" s="48"/>
      <c r="C24" s="241" t="s">
        <v>964</v>
      </c>
      <c r="D24" s="113" t="s">
        <v>645</v>
      </c>
      <c r="E24" s="356">
        <v>261168</v>
      </c>
      <c r="F24" s="344" t="s">
        <v>2377</v>
      </c>
      <c r="G24" s="101"/>
      <c r="I24" s="101"/>
      <c r="J24" s="101"/>
      <c r="K24" s="101"/>
    </row>
    <row r="25" spans="1:11" ht="53.25">
      <c r="A25" s="51"/>
      <c r="B25" s="48"/>
      <c r="C25" s="241" t="s">
        <v>1696</v>
      </c>
      <c r="D25" s="109" t="s">
        <v>646</v>
      </c>
      <c r="E25" s="358">
        <v>1.7362</v>
      </c>
      <c r="F25" s="344" t="s">
        <v>2378</v>
      </c>
      <c r="G25" s="101"/>
      <c r="I25" s="101"/>
      <c r="J25" s="101"/>
      <c r="K25" s="101"/>
    </row>
    <row r="26" spans="1:11" ht="52.5">
      <c r="A26" s="51"/>
      <c r="B26" s="48"/>
      <c r="C26" s="241" t="s">
        <v>921</v>
      </c>
      <c r="D26" s="109" t="s">
        <v>647</v>
      </c>
      <c r="E26" s="352">
        <f>E24*E25</f>
        <v>453439.88159999996</v>
      </c>
      <c r="F26" s="344" t="s">
        <v>2357</v>
      </c>
      <c r="G26" s="101"/>
      <c r="I26" s="101"/>
      <c r="J26" s="101"/>
      <c r="K26" s="101"/>
    </row>
    <row r="27" spans="1:11" ht="105">
      <c r="A27" s="51"/>
      <c r="B27" s="48"/>
      <c r="C27" s="241" t="s">
        <v>1697</v>
      </c>
      <c r="D27" s="113" t="s">
        <v>648</v>
      </c>
      <c r="E27" s="358">
        <v>0.561783985786926</v>
      </c>
      <c r="F27" s="389" t="s">
        <v>2379</v>
      </c>
      <c r="G27" s="101"/>
      <c r="I27" s="101"/>
      <c r="J27" s="101"/>
      <c r="K27" s="101"/>
    </row>
    <row r="28" spans="1:11" ht="54">
      <c r="A28" s="51"/>
      <c r="B28" s="48"/>
      <c r="C28" s="241" t="s">
        <v>930</v>
      </c>
      <c r="D28" s="113" t="s">
        <v>649</v>
      </c>
      <c r="E28" s="353">
        <v>0.9</v>
      </c>
      <c r="F28" s="344" t="s">
        <v>2380</v>
      </c>
      <c r="G28" s="101"/>
      <c r="I28" s="101"/>
      <c r="J28" s="101"/>
      <c r="K28" s="101"/>
    </row>
    <row r="29" spans="1:11" ht="54.75">
      <c r="A29" s="51"/>
      <c r="B29" s="48"/>
      <c r="C29" s="241" t="s">
        <v>1698</v>
      </c>
      <c r="D29" s="113" t="s">
        <v>650</v>
      </c>
      <c r="E29" s="358">
        <v>0.36068737364455</v>
      </c>
      <c r="F29" s="389" t="s">
        <v>2371</v>
      </c>
      <c r="G29" s="101"/>
      <c r="I29" s="101"/>
      <c r="J29" s="101"/>
      <c r="K29" s="101"/>
    </row>
    <row r="30" spans="1:11" ht="52.5">
      <c r="A30" s="51"/>
      <c r="B30" s="48"/>
      <c r="C30" s="241" t="s">
        <v>1292</v>
      </c>
      <c r="D30" s="113" t="s">
        <v>651</v>
      </c>
      <c r="E30" s="346">
        <v>1</v>
      </c>
      <c r="F30" s="344" t="s">
        <v>2368</v>
      </c>
      <c r="G30" s="101"/>
      <c r="I30" s="101"/>
      <c r="J30" s="101"/>
      <c r="K30" s="101"/>
    </row>
    <row r="31" spans="1:11" ht="52.5">
      <c r="A31" s="51"/>
      <c r="B31" s="48"/>
      <c r="C31" s="241" t="s">
        <v>1703</v>
      </c>
      <c r="D31" s="114" t="s">
        <v>652</v>
      </c>
      <c r="E31" s="353">
        <v>1</v>
      </c>
      <c r="F31" s="344" t="s">
        <v>2361</v>
      </c>
      <c r="G31" s="101"/>
      <c r="I31" s="101"/>
      <c r="J31" s="101"/>
      <c r="K31" s="101"/>
    </row>
    <row r="32" spans="1:11" ht="106.5">
      <c r="A32" s="51"/>
      <c r="B32" s="48"/>
      <c r="C32" s="241" t="s">
        <v>108</v>
      </c>
      <c r="D32" s="114" t="s">
        <v>653</v>
      </c>
      <c r="E32" s="343" t="s">
        <v>1317</v>
      </c>
      <c r="F32" s="344"/>
      <c r="G32" s="101"/>
      <c r="I32" s="101"/>
      <c r="J32" s="101"/>
      <c r="K32" s="101"/>
    </row>
    <row r="33" spans="1:16" s="48" customFormat="1" ht="54">
      <c r="A33" s="51"/>
      <c r="C33" s="241" t="s">
        <v>109</v>
      </c>
      <c r="D33" s="115" t="s">
        <v>955</v>
      </c>
      <c r="E33" s="358"/>
      <c r="F33" s="344" t="s">
        <v>1141</v>
      </c>
      <c r="G33" s="62"/>
      <c r="I33" s="62"/>
      <c r="J33" s="62"/>
      <c r="K33" s="62"/>
      <c r="M33"/>
      <c r="N33"/>
      <c r="O33"/>
      <c r="P33"/>
    </row>
    <row r="34" spans="1:16" s="48" customFormat="1" ht="54">
      <c r="A34" s="51"/>
      <c r="C34" s="241" t="s">
        <v>191</v>
      </c>
      <c r="D34" s="115" t="s">
        <v>192</v>
      </c>
      <c r="E34" s="353"/>
      <c r="F34" s="344" t="s">
        <v>1141</v>
      </c>
      <c r="G34" s="62"/>
      <c r="I34" s="62"/>
      <c r="J34" s="62"/>
      <c r="K34" s="62"/>
      <c r="M34"/>
      <c r="N34"/>
      <c r="O34"/>
      <c r="P34"/>
    </row>
    <row r="35" spans="1:16" s="48" customFormat="1" ht="12.75" customHeight="1" thickBot="1">
      <c r="A35" s="52"/>
      <c r="B35" s="103"/>
      <c r="C35" s="275"/>
      <c r="D35" s="167"/>
      <c r="E35" s="276"/>
      <c r="F35" s="189"/>
      <c r="G35" s="62"/>
      <c r="I35" s="62"/>
      <c r="J35" s="62"/>
      <c r="K35" s="62"/>
      <c r="M35"/>
      <c r="N35"/>
      <c r="O35"/>
      <c r="P35"/>
    </row>
    <row r="37" spans="5:16" s="48" customFormat="1" ht="15">
      <c r="E37" s="308" t="s">
        <v>2169</v>
      </c>
      <c r="G37" s="101"/>
      <c r="I37" s="101"/>
      <c r="J37" s="101"/>
      <c r="K37" s="101"/>
      <c r="M37"/>
      <c r="N37"/>
      <c r="O37"/>
      <c r="P37"/>
    </row>
    <row r="38" ht="15.75">
      <c r="E38" s="333"/>
    </row>
    <row r="39" ht="15.75">
      <c r="A39" s="78" t="s">
        <v>962</v>
      </c>
    </row>
    <row r="40" ht="14.25">
      <c r="C40" s="331" t="s">
        <v>960</v>
      </c>
    </row>
    <row r="41" ht="14.25">
      <c r="C41" s="331" t="s">
        <v>916</v>
      </c>
    </row>
    <row r="42" ht="14.25">
      <c r="C42" s="331" t="s">
        <v>1830</v>
      </c>
    </row>
    <row r="43" ht="14.25">
      <c r="C43" s="332" t="s">
        <v>90</v>
      </c>
    </row>
    <row r="44" ht="15">
      <c r="C44" s="305" t="s">
        <v>963</v>
      </c>
    </row>
    <row r="52" spans="1:4" ht="12.75">
      <c r="A52" s="3"/>
      <c r="B52" s="3"/>
      <c r="C52" s="216"/>
      <c r="D52" s="138"/>
    </row>
    <row r="53" spans="3:4" ht="12.75">
      <c r="C53" s="217"/>
      <c r="D53" s="108"/>
    </row>
    <row r="54" spans="1:4" ht="12.75">
      <c r="A54" s="71"/>
      <c r="C54" s="217"/>
      <c r="D54" s="108"/>
    </row>
    <row r="55" ht="12.75">
      <c r="A55" s="99"/>
    </row>
    <row r="56" spans="1:4" ht="12.75">
      <c r="A56" s="99"/>
      <c r="C56" s="217"/>
      <c r="D56" s="108"/>
    </row>
    <row r="57" spans="1:4" ht="12.75">
      <c r="A57" s="99"/>
      <c r="C57" s="217"/>
      <c r="D57" s="108"/>
    </row>
    <row r="58" spans="1:4" ht="12.75">
      <c r="A58" s="99"/>
      <c r="C58" s="217"/>
      <c r="D58" s="108"/>
    </row>
    <row r="59" spans="1:4" ht="12.75">
      <c r="A59" s="99"/>
      <c r="C59" s="217"/>
      <c r="D59" s="108"/>
    </row>
    <row r="60" spans="1:4" ht="12.75">
      <c r="A60" s="99"/>
      <c r="C60" s="217"/>
      <c r="D60" s="108"/>
    </row>
    <row r="61" spans="1:4" ht="12.75">
      <c r="A61" s="99"/>
      <c r="B61" s="99"/>
      <c r="C61" s="217"/>
      <c r="D61" s="108"/>
    </row>
    <row r="62" spans="1:4" ht="12.75">
      <c r="A62" s="99"/>
      <c r="C62" s="218"/>
      <c r="D62" s="107"/>
    </row>
    <row r="63" spans="1:4" ht="12.75">
      <c r="A63" s="99"/>
      <c r="C63" s="218"/>
      <c r="D63" s="107"/>
    </row>
    <row r="64" spans="1:4" ht="12.75">
      <c r="A64" s="99"/>
      <c r="C64" s="217"/>
      <c r="D64" s="108"/>
    </row>
  </sheetData>
  <sheetProtection password="E6A0" sheet="1" objects="1" scenarios="1"/>
  <conditionalFormatting sqref="E35 E17:E18 E30:E31 E20 E24 E12">
    <cfRule type="expression" priority="1" dxfId="1" stopIfTrue="1">
      <formula>#REF!="No"</formula>
    </cfRule>
  </conditionalFormatting>
  <conditionalFormatting sqref="C30:C32 D31:D32">
    <cfRule type="expression" priority="2" dxfId="1" stopIfTrue="1">
      <formula>#REF!="No"</formula>
    </cfRule>
  </conditionalFormatting>
  <conditionalFormatting sqref="F33:F34 C33:C34">
    <cfRule type="expression" priority="3" dxfId="19" stopIfTrue="1">
      <formula>$E$32="No"</formula>
    </cfRule>
  </conditionalFormatting>
  <conditionalFormatting sqref="E33">
    <cfRule type="expression" priority="4" dxfId="18" stopIfTrue="1">
      <formula>$E$32="No"</formula>
    </cfRule>
  </conditionalFormatting>
  <conditionalFormatting sqref="D33 D34:E34">
    <cfRule type="expression" priority="5" dxfId="6" stopIfTrue="1">
      <formula>$E$32="No"</formula>
    </cfRule>
  </conditionalFormatting>
  <dataValidations count="17">
    <dataValidation type="whole" allowBlank="1" showInputMessage="1" showErrorMessage="1" error="Please enter a dollar value between $0 and $1,000,000,000. Must be greater than or equal to the amount listed in Box C2. " sqref="E16">
      <formula1>E11</formula1>
      <formula2>1000000000</formula2>
    </dataValidation>
    <dataValidation type="decimal" allowBlank="1" showInputMessage="1" showErrorMessage="1" error="Please enter a number less than or equal to the value in Box E4." sqref="E27">
      <formula1>0</formula1>
      <formula2>E25</formula2>
    </dataValidation>
    <dataValidation type="decimal" allowBlank="1" showInputMessage="1" showErrorMessage="1" error="Please enter a number less than or equal to the value in Box E4. " sqref="E29">
      <formula1>0</formula1>
      <formula2>E25</formula2>
    </dataValidation>
    <dataValidation type="decimal" allowBlank="1" showInputMessage="1" showErrorMessage="1" error="Please enter a number. Must be greater than or equal to the value in Box E4. " sqref="E33">
      <formula1>E25</formula1>
      <formula2>1000000000</formula2>
    </dataValidation>
    <dataValidation type="decimal" allowBlank="1" showInputMessage="1" showErrorMessage="1" error="Please enter a value between 0% and 100% (e.g. &quot;75%&quot; or .75). " sqref="E34 E28">
      <formula1>0</formula1>
      <formula2>1</formula2>
    </dataValidation>
    <dataValidation type="list" allowBlank="1" showInputMessage="1" showErrorMessage="1" sqref="E32">
      <formula1>yes_no</formula1>
    </dataValidation>
    <dataValidation type="decimal" allowBlank="1" showInputMessage="1" showErrorMessage="1" sqref="E21 E15">
      <formula1>0</formula1>
      <formula2>1</formula2>
    </dataValidation>
    <dataValidation allowBlank="1" showInputMessage="1" showErrorMessage="1" errorTitle="IMPROPER VALUE" error="The value entered must be between 75% and 100%" sqref="E14"/>
    <dataValidation type="whole" allowBlank="1" showInputMessage="1" showErrorMessage="1" sqref="E11">
      <formula1>0</formula1>
      <formula2>1000000000</formula2>
    </dataValidation>
    <dataValidation type="decimal" allowBlank="1" showInputMessage="1" showErrorMessage="1" sqref="E12">
      <formula1>0</formula1>
      <formula2>100</formula2>
    </dataValidation>
    <dataValidation type="decimal" allowBlank="1" showInputMessage="1" showErrorMessage="1" errorTitle="IMPROPER VALUE" error="The value entered must be between 75% and 100% (e.g. &quot;75%&quot; or .75)." sqref="E13">
      <formula1>0.75</formula1>
      <formula2>1</formula2>
    </dataValidation>
    <dataValidation type="decimal" allowBlank="1" showInputMessage="1" showErrorMessage="1" error="Please enter a number between 0 and 100,000" sqref="E17:E18">
      <formula1>0</formula1>
      <formula2>100000</formula2>
    </dataValidation>
    <dataValidation type="decimal" allowBlank="1" showInputMessage="1" showErrorMessage="1" error="Please enter a dollar amount between 0 and $100,000,000" sqref="E19">
      <formula1>0</formula1>
      <formula2>100000000</formula2>
    </dataValidation>
    <dataValidation type="decimal" allowBlank="1" showInputMessage="1" showErrorMessage="1" error="Please enter a number between 0 and 100. " sqref="E30">
      <formula1>0</formula1>
      <formula2>100</formula2>
    </dataValidation>
    <dataValidation type="decimal" allowBlank="1" showInputMessage="1" showErrorMessage="1" error="Please enter a number. " sqref="E25">
      <formula1>0</formula1>
      <formula2>1000000000</formula2>
    </dataValidation>
    <dataValidation type="decimal" allowBlank="1" showInputMessage="1" showErrorMessage="1" error="Please enter a value between 0% and 100% (e.g. &quot;75%&quot; or .75)." sqref="E31">
      <formula1>0</formula1>
      <formula2>1</formula2>
    </dataValidation>
    <dataValidation type="decimal" allowBlank="1" showInputMessage="1" showErrorMessage="1" error="Please enter a number. " sqref="E24 E26">
      <formula1>0</formula1>
      <formula2>1000000000000</formula2>
    </dataValidation>
  </dataValidations>
  <hyperlinks>
    <hyperlink ref="C5" location="'Facility &amp; Product Information'!C45" display="Read additional Instructions."/>
    <hyperlink ref="C44" location="'Facility &amp; Product Information'!C9" display="Back to top."/>
    <hyperlink ref="E37" location="environmental_benefits_start" display="→ Go to &quot;Environmental Benefits Info&quot; tab "/>
  </hyperlinks>
  <printOptions/>
  <pageMargins left="0.75" right="0.75" top="1" bottom="1" header="0.5" footer="0.5"/>
  <pageSetup fitToHeight="4" horizontalDpi="600" verticalDpi="600" orientation="landscape" scale="60" r:id="rId1"/>
  <rowBreaks count="1" manualBreakCount="1">
    <brk id="20" max="5" man="1"/>
  </rowBreaks>
</worksheet>
</file>

<file path=xl/worksheets/sheet4.xml><?xml version="1.0" encoding="utf-8"?>
<worksheet xmlns="http://schemas.openxmlformats.org/spreadsheetml/2006/main" xmlns:r="http://schemas.openxmlformats.org/officeDocument/2006/relationships">
  <sheetPr>
    <pageSetUpPr fitToPage="1"/>
  </sheetPr>
  <dimension ref="A1:J39"/>
  <sheetViews>
    <sheetView showGridLines="0" tabSelected="1" zoomScale="85" zoomScaleNormal="85" zoomScalePageLayoutView="0" workbookViewId="0" topLeftCell="A1">
      <pane ySplit="7" topLeftCell="A10" activePane="bottomLeft" state="frozen"/>
      <selection pane="topLeft" activeCell="A18" sqref="A18"/>
      <selection pane="bottomLeft" activeCell="F16" sqref="F16"/>
    </sheetView>
  </sheetViews>
  <sheetFormatPr defaultColWidth="9.140625" defaultRowHeight="12.75"/>
  <cols>
    <col min="1" max="1" width="2.00390625" style="0" customWidth="1"/>
    <col min="2" max="2" width="4.8515625" style="0" customWidth="1"/>
    <col min="3" max="3" width="63.28125" style="0" customWidth="1"/>
    <col min="4" max="4" width="10.7109375" style="0" customWidth="1"/>
    <col min="5" max="5" width="40.28125" style="0" customWidth="1"/>
    <col min="6" max="6" width="78.00390625" style="0" customWidth="1"/>
    <col min="10" max="10" width="9.7109375" style="0" bestFit="1" customWidth="1"/>
  </cols>
  <sheetData>
    <row r="1" ht="18">
      <c r="A1" s="261" t="s">
        <v>455</v>
      </c>
    </row>
    <row r="3" ht="15.75">
      <c r="A3" s="78" t="s">
        <v>190</v>
      </c>
    </row>
    <row r="4" spans="1:2" ht="15.75">
      <c r="A4" s="78"/>
      <c r="B4" s="144" t="s">
        <v>2172</v>
      </c>
    </row>
    <row r="5" spans="1:2" ht="15.75">
      <c r="A5" s="78"/>
      <c r="B5" s="262" t="s">
        <v>965</v>
      </c>
    </row>
    <row r="6" spans="1:2" ht="16.5" thickBot="1">
      <c r="A6" s="78"/>
      <c r="B6" s="144"/>
    </row>
    <row r="7" spans="1:6" ht="18.75">
      <c r="A7" s="252"/>
      <c r="B7" s="253"/>
      <c r="C7" s="254" t="s">
        <v>1323</v>
      </c>
      <c r="D7" s="255" t="s">
        <v>618</v>
      </c>
      <c r="E7" s="256" t="s">
        <v>1595</v>
      </c>
      <c r="F7" s="257" t="s">
        <v>1700</v>
      </c>
    </row>
    <row r="8" spans="1:6" ht="15">
      <c r="A8" s="249" t="s">
        <v>621</v>
      </c>
      <c r="B8" s="184"/>
      <c r="C8" s="204"/>
      <c r="D8" s="185"/>
      <c r="E8" s="180"/>
      <c r="F8" s="173"/>
    </row>
    <row r="9" spans="1:7" ht="39.75">
      <c r="A9" s="285"/>
      <c r="B9" s="48"/>
      <c r="C9" s="286" t="s">
        <v>594</v>
      </c>
      <c r="D9" s="300" t="s">
        <v>654</v>
      </c>
      <c r="E9" s="359" t="str">
        <f>INDEX(product_cat,Scoring!$C$68)</f>
        <v>Alternative Source</v>
      </c>
      <c r="F9" s="360"/>
      <c r="G9" s="23"/>
    </row>
    <row r="10" spans="1:6" ht="85.5">
      <c r="A10" s="48"/>
      <c r="B10" s="48"/>
      <c r="C10" s="301" t="s">
        <v>984</v>
      </c>
      <c r="D10" s="300"/>
      <c r="E10" s="383" t="s">
        <v>669</v>
      </c>
      <c r="F10" s="361"/>
    </row>
    <row r="11" spans="1:6" ht="42.75">
      <c r="A11" s="48"/>
      <c r="B11" s="48"/>
      <c r="C11" s="301" t="s">
        <v>985</v>
      </c>
      <c r="D11" s="300"/>
      <c r="E11" s="383" t="s">
        <v>201</v>
      </c>
      <c r="F11" s="361"/>
    </row>
    <row r="12" spans="1:6" ht="42.75">
      <c r="A12" s="48"/>
      <c r="B12" s="48"/>
      <c r="C12" s="301" t="s">
        <v>110</v>
      </c>
      <c r="D12" s="300"/>
      <c r="E12" s="383" t="s">
        <v>1312</v>
      </c>
      <c r="F12" s="361"/>
    </row>
    <row r="13" spans="1:6" ht="42.75">
      <c r="A13" s="219"/>
      <c r="B13" s="219"/>
      <c r="C13" s="302" t="s">
        <v>111</v>
      </c>
      <c r="D13" s="300"/>
      <c r="E13" s="383" t="s">
        <v>1608</v>
      </c>
      <c r="F13" s="362"/>
    </row>
    <row r="14" spans="1:6" ht="12.75">
      <c r="A14" s="48"/>
      <c r="B14" s="48"/>
      <c r="C14" s="287"/>
      <c r="D14" s="288"/>
      <c r="F14" s="284"/>
    </row>
    <row r="15" spans="1:6" ht="15">
      <c r="A15" s="309"/>
      <c r="B15" s="310" t="s">
        <v>1433</v>
      </c>
      <c r="C15" s="311" t="str">
        <f>Scoring!A239</f>
        <v>Alternative Source</v>
      </c>
      <c r="D15" s="312"/>
      <c r="E15" s="313" t="str">
        <f>IF(Scoring!C68=1,"Selected","Not Selected")</f>
        <v>Selected</v>
      </c>
      <c r="F15" s="314"/>
    </row>
    <row r="16" spans="1:6" ht="129">
      <c r="A16" s="51"/>
      <c r="B16" s="48"/>
      <c r="C16" s="250" t="s">
        <v>986</v>
      </c>
      <c r="D16" s="111" t="s">
        <v>655</v>
      </c>
      <c r="E16" s="363">
        <v>0.0099</v>
      </c>
      <c r="F16" s="393" t="s">
        <v>2369</v>
      </c>
    </row>
    <row r="17" spans="1:10" ht="130.5">
      <c r="A17" s="51"/>
      <c r="B17" s="48"/>
      <c r="C17" s="250" t="s">
        <v>1328</v>
      </c>
      <c r="D17" s="111" t="s">
        <v>656</v>
      </c>
      <c r="E17" s="343" t="s">
        <v>1317</v>
      </c>
      <c r="F17" s="364"/>
      <c r="J17" s="328"/>
    </row>
    <row r="18" spans="1:6" ht="91.5">
      <c r="A18" s="51"/>
      <c r="B18" s="48"/>
      <c r="C18" s="259" t="s">
        <v>966</v>
      </c>
      <c r="D18" s="111" t="s">
        <v>657</v>
      </c>
      <c r="E18" s="346"/>
      <c r="F18" s="390"/>
    </row>
    <row r="19" spans="1:6" ht="90.75">
      <c r="A19" s="51"/>
      <c r="B19" s="48"/>
      <c r="C19" s="259" t="s">
        <v>967</v>
      </c>
      <c r="D19" s="111" t="s">
        <v>658</v>
      </c>
      <c r="E19" s="346"/>
      <c r="F19" s="390"/>
    </row>
    <row r="20" spans="1:6" ht="90.75">
      <c r="A20" s="51"/>
      <c r="B20" s="48"/>
      <c r="C20" s="259" t="s">
        <v>968</v>
      </c>
      <c r="D20" s="111" t="s">
        <v>659</v>
      </c>
      <c r="E20" s="346"/>
      <c r="F20" s="390"/>
    </row>
    <row r="21" spans="1:7" ht="105.75">
      <c r="A21" s="51"/>
      <c r="B21" s="48"/>
      <c r="C21" s="259" t="s">
        <v>969</v>
      </c>
      <c r="D21" s="111" t="s">
        <v>660</v>
      </c>
      <c r="E21" s="346"/>
      <c r="F21" s="390"/>
      <c r="G21" s="23"/>
    </row>
    <row r="22" spans="1:6" ht="66.75">
      <c r="A22" s="271"/>
      <c r="B22" s="219"/>
      <c r="C22" s="272" t="s">
        <v>970</v>
      </c>
      <c r="D22" s="220" t="s">
        <v>661</v>
      </c>
      <c r="E22" s="366"/>
      <c r="F22" s="391"/>
    </row>
    <row r="24" spans="1:6" ht="15">
      <c r="A24" s="309"/>
      <c r="B24" s="310" t="s">
        <v>1434</v>
      </c>
      <c r="C24" s="311" t="str">
        <f>Scoring!A240</f>
        <v>Alternative Source (energy efficiency)</v>
      </c>
      <c r="D24" s="312"/>
      <c r="E24" s="313" t="str">
        <f>IF(Scoring!C68=2,"Selected","Not Selected")</f>
        <v>Not Selected</v>
      </c>
      <c r="F24" s="314"/>
    </row>
    <row r="25" spans="1:6" ht="53.25">
      <c r="A25" s="51"/>
      <c r="B25" s="48"/>
      <c r="C25" s="250" t="s">
        <v>971</v>
      </c>
      <c r="D25" s="116" t="s">
        <v>662</v>
      </c>
      <c r="E25" s="368" t="s">
        <v>1338</v>
      </c>
      <c r="F25" s="365" t="s">
        <v>1141</v>
      </c>
    </row>
    <row r="26" spans="1:6" ht="39.75">
      <c r="A26" s="51"/>
      <c r="B26" s="48"/>
      <c r="C26" s="258" t="s">
        <v>595</v>
      </c>
      <c r="D26" s="116" t="s">
        <v>663</v>
      </c>
      <c r="E26" s="369"/>
      <c r="F26" s="370" t="s">
        <v>1141</v>
      </c>
    </row>
    <row r="27" spans="1:6" ht="39.75">
      <c r="A27" s="219"/>
      <c r="B27" s="219"/>
      <c r="C27" s="273" t="s">
        <v>596</v>
      </c>
      <c r="D27" s="274" t="s">
        <v>664</v>
      </c>
      <c r="E27" s="369"/>
      <c r="F27" s="371" t="s">
        <v>1141</v>
      </c>
    </row>
    <row r="29" spans="1:6" ht="15">
      <c r="A29" s="309"/>
      <c r="B29" s="310" t="s">
        <v>1435</v>
      </c>
      <c r="C29" s="311" t="str">
        <f>Scoring!A241</f>
        <v>Advanced Transportation</v>
      </c>
      <c r="D29" s="312"/>
      <c r="E29" s="313" t="str">
        <f>IF(Scoring!C68=3,"Selected","Not Selected")</f>
        <v>Not Selected</v>
      </c>
      <c r="F29" s="314"/>
    </row>
    <row r="30" spans="1:6" ht="90.75">
      <c r="A30" s="51"/>
      <c r="B30" s="48"/>
      <c r="C30" s="250" t="s">
        <v>597</v>
      </c>
      <c r="D30" s="111" t="s">
        <v>665</v>
      </c>
      <c r="E30" s="387"/>
      <c r="F30" s="365" t="s">
        <v>1141</v>
      </c>
    </row>
    <row r="31" spans="1:6" ht="52.5">
      <c r="A31" s="51"/>
      <c r="B31" s="48"/>
      <c r="C31" s="250" t="s">
        <v>599</v>
      </c>
      <c r="D31" s="111" t="s">
        <v>666</v>
      </c>
      <c r="E31" s="387"/>
      <c r="F31" s="365" t="s">
        <v>1141</v>
      </c>
    </row>
    <row r="32" spans="1:6" ht="66.75">
      <c r="A32" s="271"/>
      <c r="B32" s="219"/>
      <c r="C32" s="273" t="s">
        <v>598</v>
      </c>
      <c r="D32" s="220" t="s">
        <v>667</v>
      </c>
      <c r="E32" s="387"/>
      <c r="F32" s="367" t="s">
        <v>1141</v>
      </c>
    </row>
    <row r="34" spans="1:6" ht="15">
      <c r="A34" s="309"/>
      <c r="B34" s="310" t="s">
        <v>1436</v>
      </c>
      <c r="C34" s="311" t="str">
        <f>Scoring!A242</f>
        <v>Other</v>
      </c>
      <c r="D34" s="312"/>
      <c r="E34" s="313" t="str">
        <f>IF(Scoring!C68=4,"Selected","Not Selected")</f>
        <v>Not Selected</v>
      </c>
      <c r="F34" s="314"/>
    </row>
    <row r="35" spans="1:6" ht="39.75">
      <c r="A35" s="51"/>
      <c r="B35" s="48"/>
      <c r="C35" s="293" t="s">
        <v>983</v>
      </c>
      <c r="D35" s="240" t="s">
        <v>668</v>
      </c>
      <c r="E35" s="372"/>
      <c r="F35" s="373"/>
    </row>
    <row r="36" spans="1:6" ht="54.75" customHeight="1">
      <c r="A36" s="51"/>
      <c r="B36" s="48"/>
      <c r="C36" s="293" t="s">
        <v>981</v>
      </c>
      <c r="D36" s="240" t="s">
        <v>1367</v>
      </c>
      <c r="E36" s="352"/>
      <c r="F36" s="364" t="s">
        <v>1141</v>
      </c>
    </row>
    <row r="37" spans="1:6" ht="53.25" thickBot="1">
      <c r="A37" s="52"/>
      <c r="B37" s="103"/>
      <c r="C37" s="294" t="s">
        <v>982</v>
      </c>
      <c r="D37" s="269" t="s">
        <v>1368</v>
      </c>
      <c r="E37" s="374"/>
      <c r="F37" s="375" t="s">
        <v>1141</v>
      </c>
    </row>
    <row r="39" ht="15">
      <c r="E39" s="308" t="s">
        <v>2170</v>
      </c>
    </row>
  </sheetData>
  <sheetProtection password="E6A0" sheet="1" objects="1" scenarios="1"/>
  <conditionalFormatting sqref="D34:F34 D29:F29 D24:F24 D15:F15">
    <cfRule type="expression" priority="1" dxfId="6" stopIfTrue="1">
      <formula>$C$38&lt;&gt;#REF!</formula>
    </cfRule>
  </conditionalFormatting>
  <conditionalFormatting sqref="C32:F32">
    <cfRule type="expression" priority="2" dxfId="7" stopIfTrue="1">
      <formula>$E$29="Not Selected"</formula>
    </cfRule>
    <cfRule type="expression" priority="3" dxfId="7" stopIfTrue="1">
      <formula>#REF!="No"</formula>
    </cfRule>
  </conditionalFormatting>
  <conditionalFormatting sqref="C35:F37">
    <cfRule type="expression" priority="4" dxfId="7" stopIfTrue="1">
      <formula>$E$34="Not Selected"</formula>
    </cfRule>
  </conditionalFormatting>
  <conditionalFormatting sqref="D14 C9">
    <cfRule type="expression" priority="5" dxfId="1" stopIfTrue="1">
      <formula>#REF!="No"</formula>
    </cfRule>
  </conditionalFormatting>
  <conditionalFormatting sqref="C21:F21 C18:E20 C22:E22">
    <cfRule type="expression" priority="6" dxfId="7" stopIfTrue="1">
      <formula>$E$15="Not Selected"</formula>
    </cfRule>
    <cfRule type="expression" priority="7" dxfId="7" stopIfTrue="1">
      <formula>$E$17="No"</formula>
    </cfRule>
  </conditionalFormatting>
  <conditionalFormatting sqref="C16:F17">
    <cfRule type="expression" priority="8" dxfId="7" stopIfTrue="1">
      <formula>$E$15="Not Selected"</formula>
    </cfRule>
  </conditionalFormatting>
  <conditionalFormatting sqref="C25:F27">
    <cfRule type="expression" priority="9" dxfId="7" stopIfTrue="1">
      <formula>$E$24="Not Selected"</formula>
    </cfRule>
  </conditionalFormatting>
  <conditionalFormatting sqref="C30:F31">
    <cfRule type="expression" priority="10" dxfId="7" stopIfTrue="1">
      <formula>$E$29="Not Selected"</formula>
    </cfRule>
  </conditionalFormatting>
  <dataValidations count="11">
    <dataValidation type="decimal" allowBlank="1" showInputMessage="1" showErrorMessage="1" error="Please enter a number. Must be less than the value in Box F10. " sqref="E27">
      <formula1>0</formula1>
      <formula2>E26</formula2>
    </dataValidation>
    <dataValidation type="decimal" allowBlank="1" showInputMessage="1" showErrorMessage="1" error="Please enter a number. Must be less than the value in Box F12. " sqref="E31">
      <formula1>0</formula1>
      <formula2>E30</formula2>
    </dataValidation>
    <dataValidation type="decimal" allowBlank="1" showInputMessage="1" showErrorMessage="1" error="Please enter a number. " sqref="E36:E37 E18:E22">
      <formula1>0</formula1>
      <formula2>1000000</formula2>
    </dataValidation>
    <dataValidation allowBlank="1" showInputMessage="1" showErrorMessage="1" error="Please enter a number. " sqref="E34 E29"/>
    <dataValidation type="decimal" allowBlank="1" showInputMessage="1" showErrorMessage="1" error="Please enter a numnber. " sqref="E32">
      <formula1>0</formula1>
      <formula2>10000000</formula2>
    </dataValidation>
    <dataValidation type="decimal" allowBlank="1" showInputMessage="1" showErrorMessage="1" error="Please enter a number. " sqref="E26">
      <formula1>0</formula1>
      <formula2>10000000000</formula2>
    </dataValidation>
    <dataValidation type="list" allowBlank="1" showInputMessage="1" showErrorMessage="1" sqref="E17">
      <formula1>yes_no</formula1>
    </dataValidation>
    <dataValidation type="decimal" allowBlank="1" showInputMessage="1" showErrorMessage="1" error="Please enter a number. " sqref="E16">
      <formula1>0</formula1>
      <formula2>1000000</formula2>
    </dataValidation>
    <dataValidation type="decimal" allowBlank="1" showInputMessage="1" showErrorMessage="1" sqref="E8">
      <formula1>0</formula1>
      <formula2>1</formula2>
    </dataValidation>
    <dataValidation type="list" allowBlank="1" showInputMessage="1" showErrorMessage="1" sqref="E25">
      <formula1>energy_type_limited</formula1>
    </dataValidation>
    <dataValidation type="decimal" allowBlank="1" showInputMessage="1" showErrorMessage="1" error="Please enter a number. " sqref="E30">
      <formula1>0</formula1>
      <formula2>1000000000</formula2>
    </dataValidation>
  </dataValidations>
  <hyperlinks>
    <hyperlink ref="E39" location="supplemental_benefits_start" display="→ Go to &quot;Supplemental Information&quot; tab "/>
  </hyperlinks>
  <printOptions horizontalCentered="1"/>
  <pageMargins left="0.3937007874015748" right="0.3937007874015748" top="0.5905511811023623" bottom="0.5905511811023623" header="0.5118110236220472" footer="0.5118110236220472"/>
  <pageSetup fitToHeight="1" fitToWidth="1" horizontalDpi="600" verticalDpi="600" orientation="portrait" scale="44"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showGridLines="0" zoomScale="80" zoomScaleNormal="80" zoomScalePageLayoutView="0" workbookViewId="0" topLeftCell="A1">
      <pane ySplit="5" topLeftCell="A12" activePane="bottomLeft" state="frozen"/>
      <selection pane="topLeft" activeCell="A18" sqref="A18"/>
      <selection pane="bottomLeft" activeCell="E23" sqref="E23"/>
    </sheetView>
  </sheetViews>
  <sheetFormatPr defaultColWidth="9.140625" defaultRowHeight="12.75"/>
  <cols>
    <col min="1" max="2" width="2.00390625" style="0" customWidth="1"/>
    <col min="3" max="3" width="63.28125" style="0" customWidth="1"/>
    <col min="4" max="4" width="10.7109375" style="0" customWidth="1"/>
    <col min="5" max="5" width="40.28125" style="0" customWidth="1"/>
    <col min="6" max="6" width="78.00390625" style="0" customWidth="1"/>
  </cols>
  <sheetData>
    <row r="1" ht="18">
      <c r="A1" s="261" t="s">
        <v>455</v>
      </c>
    </row>
    <row r="2" spans="1:2" ht="18">
      <c r="A2" s="261"/>
      <c r="B2" s="78" t="s">
        <v>2173</v>
      </c>
    </row>
    <row r="3" spans="1:2" ht="18">
      <c r="A3" s="261"/>
      <c r="B3" s="277" t="s">
        <v>457</v>
      </c>
    </row>
    <row r="4" ht="15" thickBot="1">
      <c r="C4" s="277"/>
    </row>
    <row r="5" spans="1:6" ht="18.75">
      <c r="A5" s="252"/>
      <c r="B5" s="253"/>
      <c r="C5" s="254" t="s">
        <v>1323</v>
      </c>
      <c r="D5" s="255" t="s">
        <v>618</v>
      </c>
      <c r="E5" s="256" t="s">
        <v>1595</v>
      </c>
      <c r="F5" s="257" t="s">
        <v>1700</v>
      </c>
    </row>
    <row r="6" spans="1:6" ht="15">
      <c r="A6" s="249" t="s">
        <v>1369</v>
      </c>
      <c r="B6" s="184"/>
      <c r="C6" s="215"/>
      <c r="D6" s="182"/>
      <c r="E6" s="180"/>
      <c r="F6" s="173"/>
    </row>
    <row r="7" spans="1:6" ht="15">
      <c r="A7" s="315"/>
      <c r="B7" s="316" t="s">
        <v>922</v>
      </c>
      <c r="C7" s="317"/>
      <c r="D7" s="318"/>
      <c r="E7" s="319"/>
      <c r="F7" s="320"/>
    </row>
    <row r="8" spans="1:6" ht="65.25">
      <c r="A8" s="51"/>
      <c r="B8" s="48"/>
      <c r="C8" s="250" t="s">
        <v>1701</v>
      </c>
      <c r="D8" s="113" t="s">
        <v>426</v>
      </c>
      <c r="E8" s="385">
        <v>7000</v>
      </c>
      <c r="F8" s="392" t="s">
        <v>2370</v>
      </c>
    </row>
    <row r="9" spans="1:6" ht="39.75">
      <c r="A9" s="51"/>
      <c r="B9" s="48"/>
      <c r="C9" s="250" t="s">
        <v>987</v>
      </c>
      <c r="D9" s="113" t="s">
        <v>427</v>
      </c>
      <c r="E9" s="386">
        <v>0.0268026710776205</v>
      </c>
      <c r="F9" s="376" t="s">
        <v>2362</v>
      </c>
    </row>
    <row r="10" spans="1:6" ht="41.25">
      <c r="A10" s="271"/>
      <c r="B10" s="219"/>
      <c r="C10" s="273" t="s">
        <v>988</v>
      </c>
      <c r="D10" s="278" t="s">
        <v>428</v>
      </c>
      <c r="E10" s="386">
        <f>E9*12.4</f>
        <v>0.33235312136249423</v>
      </c>
      <c r="F10" s="377" t="s">
        <v>2358</v>
      </c>
    </row>
    <row r="12" spans="1:6" ht="15">
      <c r="A12" s="315"/>
      <c r="B12" s="316" t="s">
        <v>429</v>
      </c>
      <c r="C12" s="317"/>
      <c r="D12" s="318"/>
      <c r="E12" s="319"/>
      <c r="F12" s="320"/>
    </row>
    <row r="13" spans="1:6" ht="65.25">
      <c r="A13" s="51"/>
      <c r="B13" s="48"/>
      <c r="C13" s="251" t="s">
        <v>1699</v>
      </c>
      <c r="D13" s="113" t="s">
        <v>430</v>
      </c>
      <c r="E13" s="386"/>
      <c r="F13" s="376" t="s">
        <v>2359</v>
      </c>
    </row>
    <row r="14" spans="1:6" ht="65.25">
      <c r="A14" s="51"/>
      <c r="B14" s="48"/>
      <c r="C14" s="251" t="s">
        <v>924</v>
      </c>
      <c r="D14" s="113" t="s">
        <v>431</v>
      </c>
      <c r="E14" s="386"/>
      <c r="F14" s="376" t="s">
        <v>2359</v>
      </c>
    </row>
    <row r="15" spans="1:6" ht="65.25">
      <c r="A15" s="51"/>
      <c r="B15" s="48"/>
      <c r="C15" s="251" t="s">
        <v>925</v>
      </c>
      <c r="D15" s="113" t="s">
        <v>432</v>
      </c>
      <c r="E15" s="386"/>
      <c r="F15" s="376" t="s">
        <v>2359</v>
      </c>
    </row>
    <row r="16" spans="1:6" ht="65.25">
      <c r="A16" s="51"/>
      <c r="B16" s="48"/>
      <c r="C16" s="251" t="s">
        <v>926</v>
      </c>
      <c r="D16" s="113" t="s">
        <v>433</v>
      </c>
      <c r="E16" s="386"/>
      <c r="F16" s="376" t="s">
        <v>2359</v>
      </c>
    </row>
    <row r="17" spans="1:6" ht="65.25">
      <c r="A17" s="51"/>
      <c r="B17" s="48"/>
      <c r="C17" s="251" t="s">
        <v>927</v>
      </c>
      <c r="D17" s="113" t="s">
        <v>434</v>
      </c>
      <c r="E17" s="386"/>
      <c r="F17" s="376" t="s">
        <v>2359</v>
      </c>
    </row>
    <row r="18" spans="1:6" ht="65.25">
      <c r="A18" s="271"/>
      <c r="B18" s="219"/>
      <c r="C18" s="279" t="s">
        <v>928</v>
      </c>
      <c r="D18" s="278" t="s">
        <v>435</v>
      </c>
      <c r="E18" s="386"/>
      <c r="F18" s="376" t="s">
        <v>2359</v>
      </c>
    </row>
    <row r="20" spans="1:6" ht="15">
      <c r="A20" s="315"/>
      <c r="B20" s="316" t="s">
        <v>436</v>
      </c>
      <c r="C20" s="317"/>
      <c r="D20" s="318"/>
      <c r="E20" s="319"/>
      <c r="F20" s="320"/>
    </row>
    <row r="21" spans="1:6" ht="39" thickBot="1">
      <c r="A21" s="52"/>
      <c r="B21" s="103"/>
      <c r="C21" s="168" t="s">
        <v>923</v>
      </c>
      <c r="D21" s="167" t="s">
        <v>437</v>
      </c>
      <c r="E21" s="378"/>
      <c r="F21" s="379"/>
    </row>
    <row r="23" ht="15">
      <c r="E23" s="308" t="s">
        <v>2171</v>
      </c>
    </row>
  </sheetData>
  <sheetProtection password="E6A0" sheet="1" objects="1" scenarios="1"/>
  <conditionalFormatting sqref="D7:F7 D12:F12 D20:F20">
    <cfRule type="expression" priority="1" dxfId="6" stopIfTrue="1">
      <formula>$C$46&lt;&gt;$E$45</formula>
    </cfRule>
  </conditionalFormatting>
  <hyperlinks>
    <hyperlink ref="E23" location="qualified_property_list_start" display="→ Go to &quot;Supplemental Information&quot; tab "/>
  </hyperlinks>
  <printOptions/>
  <pageMargins left="0.7480314960629921" right="0.7480314960629921" top="0.984251968503937" bottom="0.984251968503937" header="0.5118110236220472" footer="0.5118110236220472"/>
  <pageSetup fitToHeight="1" fitToWidth="1" horizontalDpi="600" verticalDpi="600" orientation="landscape" scale="62" r:id="rId1"/>
</worksheet>
</file>

<file path=xl/worksheets/sheet6.xml><?xml version="1.0" encoding="utf-8"?>
<worksheet xmlns="http://schemas.openxmlformats.org/spreadsheetml/2006/main" xmlns:r="http://schemas.openxmlformats.org/officeDocument/2006/relationships">
  <sheetPr>
    <pageSetUpPr fitToPage="1"/>
  </sheetPr>
  <dimension ref="A1:I513"/>
  <sheetViews>
    <sheetView showGridLines="0" zoomScale="85" zoomScaleNormal="85" zoomScalePageLayoutView="0" workbookViewId="0" topLeftCell="A1">
      <selection activeCell="G16" sqref="G16"/>
    </sheetView>
  </sheetViews>
  <sheetFormatPr defaultColWidth="9.140625" defaultRowHeight="12.75"/>
  <cols>
    <col min="1" max="1" width="6.140625" style="0" customWidth="1"/>
    <col min="2" max="2" width="57.28125" style="0" customWidth="1"/>
    <col min="3" max="3" width="62.8515625" style="0" customWidth="1"/>
    <col min="4" max="4" width="21.28125" style="0" customWidth="1"/>
    <col min="5" max="7" width="19.57421875" style="0" customWidth="1"/>
  </cols>
  <sheetData>
    <row r="1" ht="18">
      <c r="A1" s="261" t="s">
        <v>455</v>
      </c>
    </row>
    <row r="2" ht="15.75">
      <c r="A2" s="10" t="s">
        <v>453</v>
      </c>
    </row>
    <row r="3" ht="15.75">
      <c r="A3" s="10"/>
    </row>
    <row r="4" ht="15.75">
      <c r="A4" s="78" t="s">
        <v>1329</v>
      </c>
    </row>
    <row r="5" ht="15">
      <c r="A5" s="263" t="s">
        <v>946</v>
      </c>
    </row>
    <row r="6" ht="15">
      <c r="A6" s="263" t="s">
        <v>202</v>
      </c>
    </row>
    <row r="7" ht="15">
      <c r="A7" s="263" t="s">
        <v>972</v>
      </c>
    </row>
    <row r="8" spans="1:4" ht="12.75">
      <c r="A8" s="71"/>
      <c r="B8" s="48"/>
      <c r="C8" s="48"/>
      <c r="D8" s="48"/>
    </row>
    <row r="9" spans="2:9" ht="12.75">
      <c r="B9" s="306"/>
      <c r="C9" s="306"/>
      <c r="D9" s="307"/>
      <c r="E9" s="207" t="s">
        <v>944</v>
      </c>
      <c r="F9" s="207" t="s">
        <v>943</v>
      </c>
      <c r="G9" s="207" t="s">
        <v>943</v>
      </c>
      <c r="I9" s="5"/>
    </row>
    <row r="10" spans="2:7" ht="13.5" thickBot="1">
      <c r="B10" s="303" t="s">
        <v>952</v>
      </c>
      <c r="C10" s="208"/>
      <c r="D10" s="208"/>
      <c r="E10" s="209">
        <f>SUM(E14:E513)</f>
        <v>1357800</v>
      </c>
      <c r="F10" s="210">
        <f>SUMPRODUCT(E14:E513,F14:F513)/E10</f>
        <v>26.10296067167477</v>
      </c>
      <c r="G10" s="211">
        <f>SUMPRODUCT(E14:E513,G14:G513)/E10</f>
        <v>0.8105759316541464</v>
      </c>
    </row>
    <row r="11" spans="2:7" ht="26.25" thickBot="1">
      <c r="B11" s="308"/>
      <c r="E11" s="212" t="s">
        <v>947</v>
      </c>
      <c r="F11" s="212" t="s">
        <v>948</v>
      </c>
      <c r="G11" s="212" t="s">
        <v>951</v>
      </c>
    </row>
    <row r="13" spans="2:7" ht="25.5">
      <c r="B13" s="329" t="s">
        <v>945</v>
      </c>
      <c r="C13" s="329" t="s">
        <v>1575</v>
      </c>
      <c r="D13" s="330" t="s">
        <v>975</v>
      </c>
      <c r="E13" s="264" t="s">
        <v>458</v>
      </c>
      <c r="F13" s="265" t="s">
        <v>942</v>
      </c>
      <c r="G13" s="265" t="s">
        <v>452</v>
      </c>
    </row>
    <row r="14" spans="1:7" ht="12.75">
      <c r="A14">
        <v>1</v>
      </c>
      <c r="B14" s="380" t="s">
        <v>2351</v>
      </c>
      <c r="C14" s="380" t="s">
        <v>2332</v>
      </c>
      <c r="D14" s="381" t="s">
        <v>465</v>
      </c>
      <c r="E14" s="352">
        <v>17000</v>
      </c>
      <c r="F14" s="346">
        <v>32</v>
      </c>
      <c r="G14" s="382">
        <v>1</v>
      </c>
    </row>
    <row r="15" spans="1:7" ht="12.75">
      <c r="A15">
        <v>2</v>
      </c>
      <c r="B15" s="380" t="s">
        <v>2352</v>
      </c>
      <c r="C15" s="380" t="s">
        <v>2363</v>
      </c>
      <c r="D15" s="381" t="s">
        <v>465</v>
      </c>
      <c r="E15" s="352">
        <v>13500</v>
      </c>
      <c r="F15" s="346">
        <v>17</v>
      </c>
      <c r="G15" s="382">
        <v>1</v>
      </c>
    </row>
    <row r="16" spans="1:7" ht="12.75">
      <c r="A16">
        <v>3</v>
      </c>
      <c r="B16" s="380" t="s">
        <v>2344</v>
      </c>
      <c r="C16" s="380" t="s">
        <v>2333</v>
      </c>
      <c r="D16" s="381" t="s">
        <v>465</v>
      </c>
      <c r="E16" s="352">
        <v>480000</v>
      </c>
      <c r="F16" s="346">
        <v>32</v>
      </c>
      <c r="G16" s="382">
        <v>0.6</v>
      </c>
    </row>
    <row r="17" spans="1:7" ht="12.75">
      <c r="A17">
        <v>4</v>
      </c>
      <c r="B17" s="380" t="s">
        <v>2374</v>
      </c>
      <c r="C17" s="380" t="s">
        <v>2334</v>
      </c>
      <c r="D17" s="381" t="s">
        <v>465</v>
      </c>
      <c r="E17" s="352">
        <v>68000</v>
      </c>
      <c r="F17" s="346">
        <v>22</v>
      </c>
      <c r="G17" s="382">
        <v>0.6</v>
      </c>
    </row>
    <row r="18" spans="1:7" ht="12.75">
      <c r="A18">
        <v>5</v>
      </c>
      <c r="B18" s="380" t="s">
        <v>2372</v>
      </c>
      <c r="C18" s="380" t="s">
        <v>2335</v>
      </c>
      <c r="D18" s="381" t="s">
        <v>465</v>
      </c>
      <c r="E18" s="352">
        <v>95000</v>
      </c>
      <c r="F18" s="346">
        <v>17</v>
      </c>
      <c r="G18" s="382">
        <v>0.6</v>
      </c>
    </row>
    <row r="19" spans="1:7" ht="12.75">
      <c r="A19">
        <v>6</v>
      </c>
      <c r="B19" s="380" t="s">
        <v>2345</v>
      </c>
      <c r="C19" s="380" t="s">
        <v>2336</v>
      </c>
      <c r="D19" s="381" t="s">
        <v>465</v>
      </c>
      <c r="E19" s="352">
        <v>22500</v>
      </c>
      <c r="F19" s="346">
        <v>32</v>
      </c>
      <c r="G19" s="382">
        <v>1</v>
      </c>
    </row>
    <row r="20" spans="1:7" ht="12.75">
      <c r="A20">
        <v>7</v>
      </c>
      <c r="B20" s="380" t="s">
        <v>2337</v>
      </c>
      <c r="C20" s="380" t="s">
        <v>2338</v>
      </c>
      <c r="D20" s="381" t="s">
        <v>465</v>
      </c>
      <c r="E20" s="352">
        <v>550000</v>
      </c>
      <c r="F20" s="346">
        <v>22</v>
      </c>
      <c r="G20" s="382">
        <v>1</v>
      </c>
    </row>
    <row r="21" spans="1:7" ht="12.75">
      <c r="A21">
        <v>8</v>
      </c>
      <c r="B21" s="380" t="s">
        <v>2339</v>
      </c>
      <c r="C21" s="380" t="s">
        <v>2340</v>
      </c>
      <c r="D21" s="381" t="s">
        <v>465</v>
      </c>
      <c r="E21" s="352">
        <v>90000</v>
      </c>
      <c r="F21" s="346">
        <v>32</v>
      </c>
      <c r="G21" s="382">
        <v>1</v>
      </c>
    </row>
    <row r="22" spans="1:7" ht="12.75">
      <c r="A22">
        <v>9</v>
      </c>
      <c r="B22" s="394" t="s">
        <v>2373</v>
      </c>
      <c r="C22" s="380" t="s">
        <v>2341</v>
      </c>
      <c r="D22" s="381" t="s">
        <v>465</v>
      </c>
      <c r="E22" s="352">
        <v>4500</v>
      </c>
      <c r="F22" s="346">
        <v>22</v>
      </c>
      <c r="G22" s="382">
        <v>1</v>
      </c>
    </row>
    <row r="23" spans="1:7" ht="12.75">
      <c r="A23">
        <v>10</v>
      </c>
      <c r="B23" s="380" t="s">
        <v>2346</v>
      </c>
      <c r="C23" s="380" t="s">
        <v>2342</v>
      </c>
      <c r="D23" s="381" t="s">
        <v>465</v>
      </c>
      <c r="E23" s="352">
        <v>7000</v>
      </c>
      <c r="F23" s="346">
        <v>32</v>
      </c>
      <c r="G23" s="382">
        <v>1</v>
      </c>
    </row>
    <row r="24" spans="1:7" ht="12.75">
      <c r="A24">
        <v>11</v>
      </c>
      <c r="B24" s="380" t="s">
        <v>2347</v>
      </c>
      <c r="C24" s="380" t="s">
        <v>2341</v>
      </c>
      <c r="D24" s="381" t="s">
        <v>465</v>
      </c>
      <c r="E24" s="352">
        <v>5000</v>
      </c>
      <c r="F24" s="346">
        <v>22</v>
      </c>
      <c r="G24" s="382">
        <v>1</v>
      </c>
    </row>
    <row r="25" spans="1:7" ht="12.75">
      <c r="A25">
        <v>12</v>
      </c>
      <c r="B25" s="380" t="s">
        <v>2348</v>
      </c>
      <c r="C25" s="380" t="s">
        <v>2341</v>
      </c>
      <c r="D25" s="381" t="s">
        <v>465</v>
      </c>
      <c r="E25" s="352">
        <v>300</v>
      </c>
      <c r="F25" s="346">
        <v>17</v>
      </c>
      <c r="G25" s="382">
        <v>1</v>
      </c>
    </row>
    <row r="26" spans="1:7" ht="12.75">
      <c r="A26">
        <v>13</v>
      </c>
      <c r="B26" s="380" t="s">
        <v>2349</v>
      </c>
      <c r="C26" s="380" t="s">
        <v>2343</v>
      </c>
      <c r="D26" s="381" t="s">
        <v>465</v>
      </c>
      <c r="E26" s="352">
        <v>1500</v>
      </c>
      <c r="F26" s="346">
        <v>5</v>
      </c>
      <c r="G26" s="382">
        <v>1</v>
      </c>
    </row>
    <row r="27" spans="1:7" ht="12.75">
      <c r="A27">
        <v>14</v>
      </c>
      <c r="B27" s="380" t="s">
        <v>2350</v>
      </c>
      <c r="C27" s="380" t="s">
        <v>2335</v>
      </c>
      <c r="D27" s="381" t="s">
        <v>465</v>
      </c>
      <c r="E27" s="352">
        <v>3500</v>
      </c>
      <c r="F27" s="346">
        <v>15</v>
      </c>
      <c r="G27" s="382">
        <v>1</v>
      </c>
    </row>
    <row r="28" spans="1:7" ht="12.75">
      <c r="A28">
        <v>15</v>
      </c>
      <c r="B28" s="380"/>
      <c r="C28" s="380"/>
      <c r="D28" s="381"/>
      <c r="E28" s="352"/>
      <c r="F28" s="346"/>
      <c r="G28" s="382"/>
    </row>
    <row r="29" spans="1:7" ht="12.75">
      <c r="A29">
        <v>16</v>
      </c>
      <c r="B29" s="380"/>
      <c r="C29" s="380"/>
      <c r="D29" s="381"/>
      <c r="E29" s="352"/>
      <c r="F29" s="346"/>
      <c r="G29" s="382"/>
    </row>
    <row r="30" spans="1:7" ht="12.75">
      <c r="A30">
        <v>17</v>
      </c>
      <c r="B30" s="380"/>
      <c r="C30" s="380"/>
      <c r="D30" s="381"/>
      <c r="E30" s="352"/>
      <c r="F30" s="346"/>
      <c r="G30" s="382"/>
    </row>
    <row r="31" spans="1:7" ht="12.75">
      <c r="A31">
        <v>18</v>
      </c>
      <c r="B31" s="380"/>
      <c r="C31" s="380"/>
      <c r="D31" s="381"/>
      <c r="E31" s="352"/>
      <c r="F31" s="346"/>
      <c r="G31" s="382"/>
    </row>
    <row r="32" spans="1:7" ht="12.75">
      <c r="A32">
        <v>19</v>
      </c>
      <c r="B32" s="380"/>
      <c r="C32" s="380"/>
      <c r="D32" s="381"/>
      <c r="E32" s="352"/>
      <c r="F32" s="346"/>
      <c r="G32" s="382"/>
    </row>
    <row r="33" spans="1:7" ht="12.75">
      <c r="A33">
        <v>20</v>
      </c>
      <c r="B33" s="380"/>
      <c r="C33" s="380"/>
      <c r="D33" s="381"/>
      <c r="E33" s="352"/>
      <c r="F33" s="346"/>
      <c r="G33" s="382"/>
    </row>
    <row r="34" spans="1:7" ht="12.75">
      <c r="A34">
        <v>21</v>
      </c>
      <c r="B34" s="380"/>
      <c r="C34" s="380"/>
      <c r="D34" s="381"/>
      <c r="E34" s="352"/>
      <c r="F34" s="346"/>
      <c r="G34" s="382"/>
    </row>
    <row r="35" spans="1:7" ht="12.75">
      <c r="A35">
        <v>22</v>
      </c>
      <c r="B35" s="380"/>
      <c r="C35" s="380"/>
      <c r="D35" s="381"/>
      <c r="E35" s="352"/>
      <c r="F35" s="346"/>
      <c r="G35" s="382"/>
    </row>
    <row r="36" spans="1:7" ht="12.75">
      <c r="A36">
        <v>23</v>
      </c>
      <c r="B36" s="380"/>
      <c r="C36" s="380"/>
      <c r="D36" s="381"/>
      <c r="E36" s="352"/>
      <c r="F36" s="346"/>
      <c r="G36" s="382"/>
    </row>
    <row r="37" spans="1:7" ht="12.75">
      <c r="A37">
        <v>24</v>
      </c>
      <c r="B37" s="380"/>
      <c r="C37" s="380"/>
      <c r="D37" s="381"/>
      <c r="E37" s="352"/>
      <c r="F37" s="346"/>
      <c r="G37" s="382"/>
    </row>
    <row r="38" spans="1:7" ht="12.75">
      <c r="A38">
        <v>25</v>
      </c>
      <c r="B38" s="380"/>
      <c r="C38" s="380"/>
      <c r="D38" s="381"/>
      <c r="E38" s="352"/>
      <c r="F38" s="346"/>
      <c r="G38" s="382"/>
    </row>
    <row r="39" spans="1:7" ht="12.75">
      <c r="A39">
        <v>26</v>
      </c>
      <c r="B39" s="380"/>
      <c r="C39" s="380"/>
      <c r="D39" s="381"/>
      <c r="E39" s="352"/>
      <c r="F39" s="346"/>
      <c r="G39" s="382"/>
    </row>
    <row r="40" spans="1:7" ht="12.75">
      <c r="A40">
        <v>27</v>
      </c>
      <c r="B40" s="380"/>
      <c r="C40" s="380"/>
      <c r="D40" s="381"/>
      <c r="E40" s="352"/>
      <c r="F40" s="346"/>
      <c r="G40" s="382"/>
    </row>
    <row r="41" spans="1:7" ht="12.75">
      <c r="A41">
        <v>28</v>
      </c>
      <c r="B41" s="380"/>
      <c r="C41" s="380"/>
      <c r="D41" s="381"/>
      <c r="E41" s="352"/>
      <c r="F41" s="346"/>
      <c r="G41" s="382"/>
    </row>
    <row r="42" spans="1:7" ht="12.75">
      <c r="A42">
        <v>29</v>
      </c>
      <c r="B42" s="380"/>
      <c r="C42" s="380"/>
      <c r="D42" s="381"/>
      <c r="E42" s="352"/>
      <c r="F42" s="346"/>
      <c r="G42" s="382"/>
    </row>
    <row r="43" spans="1:7" ht="12.75">
      <c r="A43">
        <v>30</v>
      </c>
      <c r="B43" s="380"/>
      <c r="C43" s="380"/>
      <c r="D43" s="381"/>
      <c r="E43" s="352"/>
      <c r="F43" s="346"/>
      <c r="G43" s="382"/>
    </row>
    <row r="44" spans="1:7" ht="12.75">
      <c r="A44">
        <v>31</v>
      </c>
      <c r="B44" s="380"/>
      <c r="C44" s="380"/>
      <c r="D44" s="381"/>
      <c r="E44" s="352"/>
      <c r="F44" s="346"/>
      <c r="G44" s="382"/>
    </row>
    <row r="45" spans="1:7" ht="12.75">
      <c r="A45">
        <v>32</v>
      </c>
      <c r="B45" s="380"/>
      <c r="C45" s="380"/>
      <c r="D45" s="381"/>
      <c r="E45" s="352"/>
      <c r="F45" s="346"/>
      <c r="G45" s="382"/>
    </row>
    <row r="46" spans="1:7" ht="12.75">
      <c r="A46">
        <v>33</v>
      </c>
      <c r="B46" s="380"/>
      <c r="C46" s="380"/>
      <c r="D46" s="381"/>
      <c r="E46" s="352"/>
      <c r="F46" s="346"/>
      <c r="G46" s="382"/>
    </row>
    <row r="47" spans="1:7" ht="12.75">
      <c r="A47">
        <v>34</v>
      </c>
      <c r="B47" s="380"/>
      <c r="C47" s="380"/>
      <c r="D47" s="381"/>
      <c r="E47" s="352"/>
      <c r="F47" s="346"/>
      <c r="G47" s="382"/>
    </row>
    <row r="48" spans="1:7" ht="12.75">
      <c r="A48">
        <v>35</v>
      </c>
      <c r="B48" s="380"/>
      <c r="C48" s="380"/>
      <c r="D48" s="381"/>
      <c r="E48" s="352"/>
      <c r="F48" s="346"/>
      <c r="G48" s="382"/>
    </row>
    <row r="49" spans="1:7" ht="12.75">
      <c r="A49">
        <v>36</v>
      </c>
      <c r="B49" s="380"/>
      <c r="C49" s="380"/>
      <c r="D49" s="381"/>
      <c r="E49" s="352"/>
      <c r="F49" s="346"/>
      <c r="G49" s="382"/>
    </row>
    <row r="50" spans="1:7" ht="12.75">
      <c r="A50">
        <v>37</v>
      </c>
      <c r="B50" s="380"/>
      <c r="C50" s="380"/>
      <c r="D50" s="381"/>
      <c r="E50" s="352"/>
      <c r="F50" s="346"/>
      <c r="G50" s="382"/>
    </row>
    <row r="51" spans="1:7" ht="12.75">
      <c r="A51">
        <v>38</v>
      </c>
      <c r="B51" s="380"/>
      <c r="C51" s="380"/>
      <c r="D51" s="381"/>
      <c r="E51" s="352"/>
      <c r="F51" s="346"/>
      <c r="G51" s="382"/>
    </row>
    <row r="52" spans="1:7" ht="12.75">
      <c r="A52">
        <v>39</v>
      </c>
      <c r="B52" s="380"/>
      <c r="C52" s="380"/>
      <c r="D52" s="381"/>
      <c r="E52" s="352"/>
      <c r="F52" s="346"/>
      <c r="G52" s="382"/>
    </row>
    <row r="53" spans="1:7" ht="12.75">
      <c r="A53">
        <v>40</v>
      </c>
      <c r="B53" s="380"/>
      <c r="C53" s="380"/>
      <c r="D53" s="381"/>
      <c r="E53" s="352"/>
      <c r="F53" s="346"/>
      <c r="G53" s="382"/>
    </row>
    <row r="54" spans="1:7" ht="12.75">
      <c r="A54">
        <v>41</v>
      </c>
      <c r="B54" s="380"/>
      <c r="C54" s="380"/>
      <c r="D54" s="381"/>
      <c r="E54" s="352"/>
      <c r="F54" s="346"/>
      <c r="G54" s="382"/>
    </row>
    <row r="55" spans="1:7" ht="12.75">
      <c r="A55">
        <v>42</v>
      </c>
      <c r="B55" s="380"/>
      <c r="C55" s="380"/>
      <c r="D55" s="381"/>
      <c r="E55" s="352"/>
      <c r="F55" s="346"/>
      <c r="G55" s="382"/>
    </row>
    <row r="56" spans="1:7" ht="12.75">
      <c r="A56">
        <v>43</v>
      </c>
      <c r="B56" s="380"/>
      <c r="C56" s="380"/>
      <c r="D56" s="381"/>
      <c r="E56" s="352"/>
      <c r="F56" s="346"/>
      <c r="G56" s="382"/>
    </row>
    <row r="57" spans="1:7" ht="12.75">
      <c r="A57">
        <v>44</v>
      </c>
      <c r="B57" s="380"/>
      <c r="C57" s="380"/>
      <c r="D57" s="381"/>
      <c r="E57" s="352"/>
      <c r="F57" s="346"/>
      <c r="G57" s="382"/>
    </row>
    <row r="58" spans="1:7" ht="12.75">
      <c r="A58">
        <v>45</v>
      </c>
      <c r="B58" s="380"/>
      <c r="C58" s="380"/>
      <c r="D58" s="381"/>
      <c r="E58" s="352"/>
      <c r="F58" s="346"/>
      <c r="G58" s="382"/>
    </row>
    <row r="59" spans="1:7" ht="12.75">
      <c r="A59">
        <v>46</v>
      </c>
      <c r="B59" s="380"/>
      <c r="C59" s="380"/>
      <c r="D59" s="381"/>
      <c r="E59" s="352"/>
      <c r="F59" s="346"/>
      <c r="G59" s="382"/>
    </row>
    <row r="60" spans="1:7" ht="12.75">
      <c r="A60">
        <v>47</v>
      </c>
      <c r="B60" s="380"/>
      <c r="C60" s="380"/>
      <c r="D60" s="381"/>
      <c r="E60" s="352"/>
      <c r="F60" s="346"/>
      <c r="G60" s="382"/>
    </row>
    <row r="61" spans="1:7" ht="12.75">
      <c r="A61">
        <v>48</v>
      </c>
      <c r="B61" s="380"/>
      <c r="C61" s="380"/>
      <c r="D61" s="381"/>
      <c r="E61" s="352"/>
      <c r="F61" s="346"/>
      <c r="G61" s="382"/>
    </row>
    <row r="62" spans="1:7" ht="12.75">
      <c r="A62">
        <v>49</v>
      </c>
      <c r="B62" s="380"/>
      <c r="C62" s="380"/>
      <c r="D62" s="381"/>
      <c r="E62" s="352"/>
      <c r="F62" s="346"/>
      <c r="G62" s="382"/>
    </row>
    <row r="63" spans="1:7" ht="12.75">
      <c r="A63">
        <v>50</v>
      </c>
      <c r="B63" s="380"/>
      <c r="C63" s="380"/>
      <c r="D63" s="381"/>
      <c r="E63" s="352"/>
      <c r="F63" s="346"/>
      <c r="G63" s="382"/>
    </row>
    <row r="64" spans="1:7" ht="12.75">
      <c r="A64">
        <v>51</v>
      </c>
      <c r="B64" s="380"/>
      <c r="C64" s="380"/>
      <c r="D64" s="381"/>
      <c r="E64" s="352"/>
      <c r="F64" s="346"/>
      <c r="G64" s="382"/>
    </row>
    <row r="65" spans="1:7" ht="12.75">
      <c r="A65">
        <v>52</v>
      </c>
      <c r="B65" s="380"/>
      <c r="C65" s="380"/>
      <c r="D65" s="381"/>
      <c r="E65" s="352"/>
      <c r="F65" s="346"/>
      <c r="G65" s="382"/>
    </row>
    <row r="66" spans="1:7" ht="12.75">
      <c r="A66">
        <v>53</v>
      </c>
      <c r="B66" s="380"/>
      <c r="C66" s="380"/>
      <c r="D66" s="381"/>
      <c r="E66" s="352"/>
      <c r="F66" s="346"/>
      <c r="G66" s="382"/>
    </row>
    <row r="67" spans="1:7" ht="12.75">
      <c r="A67">
        <v>54</v>
      </c>
      <c r="B67" s="380"/>
      <c r="C67" s="380"/>
      <c r="D67" s="381"/>
      <c r="E67" s="352"/>
      <c r="F67" s="346"/>
      <c r="G67" s="382"/>
    </row>
    <row r="68" spans="1:7" ht="12.75">
      <c r="A68">
        <v>55</v>
      </c>
      <c r="B68" s="380"/>
      <c r="C68" s="380"/>
      <c r="D68" s="381"/>
      <c r="E68" s="352"/>
      <c r="F68" s="346"/>
      <c r="G68" s="382"/>
    </row>
    <row r="69" spans="1:7" ht="12.75">
      <c r="A69">
        <v>56</v>
      </c>
      <c r="B69" s="380"/>
      <c r="C69" s="380"/>
      <c r="D69" s="381"/>
      <c r="E69" s="352"/>
      <c r="F69" s="346"/>
      <c r="G69" s="382"/>
    </row>
    <row r="70" spans="1:7" ht="12.75">
      <c r="A70">
        <v>57</v>
      </c>
      <c r="B70" s="380"/>
      <c r="C70" s="380"/>
      <c r="D70" s="381"/>
      <c r="E70" s="352"/>
      <c r="F70" s="346"/>
      <c r="G70" s="382"/>
    </row>
    <row r="71" spans="1:7" ht="12.75">
      <c r="A71">
        <v>58</v>
      </c>
      <c r="B71" s="380"/>
      <c r="C71" s="380"/>
      <c r="D71" s="381"/>
      <c r="E71" s="352"/>
      <c r="F71" s="346"/>
      <c r="G71" s="382"/>
    </row>
    <row r="72" spans="1:7" ht="12.75">
      <c r="A72">
        <v>59</v>
      </c>
      <c r="B72" s="380"/>
      <c r="C72" s="380"/>
      <c r="D72" s="381"/>
      <c r="E72" s="352"/>
      <c r="F72" s="346"/>
      <c r="G72" s="382"/>
    </row>
    <row r="73" spans="1:7" ht="12.75">
      <c r="A73">
        <v>60</v>
      </c>
      <c r="B73" s="380"/>
      <c r="C73" s="380"/>
      <c r="D73" s="381"/>
      <c r="E73" s="352"/>
      <c r="F73" s="346"/>
      <c r="G73" s="382"/>
    </row>
    <row r="74" spans="1:7" ht="12.75">
      <c r="A74">
        <v>61</v>
      </c>
      <c r="B74" s="380"/>
      <c r="C74" s="380"/>
      <c r="D74" s="381"/>
      <c r="E74" s="352"/>
      <c r="F74" s="346"/>
      <c r="G74" s="382"/>
    </row>
    <row r="75" spans="1:7" ht="12.75">
      <c r="A75">
        <v>62</v>
      </c>
      <c r="B75" s="380"/>
      <c r="C75" s="380"/>
      <c r="D75" s="381"/>
      <c r="E75" s="352"/>
      <c r="F75" s="346"/>
      <c r="G75" s="382"/>
    </row>
    <row r="76" spans="1:7" ht="12.75">
      <c r="A76">
        <v>63</v>
      </c>
      <c r="B76" s="380"/>
      <c r="C76" s="380"/>
      <c r="D76" s="381"/>
      <c r="E76" s="352"/>
      <c r="F76" s="346"/>
      <c r="G76" s="382"/>
    </row>
    <row r="77" spans="1:7" ht="12.75">
      <c r="A77">
        <v>64</v>
      </c>
      <c r="B77" s="380"/>
      <c r="C77" s="380"/>
      <c r="D77" s="381"/>
      <c r="E77" s="352"/>
      <c r="F77" s="346"/>
      <c r="G77" s="382"/>
    </row>
    <row r="78" spans="1:7" ht="12.75">
      <c r="A78">
        <v>65</v>
      </c>
      <c r="B78" s="380"/>
      <c r="C78" s="380"/>
      <c r="D78" s="381"/>
      <c r="E78" s="352"/>
      <c r="F78" s="346"/>
      <c r="G78" s="382"/>
    </row>
    <row r="79" spans="1:7" ht="12.75">
      <c r="A79">
        <v>66</v>
      </c>
      <c r="B79" s="380"/>
      <c r="C79" s="380"/>
      <c r="D79" s="381"/>
      <c r="E79" s="352"/>
      <c r="F79" s="346"/>
      <c r="G79" s="382"/>
    </row>
    <row r="80" spans="1:7" ht="12.75">
      <c r="A80">
        <v>67</v>
      </c>
      <c r="B80" s="380"/>
      <c r="C80" s="380"/>
      <c r="D80" s="381"/>
      <c r="E80" s="352"/>
      <c r="F80" s="346"/>
      <c r="G80" s="382"/>
    </row>
    <row r="81" spans="1:7" ht="12.75">
      <c r="A81">
        <v>68</v>
      </c>
      <c r="B81" s="380"/>
      <c r="C81" s="380"/>
      <c r="D81" s="381"/>
      <c r="E81" s="352"/>
      <c r="F81" s="346"/>
      <c r="G81" s="382"/>
    </row>
    <row r="82" spans="1:7" ht="12.75">
      <c r="A82">
        <v>69</v>
      </c>
      <c r="B82" s="380"/>
      <c r="C82" s="380"/>
      <c r="D82" s="381"/>
      <c r="E82" s="352"/>
      <c r="F82" s="346"/>
      <c r="G82" s="382"/>
    </row>
    <row r="83" spans="1:7" ht="12.75">
      <c r="A83">
        <v>70</v>
      </c>
      <c r="B83" s="380"/>
      <c r="C83" s="380"/>
      <c r="D83" s="381"/>
      <c r="E83" s="352"/>
      <c r="F83" s="346"/>
      <c r="G83" s="382"/>
    </row>
    <row r="84" spans="1:7" ht="12.75">
      <c r="A84">
        <v>71</v>
      </c>
      <c r="B84" s="380"/>
      <c r="C84" s="380"/>
      <c r="D84" s="381"/>
      <c r="E84" s="352"/>
      <c r="F84" s="346"/>
      <c r="G84" s="382"/>
    </row>
    <row r="85" spans="1:7" ht="12.75">
      <c r="A85">
        <v>72</v>
      </c>
      <c r="B85" s="380"/>
      <c r="C85" s="380"/>
      <c r="D85" s="381"/>
      <c r="E85" s="352"/>
      <c r="F85" s="346"/>
      <c r="G85" s="382"/>
    </row>
    <row r="86" spans="1:7" ht="12.75">
      <c r="A86">
        <v>73</v>
      </c>
      <c r="B86" s="380"/>
      <c r="C86" s="380"/>
      <c r="D86" s="381"/>
      <c r="E86" s="352"/>
      <c r="F86" s="346"/>
      <c r="G86" s="382"/>
    </row>
    <row r="87" spans="1:7" ht="12.75">
      <c r="A87">
        <v>74</v>
      </c>
      <c r="B87" s="380"/>
      <c r="C87" s="380"/>
      <c r="D87" s="381"/>
      <c r="E87" s="352"/>
      <c r="F87" s="346"/>
      <c r="G87" s="382"/>
    </row>
    <row r="88" spans="1:7" ht="12.75">
      <c r="A88">
        <v>75</v>
      </c>
      <c r="B88" s="380"/>
      <c r="C88" s="380"/>
      <c r="D88" s="381"/>
      <c r="E88" s="352"/>
      <c r="F88" s="346"/>
      <c r="G88" s="382"/>
    </row>
    <row r="89" spans="1:7" ht="12.75">
      <c r="A89">
        <v>76</v>
      </c>
      <c r="B89" s="380"/>
      <c r="C89" s="380"/>
      <c r="D89" s="381"/>
      <c r="E89" s="352"/>
      <c r="F89" s="346"/>
      <c r="G89" s="382"/>
    </row>
    <row r="90" spans="1:7" ht="12.75">
      <c r="A90">
        <v>77</v>
      </c>
      <c r="B90" s="380"/>
      <c r="C90" s="380"/>
      <c r="D90" s="381"/>
      <c r="E90" s="352"/>
      <c r="F90" s="346"/>
      <c r="G90" s="382"/>
    </row>
    <row r="91" spans="1:7" ht="12.75">
      <c r="A91">
        <v>78</v>
      </c>
      <c r="B91" s="380"/>
      <c r="C91" s="380"/>
      <c r="D91" s="381"/>
      <c r="E91" s="352"/>
      <c r="F91" s="346"/>
      <c r="G91" s="382"/>
    </row>
    <row r="92" spans="1:7" ht="12.75">
      <c r="A92">
        <v>79</v>
      </c>
      <c r="B92" s="380"/>
      <c r="C92" s="380"/>
      <c r="D92" s="381"/>
      <c r="E92" s="352"/>
      <c r="F92" s="346"/>
      <c r="G92" s="382"/>
    </row>
    <row r="93" spans="1:7" ht="12.75">
      <c r="A93">
        <v>80</v>
      </c>
      <c r="B93" s="380"/>
      <c r="C93" s="380"/>
      <c r="D93" s="381"/>
      <c r="E93" s="352"/>
      <c r="F93" s="346"/>
      <c r="G93" s="382"/>
    </row>
    <row r="94" spans="1:7" ht="12.75">
      <c r="A94">
        <v>81</v>
      </c>
      <c r="B94" s="380"/>
      <c r="C94" s="380"/>
      <c r="D94" s="381"/>
      <c r="E94" s="352"/>
      <c r="F94" s="346"/>
      <c r="G94" s="382"/>
    </row>
    <row r="95" spans="1:7" ht="12.75">
      <c r="A95">
        <v>82</v>
      </c>
      <c r="B95" s="380"/>
      <c r="C95" s="380"/>
      <c r="D95" s="381"/>
      <c r="E95" s="352"/>
      <c r="F95" s="346"/>
      <c r="G95" s="382"/>
    </row>
    <row r="96" spans="1:7" ht="12.75">
      <c r="A96">
        <v>83</v>
      </c>
      <c r="B96" s="380"/>
      <c r="C96" s="380"/>
      <c r="D96" s="381"/>
      <c r="E96" s="352"/>
      <c r="F96" s="346"/>
      <c r="G96" s="382"/>
    </row>
    <row r="97" spans="1:7" ht="12.75">
      <c r="A97">
        <v>84</v>
      </c>
      <c r="B97" s="380"/>
      <c r="C97" s="380"/>
      <c r="D97" s="381"/>
      <c r="E97" s="352"/>
      <c r="F97" s="346"/>
      <c r="G97" s="382"/>
    </row>
    <row r="98" spans="1:7" ht="12.75">
      <c r="A98">
        <v>85</v>
      </c>
      <c r="B98" s="380"/>
      <c r="C98" s="380"/>
      <c r="D98" s="381"/>
      <c r="E98" s="352"/>
      <c r="F98" s="346"/>
      <c r="G98" s="382"/>
    </row>
    <row r="99" spans="1:7" ht="12.75">
      <c r="A99">
        <v>86</v>
      </c>
      <c r="B99" s="380"/>
      <c r="C99" s="380"/>
      <c r="D99" s="381"/>
      <c r="E99" s="352"/>
      <c r="F99" s="346"/>
      <c r="G99" s="382"/>
    </row>
    <row r="100" spans="1:7" ht="12.75">
      <c r="A100">
        <v>87</v>
      </c>
      <c r="B100" s="380"/>
      <c r="C100" s="380"/>
      <c r="D100" s="381"/>
      <c r="E100" s="352"/>
      <c r="F100" s="346"/>
      <c r="G100" s="382"/>
    </row>
    <row r="101" spans="1:7" ht="12.75">
      <c r="A101">
        <v>88</v>
      </c>
      <c r="B101" s="380"/>
      <c r="C101" s="380"/>
      <c r="D101" s="381"/>
      <c r="E101" s="352"/>
      <c r="F101" s="346"/>
      <c r="G101" s="382"/>
    </row>
    <row r="102" spans="1:7" ht="12.75">
      <c r="A102">
        <v>89</v>
      </c>
      <c r="B102" s="380"/>
      <c r="C102" s="380"/>
      <c r="D102" s="381"/>
      <c r="E102" s="352"/>
      <c r="F102" s="346"/>
      <c r="G102" s="382"/>
    </row>
    <row r="103" spans="1:7" ht="12.75">
      <c r="A103">
        <v>90</v>
      </c>
      <c r="B103" s="380"/>
      <c r="C103" s="380"/>
      <c r="D103" s="381"/>
      <c r="E103" s="352"/>
      <c r="F103" s="346"/>
      <c r="G103" s="382"/>
    </row>
    <row r="104" spans="1:7" ht="12.75">
      <c r="A104">
        <v>91</v>
      </c>
      <c r="B104" s="380"/>
      <c r="C104" s="380"/>
      <c r="D104" s="381"/>
      <c r="E104" s="352"/>
      <c r="F104" s="346"/>
      <c r="G104" s="382"/>
    </row>
    <row r="105" spans="1:7" ht="12.75">
      <c r="A105">
        <v>92</v>
      </c>
      <c r="B105" s="380"/>
      <c r="C105" s="380"/>
      <c r="D105" s="381"/>
      <c r="E105" s="352"/>
      <c r="F105" s="346"/>
      <c r="G105" s="382"/>
    </row>
    <row r="106" spans="1:7" ht="12.75">
      <c r="A106">
        <v>93</v>
      </c>
      <c r="B106" s="380"/>
      <c r="C106" s="380"/>
      <c r="D106" s="381"/>
      <c r="E106" s="352"/>
      <c r="F106" s="346"/>
      <c r="G106" s="382"/>
    </row>
    <row r="107" spans="1:7" ht="12.75">
      <c r="A107">
        <v>94</v>
      </c>
      <c r="B107" s="380"/>
      <c r="C107" s="380"/>
      <c r="D107" s="381"/>
      <c r="E107" s="352"/>
      <c r="F107" s="346"/>
      <c r="G107" s="382"/>
    </row>
    <row r="108" spans="1:7" ht="12.75">
      <c r="A108">
        <v>95</v>
      </c>
      <c r="B108" s="380"/>
      <c r="C108" s="380"/>
      <c r="D108" s="381"/>
      <c r="E108" s="352"/>
      <c r="F108" s="346"/>
      <c r="G108" s="382"/>
    </row>
    <row r="109" spans="1:7" ht="12.75">
      <c r="A109">
        <v>96</v>
      </c>
      <c r="B109" s="380"/>
      <c r="C109" s="380"/>
      <c r="D109" s="381"/>
      <c r="E109" s="352"/>
      <c r="F109" s="346"/>
      <c r="G109" s="382"/>
    </row>
    <row r="110" spans="1:7" ht="12.75">
      <c r="A110">
        <v>97</v>
      </c>
      <c r="B110" s="380"/>
      <c r="C110" s="380"/>
      <c r="D110" s="381"/>
      <c r="E110" s="352"/>
      <c r="F110" s="346"/>
      <c r="G110" s="382"/>
    </row>
    <row r="111" spans="1:7" ht="12.75">
      <c r="A111">
        <v>98</v>
      </c>
      <c r="B111" s="380"/>
      <c r="C111" s="380"/>
      <c r="D111" s="381"/>
      <c r="E111" s="352"/>
      <c r="F111" s="346"/>
      <c r="G111" s="382"/>
    </row>
    <row r="112" spans="1:7" ht="12.75">
      <c r="A112">
        <v>99</v>
      </c>
      <c r="B112" s="380"/>
      <c r="C112" s="380"/>
      <c r="D112" s="381"/>
      <c r="E112" s="352"/>
      <c r="F112" s="346"/>
      <c r="G112" s="382"/>
    </row>
    <row r="113" spans="1:7" ht="12.75">
      <c r="A113">
        <v>100</v>
      </c>
      <c r="B113" s="380"/>
      <c r="C113" s="380"/>
      <c r="D113" s="381"/>
      <c r="E113" s="352"/>
      <c r="F113" s="346"/>
      <c r="G113" s="382"/>
    </row>
    <row r="114" spans="1:7" ht="12.75">
      <c r="A114">
        <v>101</v>
      </c>
      <c r="B114" s="380"/>
      <c r="C114" s="380"/>
      <c r="D114" s="381"/>
      <c r="E114" s="352"/>
      <c r="F114" s="346"/>
      <c r="G114" s="382"/>
    </row>
    <row r="115" spans="1:7" ht="12.75">
      <c r="A115">
        <v>102</v>
      </c>
      <c r="B115" s="380"/>
      <c r="C115" s="380"/>
      <c r="D115" s="381"/>
      <c r="E115" s="352"/>
      <c r="F115" s="346"/>
      <c r="G115" s="382"/>
    </row>
    <row r="116" spans="1:7" ht="12.75">
      <c r="A116">
        <v>103</v>
      </c>
      <c r="B116" s="380"/>
      <c r="C116" s="380"/>
      <c r="D116" s="381"/>
      <c r="E116" s="352"/>
      <c r="F116" s="346"/>
      <c r="G116" s="382"/>
    </row>
    <row r="117" spans="1:7" ht="12.75">
      <c r="A117">
        <v>104</v>
      </c>
      <c r="B117" s="380"/>
      <c r="C117" s="380"/>
      <c r="D117" s="381"/>
      <c r="E117" s="352"/>
      <c r="F117" s="346"/>
      <c r="G117" s="382"/>
    </row>
    <row r="118" spans="1:7" ht="12.75">
      <c r="A118">
        <v>105</v>
      </c>
      <c r="B118" s="380"/>
      <c r="C118" s="380"/>
      <c r="D118" s="381"/>
      <c r="E118" s="352"/>
      <c r="F118" s="346"/>
      <c r="G118" s="382"/>
    </row>
    <row r="119" spans="1:7" ht="12.75">
      <c r="A119">
        <v>106</v>
      </c>
      <c r="B119" s="380"/>
      <c r="C119" s="380"/>
      <c r="D119" s="381"/>
      <c r="E119" s="352"/>
      <c r="F119" s="346"/>
      <c r="G119" s="382"/>
    </row>
    <row r="120" spans="1:7" ht="12.75">
      <c r="A120">
        <v>107</v>
      </c>
      <c r="B120" s="380"/>
      <c r="C120" s="380"/>
      <c r="D120" s="381"/>
      <c r="E120" s="352"/>
      <c r="F120" s="346"/>
      <c r="G120" s="382"/>
    </row>
    <row r="121" spans="1:7" ht="12.75">
      <c r="A121">
        <v>108</v>
      </c>
      <c r="B121" s="380"/>
      <c r="C121" s="380"/>
      <c r="D121" s="381"/>
      <c r="E121" s="352"/>
      <c r="F121" s="346"/>
      <c r="G121" s="382"/>
    </row>
    <row r="122" spans="1:7" ht="12.75">
      <c r="A122">
        <v>109</v>
      </c>
      <c r="B122" s="380"/>
      <c r="C122" s="380"/>
      <c r="D122" s="381"/>
      <c r="E122" s="352"/>
      <c r="F122" s="346"/>
      <c r="G122" s="382"/>
    </row>
    <row r="123" spans="1:7" ht="12.75">
      <c r="A123">
        <v>110</v>
      </c>
      <c r="B123" s="380"/>
      <c r="C123" s="380"/>
      <c r="D123" s="381"/>
      <c r="E123" s="352"/>
      <c r="F123" s="346"/>
      <c r="G123" s="382"/>
    </row>
    <row r="124" spans="1:7" ht="12.75">
      <c r="A124">
        <v>111</v>
      </c>
      <c r="B124" s="380"/>
      <c r="C124" s="380"/>
      <c r="D124" s="381"/>
      <c r="E124" s="352"/>
      <c r="F124" s="346"/>
      <c r="G124" s="382"/>
    </row>
    <row r="125" spans="1:7" ht="12.75">
      <c r="A125">
        <v>112</v>
      </c>
      <c r="B125" s="380"/>
      <c r="C125" s="380"/>
      <c r="D125" s="381"/>
      <c r="E125" s="352"/>
      <c r="F125" s="346"/>
      <c r="G125" s="382"/>
    </row>
    <row r="126" spans="1:7" ht="12.75">
      <c r="A126">
        <v>113</v>
      </c>
      <c r="B126" s="380"/>
      <c r="C126" s="380"/>
      <c r="D126" s="381"/>
      <c r="E126" s="352"/>
      <c r="F126" s="346"/>
      <c r="G126" s="382"/>
    </row>
    <row r="127" spans="1:7" ht="12.75">
      <c r="A127">
        <v>114</v>
      </c>
      <c r="B127" s="380"/>
      <c r="C127" s="380"/>
      <c r="D127" s="381"/>
      <c r="E127" s="352"/>
      <c r="F127" s="346"/>
      <c r="G127" s="382"/>
    </row>
    <row r="128" spans="1:7" ht="12.75">
      <c r="A128">
        <v>115</v>
      </c>
      <c r="B128" s="380"/>
      <c r="C128" s="380"/>
      <c r="D128" s="381"/>
      <c r="E128" s="352"/>
      <c r="F128" s="346"/>
      <c r="G128" s="382"/>
    </row>
    <row r="129" spans="1:7" ht="12.75">
      <c r="A129">
        <v>116</v>
      </c>
      <c r="B129" s="380"/>
      <c r="C129" s="380"/>
      <c r="D129" s="381"/>
      <c r="E129" s="352"/>
      <c r="F129" s="346"/>
      <c r="G129" s="382"/>
    </row>
    <row r="130" spans="1:7" ht="12.75">
      <c r="A130">
        <v>117</v>
      </c>
      <c r="B130" s="380"/>
      <c r="C130" s="380"/>
      <c r="D130" s="381"/>
      <c r="E130" s="352"/>
      <c r="F130" s="346"/>
      <c r="G130" s="382"/>
    </row>
    <row r="131" spans="1:7" ht="12.75">
      <c r="A131">
        <v>118</v>
      </c>
      <c r="B131" s="380"/>
      <c r="C131" s="380"/>
      <c r="D131" s="381"/>
      <c r="E131" s="352"/>
      <c r="F131" s="346"/>
      <c r="G131" s="382"/>
    </row>
    <row r="132" spans="1:7" ht="12.75">
      <c r="A132">
        <v>119</v>
      </c>
      <c r="B132" s="380"/>
      <c r="C132" s="380"/>
      <c r="D132" s="381"/>
      <c r="E132" s="352"/>
      <c r="F132" s="346"/>
      <c r="G132" s="382"/>
    </row>
    <row r="133" spans="1:7" ht="12.75">
      <c r="A133">
        <v>120</v>
      </c>
      <c r="B133" s="380"/>
      <c r="C133" s="380"/>
      <c r="D133" s="381"/>
      <c r="E133" s="352"/>
      <c r="F133" s="346"/>
      <c r="G133" s="382"/>
    </row>
    <row r="134" spans="1:7" ht="12.75">
      <c r="A134">
        <v>121</v>
      </c>
      <c r="B134" s="380"/>
      <c r="C134" s="380"/>
      <c r="D134" s="381"/>
      <c r="E134" s="352"/>
      <c r="F134" s="346"/>
      <c r="G134" s="382"/>
    </row>
    <row r="135" spans="1:7" ht="12.75">
      <c r="A135">
        <v>122</v>
      </c>
      <c r="B135" s="380"/>
      <c r="C135" s="380"/>
      <c r="D135" s="381"/>
      <c r="E135" s="352"/>
      <c r="F135" s="346"/>
      <c r="G135" s="382"/>
    </row>
    <row r="136" spans="1:7" ht="12.75">
      <c r="A136">
        <v>123</v>
      </c>
      <c r="B136" s="380"/>
      <c r="C136" s="380"/>
      <c r="D136" s="381"/>
      <c r="E136" s="352"/>
      <c r="F136" s="346"/>
      <c r="G136" s="382"/>
    </row>
    <row r="137" spans="1:7" ht="12.75">
      <c r="A137">
        <v>124</v>
      </c>
      <c r="B137" s="380"/>
      <c r="C137" s="380"/>
      <c r="D137" s="381"/>
      <c r="E137" s="352"/>
      <c r="F137" s="346"/>
      <c r="G137" s="382"/>
    </row>
    <row r="138" spans="1:7" ht="12.75">
      <c r="A138">
        <v>125</v>
      </c>
      <c r="B138" s="380"/>
      <c r="C138" s="380"/>
      <c r="D138" s="381"/>
      <c r="E138" s="352"/>
      <c r="F138" s="346"/>
      <c r="G138" s="382"/>
    </row>
    <row r="139" spans="1:7" ht="12.75">
      <c r="A139">
        <v>126</v>
      </c>
      <c r="B139" s="380"/>
      <c r="C139" s="380"/>
      <c r="D139" s="381"/>
      <c r="E139" s="352"/>
      <c r="F139" s="346"/>
      <c r="G139" s="382"/>
    </row>
    <row r="140" spans="1:7" ht="12.75">
      <c r="A140">
        <v>127</v>
      </c>
      <c r="B140" s="380"/>
      <c r="C140" s="380"/>
      <c r="D140" s="381"/>
      <c r="E140" s="352"/>
      <c r="F140" s="346"/>
      <c r="G140" s="382"/>
    </row>
    <row r="141" spans="1:7" ht="12.75">
      <c r="A141">
        <v>128</v>
      </c>
      <c r="B141" s="380"/>
      <c r="C141" s="380"/>
      <c r="D141" s="381"/>
      <c r="E141" s="352"/>
      <c r="F141" s="346"/>
      <c r="G141" s="382"/>
    </row>
    <row r="142" spans="1:7" ht="12.75">
      <c r="A142">
        <v>129</v>
      </c>
      <c r="B142" s="380"/>
      <c r="C142" s="380"/>
      <c r="D142" s="381"/>
      <c r="E142" s="352"/>
      <c r="F142" s="346"/>
      <c r="G142" s="382"/>
    </row>
    <row r="143" spans="1:7" ht="12.75">
      <c r="A143">
        <v>130</v>
      </c>
      <c r="B143" s="380"/>
      <c r="C143" s="380"/>
      <c r="D143" s="381"/>
      <c r="E143" s="352"/>
      <c r="F143" s="346"/>
      <c r="G143" s="382"/>
    </row>
    <row r="144" spans="1:7" ht="12.75">
      <c r="A144">
        <v>131</v>
      </c>
      <c r="B144" s="380"/>
      <c r="C144" s="380"/>
      <c r="D144" s="381"/>
      <c r="E144" s="352"/>
      <c r="F144" s="346"/>
      <c r="G144" s="382"/>
    </row>
    <row r="145" spans="1:7" ht="12.75">
      <c r="A145">
        <v>132</v>
      </c>
      <c r="B145" s="380"/>
      <c r="C145" s="380"/>
      <c r="D145" s="381"/>
      <c r="E145" s="352"/>
      <c r="F145" s="346"/>
      <c r="G145" s="382"/>
    </row>
    <row r="146" spans="1:7" ht="12.75">
      <c r="A146">
        <v>133</v>
      </c>
      <c r="B146" s="380"/>
      <c r="C146" s="380"/>
      <c r="D146" s="381"/>
      <c r="E146" s="352"/>
      <c r="F146" s="346"/>
      <c r="G146" s="382"/>
    </row>
    <row r="147" spans="1:7" ht="12.75">
      <c r="A147">
        <v>134</v>
      </c>
      <c r="B147" s="380"/>
      <c r="C147" s="380"/>
      <c r="D147" s="381"/>
      <c r="E147" s="352"/>
      <c r="F147" s="346"/>
      <c r="G147" s="382"/>
    </row>
    <row r="148" spans="1:7" ht="12.75">
      <c r="A148">
        <v>135</v>
      </c>
      <c r="B148" s="380"/>
      <c r="C148" s="380"/>
      <c r="D148" s="381"/>
      <c r="E148" s="352"/>
      <c r="F148" s="346"/>
      <c r="G148" s="382"/>
    </row>
    <row r="149" spans="1:7" ht="12.75">
      <c r="A149">
        <v>136</v>
      </c>
      <c r="B149" s="380"/>
      <c r="C149" s="380"/>
      <c r="D149" s="381"/>
      <c r="E149" s="352"/>
      <c r="F149" s="346"/>
      <c r="G149" s="382"/>
    </row>
    <row r="150" spans="1:7" ht="12.75">
      <c r="A150">
        <v>137</v>
      </c>
      <c r="B150" s="380"/>
      <c r="C150" s="380"/>
      <c r="D150" s="381"/>
      <c r="E150" s="352"/>
      <c r="F150" s="346"/>
      <c r="G150" s="382"/>
    </row>
    <row r="151" spans="1:7" ht="12.75">
      <c r="A151">
        <v>138</v>
      </c>
      <c r="B151" s="380"/>
      <c r="C151" s="380"/>
      <c r="D151" s="381"/>
      <c r="E151" s="352"/>
      <c r="F151" s="346"/>
      <c r="G151" s="382"/>
    </row>
    <row r="152" spans="1:7" ht="12.75">
      <c r="A152">
        <v>139</v>
      </c>
      <c r="B152" s="380"/>
      <c r="C152" s="380"/>
      <c r="D152" s="381"/>
      <c r="E152" s="352"/>
      <c r="F152" s="346"/>
      <c r="G152" s="382"/>
    </row>
    <row r="153" spans="1:7" ht="12.75">
      <c r="A153">
        <v>140</v>
      </c>
      <c r="B153" s="380"/>
      <c r="C153" s="380"/>
      <c r="D153" s="381"/>
      <c r="E153" s="352"/>
      <c r="F153" s="346"/>
      <c r="G153" s="382"/>
    </row>
    <row r="154" spans="1:7" ht="12.75">
      <c r="A154">
        <v>141</v>
      </c>
      <c r="B154" s="380"/>
      <c r="C154" s="380"/>
      <c r="D154" s="381"/>
      <c r="E154" s="352"/>
      <c r="F154" s="346"/>
      <c r="G154" s="382"/>
    </row>
    <row r="155" spans="1:7" ht="12.75">
      <c r="A155">
        <v>142</v>
      </c>
      <c r="B155" s="380"/>
      <c r="C155" s="380"/>
      <c r="D155" s="381"/>
      <c r="E155" s="352"/>
      <c r="F155" s="346"/>
      <c r="G155" s="382"/>
    </row>
    <row r="156" spans="1:7" ht="12.75">
      <c r="A156">
        <v>143</v>
      </c>
      <c r="B156" s="380"/>
      <c r="C156" s="380"/>
      <c r="D156" s="381"/>
      <c r="E156" s="352"/>
      <c r="F156" s="346"/>
      <c r="G156" s="382"/>
    </row>
    <row r="157" spans="1:7" ht="12.75">
      <c r="A157">
        <v>144</v>
      </c>
      <c r="B157" s="380"/>
      <c r="C157" s="380"/>
      <c r="D157" s="381"/>
      <c r="E157" s="352"/>
      <c r="F157" s="346"/>
      <c r="G157" s="382"/>
    </row>
    <row r="158" spans="1:7" ht="12.75">
      <c r="A158">
        <v>145</v>
      </c>
      <c r="B158" s="380"/>
      <c r="C158" s="380"/>
      <c r="D158" s="381"/>
      <c r="E158" s="352"/>
      <c r="F158" s="346"/>
      <c r="G158" s="382"/>
    </row>
    <row r="159" spans="1:7" ht="12.75">
      <c r="A159">
        <v>146</v>
      </c>
      <c r="B159" s="380"/>
      <c r="C159" s="380"/>
      <c r="D159" s="381"/>
      <c r="E159" s="352"/>
      <c r="F159" s="346"/>
      <c r="G159" s="382"/>
    </row>
    <row r="160" spans="1:7" ht="12.75">
      <c r="A160">
        <v>147</v>
      </c>
      <c r="B160" s="380"/>
      <c r="C160" s="380"/>
      <c r="D160" s="381"/>
      <c r="E160" s="352"/>
      <c r="F160" s="346"/>
      <c r="G160" s="382"/>
    </row>
    <row r="161" spans="1:7" ht="12.75">
      <c r="A161">
        <v>148</v>
      </c>
      <c r="B161" s="380"/>
      <c r="C161" s="380"/>
      <c r="D161" s="381"/>
      <c r="E161" s="352"/>
      <c r="F161" s="346"/>
      <c r="G161" s="382"/>
    </row>
    <row r="162" spans="1:7" ht="12.75">
      <c r="A162">
        <v>149</v>
      </c>
      <c r="B162" s="380"/>
      <c r="C162" s="380"/>
      <c r="D162" s="381"/>
      <c r="E162" s="352"/>
      <c r="F162" s="346"/>
      <c r="G162" s="382"/>
    </row>
    <row r="163" spans="1:7" ht="12.75">
      <c r="A163">
        <v>150</v>
      </c>
      <c r="B163" s="380"/>
      <c r="C163" s="380"/>
      <c r="D163" s="381"/>
      <c r="E163" s="352"/>
      <c r="F163" s="346"/>
      <c r="G163" s="382"/>
    </row>
    <row r="164" spans="1:7" ht="12.75">
      <c r="A164">
        <v>151</v>
      </c>
      <c r="B164" s="380"/>
      <c r="C164" s="380"/>
      <c r="D164" s="381"/>
      <c r="E164" s="352"/>
      <c r="F164" s="346"/>
      <c r="G164" s="382"/>
    </row>
    <row r="165" spans="1:7" ht="12.75">
      <c r="A165">
        <v>152</v>
      </c>
      <c r="B165" s="380"/>
      <c r="C165" s="380"/>
      <c r="D165" s="381"/>
      <c r="E165" s="352"/>
      <c r="F165" s="346"/>
      <c r="G165" s="382"/>
    </row>
    <row r="166" spans="1:7" ht="12.75">
      <c r="A166">
        <v>153</v>
      </c>
      <c r="B166" s="380"/>
      <c r="C166" s="380"/>
      <c r="D166" s="381"/>
      <c r="E166" s="352"/>
      <c r="F166" s="346"/>
      <c r="G166" s="382"/>
    </row>
    <row r="167" spans="1:7" ht="12.75">
      <c r="A167">
        <v>154</v>
      </c>
      <c r="B167" s="380"/>
      <c r="C167" s="380"/>
      <c r="D167" s="381"/>
      <c r="E167" s="352"/>
      <c r="F167" s="346"/>
      <c r="G167" s="382"/>
    </row>
    <row r="168" spans="1:7" ht="12.75">
      <c r="A168">
        <v>155</v>
      </c>
      <c r="B168" s="380"/>
      <c r="C168" s="380"/>
      <c r="D168" s="381"/>
      <c r="E168" s="352"/>
      <c r="F168" s="346"/>
      <c r="G168" s="382"/>
    </row>
    <row r="169" spans="1:7" ht="12.75">
      <c r="A169">
        <v>156</v>
      </c>
      <c r="B169" s="380"/>
      <c r="C169" s="380"/>
      <c r="D169" s="381"/>
      <c r="E169" s="352"/>
      <c r="F169" s="346"/>
      <c r="G169" s="382"/>
    </row>
    <row r="170" spans="1:7" ht="12.75">
      <c r="A170">
        <v>157</v>
      </c>
      <c r="B170" s="380"/>
      <c r="C170" s="380"/>
      <c r="D170" s="381"/>
      <c r="E170" s="352"/>
      <c r="F170" s="346"/>
      <c r="G170" s="382"/>
    </row>
    <row r="171" spans="1:7" ht="12.75">
      <c r="A171">
        <v>158</v>
      </c>
      <c r="B171" s="380"/>
      <c r="C171" s="380"/>
      <c r="D171" s="381"/>
      <c r="E171" s="352"/>
      <c r="F171" s="346"/>
      <c r="G171" s="382"/>
    </row>
    <row r="172" spans="1:7" ht="12.75">
      <c r="A172">
        <v>159</v>
      </c>
      <c r="B172" s="380"/>
      <c r="C172" s="380"/>
      <c r="D172" s="381"/>
      <c r="E172" s="352"/>
      <c r="F172" s="346"/>
      <c r="G172" s="382"/>
    </row>
    <row r="173" spans="1:7" ht="12.75">
      <c r="A173">
        <v>160</v>
      </c>
      <c r="B173" s="380"/>
      <c r="C173" s="380"/>
      <c r="D173" s="381"/>
      <c r="E173" s="352"/>
      <c r="F173" s="346"/>
      <c r="G173" s="382"/>
    </row>
    <row r="174" spans="1:7" ht="12.75">
      <c r="A174">
        <v>161</v>
      </c>
      <c r="B174" s="380"/>
      <c r="C174" s="380"/>
      <c r="D174" s="381"/>
      <c r="E174" s="352"/>
      <c r="F174" s="346"/>
      <c r="G174" s="382"/>
    </row>
    <row r="175" spans="1:7" ht="12.75">
      <c r="A175">
        <v>162</v>
      </c>
      <c r="B175" s="380"/>
      <c r="C175" s="380"/>
      <c r="D175" s="381"/>
      <c r="E175" s="352"/>
      <c r="F175" s="346"/>
      <c r="G175" s="382"/>
    </row>
    <row r="176" spans="1:7" ht="12.75">
      <c r="A176">
        <v>163</v>
      </c>
      <c r="B176" s="380"/>
      <c r="C176" s="380"/>
      <c r="D176" s="381"/>
      <c r="E176" s="352"/>
      <c r="F176" s="346"/>
      <c r="G176" s="382"/>
    </row>
    <row r="177" spans="1:7" ht="12.75">
      <c r="A177">
        <v>164</v>
      </c>
      <c r="B177" s="380"/>
      <c r="C177" s="380"/>
      <c r="D177" s="381"/>
      <c r="E177" s="352"/>
      <c r="F177" s="346"/>
      <c r="G177" s="382"/>
    </row>
    <row r="178" spans="1:7" ht="12.75">
      <c r="A178">
        <v>165</v>
      </c>
      <c r="B178" s="380"/>
      <c r="C178" s="380"/>
      <c r="D178" s="381"/>
      <c r="E178" s="352"/>
      <c r="F178" s="346"/>
      <c r="G178" s="382"/>
    </row>
    <row r="179" spans="1:7" ht="12.75">
      <c r="A179">
        <v>166</v>
      </c>
      <c r="B179" s="380"/>
      <c r="C179" s="380"/>
      <c r="D179" s="381"/>
      <c r="E179" s="352"/>
      <c r="F179" s="346"/>
      <c r="G179" s="382"/>
    </row>
    <row r="180" spans="1:7" ht="12.75">
      <c r="A180">
        <v>167</v>
      </c>
      <c r="B180" s="380"/>
      <c r="C180" s="380"/>
      <c r="D180" s="381"/>
      <c r="E180" s="352"/>
      <c r="F180" s="346"/>
      <c r="G180" s="382"/>
    </row>
    <row r="181" spans="1:7" ht="12.75">
      <c r="A181">
        <v>168</v>
      </c>
      <c r="B181" s="380"/>
      <c r="C181" s="380"/>
      <c r="D181" s="381"/>
      <c r="E181" s="352"/>
      <c r="F181" s="346"/>
      <c r="G181" s="382"/>
    </row>
    <row r="182" spans="1:7" ht="12.75">
      <c r="A182">
        <v>169</v>
      </c>
      <c r="B182" s="380"/>
      <c r="C182" s="380"/>
      <c r="D182" s="381"/>
      <c r="E182" s="352"/>
      <c r="F182" s="346"/>
      <c r="G182" s="382"/>
    </row>
    <row r="183" spans="1:7" ht="12.75">
      <c r="A183">
        <v>170</v>
      </c>
      <c r="B183" s="380"/>
      <c r="C183" s="380"/>
      <c r="D183" s="381"/>
      <c r="E183" s="352"/>
      <c r="F183" s="346"/>
      <c r="G183" s="382"/>
    </row>
    <row r="184" spans="1:7" ht="12.75">
      <c r="A184">
        <v>171</v>
      </c>
      <c r="B184" s="380"/>
      <c r="C184" s="380"/>
      <c r="D184" s="381"/>
      <c r="E184" s="352"/>
      <c r="F184" s="346"/>
      <c r="G184" s="382"/>
    </row>
    <row r="185" spans="1:7" ht="12.75">
      <c r="A185">
        <v>172</v>
      </c>
      <c r="B185" s="380"/>
      <c r="C185" s="380"/>
      <c r="D185" s="381"/>
      <c r="E185" s="352"/>
      <c r="F185" s="346"/>
      <c r="G185" s="382"/>
    </row>
    <row r="186" spans="1:7" ht="12.75">
      <c r="A186">
        <v>173</v>
      </c>
      <c r="B186" s="380"/>
      <c r="C186" s="380"/>
      <c r="D186" s="381"/>
      <c r="E186" s="352"/>
      <c r="F186" s="346"/>
      <c r="G186" s="382"/>
    </row>
    <row r="187" spans="1:7" ht="12.75">
      <c r="A187">
        <v>174</v>
      </c>
      <c r="B187" s="380"/>
      <c r="C187" s="380"/>
      <c r="D187" s="381"/>
      <c r="E187" s="352"/>
      <c r="F187" s="346"/>
      <c r="G187" s="382"/>
    </row>
    <row r="188" spans="1:7" ht="12.75">
      <c r="A188">
        <v>175</v>
      </c>
      <c r="B188" s="380"/>
      <c r="C188" s="380"/>
      <c r="D188" s="381"/>
      <c r="E188" s="352"/>
      <c r="F188" s="346"/>
      <c r="G188" s="382"/>
    </row>
    <row r="189" spans="1:7" ht="12.75">
      <c r="A189">
        <v>176</v>
      </c>
      <c r="B189" s="380"/>
      <c r="C189" s="380"/>
      <c r="D189" s="381"/>
      <c r="E189" s="352"/>
      <c r="F189" s="346"/>
      <c r="G189" s="382"/>
    </row>
    <row r="190" spans="1:7" ht="12.75">
      <c r="A190">
        <v>177</v>
      </c>
      <c r="B190" s="380"/>
      <c r="C190" s="380"/>
      <c r="D190" s="381"/>
      <c r="E190" s="352"/>
      <c r="F190" s="346"/>
      <c r="G190" s="382"/>
    </row>
    <row r="191" spans="1:7" ht="12.75">
      <c r="A191">
        <v>178</v>
      </c>
      <c r="B191" s="380"/>
      <c r="C191" s="380"/>
      <c r="D191" s="381"/>
      <c r="E191" s="352"/>
      <c r="F191" s="346"/>
      <c r="G191" s="382"/>
    </row>
    <row r="192" spans="1:7" ht="12.75">
      <c r="A192">
        <v>179</v>
      </c>
      <c r="B192" s="380"/>
      <c r="C192" s="380"/>
      <c r="D192" s="381"/>
      <c r="E192" s="352"/>
      <c r="F192" s="346"/>
      <c r="G192" s="382"/>
    </row>
    <row r="193" spans="1:7" ht="12.75">
      <c r="A193">
        <v>180</v>
      </c>
      <c r="B193" s="380"/>
      <c r="C193" s="380"/>
      <c r="D193" s="381"/>
      <c r="E193" s="352"/>
      <c r="F193" s="346"/>
      <c r="G193" s="382"/>
    </row>
    <row r="194" spans="1:7" ht="12.75">
      <c r="A194">
        <v>181</v>
      </c>
      <c r="B194" s="380"/>
      <c r="C194" s="380"/>
      <c r="D194" s="381"/>
      <c r="E194" s="352"/>
      <c r="F194" s="346"/>
      <c r="G194" s="382"/>
    </row>
    <row r="195" spans="1:7" ht="12.75">
      <c r="A195">
        <v>182</v>
      </c>
      <c r="B195" s="380"/>
      <c r="C195" s="380"/>
      <c r="D195" s="381"/>
      <c r="E195" s="352"/>
      <c r="F195" s="346"/>
      <c r="G195" s="382"/>
    </row>
    <row r="196" spans="1:7" ht="12.75">
      <c r="A196">
        <v>183</v>
      </c>
      <c r="B196" s="380"/>
      <c r="C196" s="380"/>
      <c r="D196" s="381"/>
      <c r="E196" s="352"/>
      <c r="F196" s="346"/>
      <c r="G196" s="382"/>
    </row>
    <row r="197" spans="1:7" ht="12.75">
      <c r="A197">
        <v>184</v>
      </c>
      <c r="B197" s="380"/>
      <c r="C197" s="380"/>
      <c r="D197" s="381"/>
      <c r="E197" s="352"/>
      <c r="F197" s="346"/>
      <c r="G197" s="382"/>
    </row>
    <row r="198" spans="1:7" ht="12.75">
      <c r="A198">
        <v>185</v>
      </c>
      <c r="B198" s="380"/>
      <c r="C198" s="380"/>
      <c r="D198" s="381"/>
      <c r="E198" s="352"/>
      <c r="F198" s="346"/>
      <c r="G198" s="382"/>
    </row>
    <row r="199" spans="1:7" ht="12.75">
      <c r="A199">
        <v>186</v>
      </c>
      <c r="B199" s="380"/>
      <c r="C199" s="380"/>
      <c r="D199" s="381"/>
      <c r="E199" s="352"/>
      <c r="F199" s="346"/>
      <c r="G199" s="382"/>
    </row>
    <row r="200" spans="1:7" ht="12.75">
      <c r="A200">
        <v>187</v>
      </c>
      <c r="B200" s="380"/>
      <c r="C200" s="380"/>
      <c r="D200" s="381"/>
      <c r="E200" s="352"/>
      <c r="F200" s="346"/>
      <c r="G200" s="382"/>
    </row>
    <row r="201" spans="1:7" ht="12.75">
      <c r="A201">
        <v>188</v>
      </c>
      <c r="B201" s="380"/>
      <c r="C201" s="380"/>
      <c r="D201" s="381"/>
      <c r="E201" s="352"/>
      <c r="F201" s="346"/>
      <c r="G201" s="382"/>
    </row>
    <row r="202" spans="1:7" ht="12.75">
      <c r="A202">
        <v>189</v>
      </c>
      <c r="B202" s="380"/>
      <c r="C202" s="380"/>
      <c r="D202" s="381"/>
      <c r="E202" s="352"/>
      <c r="F202" s="346"/>
      <c r="G202" s="382"/>
    </row>
    <row r="203" spans="1:7" ht="12.75">
      <c r="A203">
        <v>190</v>
      </c>
      <c r="B203" s="380"/>
      <c r="C203" s="380"/>
      <c r="D203" s="381"/>
      <c r="E203" s="352"/>
      <c r="F203" s="346"/>
      <c r="G203" s="382"/>
    </row>
    <row r="204" spans="1:7" ht="12.75">
      <c r="A204">
        <v>191</v>
      </c>
      <c r="B204" s="380"/>
      <c r="C204" s="380"/>
      <c r="D204" s="381"/>
      <c r="E204" s="352"/>
      <c r="F204" s="346"/>
      <c r="G204" s="382"/>
    </row>
    <row r="205" spans="1:7" ht="12.75">
      <c r="A205">
        <v>192</v>
      </c>
      <c r="B205" s="380"/>
      <c r="C205" s="380"/>
      <c r="D205" s="381"/>
      <c r="E205" s="352"/>
      <c r="F205" s="346"/>
      <c r="G205" s="382"/>
    </row>
    <row r="206" spans="1:7" ht="12.75">
      <c r="A206">
        <v>193</v>
      </c>
      <c r="B206" s="380"/>
      <c r="C206" s="380"/>
      <c r="D206" s="381"/>
      <c r="E206" s="352"/>
      <c r="F206" s="346"/>
      <c r="G206" s="382"/>
    </row>
    <row r="207" spans="1:7" ht="12.75">
      <c r="A207">
        <v>194</v>
      </c>
      <c r="B207" s="380"/>
      <c r="C207" s="380"/>
      <c r="D207" s="381"/>
      <c r="E207" s="352"/>
      <c r="F207" s="346"/>
      <c r="G207" s="382"/>
    </row>
    <row r="208" spans="1:7" ht="12.75">
      <c r="A208">
        <v>195</v>
      </c>
      <c r="B208" s="380"/>
      <c r="C208" s="380"/>
      <c r="D208" s="381"/>
      <c r="E208" s="352"/>
      <c r="F208" s="346"/>
      <c r="G208" s="382"/>
    </row>
    <row r="209" spans="1:7" ht="12.75">
      <c r="A209">
        <v>196</v>
      </c>
      <c r="B209" s="380"/>
      <c r="C209" s="380"/>
      <c r="D209" s="381"/>
      <c r="E209" s="352"/>
      <c r="F209" s="346"/>
      <c r="G209" s="382"/>
    </row>
    <row r="210" spans="1:7" ht="12.75">
      <c r="A210">
        <v>197</v>
      </c>
      <c r="B210" s="380"/>
      <c r="C210" s="380"/>
      <c r="D210" s="381"/>
      <c r="E210" s="352"/>
      <c r="F210" s="346"/>
      <c r="G210" s="382"/>
    </row>
    <row r="211" spans="1:7" ht="12.75">
      <c r="A211">
        <v>198</v>
      </c>
      <c r="B211" s="380"/>
      <c r="C211" s="380"/>
      <c r="D211" s="381"/>
      <c r="E211" s="352"/>
      <c r="F211" s="346"/>
      <c r="G211" s="382"/>
    </row>
    <row r="212" spans="1:7" ht="12.75">
      <c r="A212">
        <v>199</v>
      </c>
      <c r="B212" s="380"/>
      <c r="C212" s="380"/>
      <c r="D212" s="381"/>
      <c r="E212" s="352"/>
      <c r="F212" s="346"/>
      <c r="G212" s="382"/>
    </row>
    <row r="213" spans="1:7" ht="12.75">
      <c r="A213">
        <v>200</v>
      </c>
      <c r="B213" s="380"/>
      <c r="C213" s="380"/>
      <c r="D213" s="381"/>
      <c r="E213" s="352"/>
      <c r="F213" s="346"/>
      <c r="G213" s="382"/>
    </row>
    <row r="214" spans="1:7" ht="12.75">
      <c r="A214">
        <v>201</v>
      </c>
      <c r="B214" s="380"/>
      <c r="C214" s="380"/>
      <c r="D214" s="381"/>
      <c r="E214" s="352"/>
      <c r="F214" s="346"/>
      <c r="G214" s="382"/>
    </row>
    <row r="215" spans="1:7" ht="12.75">
      <c r="A215">
        <v>202</v>
      </c>
      <c r="B215" s="380"/>
      <c r="C215" s="380"/>
      <c r="D215" s="381"/>
      <c r="E215" s="352"/>
      <c r="F215" s="346"/>
      <c r="G215" s="382"/>
    </row>
    <row r="216" spans="1:7" ht="12.75">
      <c r="A216">
        <v>203</v>
      </c>
      <c r="B216" s="380"/>
      <c r="C216" s="380"/>
      <c r="D216" s="381"/>
      <c r="E216" s="352"/>
      <c r="F216" s="346"/>
      <c r="G216" s="382"/>
    </row>
    <row r="217" spans="1:7" ht="12.75">
      <c r="A217">
        <v>204</v>
      </c>
      <c r="B217" s="380"/>
      <c r="C217" s="380"/>
      <c r="D217" s="381"/>
      <c r="E217" s="352"/>
      <c r="F217" s="346"/>
      <c r="G217" s="382"/>
    </row>
    <row r="218" spans="1:7" ht="12.75">
      <c r="A218">
        <v>205</v>
      </c>
      <c r="B218" s="380"/>
      <c r="C218" s="380"/>
      <c r="D218" s="381"/>
      <c r="E218" s="352"/>
      <c r="F218" s="346"/>
      <c r="G218" s="382"/>
    </row>
    <row r="219" spans="1:7" ht="12.75">
      <c r="A219">
        <v>206</v>
      </c>
      <c r="B219" s="380"/>
      <c r="C219" s="380"/>
      <c r="D219" s="381"/>
      <c r="E219" s="352"/>
      <c r="F219" s="346"/>
      <c r="G219" s="382"/>
    </row>
    <row r="220" spans="1:7" ht="12.75">
      <c r="A220">
        <v>207</v>
      </c>
      <c r="B220" s="380"/>
      <c r="C220" s="380"/>
      <c r="D220" s="381"/>
      <c r="E220" s="352"/>
      <c r="F220" s="346"/>
      <c r="G220" s="382"/>
    </row>
    <row r="221" spans="1:7" ht="12.75">
      <c r="A221">
        <v>208</v>
      </c>
      <c r="B221" s="380"/>
      <c r="C221" s="380"/>
      <c r="D221" s="381"/>
      <c r="E221" s="352"/>
      <c r="F221" s="346"/>
      <c r="G221" s="382"/>
    </row>
    <row r="222" spans="1:7" ht="12.75">
      <c r="A222">
        <v>209</v>
      </c>
      <c r="B222" s="380"/>
      <c r="C222" s="380"/>
      <c r="D222" s="381"/>
      <c r="E222" s="352"/>
      <c r="F222" s="346"/>
      <c r="G222" s="382"/>
    </row>
    <row r="223" spans="1:7" ht="12.75">
      <c r="A223">
        <v>210</v>
      </c>
      <c r="B223" s="380"/>
      <c r="C223" s="380"/>
      <c r="D223" s="381"/>
      <c r="E223" s="352"/>
      <c r="F223" s="346"/>
      <c r="G223" s="382"/>
    </row>
    <row r="224" spans="1:7" ht="12.75">
      <c r="A224">
        <v>211</v>
      </c>
      <c r="B224" s="380"/>
      <c r="C224" s="380"/>
      <c r="D224" s="381"/>
      <c r="E224" s="352"/>
      <c r="F224" s="346"/>
      <c r="G224" s="382"/>
    </row>
    <row r="225" spans="1:7" ht="12.75">
      <c r="A225">
        <v>212</v>
      </c>
      <c r="B225" s="380"/>
      <c r="C225" s="380"/>
      <c r="D225" s="381"/>
      <c r="E225" s="352"/>
      <c r="F225" s="346"/>
      <c r="G225" s="382"/>
    </row>
    <row r="226" spans="1:7" ht="12.75">
      <c r="A226">
        <v>213</v>
      </c>
      <c r="B226" s="380"/>
      <c r="C226" s="380"/>
      <c r="D226" s="381"/>
      <c r="E226" s="352"/>
      <c r="F226" s="346"/>
      <c r="G226" s="382"/>
    </row>
    <row r="227" spans="1:7" ht="12.75">
      <c r="A227">
        <v>214</v>
      </c>
      <c r="B227" s="380"/>
      <c r="C227" s="380"/>
      <c r="D227" s="381"/>
      <c r="E227" s="352"/>
      <c r="F227" s="346"/>
      <c r="G227" s="382"/>
    </row>
    <row r="228" spans="1:7" ht="12.75">
      <c r="A228">
        <v>215</v>
      </c>
      <c r="B228" s="380"/>
      <c r="C228" s="380"/>
      <c r="D228" s="381"/>
      <c r="E228" s="352"/>
      <c r="F228" s="346"/>
      <c r="G228" s="382"/>
    </row>
    <row r="229" spans="1:7" ht="12.75">
      <c r="A229">
        <v>216</v>
      </c>
      <c r="B229" s="380"/>
      <c r="C229" s="380"/>
      <c r="D229" s="381"/>
      <c r="E229" s="352"/>
      <c r="F229" s="346"/>
      <c r="G229" s="382"/>
    </row>
    <row r="230" spans="1:7" ht="12.75">
      <c r="A230">
        <v>217</v>
      </c>
      <c r="B230" s="380"/>
      <c r="C230" s="380"/>
      <c r="D230" s="381"/>
      <c r="E230" s="352"/>
      <c r="F230" s="346"/>
      <c r="G230" s="382"/>
    </row>
    <row r="231" spans="1:7" ht="12.75">
      <c r="A231">
        <v>218</v>
      </c>
      <c r="B231" s="380"/>
      <c r="C231" s="380"/>
      <c r="D231" s="381"/>
      <c r="E231" s="352"/>
      <c r="F231" s="346"/>
      <c r="G231" s="382"/>
    </row>
    <row r="232" spans="1:7" ht="12.75">
      <c r="A232">
        <v>219</v>
      </c>
      <c r="B232" s="380"/>
      <c r="C232" s="380"/>
      <c r="D232" s="381"/>
      <c r="E232" s="352"/>
      <c r="F232" s="346"/>
      <c r="G232" s="382"/>
    </row>
    <row r="233" spans="1:7" ht="12.75">
      <c r="A233">
        <v>220</v>
      </c>
      <c r="B233" s="380"/>
      <c r="C233" s="380"/>
      <c r="D233" s="381"/>
      <c r="E233" s="352"/>
      <c r="F233" s="346"/>
      <c r="G233" s="382"/>
    </row>
    <row r="234" spans="1:7" ht="12.75">
      <c r="A234">
        <v>221</v>
      </c>
      <c r="B234" s="380"/>
      <c r="C234" s="380"/>
      <c r="D234" s="381"/>
      <c r="E234" s="352"/>
      <c r="F234" s="346"/>
      <c r="G234" s="382"/>
    </row>
    <row r="235" spans="1:7" ht="12.75">
      <c r="A235">
        <v>222</v>
      </c>
      <c r="B235" s="380"/>
      <c r="C235" s="380"/>
      <c r="D235" s="381"/>
      <c r="E235" s="352"/>
      <c r="F235" s="346"/>
      <c r="G235" s="382"/>
    </row>
    <row r="236" spans="1:7" ht="12.75">
      <c r="A236">
        <v>223</v>
      </c>
      <c r="B236" s="380"/>
      <c r="C236" s="380"/>
      <c r="D236" s="381"/>
      <c r="E236" s="352"/>
      <c r="F236" s="346"/>
      <c r="G236" s="382"/>
    </row>
    <row r="237" spans="1:7" ht="12.75">
      <c r="A237">
        <v>224</v>
      </c>
      <c r="B237" s="380"/>
      <c r="C237" s="380"/>
      <c r="D237" s="381"/>
      <c r="E237" s="352"/>
      <c r="F237" s="346"/>
      <c r="G237" s="382"/>
    </row>
    <row r="238" spans="1:7" ht="12.75">
      <c r="A238">
        <v>225</v>
      </c>
      <c r="B238" s="380"/>
      <c r="C238" s="380"/>
      <c r="D238" s="381"/>
      <c r="E238" s="352"/>
      <c r="F238" s="346"/>
      <c r="G238" s="382"/>
    </row>
    <row r="239" spans="1:7" ht="12.75">
      <c r="A239">
        <v>226</v>
      </c>
      <c r="B239" s="380"/>
      <c r="C239" s="380"/>
      <c r="D239" s="381"/>
      <c r="E239" s="352"/>
      <c r="F239" s="346"/>
      <c r="G239" s="382"/>
    </row>
    <row r="240" spans="1:7" ht="12.75">
      <c r="A240">
        <v>227</v>
      </c>
      <c r="B240" s="380"/>
      <c r="C240" s="380"/>
      <c r="D240" s="381"/>
      <c r="E240" s="352"/>
      <c r="F240" s="346"/>
      <c r="G240" s="382"/>
    </row>
    <row r="241" spans="1:7" ht="12.75">
      <c r="A241">
        <v>228</v>
      </c>
      <c r="B241" s="380"/>
      <c r="C241" s="380"/>
      <c r="D241" s="381"/>
      <c r="E241" s="352"/>
      <c r="F241" s="346"/>
      <c r="G241" s="382"/>
    </row>
    <row r="242" spans="1:7" ht="12.75">
      <c r="A242">
        <v>229</v>
      </c>
      <c r="B242" s="380"/>
      <c r="C242" s="380"/>
      <c r="D242" s="381"/>
      <c r="E242" s="352"/>
      <c r="F242" s="346"/>
      <c r="G242" s="382"/>
    </row>
    <row r="243" spans="1:7" ht="12.75">
      <c r="A243">
        <v>230</v>
      </c>
      <c r="B243" s="380"/>
      <c r="C243" s="380"/>
      <c r="D243" s="381"/>
      <c r="E243" s="352"/>
      <c r="F243" s="346"/>
      <c r="G243" s="382"/>
    </row>
    <row r="244" spans="1:7" ht="12.75">
      <c r="A244">
        <v>231</v>
      </c>
      <c r="B244" s="380"/>
      <c r="C244" s="380"/>
      <c r="D244" s="381"/>
      <c r="E244" s="352"/>
      <c r="F244" s="346"/>
      <c r="G244" s="382"/>
    </row>
    <row r="245" spans="1:7" ht="12.75">
      <c r="A245">
        <v>232</v>
      </c>
      <c r="B245" s="380"/>
      <c r="C245" s="380"/>
      <c r="D245" s="381"/>
      <c r="E245" s="352"/>
      <c r="F245" s="346"/>
      <c r="G245" s="382"/>
    </row>
    <row r="246" spans="1:7" ht="12.75">
      <c r="A246">
        <v>233</v>
      </c>
      <c r="B246" s="380"/>
      <c r="C246" s="380"/>
      <c r="D246" s="381"/>
      <c r="E246" s="352"/>
      <c r="F246" s="346"/>
      <c r="G246" s="382"/>
    </row>
    <row r="247" spans="1:7" ht="12.75">
      <c r="A247">
        <v>234</v>
      </c>
      <c r="B247" s="380"/>
      <c r="C247" s="380"/>
      <c r="D247" s="381"/>
      <c r="E247" s="352"/>
      <c r="F247" s="346"/>
      <c r="G247" s="382"/>
    </row>
    <row r="248" spans="1:7" ht="12.75">
      <c r="A248">
        <v>235</v>
      </c>
      <c r="B248" s="380"/>
      <c r="C248" s="380"/>
      <c r="D248" s="381"/>
      <c r="E248" s="352"/>
      <c r="F248" s="346"/>
      <c r="G248" s="382"/>
    </row>
    <row r="249" spans="1:7" ht="12.75">
      <c r="A249">
        <v>236</v>
      </c>
      <c r="B249" s="380"/>
      <c r="C249" s="380"/>
      <c r="D249" s="381"/>
      <c r="E249" s="352"/>
      <c r="F249" s="346"/>
      <c r="G249" s="382"/>
    </row>
    <row r="250" spans="1:7" ht="12.75">
      <c r="A250">
        <v>237</v>
      </c>
      <c r="B250" s="380"/>
      <c r="C250" s="380"/>
      <c r="D250" s="381"/>
      <c r="E250" s="352"/>
      <c r="F250" s="346"/>
      <c r="G250" s="382"/>
    </row>
    <row r="251" spans="1:7" ht="12.75">
      <c r="A251">
        <v>238</v>
      </c>
      <c r="B251" s="380"/>
      <c r="C251" s="380"/>
      <c r="D251" s="381"/>
      <c r="E251" s="352"/>
      <c r="F251" s="346"/>
      <c r="G251" s="382"/>
    </row>
    <row r="252" spans="1:7" ht="12.75">
      <c r="A252">
        <v>239</v>
      </c>
      <c r="B252" s="380"/>
      <c r="C252" s="380"/>
      <c r="D252" s="381"/>
      <c r="E252" s="352"/>
      <c r="F252" s="346"/>
      <c r="G252" s="382"/>
    </row>
    <row r="253" spans="1:7" ht="12.75">
      <c r="A253">
        <v>240</v>
      </c>
      <c r="B253" s="380"/>
      <c r="C253" s="380"/>
      <c r="D253" s="381"/>
      <c r="E253" s="352"/>
      <c r="F253" s="346"/>
      <c r="G253" s="382"/>
    </row>
    <row r="254" spans="1:7" ht="12.75">
      <c r="A254">
        <v>241</v>
      </c>
      <c r="B254" s="380"/>
      <c r="C254" s="380"/>
      <c r="D254" s="381"/>
      <c r="E254" s="352"/>
      <c r="F254" s="346"/>
      <c r="G254" s="382"/>
    </row>
    <row r="255" spans="1:7" ht="12.75">
      <c r="A255">
        <v>242</v>
      </c>
      <c r="B255" s="380"/>
      <c r="C255" s="380"/>
      <c r="D255" s="381"/>
      <c r="E255" s="352"/>
      <c r="F255" s="346"/>
      <c r="G255" s="382"/>
    </row>
    <row r="256" spans="1:7" ht="12.75">
      <c r="A256">
        <v>243</v>
      </c>
      <c r="B256" s="380"/>
      <c r="C256" s="380"/>
      <c r="D256" s="381"/>
      <c r="E256" s="352"/>
      <c r="F256" s="346"/>
      <c r="G256" s="382"/>
    </row>
    <row r="257" spans="1:7" ht="12.75">
      <c r="A257">
        <v>244</v>
      </c>
      <c r="B257" s="380"/>
      <c r="C257" s="380"/>
      <c r="D257" s="381"/>
      <c r="E257" s="352"/>
      <c r="F257" s="346"/>
      <c r="G257" s="382"/>
    </row>
    <row r="258" spans="1:7" ht="12.75">
      <c r="A258">
        <v>245</v>
      </c>
      <c r="B258" s="380"/>
      <c r="C258" s="380"/>
      <c r="D258" s="381"/>
      <c r="E258" s="352"/>
      <c r="F258" s="346"/>
      <c r="G258" s="382"/>
    </row>
    <row r="259" spans="1:7" ht="12.75">
      <c r="A259">
        <v>246</v>
      </c>
      <c r="B259" s="380"/>
      <c r="C259" s="380"/>
      <c r="D259" s="381"/>
      <c r="E259" s="352"/>
      <c r="F259" s="346"/>
      <c r="G259" s="382"/>
    </row>
    <row r="260" spans="1:7" ht="12.75">
      <c r="A260">
        <v>247</v>
      </c>
      <c r="B260" s="380"/>
      <c r="C260" s="380"/>
      <c r="D260" s="381"/>
      <c r="E260" s="352"/>
      <c r="F260" s="346"/>
      <c r="G260" s="382"/>
    </row>
    <row r="261" spans="1:7" ht="12.75">
      <c r="A261">
        <v>248</v>
      </c>
      <c r="B261" s="380"/>
      <c r="C261" s="380"/>
      <c r="D261" s="381"/>
      <c r="E261" s="352"/>
      <c r="F261" s="346"/>
      <c r="G261" s="382"/>
    </row>
    <row r="262" spans="1:7" ht="12.75">
      <c r="A262">
        <v>249</v>
      </c>
      <c r="B262" s="380"/>
      <c r="C262" s="380"/>
      <c r="D262" s="381"/>
      <c r="E262" s="352"/>
      <c r="F262" s="346"/>
      <c r="G262" s="382"/>
    </row>
    <row r="263" spans="1:7" ht="12.75">
      <c r="A263">
        <v>250</v>
      </c>
      <c r="B263" s="380"/>
      <c r="C263" s="380"/>
      <c r="D263" s="381"/>
      <c r="E263" s="352"/>
      <c r="F263" s="346"/>
      <c r="G263" s="382"/>
    </row>
    <row r="264" spans="1:7" ht="12.75">
      <c r="A264">
        <v>251</v>
      </c>
      <c r="B264" s="380"/>
      <c r="C264" s="380"/>
      <c r="D264" s="381"/>
      <c r="E264" s="352"/>
      <c r="F264" s="346"/>
      <c r="G264" s="382"/>
    </row>
    <row r="265" spans="1:7" ht="12.75">
      <c r="A265">
        <v>252</v>
      </c>
      <c r="B265" s="380"/>
      <c r="C265" s="380"/>
      <c r="D265" s="381"/>
      <c r="E265" s="352"/>
      <c r="F265" s="346"/>
      <c r="G265" s="382"/>
    </row>
    <row r="266" spans="1:7" ht="12.75">
      <c r="A266">
        <v>253</v>
      </c>
      <c r="B266" s="380"/>
      <c r="C266" s="380"/>
      <c r="D266" s="381"/>
      <c r="E266" s="352"/>
      <c r="F266" s="346"/>
      <c r="G266" s="382"/>
    </row>
    <row r="267" spans="1:7" ht="12.75">
      <c r="A267">
        <v>254</v>
      </c>
      <c r="B267" s="380"/>
      <c r="C267" s="380"/>
      <c r="D267" s="381"/>
      <c r="E267" s="352"/>
      <c r="F267" s="346"/>
      <c r="G267" s="382"/>
    </row>
    <row r="268" spans="1:7" ht="12.75">
      <c r="A268">
        <v>255</v>
      </c>
      <c r="B268" s="380"/>
      <c r="C268" s="380"/>
      <c r="D268" s="381"/>
      <c r="E268" s="352"/>
      <c r="F268" s="346"/>
      <c r="G268" s="382"/>
    </row>
    <row r="269" spans="1:7" ht="12.75">
      <c r="A269">
        <v>256</v>
      </c>
      <c r="B269" s="380"/>
      <c r="C269" s="380"/>
      <c r="D269" s="381"/>
      <c r="E269" s="352"/>
      <c r="F269" s="346"/>
      <c r="G269" s="382"/>
    </row>
    <row r="270" spans="1:7" ht="12.75">
      <c r="A270">
        <v>257</v>
      </c>
      <c r="B270" s="380"/>
      <c r="C270" s="380"/>
      <c r="D270" s="381"/>
      <c r="E270" s="352"/>
      <c r="F270" s="346"/>
      <c r="G270" s="382"/>
    </row>
    <row r="271" spans="1:7" ht="12.75">
      <c r="A271">
        <v>258</v>
      </c>
      <c r="B271" s="380"/>
      <c r="C271" s="380"/>
      <c r="D271" s="381"/>
      <c r="E271" s="352"/>
      <c r="F271" s="346"/>
      <c r="G271" s="382"/>
    </row>
    <row r="272" spans="1:7" ht="12.75">
      <c r="A272">
        <v>259</v>
      </c>
      <c r="B272" s="380"/>
      <c r="C272" s="380"/>
      <c r="D272" s="381"/>
      <c r="E272" s="352"/>
      <c r="F272" s="346"/>
      <c r="G272" s="382"/>
    </row>
    <row r="273" spans="1:7" ht="12.75">
      <c r="A273">
        <v>260</v>
      </c>
      <c r="B273" s="380"/>
      <c r="C273" s="380"/>
      <c r="D273" s="381"/>
      <c r="E273" s="352"/>
      <c r="F273" s="346"/>
      <c r="G273" s="382"/>
    </row>
    <row r="274" spans="1:7" ht="12.75">
      <c r="A274">
        <v>261</v>
      </c>
      <c r="B274" s="380"/>
      <c r="C274" s="380"/>
      <c r="D274" s="381"/>
      <c r="E274" s="352"/>
      <c r="F274" s="346"/>
      <c r="G274" s="382"/>
    </row>
    <row r="275" spans="1:7" ht="12.75">
      <c r="A275">
        <v>262</v>
      </c>
      <c r="B275" s="380"/>
      <c r="C275" s="380"/>
      <c r="D275" s="381"/>
      <c r="E275" s="352"/>
      <c r="F275" s="346"/>
      <c r="G275" s="382"/>
    </row>
    <row r="276" spans="1:7" ht="12.75">
      <c r="A276">
        <v>263</v>
      </c>
      <c r="B276" s="380"/>
      <c r="C276" s="380"/>
      <c r="D276" s="381"/>
      <c r="E276" s="352"/>
      <c r="F276" s="346"/>
      <c r="G276" s="382"/>
    </row>
    <row r="277" spans="1:7" ht="12.75">
      <c r="A277">
        <v>264</v>
      </c>
      <c r="B277" s="380"/>
      <c r="C277" s="380"/>
      <c r="D277" s="381"/>
      <c r="E277" s="352"/>
      <c r="F277" s="346"/>
      <c r="G277" s="382"/>
    </row>
    <row r="278" spans="1:7" ht="12.75">
      <c r="A278">
        <v>265</v>
      </c>
      <c r="B278" s="380"/>
      <c r="C278" s="380"/>
      <c r="D278" s="381"/>
      <c r="E278" s="352"/>
      <c r="F278" s="346"/>
      <c r="G278" s="382"/>
    </row>
    <row r="279" spans="1:7" ht="12.75">
      <c r="A279">
        <v>266</v>
      </c>
      <c r="B279" s="380"/>
      <c r="C279" s="380"/>
      <c r="D279" s="381"/>
      <c r="E279" s="352"/>
      <c r="F279" s="346"/>
      <c r="G279" s="382"/>
    </row>
    <row r="280" spans="1:7" ht="12.75">
      <c r="A280">
        <v>267</v>
      </c>
      <c r="B280" s="380"/>
      <c r="C280" s="380"/>
      <c r="D280" s="381"/>
      <c r="E280" s="352"/>
      <c r="F280" s="346"/>
      <c r="G280" s="382"/>
    </row>
    <row r="281" spans="1:7" ht="12.75">
      <c r="A281">
        <v>268</v>
      </c>
      <c r="B281" s="380"/>
      <c r="C281" s="380"/>
      <c r="D281" s="381"/>
      <c r="E281" s="352"/>
      <c r="F281" s="346"/>
      <c r="G281" s="382"/>
    </row>
    <row r="282" spans="1:7" ht="12.75">
      <c r="A282">
        <v>269</v>
      </c>
      <c r="B282" s="380"/>
      <c r="C282" s="380"/>
      <c r="D282" s="381"/>
      <c r="E282" s="352"/>
      <c r="F282" s="346"/>
      <c r="G282" s="382"/>
    </row>
    <row r="283" spans="1:7" ht="12.75">
      <c r="A283">
        <v>270</v>
      </c>
      <c r="B283" s="380"/>
      <c r="C283" s="380"/>
      <c r="D283" s="381"/>
      <c r="E283" s="352"/>
      <c r="F283" s="346"/>
      <c r="G283" s="382"/>
    </row>
    <row r="284" spans="1:7" ht="12.75">
      <c r="A284">
        <v>271</v>
      </c>
      <c r="B284" s="380"/>
      <c r="C284" s="380"/>
      <c r="D284" s="381"/>
      <c r="E284" s="352"/>
      <c r="F284" s="346"/>
      <c r="G284" s="382"/>
    </row>
    <row r="285" spans="1:7" ht="12.75">
      <c r="A285">
        <v>272</v>
      </c>
      <c r="B285" s="380"/>
      <c r="C285" s="380"/>
      <c r="D285" s="381"/>
      <c r="E285" s="352"/>
      <c r="F285" s="346"/>
      <c r="G285" s="382"/>
    </row>
    <row r="286" spans="1:7" ht="12.75">
      <c r="A286">
        <v>273</v>
      </c>
      <c r="B286" s="380"/>
      <c r="C286" s="380"/>
      <c r="D286" s="381"/>
      <c r="E286" s="352"/>
      <c r="F286" s="346"/>
      <c r="G286" s="382"/>
    </row>
    <row r="287" spans="1:7" ht="12.75">
      <c r="A287">
        <v>274</v>
      </c>
      <c r="B287" s="380"/>
      <c r="C287" s="380"/>
      <c r="D287" s="381"/>
      <c r="E287" s="352"/>
      <c r="F287" s="346"/>
      <c r="G287" s="382"/>
    </row>
    <row r="288" spans="1:7" ht="12.75">
      <c r="A288">
        <v>275</v>
      </c>
      <c r="B288" s="380"/>
      <c r="C288" s="380"/>
      <c r="D288" s="381"/>
      <c r="E288" s="352"/>
      <c r="F288" s="346"/>
      <c r="G288" s="382"/>
    </row>
    <row r="289" spans="1:7" ht="12.75">
      <c r="A289">
        <v>276</v>
      </c>
      <c r="B289" s="380"/>
      <c r="C289" s="380"/>
      <c r="D289" s="381"/>
      <c r="E289" s="352"/>
      <c r="F289" s="346"/>
      <c r="G289" s="382"/>
    </row>
    <row r="290" spans="1:7" ht="12.75">
      <c r="A290">
        <v>277</v>
      </c>
      <c r="B290" s="380"/>
      <c r="C290" s="380"/>
      <c r="D290" s="381"/>
      <c r="E290" s="352"/>
      <c r="F290" s="346"/>
      <c r="G290" s="382"/>
    </row>
    <row r="291" spans="1:7" ht="12.75">
      <c r="A291">
        <v>278</v>
      </c>
      <c r="B291" s="380"/>
      <c r="C291" s="380"/>
      <c r="D291" s="381"/>
      <c r="E291" s="352"/>
      <c r="F291" s="346"/>
      <c r="G291" s="382"/>
    </row>
    <row r="292" spans="1:7" ht="12.75">
      <c r="A292">
        <v>279</v>
      </c>
      <c r="B292" s="380"/>
      <c r="C292" s="380"/>
      <c r="D292" s="381"/>
      <c r="E292" s="352"/>
      <c r="F292" s="346"/>
      <c r="G292" s="382"/>
    </row>
    <row r="293" spans="1:7" ht="12.75">
      <c r="A293">
        <v>280</v>
      </c>
      <c r="B293" s="380"/>
      <c r="C293" s="380"/>
      <c r="D293" s="381"/>
      <c r="E293" s="352"/>
      <c r="F293" s="346"/>
      <c r="G293" s="382"/>
    </row>
    <row r="294" spans="1:7" ht="12.75">
      <c r="A294">
        <v>281</v>
      </c>
      <c r="B294" s="380"/>
      <c r="C294" s="380"/>
      <c r="D294" s="381"/>
      <c r="E294" s="352"/>
      <c r="F294" s="346"/>
      <c r="G294" s="382"/>
    </row>
    <row r="295" spans="1:7" ht="12.75">
      <c r="A295">
        <v>282</v>
      </c>
      <c r="B295" s="380"/>
      <c r="C295" s="380"/>
      <c r="D295" s="381"/>
      <c r="E295" s="352"/>
      <c r="F295" s="346"/>
      <c r="G295" s="382"/>
    </row>
    <row r="296" spans="1:7" ht="12.75">
      <c r="A296">
        <v>283</v>
      </c>
      <c r="B296" s="380"/>
      <c r="C296" s="380"/>
      <c r="D296" s="381"/>
      <c r="E296" s="352"/>
      <c r="F296" s="346"/>
      <c r="G296" s="382"/>
    </row>
    <row r="297" spans="1:7" ht="12.75">
      <c r="A297">
        <v>284</v>
      </c>
      <c r="B297" s="380"/>
      <c r="C297" s="380"/>
      <c r="D297" s="381"/>
      <c r="E297" s="352"/>
      <c r="F297" s="346"/>
      <c r="G297" s="382"/>
    </row>
    <row r="298" spans="1:7" ht="12.75">
      <c r="A298">
        <v>285</v>
      </c>
      <c r="B298" s="380"/>
      <c r="C298" s="380"/>
      <c r="D298" s="381"/>
      <c r="E298" s="352"/>
      <c r="F298" s="346"/>
      <c r="G298" s="382"/>
    </row>
    <row r="299" spans="1:7" ht="12.75">
      <c r="A299">
        <v>286</v>
      </c>
      <c r="B299" s="380"/>
      <c r="C299" s="380"/>
      <c r="D299" s="381"/>
      <c r="E299" s="352"/>
      <c r="F299" s="346"/>
      <c r="G299" s="382"/>
    </row>
    <row r="300" spans="1:7" ht="12.75">
      <c r="A300">
        <v>287</v>
      </c>
      <c r="B300" s="380"/>
      <c r="C300" s="380"/>
      <c r="D300" s="381"/>
      <c r="E300" s="352"/>
      <c r="F300" s="346"/>
      <c r="G300" s="382"/>
    </row>
    <row r="301" spans="1:7" ht="12.75">
      <c r="A301">
        <v>288</v>
      </c>
      <c r="B301" s="380"/>
      <c r="C301" s="380"/>
      <c r="D301" s="381"/>
      <c r="E301" s="352"/>
      <c r="F301" s="346"/>
      <c r="G301" s="382"/>
    </row>
    <row r="302" spans="1:7" ht="12.75">
      <c r="A302">
        <v>289</v>
      </c>
      <c r="B302" s="380"/>
      <c r="C302" s="380"/>
      <c r="D302" s="381"/>
      <c r="E302" s="352"/>
      <c r="F302" s="346"/>
      <c r="G302" s="382"/>
    </row>
    <row r="303" spans="1:7" ht="12.75">
      <c r="A303">
        <v>290</v>
      </c>
      <c r="B303" s="380"/>
      <c r="C303" s="380"/>
      <c r="D303" s="381"/>
      <c r="E303" s="352"/>
      <c r="F303" s="346"/>
      <c r="G303" s="382"/>
    </row>
    <row r="304" spans="1:7" ht="12.75">
      <c r="A304">
        <v>291</v>
      </c>
      <c r="B304" s="380"/>
      <c r="C304" s="380"/>
      <c r="D304" s="381"/>
      <c r="E304" s="352"/>
      <c r="F304" s="346"/>
      <c r="G304" s="382"/>
    </row>
    <row r="305" spans="1:7" ht="12.75">
      <c r="A305">
        <v>292</v>
      </c>
      <c r="B305" s="380"/>
      <c r="C305" s="380"/>
      <c r="D305" s="381"/>
      <c r="E305" s="352"/>
      <c r="F305" s="346"/>
      <c r="G305" s="382"/>
    </row>
    <row r="306" spans="1:7" ht="12.75">
      <c r="A306">
        <v>293</v>
      </c>
      <c r="B306" s="380"/>
      <c r="C306" s="380"/>
      <c r="D306" s="381"/>
      <c r="E306" s="352"/>
      <c r="F306" s="346"/>
      <c r="G306" s="382"/>
    </row>
    <row r="307" spans="1:7" ht="12.75">
      <c r="A307">
        <v>294</v>
      </c>
      <c r="B307" s="380"/>
      <c r="C307" s="380"/>
      <c r="D307" s="381"/>
      <c r="E307" s="352"/>
      <c r="F307" s="346"/>
      <c r="G307" s="382"/>
    </row>
    <row r="308" spans="1:7" ht="12.75">
      <c r="A308">
        <v>295</v>
      </c>
      <c r="B308" s="380"/>
      <c r="C308" s="380"/>
      <c r="D308" s="381"/>
      <c r="E308" s="352"/>
      <c r="F308" s="346"/>
      <c r="G308" s="382"/>
    </row>
    <row r="309" spans="1:7" ht="12.75">
      <c r="A309">
        <v>296</v>
      </c>
      <c r="B309" s="380"/>
      <c r="C309" s="380"/>
      <c r="D309" s="381"/>
      <c r="E309" s="352"/>
      <c r="F309" s="346"/>
      <c r="G309" s="382"/>
    </row>
    <row r="310" spans="1:7" ht="12.75">
      <c r="A310">
        <v>297</v>
      </c>
      <c r="B310" s="380"/>
      <c r="C310" s="380"/>
      <c r="D310" s="381"/>
      <c r="E310" s="352"/>
      <c r="F310" s="346"/>
      <c r="G310" s="382"/>
    </row>
    <row r="311" spans="1:7" ht="12.75">
      <c r="A311">
        <v>298</v>
      </c>
      <c r="B311" s="380"/>
      <c r="C311" s="380"/>
      <c r="D311" s="381"/>
      <c r="E311" s="352"/>
      <c r="F311" s="346"/>
      <c r="G311" s="382"/>
    </row>
    <row r="312" spans="1:7" ht="12.75">
      <c r="A312">
        <v>299</v>
      </c>
      <c r="B312" s="380"/>
      <c r="C312" s="380"/>
      <c r="D312" s="381"/>
      <c r="E312" s="352"/>
      <c r="F312" s="346"/>
      <c r="G312" s="382"/>
    </row>
    <row r="313" spans="1:7" ht="12.75">
      <c r="A313">
        <v>300</v>
      </c>
      <c r="B313" s="380"/>
      <c r="C313" s="380"/>
      <c r="D313" s="381"/>
      <c r="E313" s="352"/>
      <c r="F313" s="346"/>
      <c r="G313" s="382"/>
    </row>
    <row r="314" spans="1:7" ht="12.75">
      <c r="A314">
        <v>301</v>
      </c>
      <c r="B314" s="380"/>
      <c r="C314" s="380"/>
      <c r="D314" s="381"/>
      <c r="E314" s="352"/>
      <c r="F314" s="346"/>
      <c r="G314" s="382"/>
    </row>
    <row r="315" spans="1:7" ht="12.75">
      <c r="A315">
        <v>302</v>
      </c>
      <c r="B315" s="380"/>
      <c r="C315" s="380"/>
      <c r="D315" s="381"/>
      <c r="E315" s="352"/>
      <c r="F315" s="346"/>
      <c r="G315" s="382"/>
    </row>
    <row r="316" spans="1:7" ht="12.75">
      <c r="A316">
        <v>303</v>
      </c>
      <c r="B316" s="380"/>
      <c r="C316" s="380"/>
      <c r="D316" s="381"/>
      <c r="E316" s="352"/>
      <c r="F316" s="346"/>
      <c r="G316" s="382"/>
    </row>
    <row r="317" spans="1:7" ht="12.75">
      <c r="A317">
        <v>304</v>
      </c>
      <c r="B317" s="380"/>
      <c r="C317" s="380"/>
      <c r="D317" s="381"/>
      <c r="E317" s="352"/>
      <c r="F317" s="346"/>
      <c r="G317" s="382"/>
    </row>
    <row r="318" spans="1:7" ht="12.75">
      <c r="A318">
        <v>305</v>
      </c>
      <c r="B318" s="380"/>
      <c r="C318" s="380"/>
      <c r="D318" s="381"/>
      <c r="E318" s="352"/>
      <c r="F318" s="346"/>
      <c r="G318" s="382"/>
    </row>
    <row r="319" spans="1:7" ht="12.75">
      <c r="A319">
        <v>306</v>
      </c>
      <c r="B319" s="380"/>
      <c r="C319" s="380"/>
      <c r="D319" s="381"/>
      <c r="E319" s="352"/>
      <c r="F319" s="346"/>
      <c r="G319" s="382"/>
    </row>
    <row r="320" spans="1:7" ht="12.75">
      <c r="A320">
        <v>307</v>
      </c>
      <c r="B320" s="380"/>
      <c r="C320" s="380"/>
      <c r="D320" s="381"/>
      <c r="E320" s="352"/>
      <c r="F320" s="346"/>
      <c r="G320" s="382"/>
    </row>
    <row r="321" spans="1:7" ht="12.75">
      <c r="A321">
        <v>308</v>
      </c>
      <c r="B321" s="380"/>
      <c r="C321" s="380"/>
      <c r="D321" s="381"/>
      <c r="E321" s="352"/>
      <c r="F321" s="346"/>
      <c r="G321" s="382"/>
    </row>
    <row r="322" spans="1:7" ht="12.75">
      <c r="A322">
        <v>309</v>
      </c>
      <c r="B322" s="380"/>
      <c r="C322" s="380"/>
      <c r="D322" s="381"/>
      <c r="E322" s="352"/>
      <c r="F322" s="346"/>
      <c r="G322" s="382"/>
    </row>
    <row r="323" spans="1:7" ht="12.75">
      <c r="A323">
        <v>310</v>
      </c>
      <c r="B323" s="380"/>
      <c r="C323" s="380"/>
      <c r="D323" s="381"/>
      <c r="E323" s="352"/>
      <c r="F323" s="346"/>
      <c r="G323" s="382"/>
    </row>
    <row r="324" spans="1:7" ht="12.75">
      <c r="A324">
        <v>311</v>
      </c>
      <c r="B324" s="380"/>
      <c r="C324" s="380"/>
      <c r="D324" s="381"/>
      <c r="E324" s="352"/>
      <c r="F324" s="346"/>
      <c r="G324" s="382"/>
    </row>
    <row r="325" spans="1:7" ht="12.75">
      <c r="A325">
        <v>312</v>
      </c>
      <c r="B325" s="380"/>
      <c r="C325" s="380"/>
      <c r="D325" s="381"/>
      <c r="E325" s="352"/>
      <c r="F325" s="346"/>
      <c r="G325" s="382"/>
    </row>
    <row r="326" spans="1:7" ht="12.75">
      <c r="A326">
        <v>313</v>
      </c>
      <c r="B326" s="380"/>
      <c r="C326" s="380"/>
      <c r="D326" s="381"/>
      <c r="E326" s="352"/>
      <c r="F326" s="346"/>
      <c r="G326" s="382"/>
    </row>
    <row r="327" spans="1:7" ht="12.75">
      <c r="A327">
        <v>314</v>
      </c>
      <c r="B327" s="380"/>
      <c r="C327" s="380"/>
      <c r="D327" s="381"/>
      <c r="E327" s="352"/>
      <c r="F327" s="346"/>
      <c r="G327" s="382"/>
    </row>
    <row r="328" spans="1:7" ht="12.75">
      <c r="A328">
        <v>315</v>
      </c>
      <c r="B328" s="380"/>
      <c r="C328" s="380"/>
      <c r="D328" s="381"/>
      <c r="E328" s="352"/>
      <c r="F328" s="346"/>
      <c r="G328" s="382"/>
    </row>
    <row r="329" spans="1:7" ht="12.75">
      <c r="A329">
        <v>316</v>
      </c>
      <c r="B329" s="380"/>
      <c r="C329" s="380"/>
      <c r="D329" s="381"/>
      <c r="E329" s="352"/>
      <c r="F329" s="346"/>
      <c r="G329" s="382"/>
    </row>
    <row r="330" spans="1:7" ht="12.75">
      <c r="A330">
        <v>317</v>
      </c>
      <c r="B330" s="380"/>
      <c r="C330" s="380"/>
      <c r="D330" s="381"/>
      <c r="E330" s="352"/>
      <c r="F330" s="346"/>
      <c r="G330" s="382"/>
    </row>
    <row r="331" spans="1:7" ht="12.75">
      <c r="A331">
        <v>318</v>
      </c>
      <c r="B331" s="380"/>
      <c r="C331" s="380"/>
      <c r="D331" s="381"/>
      <c r="E331" s="352"/>
      <c r="F331" s="346"/>
      <c r="G331" s="382"/>
    </row>
    <row r="332" spans="1:7" ht="12.75">
      <c r="A332">
        <v>319</v>
      </c>
      <c r="B332" s="380"/>
      <c r="C332" s="380"/>
      <c r="D332" s="381"/>
      <c r="E332" s="352"/>
      <c r="F332" s="346"/>
      <c r="G332" s="382"/>
    </row>
    <row r="333" spans="1:7" ht="12.75">
      <c r="A333">
        <v>320</v>
      </c>
      <c r="B333" s="380"/>
      <c r="C333" s="380"/>
      <c r="D333" s="381"/>
      <c r="E333" s="352"/>
      <c r="F333" s="346"/>
      <c r="G333" s="382"/>
    </row>
    <row r="334" spans="1:7" ht="12.75">
      <c r="A334">
        <v>321</v>
      </c>
      <c r="B334" s="380"/>
      <c r="C334" s="380"/>
      <c r="D334" s="381"/>
      <c r="E334" s="352"/>
      <c r="F334" s="346"/>
      <c r="G334" s="382"/>
    </row>
    <row r="335" spans="1:7" ht="12.75">
      <c r="A335">
        <v>322</v>
      </c>
      <c r="B335" s="380"/>
      <c r="C335" s="380"/>
      <c r="D335" s="381"/>
      <c r="E335" s="352"/>
      <c r="F335" s="346"/>
      <c r="G335" s="382"/>
    </row>
    <row r="336" spans="1:7" ht="12.75">
      <c r="A336">
        <v>323</v>
      </c>
      <c r="B336" s="380"/>
      <c r="C336" s="380"/>
      <c r="D336" s="381"/>
      <c r="E336" s="352"/>
      <c r="F336" s="346"/>
      <c r="G336" s="382"/>
    </row>
    <row r="337" spans="1:7" ht="12.75">
      <c r="A337">
        <v>324</v>
      </c>
      <c r="B337" s="380"/>
      <c r="C337" s="380"/>
      <c r="D337" s="381"/>
      <c r="E337" s="352"/>
      <c r="F337" s="346"/>
      <c r="G337" s="382"/>
    </row>
    <row r="338" spans="1:7" ht="12.75">
      <c r="A338">
        <v>325</v>
      </c>
      <c r="B338" s="380"/>
      <c r="C338" s="380"/>
      <c r="D338" s="381"/>
      <c r="E338" s="352"/>
      <c r="F338" s="346"/>
      <c r="G338" s="382"/>
    </row>
    <row r="339" spans="1:7" ht="12.75">
      <c r="A339">
        <v>326</v>
      </c>
      <c r="B339" s="380"/>
      <c r="C339" s="380"/>
      <c r="D339" s="381"/>
      <c r="E339" s="352"/>
      <c r="F339" s="346"/>
      <c r="G339" s="382"/>
    </row>
    <row r="340" spans="1:7" ht="12.75">
      <c r="A340">
        <v>327</v>
      </c>
      <c r="B340" s="380"/>
      <c r="C340" s="380"/>
      <c r="D340" s="381"/>
      <c r="E340" s="352"/>
      <c r="F340" s="346"/>
      <c r="G340" s="382"/>
    </row>
    <row r="341" spans="1:7" ht="12.75">
      <c r="A341">
        <v>328</v>
      </c>
      <c r="B341" s="380"/>
      <c r="C341" s="380"/>
      <c r="D341" s="381"/>
      <c r="E341" s="352"/>
      <c r="F341" s="346"/>
      <c r="G341" s="382"/>
    </row>
    <row r="342" spans="1:7" ht="12.75">
      <c r="A342">
        <v>329</v>
      </c>
      <c r="B342" s="380"/>
      <c r="C342" s="380"/>
      <c r="D342" s="381"/>
      <c r="E342" s="352"/>
      <c r="F342" s="346"/>
      <c r="G342" s="382"/>
    </row>
    <row r="343" spans="1:7" ht="12.75">
      <c r="A343">
        <v>330</v>
      </c>
      <c r="B343" s="380"/>
      <c r="C343" s="380"/>
      <c r="D343" s="381"/>
      <c r="E343" s="352"/>
      <c r="F343" s="346"/>
      <c r="G343" s="382"/>
    </row>
    <row r="344" spans="1:7" ht="12.75">
      <c r="A344">
        <v>331</v>
      </c>
      <c r="B344" s="380"/>
      <c r="C344" s="380"/>
      <c r="D344" s="381"/>
      <c r="E344" s="352"/>
      <c r="F344" s="346"/>
      <c r="G344" s="382"/>
    </row>
    <row r="345" spans="1:7" ht="12.75">
      <c r="A345">
        <v>332</v>
      </c>
      <c r="B345" s="380"/>
      <c r="C345" s="380"/>
      <c r="D345" s="381"/>
      <c r="E345" s="352"/>
      <c r="F345" s="346"/>
      <c r="G345" s="382"/>
    </row>
    <row r="346" spans="1:7" ht="12.75">
      <c r="A346">
        <v>333</v>
      </c>
      <c r="B346" s="380"/>
      <c r="C346" s="380"/>
      <c r="D346" s="381"/>
      <c r="E346" s="352"/>
      <c r="F346" s="346"/>
      <c r="G346" s="382"/>
    </row>
    <row r="347" spans="1:7" ht="12.75">
      <c r="A347">
        <v>334</v>
      </c>
      <c r="B347" s="380"/>
      <c r="C347" s="380"/>
      <c r="D347" s="381"/>
      <c r="E347" s="352"/>
      <c r="F347" s="346"/>
      <c r="G347" s="382"/>
    </row>
    <row r="348" spans="1:7" ht="12.75">
      <c r="A348">
        <v>335</v>
      </c>
      <c r="B348" s="380"/>
      <c r="C348" s="380"/>
      <c r="D348" s="381"/>
      <c r="E348" s="352"/>
      <c r="F348" s="346"/>
      <c r="G348" s="382"/>
    </row>
    <row r="349" spans="1:7" ht="12.75">
      <c r="A349">
        <v>336</v>
      </c>
      <c r="B349" s="380"/>
      <c r="C349" s="380"/>
      <c r="D349" s="381"/>
      <c r="E349" s="352"/>
      <c r="F349" s="346"/>
      <c r="G349" s="382"/>
    </row>
    <row r="350" spans="1:7" ht="12.75">
      <c r="A350">
        <v>337</v>
      </c>
      <c r="B350" s="380"/>
      <c r="C350" s="380"/>
      <c r="D350" s="381"/>
      <c r="E350" s="352"/>
      <c r="F350" s="346"/>
      <c r="G350" s="382"/>
    </row>
    <row r="351" spans="1:7" ht="12.75">
      <c r="A351">
        <v>338</v>
      </c>
      <c r="B351" s="380"/>
      <c r="C351" s="380"/>
      <c r="D351" s="381"/>
      <c r="E351" s="352"/>
      <c r="F351" s="346"/>
      <c r="G351" s="382"/>
    </row>
    <row r="352" spans="1:7" ht="12.75">
      <c r="A352">
        <v>339</v>
      </c>
      <c r="B352" s="380"/>
      <c r="C352" s="380"/>
      <c r="D352" s="381"/>
      <c r="E352" s="352"/>
      <c r="F352" s="346"/>
      <c r="G352" s="382"/>
    </row>
    <row r="353" spans="1:7" ht="12.75">
      <c r="A353">
        <v>340</v>
      </c>
      <c r="B353" s="380"/>
      <c r="C353" s="380"/>
      <c r="D353" s="381"/>
      <c r="E353" s="352"/>
      <c r="F353" s="346"/>
      <c r="G353" s="382"/>
    </row>
    <row r="354" spans="1:7" ht="12.75">
      <c r="A354">
        <v>341</v>
      </c>
      <c r="B354" s="380"/>
      <c r="C354" s="380"/>
      <c r="D354" s="381"/>
      <c r="E354" s="352"/>
      <c r="F354" s="346"/>
      <c r="G354" s="382"/>
    </row>
    <row r="355" spans="1:7" ht="12.75">
      <c r="A355">
        <v>342</v>
      </c>
      <c r="B355" s="380"/>
      <c r="C355" s="380"/>
      <c r="D355" s="381"/>
      <c r="E355" s="352"/>
      <c r="F355" s="346"/>
      <c r="G355" s="382"/>
    </row>
    <row r="356" spans="1:7" ht="12.75">
      <c r="A356">
        <v>343</v>
      </c>
      <c r="B356" s="380"/>
      <c r="C356" s="380"/>
      <c r="D356" s="381"/>
      <c r="E356" s="352"/>
      <c r="F356" s="346"/>
      <c r="G356" s="382"/>
    </row>
    <row r="357" spans="1:7" ht="12.75">
      <c r="A357">
        <v>344</v>
      </c>
      <c r="B357" s="380"/>
      <c r="C357" s="380"/>
      <c r="D357" s="381"/>
      <c r="E357" s="352"/>
      <c r="F357" s="346"/>
      <c r="G357" s="382"/>
    </row>
    <row r="358" spans="1:7" ht="12.75">
      <c r="A358">
        <v>345</v>
      </c>
      <c r="B358" s="380"/>
      <c r="C358" s="380"/>
      <c r="D358" s="381"/>
      <c r="E358" s="352"/>
      <c r="F358" s="346"/>
      <c r="G358" s="382"/>
    </row>
    <row r="359" spans="1:7" ht="12.75">
      <c r="A359">
        <v>346</v>
      </c>
      <c r="B359" s="380"/>
      <c r="C359" s="380"/>
      <c r="D359" s="381"/>
      <c r="E359" s="352"/>
      <c r="F359" s="346"/>
      <c r="G359" s="382"/>
    </row>
    <row r="360" spans="1:7" ht="12.75">
      <c r="A360">
        <v>347</v>
      </c>
      <c r="B360" s="380"/>
      <c r="C360" s="380"/>
      <c r="D360" s="381"/>
      <c r="E360" s="352"/>
      <c r="F360" s="346"/>
      <c r="G360" s="382"/>
    </row>
    <row r="361" spans="1:7" ht="12.75">
      <c r="A361">
        <v>348</v>
      </c>
      <c r="B361" s="380"/>
      <c r="C361" s="380"/>
      <c r="D361" s="381"/>
      <c r="E361" s="352"/>
      <c r="F361" s="346"/>
      <c r="G361" s="382"/>
    </row>
    <row r="362" spans="1:7" ht="12.75">
      <c r="A362">
        <v>349</v>
      </c>
      <c r="B362" s="380"/>
      <c r="C362" s="380"/>
      <c r="D362" s="381"/>
      <c r="E362" s="352"/>
      <c r="F362" s="346"/>
      <c r="G362" s="382"/>
    </row>
    <row r="363" spans="1:7" ht="12.75">
      <c r="A363">
        <v>350</v>
      </c>
      <c r="B363" s="380"/>
      <c r="C363" s="380"/>
      <c r="D363" s="381"/>
      <c r="E363" s="352"/>
      <c r="F363" s="346"/>
      <c r="G363" s="382"/>
    </row>
    <row r="364" spans="1:7" ht="12.75">
      <c r="A364">
        <v>351</v>
      </c>
      <c r="B364" s="380"/>
      <c r="C364" s="380"/>
      <c r="D364" s="381"/>
      <c r="E364" s="352"/>
      <c r="F364" s="346"/>
      <c r="G364" s="382"/>
    </row>
    <row r="365" spans="1:7" ht="12.75">
      <c r="A365">
        <v>352</v>
      </c>
      <c r="B365" s="380"/>
      <c r="C365" s="380"/>
      <c r="D365" s="381"/>
      <c r="E365" s="352"/>
      <c r="F365" s="346"/>
      <c r="G365" s="382"/>
    </row>
    <row r="366" spans="1:7" ht="12.75">
      <c r="A366">
        <v>353</v>
      </c>
      <c r="B366" s="380"/>
      <c r="C366" s="380"/>
      <c r="D366" s="381"/>
      <c r="E366" s="352"/>
      <c r="F366" s="346"/>
      <c r="G366" s="382"/>
    </row>
    <row r="367" spans="1:7" ht="12.75">
      <c r="A367">
        <v>354</v>
      </c>
      <c r="B367" s="380"/>
      <c r="C367" s="380"/>
      <c r="D367" s="381"/>
      <c r="E367" s="352"/>
      <c r="F367" s="346"/>
      <c r="G367" s="382"/>
    </row>
    <row r="368" spans="1:7" ht="12.75">
      <c r="A368">
        <v>355</v>
      </c>
      <c r="B368" s="380"/>
      <c r="C368" s="380"/>
      <c r="D368" s="381"/>
      <c r="E368" s="352"/>
      <c r="F368" s="346"/>
      <c r="G368" s="382"/>
    </row>
    <row r="369" spans="1:7" ht="12.75">
      <c r="A369">
        <v>356</v>
      </c>
      <c r="B369" s="380"/>
      <c r="C369" s="380"/>
      <c r="D369" s="381"/>
      <c r="E369" s="352"/>
      <c r="F369" s="346"/>
      <c r="G369" s="382"/>
    </row>
    <row r="370" spans="1:7" ht="12.75">
      <c r="A370">
        <v>357</v>
      </c>
      <c r="B370" s="380"/>
      <c r="C370" s="380"/>
      <c r="D370" s="381"/>
      <c r="E370" s="352"/>
      <c r="F370" s="346"/>
      <c r="G370" s="382"/>
    </row>
    <row r="371" spans="1:7" ht="12.75">
      <c r="A371">
        <v>358</v>
      </c>
      <c r="B371" s="380"/>
      <c r="C371" s="380"/>
      <c r="D371" s="381"/>
      <c r="E371" s="352"/>
      <c r="F371" s="346"/>
      <c r="G371" s="382"/>
    </row>
    <row r="372" spans="1:7" ht="12.75">
      <c r="A372">
        <v>359</v>
      </c>
      <c r="B372" s="380"/>
      <c r="C372" s="380"/>
      <c r="D372" s="381"/>
      <c r="E372" s="352"/>
      <c r="F372" s="346"/>
      <c r="G372" s="382"/>
    </row>
    <row r="373" spans="1:7" ht="12.75">
      <c r="A373">
        <v>360</v>
      </c>
      <c r="B373" s="380"/>
      <c r="C373" s="380"/>
      <c r="D373" s="381"/>
      <c r="E373" s="352"/>
      <c r="F373" s="346"/>
      <c r="G373" s="382"/>
    </row>
    <row r="374" spans="1:7" ht="12.75">
      <c r="A374">
        <v>361</v>
      </c>
      <c r="B374" s="380"/>
      <c r="C374" s="380"/>
      <c r="D374" s="381"/>
      <c r="E374" s="352"/>
      <c r="F374" s="346"/>
      <c r="G374" s="382"/>
    </row>
    <row r="375" spans="1:7" ht="12.75">
      <c r="A375">
        <v>362</v>
      </c>
      <c r="B375" s="380"/>
      <c r="C375" s="380"/>
      <c r="D375" s="381"/>
      <c r="E375" s="352"/>
      <c r="F375" s="346"/>
      <c r="G375" s="382"/>
    </row>
    <row r="376" spans="1:7" ht="12.75">
      <c r="A376">
        <v>363</v>
      </c>
      <c r="B376" s="380"/>
      <c r="C376" s="380"/>
      <c r="D376" s="381"/>
      <c r="E376" s="352"/>
      <c r="F376" s="346"/>
      <c r="G376" s="382"/>
    </row>
    <row r="377" spans="1:7" ht="12.75">
      <c r="A377">
        <v>364</v>
      </c>
      <c r="B377" s="380"/>
      <c r="C377" s="380"/>
      <c r="D377" s="381"/>
      <c r="E377" s="352"/>
      <c r="F377" s="346"/>
      <c r="G377" s="382"/>
    </row>
    <row r="378" spans="1:7" ht="12.75">
      <c r="A378">
        <v>365</v>
      </c>
      <c r="B378" s="380"/>
      <c r="C378" s="380"/>
      <c r="D378" s="381"/>
      <c r="E378" s="352"/>
      <c r="F378" s="346"/>
      <c r="G378" s="382"/>
    </row>
    <row r="379" spans="1:7" ht="12.75">
      <c r="A379">
        <v>366</v>
      </c>
      <c r="B379" s="380"/>
      <c r="C379" s="380"/>
      <c r="D379" s="381"/>
      <c r="E379" s="352"/>
      <c r="F379" s="346"/>
      <c r="G379" s="382"/>
    </row>
    <row r="380" spans="1:7" ht="12.75">
      <c r="A380">
        <v>367</v>
      </c>
      <c r="B380" s="380"/>
      <c r="C380" s="380"/>
      <c r="D380" s="381"/>
      <c r="E380" s="352"/>
      <c r="F380" s="346"/>
      <c r="G380" s="382"/>
    </row>
    <row r="381" spans="1:7" ht="12.75">
      <c r="A381">
        <v>368</v>
      </c>
      <c r="B381" s="380"/>
      <c r="C381" s="380"/>
      <c r="D381" s="381"/>
      <c r="E381" s="352"/>
      <c r="F381" s="346"/>
      <c r="G381" s="382"/>
    </row>
    <row r="382" spans="1:7" ht="12.75">
      <c r="A382">
        <v>369</v>
      </c>
      <c r="B382" s="380"/>
      <c r="C382" s="380"/>
      <c r="D382" s="381"/>
      <c r="E382" s="352"/>
      <c r="F382" s="346"/>
      <c r="G382" s="382"/>
    </row>
    <row r="383" spans="1:7" ht="12.75">
      <c r="A383">
        <v>370</v>
      </c>
      <c r="B383" s="380"/>
      <c r="C383" s="380"/>
      <c r="D383" s="381"/>
      <c r="E383" s="352"/>
      <c r="F383" s="346"/>
      <c r="G383" s="382"/>
    </row>
    <row r="384" spans="1:7" ht="12.75">
      <c r="A384">
        <v>371</v>
      </c>
      <c r="B384" s="380"/>
      <c r="C384" s="380"/>
      <c r="D384" s="381"/>
      <c r="E384" s="352"/>
      <c r="F384" s="346"/>
      <c r="G384" s="382"/>
    </row>
    <row r="385" spans="1:7" ht="12.75">
      <c r="A385">
        <v>372</v>
      </c>
      <c r="B385" s="380"/>
      <c r="C385" s="380"/>
      <c r="D385" s="381"/>
      <c r="E385" s="352"/>
      <c r="F385" s="346"/>
      <c r="G385" s="382"/>
    </row>
    <row r="386" spans="1:7" ht="12.75">
      <c r="A386">
        <v>373</v>
      </c>
      <c r="B386" s="380"/>
      <c r="C386" s="380"/>
      <c r="D386" s="381"/>
      <c r="E386" s="352"/>
      <c r="F386" s="346"/>
      <c r="G386" s="382"/>
    </row>
    <row r="387" spans="1:7" ht="12.75">
      <c r="A387">
        <v>374</v>
      </c>
      <c r="B387" s="380"/>
      <c r="C387" s="380"/>
      <c r="D387" s="381"/>
      <c r="E387" s="352"/>
      <c r="F387" s="346"/>
      <c r="G387" s="382"/>
    </row>
    <row r="388" spans="1:7" ht="12.75">
      <c r="A388">
        <v>375</v>
      </c>
      <c r="B388" s="380"/>
      <c r="C388" s="380"/>
      <c r="D388" s="381"/>
      <c r="E388" s="352"/>
      <c r="F388" s="346"/>
      <c r="G388" s="382"/>
    </row>
    <row r="389" spans="1:7" ht="12.75">
      <c r="A389">
        <v>376</v>
      </c>
      <c r="B389" s="380"/>
      <c r="C389" s="380"/>
      <c r="D389" s="381"/>
      <c r="E389" s="352"/>
      <c r="F389" s="346"/>
      <c r="G389" s="382"/>
    </row>
    <row r="390" spans="1:7" ht="12.75">
      <c r="A390">
        <v>377</v>
      </c>
      <c r="B390" s="380"/>
      <c r="C390" s="380"/>
      <c r="D390" s="381"/>
      <c r="E390" s="352"/>
      <c r="F390" s="346"/>
      <c r="G390" s="382"/>
    </row>
    <row r="391" spans="1:7" ht="12.75">
      <c r="A391">
        <v>378</v>
      </c>
      <c r="B391" s="380"/>
      <c r="C391" s="380"/>
      <c r="D391" s="381"/>
      <c r="E391" s="352"/>
      <c r="F391" s="346"/>
      <c r="G391" s="382"/>
    </row>
    <row r="392" spans="1:7" ht="12.75">
      <c r="A392">
        <v>379</v>
      </c>
      <c r="B392" s="380"/>
      <c r="C392" s="380"/>
      <c r="D392" s="381"/>
      <c r="E392" s="352"/>
      <c r="F392" s="346"/>
      <c r="G392" s="382"/>
    </row>
    <row r="393" spans="1:7" ht="12.75">
      <c r="A393">
        <v>380</v>
      </c>
      <c r="B393" s="380"/>
      <c r="C393" s="380"/>
      <c r="D393" s="381"/>
      <c r="E393" s="352"/>
      <c r="F393" s="346"/>
      <c r="G393" s="382"/>
    </row>
    <row r="394" spans="1:7" ht="12.75">
      <c r="A394">
        <v>381</v>
      </c>
      <c r="B394" s="380"/>
      <c r="C394" s="380"/>
      <c r="D394" s="381"/>
      <c r="E394" s="352"/>
      <c r="F394" s="346"/>
      <c r="G394" s="382"/>
    </row>
    <row r="395" spans="1:7" ht="12.75">
      <c r="A395">
        <v>382</v>
      </c>
      <c r="B395" s="380"/>
      <c r="C395" s="380"/>
      <c r="D395" s="381"/>
      <c r="E395" s="352"/>
      <c r="F395" s="346"/>
      <c r="G395" s="382"/>
    </row>
    <row r="396" spans="1:7" ht="12.75">
      <c r="A396">
        <v>383</v>
      </c>
      <c r="B396" s="380"/>
      <c r="C396" s="380"/>
      <c r="D396" s="381"/>
      <c r="E396" s="352"/>
      <c r="F396" s="346"/>
      <c r="G396" s="382"/>
    </row>
    <row r="397" spans="1:7" ht="12.75">
      <c r="A397">
        <v>384</v>
      </c>
      <c r="B397" s="380"/>
      <c r="C397" s="380"/>
      <c r="D397" s="381"/>
      <c r="E397" s="352"/>
      <c r="F397" s="346"/>
      <c r="G397" s="382"/>
    </row>
    <row r="398" spans="1:7" ht="12.75">
      <c r="A398">
        <v>385</v>
      </c>
      <c r="B398" s="380"/>
      <c r="C398" s="380"/>
      <c r="D398" s="381"/>
      <c r="E398" s="352"/>
      <c r="F398" s="346"/>
      <c r="G398" s="382"/>
    </row>
    <row r="399" spans="1:7" ht="12.75">
      <c r="A399">
        <v>386</v>
      </c>
      <c r="B399" s="380"/>
      <c r="C399" s="380"/>
      <c r="D399" s="381"/>
      <c r="E399" s="352"/>
      <c r="F399" s="346"/>
      <c r="G399" s="382"/>
    </row>
    <row r="400" spans="1:7" ht="12.75">
      <c r="A400">
        <v>387</v>
      </c>
      <c r="B400" s="380"/>
      <c r="C400" s="380"/>
      <c r="D400" s="381"/>
      <c r="E400" s="352"/>
      <c r="F400" s="346"/>
      <c r="G400" s="382"/>
    </row>
    <row r="401" spans="1:7" ht="12.75">
      <c r="A401">
        <v>388</v>
      </c>
      <c r="B401" s="380"/>
      <c r="C401" s="380"/>
      <c r="D401" s="381"/>
      <c r="E401" s="352"/>
      <c r="F401" s="346"/>
      <c r="G401" s="382"/>
    </row>
    <row r="402" spans="1:7" ht="12.75">
      <c r="A402">
        <v>389</v>
      </c>
      <c r="B402" s="380"/>
      <c r="C402" s="380"/>
      <c r="D402" s="381"/>
      <c r="E402" s="352"/>
      <c r="F402" s="346"/>
      <c r="G402" s="382"/>
    </row>
    <row r="403" spans="1:7" ht="12.75">
      <c r="A403">
        <v>390</v>
      </c>
      <c r="B403" s="380"/>
      <c r="C403" s="380"/>
      <c r="D403" s="381"/>
      <c r="E403" s="352"/>
      <c r="F403" s="346"/>
      <c r="G403" s="382"/>
    </row>
    <row r="404" spans="1:7" ht="12.75">
      <c r="A404">
        <v>391</v>
      </c>
      <c r="B404" s="380"/>
      <c r="C404" s="380"/>
      <c r="D404" s="381"/>
      <c r="E404" s="352"/>
      <c r="F404" s="346"/>
      <c r="G404" s="382"/>
    </row>
    <row r="405" spans="1:7" ht="12.75">
      <c r="A405">
        <v>392</v>
      </c>
      <c r="B405" s="380"/>
      <c r="C405" s="380"/>
      <c r="D405" s="381"/>
      <c r="E405" s="352"/>
      <c r="F405" s="346"/>
      <c r="G405" s="382"/>
    </row>
    <row r="406" spans="1:7" ht="12.75">
      <c r="A406">
        <v>393</v>
      </c>
      <c r="B406" s="380"/>
      <c r="C406" s="380"/>
      <c r="D406" s="381"/>
      <c r="E406" s="352"/>
      <c r="F406" s="346"/>
      <c r="G406" s="382"/>
    </row>
    <row r="407" spans="1:7" ht="12.75">
      <c r="A407">
        <v>394</v>
      </c>
      <c r="B407" s="380"/>
      <c r="C407" s="380"/>
      <c r="D407" s="381"/>
      <c r="E407" s="352"/>
      <c r="F407" s="346"/>
      <c r="G407" s="382"/>
    </row>
    <row r="408" spans="1:7" ht="12.75">
      <c r="A408">
        <v>395</v>
      </c>
      <c r="B408" s="380"/>
      <c r="C408" s="380"/>
      <c r="D408" s="381"/>
      <c r="E408" s="352"/>
      <c r="F408" s="346"/>
      <c r="G408" s="382"/>
    </row>
    <row r="409" spans="1:7" ht="12.75">
      <c r="A409">
        <v>396</v>
      </c>
      <c r="B409" s="380"/>
      <c r="C409" s="380"/>
      <c r="D409" s="381"/>
      <c r="E409" s="352"/>
      <c r="F409" s="346"/>
      <c r="G409" s="382"/>
    </row>
    <row r="410" spans="1:7" ht="12.75">
      <c r="A410">
        <v>397</v>
      </c>
      <c r="B410" s="380"/>
      <c r="C410" s="380"/>
      <c r="D410" s="381"/>
      <c r="E410" s="352"/>
      <c r="F410" s="346"/>
      <c r="G410" s="382"/>
    </row>
    <row r="411" spans="1:7" ht="12.75">
      <c r="A411">
        <v>398</v>
      </c>
      <c r="B411" s="380"/>
      <c r="C411" s="380"/>
      <c r="D411" s="381"/>
      <c r="E411" s="352"/>
      <c r="F411" s="346"/>
      <c r="G411" s="382"/>
    </row>
    <row r="412" spans="1:7" ht="12.75">
      <c r="A412">
        <v>399</v>
      </c>
      <c r="B412" s="380"/>
      <c r="C412" s="380"/>
      <c r="D412" s="381"/>
      <c r="E412" s="352"/>
      <c r="F412" s="346"/>
      <c r="G412" s="382"/>
    </row>
    <row r="413" spans="1:7" ht="12.75">
      <c r="A413">
        <v>400</v>
      </c>
      <c r="B413" s="380"/>
      <c r="C413" s="380"/>
      <c r="D413" s="381"/>
      <c r="E413" s="352"/>
      <c r="F413" s="346"/>
      <c r="G413" s="382"/>
    </row>
    <row r="414" spans="1:7" ht="12.75">
      <c r="A414">
        <v>401</v>
      </c>
      <c r="B414" s="380"/>
      <c r="C414" s="380"/>
      <c r="D414" s="381"/>
      <c r="E414" s="352"/>
      <c r="F414" s="346"/>
      <c r="G414" s="382"/>
    </row>
    <row r="415" spans="1:7" ht="12.75">
      <c r="A415">
        <v>402</v>
      </c>
      <c r="B415" s="380"/>
      <c r="C415" s="380"/>
      <c r="D415" s="381"/>
      <c r="E415" s="352"/>
      <c r="F415" s="346"/>
      <c r="G415" s="382"/>
    </row>
    <row r="416" spans="1:7" ht="12.75">
      <c r="A416">
        <v>403</v>
      </c>
      <c r="B416" s="380"/>
      <c r="C416" s="380"/>
      <c r="D416" s="381"/>
      <c r="E416" s="352"/>
      <c r="F416" s="346"/>
      <c r="G416" s="382"/>
    </row>
    <row r="417" spans="1:7" ht="12.75">
      <c r="A417">
        <v>404</v>
      </c>
      <c r="B417" s="380"/>
      <c r="C417" s="380"/>
      <c r="D417" s="381"/>
      <c r="E417" s="352"/>
      <c r="F417" s="346"/>
      <c r="G417" s="382"/>
    </row>
    <row r="418" spans="1:7" ht="12.75">
      <c r="A418">
        <v>405</v>
      </c>
      <c r="B418" s="380"/>
      <c r="C418" s="380"/>
      <c r="D418" s="381"/>
      <c r="E418" s="352"/>
      <c r="F418" s="346"/>
      <c r="G418" s="382"/>
    </row>
    <row r="419" spans="1:7" ht="12.75">
      <c r="A419">
        <v>406</v>
      </c>
      <c r="B419" s="380"/>
      <c r="C419" s="380"/>
      <c r="D419" s="381"/>
      <c r="E419" s="352"/>
      <c r="F419" s="346"/>
      <c r="G419" s="382"/>
    </row>
    <row r="420" spans="1:7" ht="12.75">
      <c r="A420">
        <v>407</v>
      </c>
      <c r="B420" s="380"/>
      <c r="C420" s="380"/>
      <c r="D420" s="381"/>
      <c r="E420" s="352"/>
      <c r="F420" s="346"/>
      <c r="G420" s="382"/>
    </row>
    <row r="421" spans="1:7" ht="12.75">
      <c r="A421">
        <v>408</v>
      </c>
      <c r="B421" s="380"/>
      <c r="C421" s="380"/>
      <c r="D421" s="381"/>
      <c r="E421" s="352"/>
      <c r="F421" s="346"/>
      <c r="G421" s="382"/>
    </row>
    <row r="422" spans="1:7" ht="12.75">
      <c r="A422">
        <v>409</v>
      </c>
      <c r="B422" s="380"/>
      <c r="C422" s="380"/>
      <c r="D422" s="381"/>
      <c r="E422" s="352"/>
      <c r="F422" s="346"/>
      <c r="G422" s="382"/>
    </row>
    <row r="423" spans="1:7" ht="12.75">
      <c r="A423">
        <v>410</v>
      </c>
      <c r="B423" s="380"/>
      <c r="C423" s="380"/>
      <c r="D423" s="381"/>
      <c r="E423" s="352"/>
      <c r="F423" s="346"/>
      <c r="G423" s="382"/>
    </row>
    <row r="424" spans="1:7" ht="12.75">
      <c r="A424">
        <v>411</v>
      </c>
      <c r="B424" s="380"/>
      <c r="C424" s="380"/>
      <c r="D424" s="381"/>
      <c r="E424" s="352"/>
      <c r="F424" s="346"/>
      <c r="G424" s="382"/>
    </row>
    <row r="425" spans="1:7" ht="12.75">
      <c r="A425">
        <v>412</v>
      </c>
      <c r="B425" s="380"/>
      <c r="C425" s="380"/>
      <c r="D425" s="381"/>
      <c r="E425" s="352"/>
      <c r="F425" s="346"/>
      <c r="G425" s="382"/>
    </row>
    <row r="426" spans="1:7" ht="12.75">
      <c r="A426">
        <v>413</v>
      </c>
      <c r="B426" s="380"/>
      <c r="C426" s="380"/>
      <c r="D426" s="381"/>
      <c r="E426" s="352"/>
      <c r="F426" s="346"/>
      <c r="G426" s="382"/>
    </row>
    <row r="427" spans="1:7" ht="12.75">
      <c r="A427">
        <v>414</v>
      </c>
      <c r="B427" s="380"/>
      <c r="C427" s="380"/>
      <c r="D427" s="381"/>
      <c r="E427" s="352"/>
      <c r="F427" s="346"/>
      <c r="G427" s="382"/>
    </row>
    <row r="428" spans="1:7" ht="12.75">
      <c r="A428">
        <v>415</v>
      </c>
      <c r="B428" s="380"/>
      <c r="C428" s="380"/>
      <c r="D428" s="381"/>
      <c r="E428" s="352"/>
      <c r="F428" s="346"/>
      <c r="G428" s="382"/>
    </row>
    <row r="429" spans="1:7" ht="12.75">
      <c r="A429">
        <v>416</v>
      </c>
      <c r="B429" s="380"/>
      <c r="C429" s="380"/>
      <c r="D429" s="381"/>
      <c r="E429" s="352"/>
      <c r="F429" s="346"/>
      <c r="G429" s="382"/>
    </row>
    <row r="430" spans="1:7" ht="12.75">
      <c r="A430">
        <v>417</v>
      </c>
      <c r="B430" s="380"/>
      <c r="C430" s="380"/>
      <c r="D430" s="381"/>
      <c r="E430" s="352"/>
      <c r="F430" s="346"/>
      <c r="G430" s="382"/>
    </row>
    <row r="431" spans="1:7" ht="12.75">
      <c r="A431">
        <v>418</v>
      </c>
      <c r="B431" s="380"/>
      <c r="C431" s="380"/>
      <c r="D431" s="381"/>
      <c r="E431" s="352"/>
      <c r="F431" s="346"/>
      <c r="G431" s="382"/>
    </row>
    <row r="432" spans="1:7" ht="12.75">
      <c r="A432">
        <v>419</v>
      </c>
      <c r="B432" s="380"/>
      <c r="C432" s="380"/>
      <c r="D432" s="381"/>
      <c r="E432" s="352"/>
      <c r="F432" s="346"/>
      <c r="G432" s="382"/>
    </row>
    <row r="433" spans="1:7" ht="12.75">
      <c r="A433">
        <v>420</v>
      </c>
      <c r="B433" s="380"/>
      <c r="C433" s="380"/>
      <c r="D433" s="381"/>
      <c r="E433" s="352"/>
      <c r="F433" s="346"/>
      <c r="G433" s="382"/>
    </row>
    <row r="434" spans="1:7" ht="12.75">
      <c r="A434">
        <v>421</v>
      </c>
      <c r="B434" s="380"/>
      <c r="C434" s="380"/>
      <c r="D434" s="381"/>
      <c r="E434" s="352"/>
      <c r="F434" s="346"/>
      <c r="G434" s="382"/>
    </row>
    <row r="435" spans="1:7" ht="12.75">
      <c r="A435">
        <v>422</v>
      </c>
      <c r="B435" s="380"/>
      <c r="C435" s="380"/>
      <c r="D435" s="381"/>
      <c r="E435" s="352"/>
      <c r="F435" s="346"/>
      <c r="G435" s="382"/>
    </row>
    <row r="436" spans="1:7" ht="12.75">
      <c r="A436">
        <v>423</v>
      </c>
      <c r="B436" s="380"/>
      <c r="C436" s="380"/>
      <c r="D436" s="381"/>
      <c r="E436" s="352"/>
      <c r="F436" s="346"/>
      <c r="G436" s="382"/>
    </row>
    <row r="437" spans="1:7" ht="12.75">
      <c r="A437">
        <v>424</v>
      </c>
      <c r="B437" s="380"/>
      <c r="C437" s="380"/>
      <c r="D437" s="381"/>
      <c r="E437" s="352"/>
      <c r="F437" s="346"/>
      <c r="G437" s="382"/>
    </row>
    <row r="438" spans="1:7" ht="12.75">
      <c r="A438">
        <v>425</v>
      </c>
      <c r="B438" s="380"/>
      <c r="C438" s="380"/>
      <c r="D438" s="381"/>
      <c r="E438" s="352"/>
      <c r="F438" s="346"/>
      <c r="G438" s="382"/>
    </row>
    <row r="439" spans="1:7" ht="12.75">
      <c r="A439">
        <v>426</v>
      </c>
      <c r="B439" s="380"/>
      <c r="C439" s="380"/>
      <c r="D439" s="381"/>
      <c r="E439" s="352"/>
      <c r="F439" s="346"/>
      <c r="G439" s="382"/>
    </row>
    <row r="440" spans="1:7" ht="12.75">
      <c r="A440">
        <v>427</v>
      </c>
      <c r="B440" s="380"/>
      <c r="C440" s="380"/>
      <c r="D440" s="381"/>
      <c r="E440" s="352"/>
      <c r="F440" s="346"/>
      <c r="G440" s="382"/>
    </row>
    <row r="441" spans="1:7" ht="12.75">
      <c r="A441">
        <v>428</v>
      </c>
      <c r="B441" s="380"/>
      <c r="C441" s="380"/>
      <c r="D441" s="381"/>
      <c r="E441" s="352"/>
      <c r="F441" s="346"/>
      <c r="G441" s="382"/>
    </row>
    <row r="442" spans="1:7" ht="12.75">
      <c r="A442">
        <v>429</v>
      </c>
      <c r="B442" s="380"/>
      <c r="C442" s="380"/>
      <c r="D442" s="381"/>
      <c r="E442" s="352"/>
      <c r="F442" s="346"/>
      <c r="G442" s="382"/>
    </row>
    <row r="443" spans="1:7" ht="12.75">
      <c r="A443">
        <v>430</v>
      </c>
      <c r="B443" s="380"/>
      <c r="C443" s="380"/>
      <c r="D443" s="381"/>
      <c r="E443" s="352"/>
      <c r="F443" s="346"/>
      <c r="G443" s="382"/>
    </row>
    <row r="444" spans="1:7" ht="12.75">
      <c r="A444">
        <v>431</v>
      </c>
      <c r="B444" s="380"/>
      <c r="C444" s="380"/>
      <c r="D444" s="381"/>
      <c r="E444" s="352"/>
      <c r="F444" s="346"/>
      <c r="G444" s="382"/>
    </row>
    <row r="445" spans="1:7" ht="12.75">
      <c r="A445">
        <v>432</v>
      </c>
      <c r="B445" s="380"/>
      <c r="C445" s="380"/>
      <c r="D445" s="381"/>
      <c r="E445" s="352"/>
      <c r="F445" s="346"/>
      <c r="G445" s="382"/>
    </row>
    <row r="446" spans="1:7" ht="12.75">
      <c r="A446">
        <v>433</v>
      </c>
      <c r="B446" s="380"/>
      <c r="C446" s="380"/>
      <c r="D446" s="381"/>
      <c r="E446" s="352"/>
      <c r="F446" s="346"/>
      <c r="G446" s="382"/>
    </row>
    <row r="447" spans="1:7" ht="12.75">
      <c r="A447">
        <v>434</v>
      </c>
      <c r="B447" s="380"/>
      <c r="C447" s="380"/>
      <c r="D447" s="381"/>
      <c r="E447" s="352"/>
      <c r="F447" s="346"/>
      <c r="G447" s="382"/>
    </row>
    <row r="448" spans="1:7" ht="12.75">
      <c r="A448">
        <v>435</v>
      </c>
      <c r="B448" s="380"/>
      <c r="C448" s="380"/>
      <c r="D448" s="381"/>
      <c r="E448" s="352"/>
      <c r="F448" s="346"/>
      <c r="G448" s="382"/>
    </row>
    <row r="449" spans="1:7" ht="12.75">
      <c r="A449">
        <v>436</v>
      </c>
      <c r="B449" s="380"/>
      <c r="C449" s="380"/>
      <c r="D449" s="381"/>
      <c r="E449" s="352"/>
      <c r="F449" s="346"/>
      <c r="G449" s="382"/>
    </row>
    <row r="450" spans="1:7" ht="12.75">
      <c r="A450">
        <v>437</v>
      </c>
      <c r="B450" s="380"/>
      <c r="C450" s="380"/>
      <c r="D450" s="381"/>
      <c r="E450" s="352"/>
      <c r="F450" s="346"/>
      <c r="G450" s="382"/>
    </row>
    <row r="451" spans="1:7" ht="12.75">
      <c r="A451">
        <v>438</v>
      </c>
      <c r="B451" s="380"/>
      <c r="C451" s="380"/>
      <c r="D451" s="381"/>
      <c r="E451" s="352"/>
      <c r="F451" s="346"/>
      <c r="G451" s="382"/>
    </row>
    <row r="452" spans="1:7" ht="12.75">
      <c r="A452">
        <v>439</v>
      </c>
      <c r="B452" s="380"/>
      <c r="C452" s="380"/>
      <c r="D452" s="381"/>
      <c r="E452" s="352"/>
      <c r="F452" s="346"/>
      <c r="G452" s="382"/>
    </row>
    <row r="453" spans="1:7" ht="12.75">
      <c r="A453">
        <v>440</v>
      </c>
      <c r="B453" s="380"/>
      <c r="C453" s="380"/>
      <c r="D453" s="381"/>
      <c r="E453" s="352"/>
      <c r="F453" s="346"/>
      <c r="G453" s="382"/>
    </row>
    <row r="454" spans="1:7" ht="12.75">
      <c r="A454">
        <v>441</v>
      </c>
      <c r="B454" s="380"/>
      <c r="C454" s="380"/>
      <c r="D454" s="381"/>
      <c r="E454" s="352"/>
      <c r="F454" s="346"/>
      <c r="G454" s="382"/>
    </row>
    <row r="455" spans="1:7" ht="12.75">
      <c r="A455">
        <v>442</v>
      </c>
      <c r="B455" s="380"/>
      <c r="C455" s="380"/>
      <c r="D455" s="381"/>
      <c r="E455" s="352"/>
      <c r="F455" s="346"/>
      <c r="G455" s="382"/>
    </row>
    <row r="456" spans="1:7" ht="12.75">
      <c r="A456">
        <v>443</v>
      </c>
      <c r="B456" s="380"/>
      <c r="C456" s="380"/>
      <c r="D456" s="381"/>
      <c r="E456" s="352"/>
      <c r="F456" s="346"/>
      <c r="G456" s="382"/>
    </row>
    <row r="457" spans="1:7" ht="12.75">
      <c r="A457">
        <v>444</v>
      </c>
      <c r="B457" s="380"/>
      <c r="C457" s="380"/>
      <c r="D457" s="381"/>
      <c r="E457" s="352"/>
      <c r="F457" s="346"/>
      <c r="G457" s="382"/>
    </row>
    <row r="458" spans="1:7" ht="12.75">
      <c r="A458">
        <v>445</v>
      </c>
      <c r="B458" s="380"/>
      <c r="C458" s="380"/>
      <c r="D458" s="381"/>
      <c r="E458" s="352"/>
      <c r="F458" s="346"/>
      <c r="G458" s="382"/>
    </row>
    <row r="459" spans="1:7" ht="12.75">
      <c r="A459">
        <v>446</v>
      </c>
      <c r="B459" s="380"/>
      <c r="C459" s="380"/>
      <c r="D459" s="381"/>
      <c r="E459" s="352"/>
      <c r="F459" s="346"/>
      <c r="G459" s="382"/>
    </row>
    <row r="460" spans="1:7" ht="12.75">
      <c r="A460">
        <v>447</v>
      </c>
      <c r="B460" s="380"/>
      <c r="C460" s="380"/>
      <c r="D460" s="381"/>
      <c r="E460" s="352"/>
      <c r="F460" s="346"/>
      <c r="G460" s="382"/>
    </row>
    <row r="461" spans="1:7" ht="12.75">
      <c r="A461">
        <v>448</v>
      </c>
      <c r="B461" s="380"/>
      <c r="C461" s="380"/>
      <c r="D461" s="381"/>
      <c r="E461" s="352"/>
      <c r="F461" s="346"/>
      <c r="G461" s="382"/>
    </row>
    <row r="462" spans="1:7" ht="12.75">
      <c r="A462">
        <v>449</v>
      </c>
      <c r="B462" s="380"/>
      <c r="C462" s="380"/>
      <c r="D462" s="381"/>
      <c r="E462" s="352"/>
      <c r="F462" s="346"/>
      <c r="G462" s="382"/>
    </row>
    <row r="463" spans="1:7" ht="12.75">
      <c r="A463">
        <v>450</v>
      </c>
      <c r="B463" s="380"/>
      <c r="C463" s="380"/>
      <c r="D463" s="381"/>
      <c r="E463" s="352"/>
      <c r="F463" s="346"/>
      <c r="G463" s="382"/>
    </row>
    <row r="464" spans="1:7" ht="12.75">
      <c r="A464">
        <v>451</v>
      </c>
      <c r="B464" s="380"/>
      <c r="C464" s="380"/>
      <c r="D464" s="381"/>
      <c r="E464" s="352"/>
      <c r="F464" s="346"/>
      <c r="G464" s="382"/>
    </row>
    <row r="465" spans="1:7" ht="12.75">
      <c r="A465">
        <v>452</v>
      </c>
      <c r="B465" s="380"/>
      <c r="C465" s="380"/>
      <c r="D465" s="381"/>
      <c r="E465" s="352"/>
      <c r="F465" s="346"/>
      <c r="G465" s="382"/>
    </row>
    <row r="466" spans="1:7" ht="12.75">
      <c r="A466">
        <v>453</v>
      </c>
      <c r="B466" s="380"/>
      <c r="C466" s="380"/>
      <c r="D466" s="381"/>
      <c r="E466" s="352"/>
      <c r="F466" s="346"/>
      <c r="G466" s="382"/>
    </row>
    <row r="467" spans="1:7" ht="12.75">
      <c r="A467">
        <v>454</v>
      </c>
      <c r="B467" s="380"/>
      <c r="C467" s="380"/>
      <c r="D467" s="381"/>
      <c r="E467" s="352"/>
      <c r="F467" s="346"/>
      <c r="G467" s="382"/>
    </row>
    <row r="468" spans="1:7" ht="12.75">
      <c r="A468">
        <v>455</v>
      </c>
      <c r="B468" s="380"/>
      <c r="C468" s="380"/>
      <c r="D468" s="381"/>
      <c r="E468" s="352"/>
      <c r="F468" s="346"/>
      <c r="G468" s="382"/>
    </row>
    <row r="469" spans="1:7" ht="12.75">
      <c r="A469">
        <v>456</v>
      </c>
      <c r="B469" s="380"/>
      <c r="C469" s="380"/>
      <c r="D469" s="381"/>
      <c r="E469" s="352"/>
      <c r="F469" s="346"/>
      <c r="G469" s="382"/>
    </row>
    <row r="470" spans="1:7" ht="12.75">
      <c r="A470">
        <v>457</v>
      </c>
      <c r="B470" s="380"/>
      <c r="C470" s="380"/>
      <c r="D470" s="381"/>
      <c r="E470" s="352"/>
      <c r="F470" s="346"/>
      <c r="G470" s="382"/>
    </row>
    <row r="471" spans="1:7" ht="12.75">
      <c r="A471">
        <v>458</v>
      </c>
      <c r="B471" s="380"/>
      <c r="C471" s="380"/>
      <c r="D471" s="381"/>
      <c r="E471" s="352"/>
      <c r="F471" s="346"/>
      <c r="G471" s="382"/>
    </row>
    <row r="472" spans="1:7" ht="12.75">
      <c r="A472">
        <v>459</v>
      </c>
      <c r="B472" s="380"/>
      <c r="C472" s="380"/>
      <c r="D472" s="381"/>
      <c r="E472" s="352"/>
      <c r="F472" s="346"/>
      <c r="G472" s="382"/>
    </row>
    <row r="473" spans="1:7" ht="12.75">
      <c r="A473">
        <v>460</v>
      </c>
      <c r="B473" s="380"/>
      <c r="C473" s="380"/>
      <c r="D473" s="381"/>
      <c r="E473" s="352"/>
      <c r="F473" s="346"/>
      <c r="G473" s="382"/>
    </row>
    <row r="474" spans="1:7" ht="12.75">
      <c r="A474">
        <v>461</v>
      </c>
      <c r="B474" s="380"/>
      <c r="C474" s="380"/>
      <c r="D474" s="381"/>
      <c r="E474" s="352"/>
      <c r="F474" s="346"/>
      <c r="G474" s="382"/>
    </row>
    <row r="475" spans="1:7" ht="12.75">
      <c r="A475">
        <v>462</v>
      </c>
      <c r="B475" s="380"/>
      <c r="C475" s="380"/>
      <c r="D475" s="381"/>
      <c r="E475" s="352"/>
      <c r="F475" s="346"/>
      <c r="G475" s="382"/>
    </row>
    <row r="476" spans="1:7" ht="12.75">
      <c r="A476">
        <v>463</v>
      </c>
      <c r="B476" s="380"/>
      <c r="C476" s="380"/>
      <c r="D476" s="381"/>
      <c r="E476" s="352"/>
      <c r="F476" s="346"/>
      <c r="G476" s="382"/>
    </row>
    <row r="477" spans="1:7" ht="12.75">
      <c r="A477">
        <v>464</v>
      </c>
      <c r="B477" s="380"/>
      <c r="C477" s="380"/>
      <c r="D477" s="381"/>
      <c r="E477" s="352"/>
      <c r="F477" s="346"/>
      <c r="G477" s="382"/>
    </row>
    <row r="478" spans="1:7" ht="12.75">
      <c r="A478">
        <v>465</v>
      </c>
      <c r="B478" s="380"/>
      <c r="C478" s="380"/>
      <c r="D478" s="381"/>
      <c r="E478" s="352"/>
      <c r="F478" s="346"/>
      <c r="G478" s="382"/>
    </row>
    <row r="479" spans="1:7" ht="12.75">
      <c r="A479">
        <v>466</v>
      </c>
      <c r="B479" s="380"/>
      <c r="C479" s="380"/>
      <c r="D479" s="381"/>
      <c r="E479" s="352"/>
      <c r="F479" s="346"/>
      <c r="G479" s="382"/>
    </row>
    <row r="480" spans="1:7" ht="12.75">
      <c r="A480">
        <v>467</v>
      </c>
      <c r="B480" s="380"/>
      <c r="C480" s="380"/>
      <c r="D480" s="381"/>
      <c r="E480" s="352"/>
      <c r="F480" s="346"/>
      <c r="G480" s="382"/>
    </row>
    <row r="481" spans="1:7" ht="12.75">
      <c r="A481">
        <v>468</v>
      </c>
      <c r="B481" s="380"/>
      <c r="C481" s="380"/>
      <c r="D481" s="381"/>
      <c r="E481" s="352"/>
      <c r="F481" s="346"/>
      <c r="G481" s="382"/>
    </row>
    <row r="482" spans="1:7" ht="12.75">
      <c r="A482">
        <v>469</v>
      </c>
      <c r="B482" s="380"/>
      <c r="C482" s="380"/>
      <c r="D482" s="381"/>
      <c r="E482" s="352"/>
      <c r="F482" s="346"/>
      <c r="G482" s="382"/>
    </row>
    <row r="483" spans="1:7" ht="12.75">
      <c r="A483">
        <v>470</v>
      </c>
      <c r="B483" s="380"/>
      <c r="C483" s="380"/>
      <c r="D483" s="381"/>
      <c r="E483" s="352"/>
      <c r="F483" s="346"/>
      <c r="G483" s="382"/>
    </row>
    <row r="484" spans="1:7" ht="12.75">
      <c r="A484">
        <v>471</v>
      </c>
      <c r="B484" s="380"/>
      <c r="C484" s="380"/>
      <c r="D484" s="381"/>
      <c r="E484" s="352"/>
      <c r="F484" s="346"/>
      <c r="G484" s="382"/>
    </row>
    <row r="485" spans="1:7" ht="12.75">
      <c r="A485">
        <v>472</v>
      </c>
      <c r="B485" s="380"/>
      <c r="C485" s="380"/>
      <c r="D485" s="381"/>
      <c r="E485" s="352"/>
      <c r="F485" s="346"/>
      <c r="G485" s="382"/>
    </row>
    <row r="486" spans="1:7" ht="12.75">
      <c r="A486">
        <v>473</v>
      </c>
      <c r="B486" s="380"/>
      <c r="C486" s="380"/>
      <c r="D486" s="381"/>
      <c r="E486" s="352"/>
      <c r="F486" s="346"/>
      <c r="G486" s="382"/>
    </row>
    <row r="487" spans="1:7" ht="12.75">
      <c r="A487">
        <v>474</v>
      </c>
      <c r="B487" s="380"/>
      <c r="C487" s="380"/>
      <c r="D487" s="381"/>
      <c r="E487" s="352"/>
      <c r="F487" s="346"/>
      <c r="G487" s="382"/>
    </row>
    <row r="488" spans="1:7" ht="12.75">
      <c r="A488">
        <v>475</v>
      </c>
      <c r="B488" s="380"/>
      <c r="C488" s="380"/>
      <c r="D488" s="381"/>
      <c r="E488" s="352"/>
      <c r="F488" s="346"/>
      <c r="G488" s="382"/>
    </row>
    <row r="489" spans="1:7" ht="12.75">
      <c r="A489">
        <v>476</v>
      </c>
      <c r="B489" s="380"/>
      <c r="C489" s="380"/>
      <c r="D489" s="381"/>
      <c r="E489" s="352"/>
      <c r="F489" s="346"/>
      <c r="G489" s="382"/>
    </row>
    <row r="490" spans="1:7" ht="12.75">
      <c r="A490">
        <v>477</v>
      </c>
      <c r="B490" s="380"/>
      <c r="C490" s="380"/>
      <c r="D490" s="381"/>
      <c r="E490" s="352"/>
      <c r="F490" s="346"/>
      <c r="G490" s="382"/>
    </row>
    <row r="491" spans="1:7" ht="12.75">
      <c r="A491">
        <v>478</v>
      </c>
      <c r="B491" s="380"/>
      <c r="C491" s="380"/>
      <c r="D491" s="381"/>
      <c r="E491" s="352"/>
      <c r="F491" s="346"/>
      <c r="G491" s="382"/>
    </row>
    <row r="492" spans="1:7" ht="12.75">
      <c r="A492">
        <v>479</v>
      </c>
      <c r="B492" s="380"/>
      <c r="C492" s="380"/>
      <c r="D492" s="381"/>
      <c r="E492" s="352"/>
      <c r="F492" s="346"/>
      <c r="G492" s="382"/>
    </row>
    <row r="493" spans="1:7" ht="12.75">
      <c r="A493">
        <v>480</v>
      </c>
      <c r="B493" s="380"/>
      <c r="C493" s="380"/>
      <c r="D493" s="381"/>
      <c r="E493" s="352"/>
      <c r="F493" s="346"/>
      <c r="G493" s="382"/>
    </row>
    <row r="494" spans="1:7" ht="12.75">
      <c r="A494">
        <v>481</v>
      </c>
      <c r="B494" s="380"/>
      <c r="C494" s="380"/>
      <c r="D494" s="381"/>
      <c r="E494" s="352"/>
      <c r="F494" s="346"/>
      <c r="G494" s="382"/>
    </row>
    <row r="495" spans="1:7" ht="12.75">
      <c r="A495">
        <v>482</v>
      </c>
      <c r="B495" s="380"/>
      <c r="C495" s="380"/>
      <c r="D495" s="381"/>
      <c r="E495" s="352"/>
      <c r="F495" s="346"/>
      <c r="G495" s="382"/>
    </row>
    <row r="496" spans="1:7" ht="12.75">
      <c r="A496">
        <v>483</v>
      </c>
      <c r="B496" s="380"/>
      <c r="C496" s="380"/>
      <c r="D496" s="381"/>
      <c r="E496" s="352"/>
      <c r="F496" s="346"/>
      <c r="G496" s="382"/>
    </row>
    <row r="497" spans="1:7" ht="12.75">
      <c r="A497">
        <v>484</v>
      </c>
      <c r="B497" s="380"/>
      <c r="C497" s="380"/>
      <c r="D497" s="381"/>
      <c r="E497" s="352"/>
      <c r="F497" s="346"/>
      <c r="G497" s="382"/>
    </row>
    <row r="498" spans="1:7" ht="12.75">
      <c r="A498">
        <v>485</v>
      </c>
      <c r="B498" s="380"/>
      <c r="C498" s="380"/>
      <c r="D498" s="381"/>
      <c r="E498" s="352"/>
      <c r="F498" s="346"/>
      <c r="G498" s="382"/>
    </row>
    <row r="499" spans="1:7" ht="12.75">
      <c r="A499">
        <v>486</v>
      </c>
      <c r="B499" s="380"/>
      <c r="C499" s="380"/>
      <c r="D499" s="381"/>
      <c r="E499" s="352"/>
      <c r="F499" s="346"/>
      <c r="G499" s="382"/>
    </row>
    <row r="500" spans="1:7" ht="12.75">
      <c r="A500">
        <v>487</v>
      </c>
      <c r="B500" s="380"/>
      <c r="C500" s="380"/>
      <c r="D500" s="381"/>
      <c r="E500" s="352"/>
      <c r="F500" s="346"/>
      <c r="G500" s="382"/>
    </row>
    <row r="501" spans="1:7" ht="12.75">
      <c r="A501">
        <v>488</v>
      </c>
      <c r="B501" s="380"/>
      <c r="C501" s="380"/>
      <c r="D501" s="381"/>
      <c r="E501" s="352"/>
      <c r="F501" s="346"/>
      <c r="G501" s="382"/>
    </row>
    <row r="502" spans="1:7" ht="12.75">
      <c r="A502">
        <v>489</v>
      </c>
      <c r="B502" s="380"/>
      <c r="C502" s="380"/>
      <c r="D502" s="381"/>
      <c r="E502" s="352"/>
      <c r="F502" s="346"/>
      <c r="G502" s="382"/>
    </row>
    <row r="503" spans="1:7" ht="12.75">
      <c r="A503">
        <v>490</v>
      </c>
      <c r="B503" s="380"/>
      <c r="C503" s="380"/>
      <c r="D503" s="381"/>
      <c r="E503" s="352"/>
      <c r="F503" s="346"/>
      <c r="G503" s="382"/>
    </row>
    <row r="504" spans="1:7" ht="12.75">
      <c r="A504">
        <v>491</v>
      </c>
      <c r="B504" s="380"/>
      <c r="C504" s="380"/>
      <c r="D504" s="381"/>
      <c r="E504" s="352"/>
      <c r="F504" s="346"/>
      <c r="G504" s="382"/>
    </row>
    <row r="505" spans="1:7" ht="12.75">
      <c r="A505">
        <v>492</v>
      </c>
      <c r="B505" s="380"/>
      <c r="C505" s="380"/>
      <c r="D505" s="381"/>
      <c r="E505" s="352"/>
      <c r="F505" s="346"/>
      <c r="G505" s="382"/>
    </row>
    <row r="506" spans="1:7" ht="12.75">
      <c r="A506">
        <v>493</v>
      </c>
      <c r="B506" s="380"/>
      <c r="C506" s="380"/>
      <c r="D506" s="381"/>
      <c r="E506" s="352"/>
      <c r="F506" s="346"/>
      <c r="G506" s="382"/>
    </row>
    <row r="507" spans="1:7" ht="12.75">
      <c r="A507">
        <v>494</v>
      </c>
      <c r="B507" s="380"/>
      <c r="C507" s="380"/>
      <c r="D507" s="381"/>
      <c r="E507" s="352"/>
      <c r="F507" s="346"/>
      <c r="G507" s="382"/>
    </row>
    <row r="508" spans="1:7" ht="12.75">
      <c r="A508">
        <v>495</v>
      </c>
      <c r="B508" s="380"/>
      <c r="C508" s="380"/>
      <c r="D508" s="381"/>
      <c r="E508" s="352"/>
      <c r="F508" s="346"/>
      <c r="G508" s="382"/>
    </row>
    <row r="509" spans="1:7" ht="12.75">
      <c r="A509">
        <v>496</v>
      </c>
      <c r="B509" s="380"/>
      <c r="C509" s="380"/>
      <c r="D509" s="381"/>
      <c r="E509" s="352"/>
      <c r="F509" s="346"/>
      <c r="G509" s="382"/>
    </row>
    <row r="510" spans="1:7" ht="12.75">
      <c r="A510">
        <v>497</v>
      </c>
      <c r="B510" s="380"/>
      <c r="C510" s="380"/>
      <c r="D510" s="381"/>
      <c r="E510" s="352"/>
      <c r="F510" s="346"/>
      <c r="G510" s="382"/>
    </row>
    <row r="511" spans="1:7" ht="12.75">
      <c r="A511">
        <v>498</v>
      </c>
      <c r="B511" s="380"/>
      <c r="C511" s="380"/>
      <c r="D511" s="381"/>
      <c r="E511" s="352"/>
      <c r="F511" s="346"/>
      <c r="G511" s="382"/>
    </row>
    <row r="512" spans="1:7" ht="12.75">
      <c r="A512">
        <v>499</v>
      </c>
      <c r="B512" s="380"/>
      <c r="C512" s="380"/>
      <c r="D512" s="381"/>
      <c r="E512" s="352"/>
      <c r="F512" s="346"/>
      <c r="G512" s="382"/>
    </row>
    <row r="513" spans="1:7" ht="12.75">
      <c r="A513">
        <v>500</v>
      </c>
      <c r="B513" s="380"/>
      <c r="C513" s="380"/>
      <c r="D513" s="381"/>
      <c r="E513" s="352"/>
      <c r="F513" s="346"/>
      <c r="G513" s="382"/>
    </row>
  </sheetData>
  <sheetProtection password="E6A0" sheet="1" objects="1" scenarios="1"/>
  <conditionalFormatting sqref="F38:G513">
    <cfRule type="expression" priority="5" dxfId="1" stopIfTrue="1">
      <formula>#REF!="No"</formula>
    </cfRule>
  </conditionalFormatting>
  <conditionalFormatting sqref="F14:G22 F29:G37 F24:G27">
    <cfRule type="expression" priority="4" dxfId="1" stopIfTrue="1">
      <formula>'Qualified Property List'!#REF!="No"</formula>
    </cfRule>
  </conditionalFormatting>
  <conditionalFormatting sqref="F23:G23">
    <cfRule type="expression" priority="3" dxfId="1" stopIfTrue="1">
      <formula>'Qualified Property List'!#REF!="No"</formula>
    </cfRule>
  </conditionalFormatting>
  <conditionalFormatting sqref="F28:G28">
    <cfRule type="expression" priority="2" dxfId="1" stopIfTrue="1">
      <formula>'Qualified Property List'!#REF!="No"</formula>
    </cfRule>
  </conditionalFormatting>
  <conditionalFormatting sqref="F27:G27">
    <cfRule type="expression" priority="1" dxfId="1" stopIfTrue="1">
      <formula>'Qualified Property List'!#REF!="No"</formula>
    </cfRule>
  </conditionalFormatting>
  <printOptions horizontalCentered="1"/>
  <pageMargins left="0.3937007874015748" right="0.3937007874015748" top="0.3937007874015748" bottom="0.5905511811023623" header="0.5118110236220472" footer="0.5118110236220472"/>
  <pageSetup fitToHeight="100"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dimension ref="A1:I270"/>
  <sheetViews>
    <sheetView showGridLines="0" zoomScalePageLayoutView="0" workbookViewId="0" topLeftCell="A106">
      <selection activeCell="C62" sqref="C62"/>
    </sheetView>
  </sheetViews>
  <sheetFormatPr defaultColWidth="9.140625" defaultRowHeight="12.75"/>
  <cols>
    <col min="1" max="1" width="5.00390625" style="1" customWidth="1"/>
    <col min="2" max="2" width="54.7109375" style="1" customWidth="1"/>
    <col min="3" max="3" width="21.28125" style="2" customWidth="1"/>
    <col min="4" max="4" width="21.28125" style="6" customWidth="1"/>
    <col min="5" max="5" width="24.421875" style="1" customWidth="1"/>
    <col min="6" max="7" width="16.57421875" style="1" customWidth="1"/>
    <col min="8" max="8" width="13.57421875" style="6" customWidth="1"/>
    <col min="9" max="9" width="4.28125" style="1" customWidth="1"/>
    <col min="10" max="16384" width="9.140625" style="1" customWidth="1"/>
  </cols>
  <sheetData>
    <row r="1" ht="12.75">
      <c r="A1" s="71" t="s">
        <v>455</v>
      </c>
    </row>
    <row r="2" ht="15.75">
      <c r="A2" s="10" t="s">
        <v>1578</v>
      </c>
    </row>
    <row r="3" ht="12.75">
      <c r="A3" s="6" t="s">
        <v>2301</v>
      </c>
    </row>
    <row r="4" ht="12.75">
      <c r="A4" s="6" t="s">
        <v>954</v>
      </c>
    </row>
    <row r="5" ht="12.75">
      <c r="A5" s="121"/>
    </row>
    <row r="6" spans="2:6" ht="12.75">
      <c r="B6" s="235" t="s">
        <v>116</v>
      </c>
      <c r="D6" s="6"/>
      <c r="F6" s="196"/>
    </row>
    <row r="7" spans="2:6" ht="12.75">
      <c r="B7" s="236" t="s">
        <v>1331</v>
      </c>
      <c r="C7" s="237"/>
      <c r="F7" s="213"/>
    </row>
    <row r="8" spans="2:6" ht="12.75">
      <c r="B8" s="236" t="s">
        <v>459</v>
      </c>
      <c r="C8" s="238"/>
      <c r="F8" s="196"/>
    </row>
    <row r="9" spans="2:6" ht="12.75">
      <c r="B9" s="236" t="s">
        <v>117</v>
      </c>
      <c r="C9" s="239">
        <v>2</v>
      </c>
      <c r="F9" s="196"/>
    </row>
    <row r="10" spans="2:6" ht="12.75">
      <c r="B10" s="236" t="s">
        <v>1142</v>
      </c>
      <c r="C10" s="239" t="s">
        <v>1138</v>
      </c>
      <c r="F10" s="196"/>
    </row>
    <row r="11" spans="2:6" ht="12.75">
      <c r="B11" s="236" t="s">
        <v>1143</v>
      </c>
      <c r="C11" s="239"/>
      <c r="F11" s="196"/>
    </row>
    <row r="12" spans="2:6" ht="12.75">
      <c r="B12" s="236" t="s">
        <v>1144</v>
      </c>
      <c r="C12" s="238"/>
      <c r="F12" s="196"/>
    </row>
    <row r="13" spans="2:6" ht="12.75">
      <c r="B13" s="236" t="s">
        <v>1145</v>
      </c>
      <c r="C13" s="238"/>
      <c r="F13" s="196"/>
    </row>
    <row r="14" spans="2:6" ht="12.75">
      <c r="B14" s="236" t="s">
        <v>1146</v>
      </c>
      <c r="C14" s="239"/>
      <c r="F14" s="196"/>
    </row>
    <row r="15" ht="12.75">
      <c r="A15" s="121"/>
    </row>
    <row r="16" spans="1:8" ht="13.5" thickBot="1">
      <c r="A16" s="14" t="s">
        <v>607</v>
      </c>
      <c r="B16" s="14"/>
      <c r="C16" s="15"/>
      <c r="D16" s="14"/>
      <c r="E16" s="16"/>
      <c r="F16" s="16"/>
      <c r="G16" s="16"/>
      <c r="H16" s="16"/>
    </row>
    <row r="17" spans="2:9" ht="12.75" customHeight="1" thickTop="1">
      <c r="B17" s="17" t="s">
        <v>1327</v>
      </c>
      <c r="C17" s="11"/>
      <c r="D17" s="17" t="s">
        <v>1831</v>
      </c>
      <c r="E17" s="17" t="s">
        <v>1325</v>
      </c>
      <c r="F17" s="17"/>
      <c r="H17" s="17" t="s">
        <v>1831</v>
      </c>
      <c r="I17" s="1"/>
    </row>
    <row r="18" spans="2:8" ht="12.75" customHeight="1">
      <c r="B18" s="90" t="s">
        <v>193</v>
      </c>
      <c r="C18" s="281">
        <f>'Facility &amp; Product Information'!E26-('Facility &amp; Product Information'!E24*'Facility &amp; Product Information'!E27)</f>
        <v>306719.8816000001</v>
      </c>
      <c r="D18" s="17"/>
      <c r="E18" s="18" t="s">
        <v>195</v>
      </c>
      <c r="F18" s="18"/>
      <c r="G18" s="137">
        <v>0.303</v>
      </c>
      <c r="H18" s="17"/>
    </row>
    <row r="19" spans="2:8" ht="12.75" customHeight="1">
      <c r="B19" s="90" t="s">
        <v>194</v>
      </c>
      <c r="C19" s="281">
        <f>'Facility &amp; Product Information'!E24*'Facility &amp; Product Information'!E29</f>
        <v>94199.99999999984</v>
      </c>
      <c r="D19" s="17"/>
      <c r="E19" s="18" t="s">
        <v>204</v>
      </c>
      <c r="F19" s="18"/>
      <c r="G19" s="137">
        <v>0.12</v>
      </c>
      <c r="H19" s="17"/>
    </row>
    <row r="20" spans="2:8" ht="12.75" customHeight="1">
      <c r="B20" s="84" t="s">
        <v>196</v>
      </c>
      <c r="C20" s="282">
        <f>IF((1-((C19/(1-G18))/C18))&lt;0,(C22/(C22+C19)),1-((C19/(1-G18))/C18))</f>
        <v>0.5593678345235022</v>
      </c>
      <c r="D20" s="341" t="s">
        <v>196</v>
      </c>
      <c r="E20" s="18" t="s">
        <v>205</v>
      </c>
      <c r="F20" s="18"/>
      <c r="G20" s="105">
        <v>-3</v>
      </c>
      <c r="H20" s="17"/>
    </row>
    <row r="21" spans="2:8" ht="12.75" customHeight="1">
      <c r="B21" s="31" t="s">
        <v>197</v>
      </c>
      <c r="C21" s="283">
        <f>PMT(G19,WALS,-1*VCS)</f>
        <v>188029.46160288315</v>
      </c>
      <c r="D21" s="17"/>
      <c r="E21" s="18" t="s">
        <v>206</v>
      </c>
      <c r="F21" s="18"/>
      <c r="G21" s="105">
        <v>-0.71</v>
      </c>
      <c r="H21" s="17"/>
    </row>
    <row r="22" spans="2:8" ht="12.75" customHeight="1">
      <c r="B22" s="31" t="s">
        <v>198</v>
      </c>
      <c r="C22" s="283">
        <f>IF(C18-(C19/(1-G18))&lt;C21,C21,(C18-(C19/(1-G18))))</f>
        <v>188029.46160288315</v>
      </c>
      <c r="D22" s="17" t="s">
        <v>1714</v>
      </c>
      <c r="E22" s="18" t="s">
        <v>614</v>
      </c>
      <c r="F22" s="18"/>
      <c r="G22" s="105">
        <v>2</v>
      </c>
      <c r="H22" s="71"/>
    </row>
    <row r="23" spans="2:9" ht="12.75" customHeight="1">
      <c r="B23" s="280" t="s">
        <v>199</v>
      </c>
      <c r="C23" s="282">
        <f>IF(C21/C22&gt;1,1,C21/C22)</f>
        <v>1</v>
      </c>
      <c r="D23" s="17"/>
      <c r="E23" s="20" t="s">
        <v>606</v>
      </c>
      <c r="F23" s="20"/>
      <c r="G23" s="336">
        <v>0.06295901338104963</v>
      </c>
      <c r="H23" s="71" t="s">
        <v>1815</v>
      </c>
      <c r="I23" s="1"/>
    </row>
    <row r="24" spans="2:9" ht="12.75" customHeight="1">
      <c r="B24" s="280" t="s">
        <v>200</v>
      </c>
      <c r="C24" s="282">
        <f>C20*C23</f>
        <v>0.5593678345235022</v>
      </c>
      <c r="D24" s="17"/>
      <c r="E24" s="20" t="s">
        <v>1365</v>
      </c>
      <c r="F24" s="20"/>
      <c r="G24" s="137">
        <v>0.0811</v>
      </c>
      <c r="H24" s="71" t="s">
        <v>1806</v>
      </c>
      <c r="I24" s="1"/>
    </row>
    <row r="25" spans="2:4" ht="12.75" customHeight="1">
      <c r="B25" s="280" t="s">
        <v>203</v>
      </c>
      <c r="C25" s="282">
        <f>(G21-G21*C24+C24*G20)*-G24</f>
        <v>0.16146623485987033</v>
      </c>
      <c r="D25" s="71" t="s">
        <v>121</v>
      </c>
    </row>
    <row r="26" spans="2:4" ht="12.75" customHeight="1">
      <c r="B26" s="86" t="s">
        <v>460</v>
      </c>
      <c r="C26" s="96">
        <f>'Facility &amp; Product Information'!E11</f>
        <v>1367970.8</v>
      </c>
      <c r="D26" s="71" t="s">
        <v>120</v>
      </c>
    </row>
    <row r="27" spans="2:7" ht="12.75" customHeight="1">
      <c r="B27" s="31" t="s">
        <v>604</v>
      </c>
      <c r="C27" s="97">
        <f>VQP*STR</f>
        <v>110942.43188000002</v>
      </c>
      <c r="D27" s="71"/>
      <c r="G27" s="342"/>
    </row>
    <row r="28" spans="2:4" ht="12.75" customHeight="1">
      <c r="B28" s="79" t="s">
        <v>118</v>
      </c>
      <c r="C28" s="22">
        <f>(VQP/(1+PICI))*PICI</f>
        <v>190174.35707108074</v>
      </c>
      <c r="D28" s="71" t="s">
        <v>119</v>
      </c>
    </row>
    <row r="29" spans="2:8" ht="12.75" customHeight="1">
      <c r="B29" s="79" t="s">
        <v>1116</v>
      </c>
      <c r="C29" s="106">
        <f>MIQP/VCS</f>
        <v>0.128014286079856</v>
      </c>
      <c r="D29" s="71"/>
      <c r="H29" s="118"/>
    </row>
    <row r="30" spans="2:8" ht="12.75" customHeight="1">
      <c r="B30" s="86" t="s">
        <v>1356</v>
      </c>
      <c r="C30" s="96">
        <f>'Facility &amp; Product Information'!E26</f>
        <v>453439.88159999996</v>
      </c>
      <c r="D30" s="71"/>
      <c r="G30" s="342"/>
      <c r="H30" s="71"/>
    </row>
    <row r="31" spans="2:8" ht="12.75" customHeight="1">
      <c r="B31" s="86" t="s">
        <v>1612</v>
      </c>
      <c r="C31" s="91">
        <f>VCS/C30</f>
        <v>3.276225626113961</v>
      </c>
      <c r="D31" s="71"/>
      <c r="H31" s="71"/>
    </row>
    <row r="32" spans="2:8" ht="12.75" customHeight="1">
      <c r="B32" s="79" t="s">
        <v>1326</v>
      </c>
      <c r="C32" s="22">
        <f>(MIQP/VCS)*Estimated_Annual_Sales</f>
        <v>58046.78272315842</v>
      </c>
      <c r="D32" s="71" t="s">
        <v>122</v>
      </c>
      <c r="H32" s="71"/>
    </row>
    <row r="33" spans="2:8" ht="12.75" customHeight="1">
      <c r="B33" s="79" t="s">
        <v>1821</v>
      </c>
      <c r="C33" s="50">
        <f>MIS/'Facility &amp; Product Information'!E25</f>
        <v>33433.23506690383</v>
      </c>
      <c r="D33" s="203" t="s">
        <v>1119</v>
      </c>
      <c r="H33" s="71"/>
    </row>
    <row r="34" spans="2:8" ht="12.75" customHeight="1">
      <c r="B34" s="79" t="s">
        <v>112</v>
      </c>
      <c r="C34" s="22">
        <f>MIU*'Facility &amp; Product Information'!E27*'Facility &amp; Product Information'!E28</f>
        <v>16904.030448272813</v>
      </c>
      <c r="D34" s="71" t="s">
        <v>123</v>
      </c>
      <c r="H34" s="71"/>
    </row>
    <row r="35" spans="2:8" ht="12.75" customHeight="1">
      <c r="B35" s="79" t="s">
        <v>113</v>
      </c>
      <c r="C35" s="22">
        <f>MIU*'Facility &amp; Product Information'!E29</f>
        <v>12058.945748722412</v>
      </c>
      <c r="D35" s="71" t="s">
        <v>124</v>
      </c>
      <c r="H35" s="71"/>
    </row>
    <row r="36" spans="2:8" ht="12.75" customHeight="1">
      <c r="B36" s="82" t="s">
        <v>114</v>
      </c>
      <c r="C36" s="22">
        <f>(MISP*Multiplier+AIEW*Multiplier-AIEW)</f>
        <v>45867.00664526803</v>
      </c>
      <c r="D36" s="71" t="s">
        <v>125</v>
      </c>
      <c r="H36" s="71"/>
    </row>
    <row r="37" spans="2:8" ht="12.75" customHeight="1">
      <c r="B37" s="86" t="s">
        <v>615</v>
      </c>
      <c r="C37" s="91">
        <f>'Facility &amp; Product Information'!E12</f>
        <v>26.10296067167477</v>
      </c>
      <c r="D37" s="118" t="s">
        <v>1118</v>
      </c>
      <c r="E37" s="133"/>
      <c r="H37" s="71"/>
    </row>
    <row r="38" spans="2:8" ht="12.75" customHeight="1">
      <c r="B38" s="19" t="s">
        <v>1613</v>
      </c>
      <c r="C38" s="27">
        <f>-PV($G$23,$C$37,C32,0)</f>
        <v>734667.485838289</v>
      </c>
      <c r="D38" s="71" t="s">
        <v>1809</v>
      </c>
      <c r="E38" s="122"/>
      <c r="F38" s="122"/>
      <c r="H38" s="71"/>
    </row>
    <row r="39" spans="2:8" ht="12.75" customHeight="1">
      <c r="B39" s="19" t="s">
        <v>1621</v>
      </c>
      <c r="C39" s="27">
        <f>-PV($G$23,$C$37,C36,0)</f>
        <v>580514.4897645355</v>
      </c>
      <c r="D39" s="71" t="s">
        <v>126</v>
      </c>
      <c r="E39" s="100"/>
      <c r="F39" s="100"/>
      <c r="H39" s="71"/>
    </row>
    <row r="40" spans="4:8" ht="12.75" customHeight="1">
      <c r="D40" s="71"/>
      <c r="H40" s="71"/>
    </row>
    <row r="41" spans="1:8" ht="12.75" customHeight="1" thickBot="1">
      <c r="A41" s="14" t="s">
        <v>603</v>
      </c>
      <c r="B41" s="14"/>
      <c r="C41" s="15"/>
      <c r="D41" s="14"/>
      <c r="E41" s="16"/>
      <c r="F41" s="16"/>
      <c r="G41" s="16"/>
      <c r="H41" s="16"/>
    </row>
    <row r="42" spans="2:8" ht="12.75" customHeight="1" thickTop="1">
      <c r="B42" s="17" t="s">
        <v>1327</v>
      </c>
      <c r="C42" s="23"/>
      <c r="D42" s="71"/>
      <c r="E42" s="17" t="s">
        <v>1325</v>
      </c>
      <c r="F42" s="17"/>
      <c r="H42" s="71"/>
    </row>
    <row r="43" spans="2:9" ht="12.75" customHeight="1">
      <c r="B43" s="86" t="s">
        <v>1614</v>
      </c>
      <c r="C43" s="95">
        <f>IF('Facility &amp; Product Information'!$E$32="Yes",'Facility &amp; Product Information'!$E$34,'Facility &amp; Product Information'!$E$31)</f>
        <v>1</v>
      </c>
      <c r="D43" s="71" t="s">
        <v>1807</v>
      </c>
      <c r="E43" s="18" t="s">
        <v>1355</v>
      </c>
      <c r="F43" s="18"/>
      <c r="G43" s="29">
        <v>0.04620786988669934</v>
      </c>
      <c r="H43" s="71" t="s">
        <v>1810</v>
      </c>
      <c r="I43" s="1"/>
    </row>
    <row r="44" spans="2:9" ht="12.75" customHeight="1">
      <c r="B44" s="86" t="s">
        <v>1319</v>
      </c>
      <c r="C44" s="93">
        <f>1-('Facility &amp; Product Information'!E27/'Facility &amp; Product Information'!E25)</f>
        <v>0.6764289910223903</v>
      </c>
      <c r="D44" s="71" t="s">
        <v>1808</v>
      </c>
      <c r="E44" s="18" t="s">
        <v>1580</v>
      </c>
      <c r="F44" s="18"/>
      <c r="G44" s="29">
        <f>VLOOKUP('Applicant Information'!E53,City_County,3,FALSE)</f>
        <v>0.011810000000000001</v>
      </c>
      <c r="H44" s="71" t="s">
        <v>1811</v>
      </c>
      <c r="I44" s="1"/>
    </row>
    <row r="45" spans="2:9" ht="12.75" customHeight="1">
      <c r="B45" s="86" t="s">
        <v>1611</v>
      </c>
      <c r="C45" s="95">
        <f>'Facility &amp; Product Information'!E29/'Facility &amp; Product Information'!E25</f>
        <v>0.207745290660379</v>
      </c>
      <c r="D45" s="71"/>
      <c r="E45" s="20" t="s">
        <v>1584</v>
      </c>
      <c r="F45" s="20"/>
      <c r="G45" s="92">
        <v>0.06296346786369593</v>
      </c>
      <c r="H45" s="71" t="s">
        <v>131</v>
      </c>
      <c r="I45" s="1"/>
    </row>
    <row r="46" spans="2:8" ht="12.75" customHeight="1">
      <c r="B46" s="19" t="s">
        <v>616</v>
      </c>
      <c r="C46" s="30">
        <f>POSCA*PVMIS*VA</f>
        <v>496950.38618255005</v>
      </c>
      <c r="D46" s="71"/>
      <c r="H46" s="71"/>
    </row>
    <row r="47" spans="2:8" ht="12.75" customHeight="1">
      <c r="B47" s="19" t="s">
        <v>1594</v>
      </c>
      <c r="C47" s="30">
        <f>-PV(G23,C37,AIEW)</f>
        <v>152623.71038420522</v>
      </c>
      <c r="E47" s="202"/>
      <c r="H47" s="71"/>
    </row>
    <row r="48" spans="2:8" ht="12.75" customHeight="1">
      <c r="B48" s="31" t="s">
        <v>1324</v>
      </c>
      <c r="C48" s="30">
        <f>C28</f>
        <v>190174.35707108074</v>
      </c>
      <c r="D48" s="71"/>
      <c r="H48" s="71"/>
    </row>
    <row r="49" spans="1:8" ht="12.75" customHeight="1">
      <c r="A49"/>
      <c r="B49" s="79" t="s">
        <v>1582</v>
      </c>
      <c r="C49" s="30">
        <f>C46*STR</f>
        <v>40302.67631940481</v>
      </c>
      <c r="D49" s="6" t="s">
        <v>127</v>
      </c>
      <c r="E49" s="118"/>
      <c r="H49" s="71"/>
    </row>
    <row r="50" spans="1:8" ht="12.75" customHeight="1">
      <c r="A50"/>
      <c r="B50" s="79" t="s">
        <v>1364</v>
      </c>
      <c r="C50" s="30">
        <f>C47*SIR</f>
        <v>7052.416551058637</v>
      </c>
      <c r="D50" s="71" t="s">
        <v>128</v>
      </c>
      <c r="H50" s="71"/>
    </row>
    <row r="51" spans="1:8" ht="12.75" customHeight="1">
      <c r="A51"/>
      <c r="B51" s="79" t="s">
        <v>1363</v>
      </c>
      <c r="C51" s="30">
        <f>-PV(G23,C37,(ATL*(MIQP/VCS)))</f>
        <v>34022.77382545574</v>
      </c>
      <c r="D51" s="123" t="s">
        <v>129</v>
      </c>
      <c r="H51" s="71"/>
    </row>
    <row r="52" spans="1:8" ht="12.75" customHeight="1">
      <c r="A52"/>
      <c r="B52" s="79" t="s">
        <v>602</v>
      </c>
      <c r="C52" s="30">
        <f>PV(G23,C37,-(C48*PTR))</f>
        <v>28425.919400995954</v>
      </c>
      <c r="D52" s="71" t="s">
        <v>130</v>
      </c>
      <c r="H52" s="71"/>
    </row>
    <row r="53" spans="1:7" ht="12.75" customHeight="1">
      <c r="A53" s="33"/>
      <c r="E53" s="17"/>
      <c r="F53" s="17"/>
      <c r="G53"/>
    </row>
    <row r="54" spans="1:8" ht="12.75" customHeight="1">
      <c r="A54"/>
      <c r="B54" s="79" t="s">
        <v>1802</v>
      </c>
      <c r="C54" s="30">
        <f>SUM(C49:C52)</f>
        <v>109803.78609691514</v>
      </c>
      <c r="D54" s="71" t="s">
        <v>1803</v>
      </c>
      <c r="H54" s="71"/>
    </row>
    <row r="55" spans="1:8" ht="12.75" customHeight="1">
      <c r="A55"/>
      <c r="B55" s="80" t="s">
        <v>1801</v>
      </c>
      <c r="C55" s="32">
        <f>PVMISO*GRSO</f>
        <v>36551.20542069917</v>
      </c>
      <c r="D55" s="71" t="s">
        <v>1800</v>
      </c>
      <c r="H55" s="71"/>
    </row>
    <row r="56" spans="1:9" ht="12.75" customHeight="1">
      <c r="A56"/>
      <c r="B56" s="81" t="s">
        <v>1804</v>
      </c>
      <c r="C56" s="68">
        <f>DFB+IFB</f>
        <v>146354.9915176143</v>
      </c>
      <c r="D56" s="71" t="s">
        <v>1805</v>
      </c>
      <c r="H56" s="71"/>
      <c r="I56"/>
    </row>
    <row r="57" spans="1:9" ht="12.75" customHeight="1">
      <c r="A57"/>
      <c r="D57" s="71"/>
      <c r="E57"/>
      <c r="F57"/>
      <c r="G57"/>
      <c r="H57" s="71"/>
      <c r="I57"/>
    </row>
    <row r="58" spans="1:9" ht="12.75" customHeight="1" thickBot="1">
      <c r="A58" s="14" t="s">
        <v>605</v>
      </c>
      <c r="B58" s="14"/>
      <c r="C58" s="15"/>
      <c r="D58" s="14"/>
      <c r="E58" s="16"/>
      <c r="F58" s="16"/>
      <c r="G58" s="16"/>
      <c r="H58" s="16"/>
      <c r="I58"/>
    </row>
    <row r="59" spans="1:9" ht="12.75" customHeight="1" thickTop="1">
      <c r="A59" s="33"/>
      <c r="B59" s="17" t="s">
        <v>1327</v>
      </c>
      <c r="C59" s="23"/>
      <c r="E59" s="17" t="s">
        <v>1325</v>
      </c>
      <c r="F59" s="17"/>
      <c r="G59"/>
      <c r="H59" s="71"/>
      <c r="I59"/>
    </row>
    <row r="60" spans="1:9" ht="12.75" customHeight="1">
      <c r="A60" s="33"/>
      <c r="B60" s="86" t="s">
        <v>1589</v>
      </c>
      <c r="C60" s="135">
        <f>'Facility &amp; Product Information'!$E$25</f>
        <v>1.7362</v>
      </c>
      <c r="D60" s="6" t="s">
        <v>1812</v>
      </c>
      <c r="E60" s="18" t="s">
        <v>1306</v>
      </c>
      <c r="F60" s="18"/>
      <c r="G60" s="34">
        <f>'Pollution Costs'!K14+(POSCA*'Pollution Costs'!K13)</f>
        <v>0.12216099999999998</v>
      </c>
      <c r="H60" s="71" t="s">
        <v>1816</v>
      </c>
      <c r="I60"/>
    </row>
    <row r="61" spans="1:9" ht="12.75" customHeight="1">
      <c r="A61" s="33"/>
      <c r="B61" s="86" t="s">
        <v>1380</v>
      </c>
      <c r="C61" s="95">
        <f>IF('Facility &amp; Product Information'!$E$32="Yes",'Facility &amp; Product Information'!$E$34,'Facility &amp; Product Information'!$E$31)</f>
        <v>1</v>
      </c>
      <c r="E61" s="18" t="s">
        <v>1307</v>
      </c>
      <c r="F61" s="18"/>
      <c r="G61" s="186">
        <f>POSCA*'Pollution Costs'!$K$8+(1-POSCA)*'Pollution Costs'!$L$7</f>
        <v>4.47183</v>
      </c>
      <c r="H61" s="71" t="s">
        <v>1817</v>
      </c>
      <c r="I61"/>
    </row>
    <row r="62" spans="1:9" ht="12.75" customHeight="1">
      <c r="A62" s="33"/>
      <c r="B62" s="86" t="s">
        <v>1585</v>
      </c>
      <c r="C62" s="134">
        <f>IF('Facility &amp; Product Information'!E32="no",Scoring!C60,'Facility &amp; Product Information'!E33)</f>
        <v>1.7362</v>
      </c>
      <c r="D62" s="118"/>
      <c r="E62" s="18" t="s">
        <v>2210</v>
      </c>
      <c r="F62" s="18"/>
      <c r="G62" s="34">
        <f>'Pollution Costs'!K20</f>
        <v>0.7253999999999999</v>
      </c>
      <c r="H62" s="6" t="s">
        <v>1381</v>
      </c>
      <c r="I62"/>
    </row>
    <row r="63" spans="1:9" ht="12.75" customHeight="1">
      <c r="A63" s="33"/>
      <c r="B63" s="31" t="s">
        <v>1607</v>
      </c>
      <c r="C63" s="49">
        <f>IF(((VA*C60)/C62)&gt;1,1,(VA*C60)/C62)</f>
        <v>0.6764289910223903</v>
      </c>
      <c r="D63" s="118" t="s">
        <v>1814</v>
      </c>
      <c r="E63" s="18" t="s">
        <v>461</v>
      </c>
      <c r="F63" s="18"/>
      <c r="G63" s="34">
        <f>'Pollution Costs'!H7</f>
        <v>0.0062</v>
      </c>
      <c r="H63" s="139"/>
      <c r="I63"/>
    </row>
    <row r="64" spans="1:8" ht="12.75" customHeight="1">
      <c r="A64" s="33"/>
      <c r="B64" s="86" t="s">
        <v>1318</v>
      </c>
      <c r="C64" s="95">
        <f>'Facility &amp; Product Information'!E13</f>
        <v>0.8105759316541464</v>
      </c>
      <c r="D64" s="118" t="s">
        <v>1813</v>
      </c>
      <c r="E64" s="18" t="s">
        <v>462</v>
      </c>
      <c r="F64" s="18"/>
      <c r="G64" s="34">
        <f>'Pollution Costs'!$H$6</f>
        <v>0.655</v>
      </c>
      <c r="H64" s="139"/>
    </row>
    <row r="65" spans="1:7" ht="12.75" customHeight="1">
      <c r="A65" s="33"/>
      <c r="B65" s="31" t="s">
        <v>1303</v>
      </c>
      <c r="C65" s="49">
        <f>IF(POT*FCC&gt;1,1,POT*FCC)</f>
        <v>0.5482970595958483</v>
      </c>
      <c r="D65" s="118" t="s">
        <v>1120</v>
      </c>
      <c r="E65" s="18" t="s">
        <v>2306</v>
      </c>
      <c r="F65" s="18"/>
      <c r="G65" s="186">
        <f>'Pollution Costs'!$H$5</f>
        <v>0.13</v>
      </c>
    </row>
    <row r="66" spans="1:8" ht="12.75" customHeight="1">
      <c r="A66" s="33"/>
      <c r="B66" s="86" t="s">
        <v>617</v>
      </c>
      <c r="C66" s="94">
        <f>'Facility &amp; Product Information'!$E$30</f>
        <v>1</v>
      </c>
      <c r="D66" s="118" t="s">
        <v>1121</v>
      </c>
      <c r="E66" s="18" t="s">
        <v>1370</v>
      </c>
      <c r="F66" s="18"/>
      <c r="G66" s="336">
        <f>G23</f>
        <v>0.06295901338104963</v>
      </c>
      <c r="H66" s="1"/>
    </row>
    <row r="67" spans="1:7" ht="12.75" customHeight="1">
      <c r="A67" s="33"/>
      <c r="E67" s="17"/>
      <c r="F67" s="17"/>
      <c r="G67"/>
    </row>
    <row r="68" spans="1:7" ht="12.75" customHeight="1">
      <c r="A68" s="33"/>
      <c r="B68" s="86" t="s">
        <v>1340</v>
      </c>
      <c r="C68" s="384">
        <v>1</v>
      </c>
      <c r="E68" s="17"/>
      <c r="F68" s="17"/>
      <c r="G68"/>
    </row>
    <row r="69" spans="1:7" ht="12.75" customHeight="1">
      <c r="A69" s="33"/>
      <c r="B69" s="83" t="str">
        <f>Scoring!A239</f>
        <v>Alternative Source</v>
      </c>
      <c r="C69" s="61"/>
      <c r="D69" s="119"/>
      <c r="F69" s="17"/>
      <c r="G69"/>
    </row>
    <row r="70" spans="1:7" ht="12.75" customHeight="1">
      <c r="A70" s="33"/>
      <c r="B70" s="90" t="s">
        <v>2213</v>
      </c>
      <c r="C70" s="296">
        <f>IF(C68=1,'Environmental Benefits Info'!E16,0)</f>
        <v>0.0099</v>
      </c>
      <c r="D70" s="119"/>
      <c r="F70" s="17"/>
      <c r="G70"/>
    </row>
    <row r="71" spans="1:5" ht="12.75" customHeight="1">
      <c r="A71" s="33"/>
      <c r="B71" s="84" t="s">
        <v>931</v>
      </c>
      <c r="C71" s="136">
        <f>C70*G61</f>
        <v>0.044271117</v>
      </c>
      <c r="D71" s="118"/>
      <c r="E71" s="139"/>
    </row>
    <row r="72" spans="1:5" ht="12.75" customHeight="1">
      <c r="A72" s="33"/>
      <c r="B72" s="86" t="str">
        <f>'Environmental Benefits Info'!C18</f>
        <v>Pounds of CO2 emitted per MWh of generation capacity. 
State the calculated lbs/MWh of CO2 emitted per year. Note that this is use-phase emissions only, and does not include emissions associated with production or disposal.  For products that result in the accelerated release of C02 (or equivalent) relative to what would occur without the product (such as electricity generated by burning wood), enter the net increase relative to what otherwise would occur. </v>
      </c>
      <c r="C72" s="295">
        <f>'Environmental Benefits Info'!E18</f>
        <v>0</v>
      </c>
      <c r="D72" s="118"/>
      <c r="E72" s="139"/>
    </row>
    <row r="73" spans="1:5" ht="12.75" customHeight="1">
      <c r="A73" s="33"/>
      <c r="B73" s="86" t="str">
        <f>'Environmental Benefits Info'!C19</f>
        <v>Pounds of SO2 emitted per MWh of generation capacity. 
State the calculated lbs/MWh of SO2 emitted per year. Note that this is use-phase emissions only, and does not include emissions associated with production or disposal.  For products that result in the accelerated release of S02 relative to what would occur without the product (such as electricity generated by burning wood), enter the net increase relative to what otherwise would occur. </v>
      </c>
      <c r="C73" s="295">
        <f>'Environmental Benefits Info'!E19</f>
        <v>0</v>
      </c>
      <c r="E73" s="139"/>
    </row>
    <row r="74" spans="1:5" ht="12.75" customHeight="1">
      <c r="A74" s="33"/>
      <c r="B74" s="86" t="str">
        <f>'Environmental Benefits Info'!C20</f>
        <v>Pounds of NOx emitted per MWh of generation capacity. 
State the calculated lbs/MWh of NOx emitted per year. Note that this is use-phase emissions only, and does not include emissions associated with production or disposal.  For products that result in the accelerated release of NOx relative to what would occur without the product (such as electricity generated by burning wood), enter the net increase relative to what otherwise would occur. </v>
      </c>
      <c r="C74" s="295">
        <f>'Environmental Benefits Info'!E20</f>
        <v>0</v>
      </c>
      <c r="E74" s="139"/>
    </row>
    <row r="75" spans="1:5" ht="12.75" customHeight="1">
      <c r="A75" s="33"/>
      <c r="B75" s="86" t="str">
        <f>'Environmental Benefits Info'!C21</f>
        <v>Pounds of Other pollutants emitted per MWh of generation capacity (please specify). State the calculated lbs/MWh of other pollutants emitted per year in California. Note that this is use-phase emissions only, and does not include emissions associated with production or disposal.  For products that result in the accelerated release of other pollutants relative to what would occur without the product (such as electricity generated by burning wood), enter the net increase relative to what otherwise would occur. </v>
      </c>
      <c r="C75" s="295">
        <f>'Environmental Benefits Info'!E21</f>
        <v>0</v>
      </c>
      <c r="E75" s="139"/>
    </row>
    <row r="76" spans="1:5" ht="12.75" customHeight="1">
      <c r="A76" s="33"/>
      <c r="B76" s="86" t="str">
        <f>'Environmental Benefits Info'!C22</f>
        <v>Cost in dollars per pound for Other pollutants emitted per MWh of generation capacity (please specify). Provide the cost in dollars per pound for the other pollutants identified in Box F7. Provide an explanation of the calculations and assumptions in the explanation box at right.</v>
      </c>
      <c r="C76" s="134">
        <f>'Environmental Benefits Info'!E22</f>
        <v>0</v>
      </c>
      <c r="E76" s="139"/>
    </row>
    <row r="77" spans="1:7" ht="12.75" customHeight="1">
      <c r="A77" s="33"/>
      <c r="B77" s="19" t="s">
        <v>933</v>
      </c>
      <c r="C77" s="136">
        <f>(C72*G63*C70+C73*G64*C70*POSCA+C74*G65*C70*POSCA+C75*C76)*-1</f>
        <v>0</v>
      </c>
      <c r="E77" s="157"/>
      <c r="G77" s="72"/>
    </row>
    <row r="78" spans="1:7" ht="12.75" customHeight="1">
      <c r="A78" s="33"/>
      <c r="B78" s="19" t="s">
        <v>1302</v>
      </c>
      <c r="C78" s="136">
        <f>C77+C71</f>
        <v>0.044271117</v>
      </c>
      <c r="E78" s="139"/>
      <c r="G78" s="72"/>
    </row>
    <row r="79" spans="1:7" ht="12.75" customHeight="1">
      <c r="A79" s="33"/>
      <c r="B79" s="19" t="s">
        <v>932</v>
      </c>
      <c r="C79" s="136">
        <f>-PV(G66,ULOP,C78)</f>
        <v>0.04164894078011798</v>
      </c>
      <c r="E79" s="139"/>
      <c r="G79" s="72"/>
    </row>
    <row r="80" spans="1:7" ht="12.75" customHeight="1">
      <c r="A80" s="33"/>
      <c r="B80" s="19" t="s">
        <v>1303</v>
      </c>
      <c r="C80" s="136">
        <f>C79*AS</f>
        <v>0.022835991765020304</v>
      </c>
      <c r="E80" s="139"/>
      <c r="G80"/>
    </row>
    <row r="81" spans="1:7" ht="12.75" customHeight="1">
      <c r="A81" s="33"/>
      <c r="B81" s="85" t="s">
        <v>1301</v>
      </c>
      <c r="C81" s="87">
        <f>-PV($G$66,WALS,C80*MIU)</f>
        <v>9662.976993797569</v>
      </c>
      <c r="D81" s="6" t="s">
        <v>1820</v>
      </c>
      <c r="E81" s="139"/>
      <c r="G81"/>
    </row>
    <row r="82" spans="1:7" ht="12.75" customHeight="1">
      <c r="A82" s="33"/>
      <c r="B82" s="83" t="str">
        <f>Scoring!A240</f>
        <v>Alternative Source (energy efficiency)</v>
      </c>
      <c r="C82" s="88"/>
      <c r="E82" s="139"/>
      <c r="G82" s="292"/>
    </row>
    <row r="83" spans="1:7" ht="12.75" customHeight="1">
      <c r="A83" s="33"/>
      <c r="B83" s="90" t="s">
        <v>609</v>
      </c>
      <c r="C83" s="91">
        <f>IF(C68=2,'Environmental Benefits Info'!E26,0)</f>
        <v>0</v>
      </c>
      <c r="D83" s="118"/>
      <c r="E83" s="139"/>
      <c r="G83"/>
    </row>
    <row r="84" spans="1:7" ht="12.75" customHeight="1">
      <c r="A84" s="33"/>
      <c r="B84" s="90" t="s">
        <v>610</v>
      </c>
      <c r="C84" s="91">
        <f>IF(C68=2,'Environmental Benefits Info'!E27,0)</f>
        <v>0</v>
      </c>
      <c r="E84" s="139"/>
      <c r="G84"/>
    </row>
    <row r="85" spans="1:7" ht="12.75" customHeight="1">
      <c r="A85" s="33"/>
      <c r="B85" s="84" t="s">
        <v>1581</v>
      </c>
      <c r="C85" s="187">
        <f>C83-C84</f>
        <v>0</v>
      </c>
      <c r="D85" s="6" t="s">
        <v>1818</v>
      </c>
      <c r="E85" s="298"/>
      <c r="G85"/>
    </row>
    <row r="86" spans="1:7" ht="12.75" customHeight="1">
      <c r="A86" s="33"/>
      <c r="B86" s="84" t="s">
        <v>671</v>
      </c>
      <c r="C86" s="50" t="str">
        <f>'Environmental Benefits Info'!E25</f>
        <v>kWh/yr</v>
      </c>
      <c r="E86" s="139"/>
      <c r="G86"/>
    </row>
    <row r="87" spans="1:7" ht="12.75" customHeight="1">
      <c r="A87" s="5"/>
      <c r="B87" s="84" t="s">
        <v>931</v>
      </c>
      <c r="C87" s="136">
        <f>IF(C86="kWh/yr",NI*(G61/1000),IF(C86="GGE/yr",NI*G60,IF(C86="BTU/yr",NI*(G62/1000000),0)))</f>
        <v>0</v>
      </c>
      <c r="E87" s="139"/>
      <c r="G87"/>
    </row>
    <row r="88" spans="1:7" ht="12.75">
      <c r="A88" s="5"/>
      <c r="B88" s="19" t="s">
        <v>932</v>
      </c>
      <c r="C88" s="136">
        <f>-PV(G66,ULOP,C87)</f>
        <v>0</v>
      </c>
      <c r="D88" s="6" t="s">
        <v>1819</v>
      </c>
      <c r="E88" s="139"/>
      <c r="G88"/>
    </row>
    <row r="89" spans="1:7" ht="12.75">
      <c r="A89" s="5"/>
      <c r="B89" s="19" t="s">
        <v>1303</v>
      </c>
      <c r="C89" s="136">
        <f>C88*AS</f>
        <v>0</v>
      </c>
      <c r="E89" s="139"/>
      <c r="G89"/>
    </row>
    <row r="90" spans="1:5" ht="12.75">
      <c r="A90" s="5"/>
      <c r="B90" s="85" t="s">
        <v>1301</v>
      </c>
      <c r="C90" s="87">
        <f>-PV(G66,WALS,C89*MIU)</f>
        <v>0</v>
      </c>
      <c r="D90" s="6" t="s">
        <v>1820</v>
      </c>
      <c r="E90" s="139"/>
    </row>
    <row r="91" spans="1:5" ht="12.75">
      <c r="A91" s="5"/>
      <c r="B91" s="83" t="str">
        <f>Scoring!A241</f>
        <v>Advanced Transportation</v>
      </c>
      <c r="C91" s="88"/>
      <c r="D91" s="118"/>
      <c r="E91" s="139"/>
    </row>
    <row r="92" spans="1:5" ht="12.75">
      <c r="A92" s="5"/>
      <c r="B92" s="90" t="s">
        <v>609</v>
      </c>
      <c r="C92" s="91">
        <f>IF(C68=3,'Environmental Benefits Info'!E30,0)</f>
        <v>0</v>
      </c>
      <c r="D92" s="118"/>
      <c r="E92" s="139"/>
    </row>
    <row r="93" spans="1:5" ht="12.75">
      <c r="A93" s="5"/>
      <c r="B93" s="90" t="s">
        <v>610</v>
      </c>
      <c r="C93" s="91">
        <f>IF(C68=3,'Environmental Benefits Info'!E31,0)</f>
        <v>0</v>
      </c>
      <c r="D93" s="118"/>
      <c r="E93" s="139"/>
    </row>
    <row r="94" spans="1:5" ht="12.75">
      <c r="A94" s="5"/>
      <c r="B94" s="84" t="s">
        <v>934</v>
      </c>
      <c r="C94" s="187">
        <f>C92-C93</f>
        <v>0</v>
      </c>
      <c r="D94" s="118"/>
      <c r="E94" s="139"/>
    </row>
    <row r="95" spans="1:5" ht="12.75">
      <c r="A95" s="5"/>
      <c r="B95" s="84" t="s">
        <v>931</v>
      </c>
      <c r="C95" s="136">
        <f>C94*G60</f>
        <v>0</v>
      </c>
      <c r="D95" s="118"/>
      <c r="E95" s="139"/>
    </row>
    <row r="96" spans="1:5" ht="12.75">
      <c r="A96" s="5"/>
      <c r="B96" s="90" t="s">
        <v>442</v>
      </c>
      <c r="C96" s="91">
        <f>'Environmental Benefits Info'!E32</f>
        <v>0</v>
      </c>
      <c r="D96" s="118"/>
      <c r="E96" s="139"/>
    </row>
    <row r="97" spans="1:5" ht="12.75">
      <c r="A97" s="5"/>
      <c r="B97" s="84" t="s">
        <v>935</v>
      </c>
      <c r="C97" s="297">
        <f>C96*Scoring!G61*-1</f>
        <v>0</v>
      </c>
      <c r="E97" s="139"/>
    </row>
    <row r="98" spans="1:9" ht="12.75" customHeight="1">
      <c r="A98" s="5"/>
      <c r="B98" s="84" t="s">
        <v>936</v>
      </c>
      <c r="C98" s="136">
        <f>C95+C97</f>
        <v>0</v>
      </c>
      <c r="E98" s="139"/>
      <c r="I98" s="4"/>
    </row>
    <row r="99" spans="1:9" ht="12.75" customHeight="1">
      <c r="A99" s="5"/>
      <c r="B99" s="19" t="s">
        <v>932</v>
      </c>
      <c r="C99" s="136">
        <f>-PV(G66,ULOP,C98)</f>
        <v>0</v>
      </c>
      <c r="D99" s="6" t="s">
        <v>1819</v>
      </c>
      <c r="E99" s="139"/>
      <c r="I99" s="4"/>
    </row>
    <row r="100" spans="1:9" ht="12.75" customHeight="1">
      <c r="A100" s="5"/>
      <c r="B100" s="19" t="s">
        <v>1303</v>
      </c>
      <c r="C100" s="136">
        <f>C99*AS</f>
        <v>0</v>
      </c>
      <c r="E100" s="139"/>
      <c r="I100" s="4"/>
    </row>
    <row r="101" spans="1:9" ht="12.75" customHeight="1">
      <c r="A101" s="5"/>
      <c r="B101" s="85" t="s">
        <v>1301</v>
      </c>
      <c r="C101" s="87">
        <f>-PV(G66,WALS,C100*MIU)</f>
        <v>0</v>
      </c>
      <c r="D101" s="6" t="s">
        <v>1820</v>
      </c>
      <c r="E101" s="139"/>
      <c r="I101" s="4"/>
    </row>
    <row r="102" spans="1:7" ht="12.75" customHeight="1">
      <c r="A102" s="33"/>
      <c r="B102" s="83" t="str">
        <f>A242</f>
        <v>Other</v>
      </c>
      <c r="C102" s="87"/>
      <c r="E102" s="139"/>
      <c r="G102"/>
    </row>
    <row r="103" spans="1:7" ht="12.75" customHeight="1">
      <c r="A103" s="33"/>
      <c r="B103" s="290" t="s">
        <v>2212</v>
      </c>
      <c r="C103" s="134">
        <f>IF(C68=4,'Environmental Benefits Info'!E36,0)</f>
        <v>0</v>
      </c>
      <c r="E103" s="139"/>
      <c r="G103"/>
    </row>
    <row r="104" spans="1:7" ht="12.75" customHeight="1">
      <c r="A104" s="33"/>
      <c r="B104" s="290" t="s">
        <v>1341</v>
      </c>
      <c r="C104" s="134">
        <f>IF(C68=4,'Environmental Benefits Info'!E37,0)</f>
        <v>0</v>
      </c>
      <c r="E104" s="139"/>
      <c r="G104"/>
    </row>
    <row r="105" spans="1:7" ht="12.75" customHeight="1">
      <c r="A105" s="33"/>
      <c r="B105" s="19" t="s">
        <v>1302</v>
      </c>
      <c r="C105" s="136">
        <f>C103-C104</f>
        <v>0</v>
      </c>
      <c r="E105" s="139"/>
      <c r="G105"/>
    </row>
    <row r="106" spans="1:7" ht="12.75" customHeight="1">
      <c r="A106" s="33"/>
      <c r="B106" s="19" t="s">
        <v>932</v>
      </c>
      <c r="C106" s="136">
        <f>-PV(G66,ULOP,C105)</f>
        <v>0</v>
      </c>
      <c r="D106" s="6" t="s">
        <v>1819</v>
      </c>
      <c r="E106" s="139"/>
      <c r="G106"/>
    </row>
    <row r="107" spans="1:7" ht="12.75" customHeight="1">
      <c r="A107" s="33"/>
      <c r="B107" s="19" t="s">
        <v>1303</v>
      </c>
      <c r="C107" s="136">
        <f>C106*AS</f>
        <v>0</v>
      </c>
      <c r="E107" s="139"/>
      <c r="G107"/>
    </row>
    <row r="108" spans="1:7" ht="12.75" customHeight="1">
      <c r="A108" s="33"/>
      <c r="B108" s="85" t="s">
        <v>1301</v>
      </c>
      <c r="C108" s="87">
        <f>-PV($G$66,WALS,C107*MIU)</f>
        <v>0</v>
      </c>
      <c r="D108" s="6" t="s">
        <v>1820</v>
      </c>
      <c r="E108" s="139"/>
      <c r="G108"/>
    </row>
    <row r="109" spans="1:9" ht="12.75" customHeight="1">
      <c r="A109" s="5"/>
      <c r="B109" s="163" t="s">
        <v>1321</v>
      </c>
      <c r="C109" s="68">
        <f>IF(C68=1,C81,IF(C68=2,C90,IF(C68=3,C101,IF(C68=4,C108,"NA"))))</f>
        <v>9662.976993797569</v>
      </c>
      <c r="E109" s="139"/>
      <c r="I109" s="4"/>
    </row>
    <row r="110" spans="1:9" ht="12.75" customHeight="1">
      <c r="A110" s="5"/>
      <c r="B110" s="6"/>
      <c r="C110" s="289"/>
      <c r="E110" s="139"/>
      <c r="I110" s="4"/>
    </row>
    <row r="111" spans="1:9" ht="12.75" customHeight="1">
      <c r="A111" s="5"/>
      <c r="B111" s="270" t="s">
        <v>1390</v>
      </c>
      <c r="C111" s="289"/>
      <c r="E111" s="139"/>
      <c r="I111" s="4"/>
    </row>
    <row r="112" spans="1:9" ht="12.75" customHeight="1">
      <c r="A112" s="5"/>
      <c r="B112" s="90" t="s">
        <v>1391</v>
      </c>
      <c r="C112" s="291">
        <f>'Supplemental Information'!E10</f>
        <v>0.33235312136249423</v>
      </c>
      <c r="E112" s="139"/>
      <c r="I112" s="4"/>
    </row>
    <row r="113" spans="1:9" ht="12.75" customHeight="1">
      <c r="A113" s="5"/>
      <c r="B113" s="82" t="s">
        <v>1392</v>
      </c>
      <c r="C113" s="68">
        <f>-PV(G66,ULOP,C112)</f>
        <v>0.3126678612991375</v>
      </c>
      <c r="E113" s="139"/>
      <c r="I113" s="4"/>
    </row>
    <row r="114" spans="1:9" ht="12.75" customHeight="1">
      <c r="A114" s="5"/>
      <c r="B114" s="82" t="s">
        <v>1303</v>
      </c>
      <c r="C114" s="68">
        <f>AS*C113</f>
        <v>0.1714348689804396</v>
      </c>
      <c r="E114" s="139"/>
      <c r="I114" s="4"/>
    </row>
    <row r="115" spans="1:9" ht="12.75" customHeight="1">
      <c r="A115" s="5"/>
      <c r="B115" s="82" t="s">
        <v>1393</v>
      </c>
      <c r="C115" s="87">
        <f>-PV($G$66,WALS,C114*MIU)</f>
        <v>72542.11737062322</v>
      </c>
      <c r="E115" s="139"/>
      <c r="I115" s="4"/>
    </row>
    <row r="116" spans="1:9" ht="12.75" customHeight="1">
      <c r="A116" s="5"/>
      <c r="C116" s="1"/>
      <c r="I116" s="4"/>
    </row>
    <row r="117" spans="1:9" ht="12.75" customHeight="1" thickBot="1">
      <c r="A117" s="14" t="s">
        <v>1592</v>
      </c>
      <c r="B117" s="35"/>
      <c r="C117" s="53"/>
      <c r="D117" s="120"/>
      <c r="E117" s="16"/>
      <c r="F117" s="16"/>
      <c r="G117" s="16"/>
      <c r="H117" s="16"/>
      <c r="I117" s="4"/>
    </row>
    <row r="118" spans="1:9" ht="12.75" customHeight="1" thickTop="1">
      <c r="A118" s="33"/>
      <c r="D118" s="198" t="s">
        <v>2308</v>
      </c>
      <c r="I118" s="4"/>
    </row>
    <row r="119" spans="1:9" ht="12.75" customHeight="1">
      <c r="A119" s="33"/>
      <c r="B119" s="54" t="s">
        <v>950</v>
      </c>
      <c r="C119" s="55">
        <f>TFB</f>
        <v>146354.9915176143</v>
      </c>
      <c r="D119" s="197">
        <f>C119/$C$121*-1000</f>
        <v>1319.1976148126805</v>
      </c>
      <c r="E119" s="266" t="str">
        <f>IF(AND(C167&gt;=1000,D120&gt;=100),"Minimum Scoring Threshold Met","Minimum Scoring Threshold Not Met")</f>
        <v>Minimum Scoring Threshold Met</v>
      </c>
      <c r="I119" s="4"/>
    </row>
    <row r="120" spans="2:9" ht="12.75" customHeight="1">
      <c r="B120" s="56" t="s">
        <v>949</v>
      </c>
      <c r="C120" s="57">
        <f>C109+C115</f>
        <v>82205.09436442079</v>
      </c>
      <c r="D120" s="197">
        <f>C120/$C$121*-1000</f>
        <v>740.9707266317838</v>
      </c>
      <c r="E120"/>
      <c r="I120" s="4"/>
    </row>
    <row r="121" spans="1:9" ht="12.75" customHeight="1">
      <c r="A121" s="10"/>
      <c r="B121" s="58" t="s">
        <v>1583</v>
      </c>
      <c r="C121" s="59">
        <f>VQP*STR*-1</f>
        <v>-110942.43188000002</v>
      </c>
      <c r="I121" s="4"/>
    </row>
    <row r="122" spans="1:9" ht="12.75" customHeight="1">
      <c r="A122" s="10"/>
      <c r="B122" s="60" t="s">
        <v>1609</v>
      </c>
      <c r="C122" s="89">
        <f>SUM(C119:C121)</f>
        <v>117617.65400203507</v>
      </c>
      <c r="I122" s="4"/>
    </row>
    <row r="123" spans="1:9" ht="12.75" customHeight="1">
      <c r="A123" s="10"/>
      <c r="I123" s="4"/>
    </row>
    <row r="124" spans="1:4" ht="12.75" customHeight="1">
      <c r="A124" s="10"/>
      <c r="B124" s="164" t="s">
        <v>608</v>
      </c>
      <c r="C124" s="165">
        <f>(SUM(C119:C120)/C121)*-1000</f>
        <v>2060.168341444464</v>
      </c>
      <c r="D124" s="197"/>
    </row>
    <row r="125" spans="1:3" ht="12.75" customHeight="1">
      <c r="A125" s="10"/>
      <c r="B125" s="63"/>
      <c r="C125" s="64"/>
    </row>
    <row r="126" spans="1:8" ht="12.75" customHeight="1" thickBot="1">
      <c r="A126" s="14" t="s">
        <v>2305</v>
      </c>
      <c r="B126" s="35"/>
      <c r="C126" s="53"/>
      <c r="D126" s="120"/>
      <c r="E126" s="16"/>
      <c r="F126" s="16"/>
      <c r="G126" s="16"/>
      <c r="H126" s="16"/>
    </row>
    <row r="127" spans="1:7" ht="12.75" customHeight="1" thickTop="1">
      <c r="A127" s="33"/>
      <c r="E127" s="17" t="s">
        <v>1325</v>
      </c>
      <c r="F127" s="17"/>
      <c r="G127"/>
    </row>
    <row r="128" spans="1:7" ht="12.75" customHeight="1">
      <c r="A128" s="10"/>
      <c r="B128" s="125" t="s">
        <v>173</v>
      </c>
      <c r="C128" s="9"/>
      <c r="E128" s="18" t="s">
        <v>174</v>
      </c>
      <c r="F128" s="18"/>
      <c r="G128" s="233">
        <f>'External Data'!H8</f>
        <v>0.12191666666666669</v>
      </c>
    </row>
    <row r="129" spans="1:3" ht="12.75" customHeight="1">
      <c r="A129" s="10"/>
      <c r="B129" s="67" t="s">
        <v>1371</v>
      </c>
      <c r="C129" s="127">
        <f>VLOOKUP('Applicant Information'!E53,City_County,2,FALSE)</f>
        <v>0.10433333333333333</v>
      </c>
    </row>
    <row r="130" spans="1:7" ht="12.75" customHeight="1">
      <c r="A130" s="10"/>
      <c r="B130" s="140" t="s">
        <v>1590</v>
      </c>
      <c r="C130" s="141">
        <f>IF(((C129/G128*100)-110)&lt;0,0,IF(((C129/G128*100)-110)&gt;40,40,(C129/G128*100)-110))</f>
        <v>0</v>
      </c>
      <c r="E130" s="18" t="s">
        <v>185</v>
      </c>
      <c r="F130" s="18"/>
      <c r="G130" s="132"/>
    </row>
    <row r="131" spans="1:7" ht="12.75" customHeight="1">
      <c r="A131" s="10"/>
      <c r="B131" s="142"/>
      <c r="C131" s="143"/>
      <c r="E131" s="18" t="s">
        <v>189</v>
      </c>
      <c r="F131" s="18" t="s">
        <v>186</v>
      </c>
      <c r="G131" s="105" t="s">
        <v>187</v>
      </c>
    </row>
    <row r="132" spans="1:7" ht="12.75" customHeight="1">
      <c r="A132" s="10"/>
      <c r="B132" s="125" t="s">
        <v>178</v>
      </c>
      <c r="C132" s="9"/>
      <c r="E132" s="130">
        <v>20000000</v>
      </c>
      <c r="F132" s="131">
        <v>200000</v>
      </c>
      <c r="G132" s="105">
        <v>0</v>
      </c>
    </row>
    <row r="133" spans="1:7" ht="12.75" customHeight="1">
      <c r="A133" s="10"/>
      <c r="B133" s="67" t="s">
        <v>183</v>
      </c>
      <c r="C133" s="129">
        <f>'Facility &amp; Product Information'!E17</f>
        <v>1.12</v>
      </c>
      <c r="E133" s="131">
        <v>200000</v>
      </c>
      <c r="F133" s="131">
        <v>150000</v>
      </c>
      <c r="G133" s="105">
        <f>G132+10</f>
        <v>10</v>
      </c>
    </row>
    <row r="134" spans="1:7" ht="12.75" customHeight="1">
      <c r="A134" s="10"/>
      <c r="B134" s="67" t="s">
        <v>184</v>
      </c>
      <c r="C134" s="126">
        <f>C133*MIQP/VCS</f>
        <v>0.1433760004094387</v>
      </c>
      <c r="E134" s="131">
        <v>150000</v>
      </c>
      <c r="F134" s="131">
        <v>100000</v>
      </c>
      <c r="G134" s="105">
        <f>G133+10</f>
        <v>20</v>
      </c>
    </row>
    <row r="135" spans="1:7" ht="12.75" customHeight="1">
      <c r="A135" s="10"/>
      <c r="B135" s="67" t="s">
        <v>188</v>
      </c>
      <c r="C135" s="8">
        <f aca="true" t="array" ref="C135">IF(ISERROR($C$27/C134),"N/A",$C$27/C134)</f>
        <v>773786.6279097047</v>
      </c>
      <c r="E135" s="131">
        <v>100000</v>
      </c>
      <c r="F135" s="131">
        <v>50000</v>
      </c>
      <c r="G135" s="105">
        <f>G134+10</f>
        <v>30</v>
      </c>
    </row>
    <row r="136" spans="1:7" ht="12.75" customHeight="1">
      <c r="A136" s="5"/>
      <c r="B136" s="140" t="s">
        <v>1591</v>
      </c>
      <c r="C136" s="141">
        <f aca="true" t="array" ref="C136">SUM(IF((C135&gt;=$F$132:$F$136)*(C135&lt;$E$132:$E$136),$G$132:$G$136))</f>
        <v>0</v>
      </c>
      <c r="E136" s="131">
        <v>50000</v>
      </c>
      <c r="F136" s="131">
        <v>0</v>
      </c>
      <c r="G136" s="105">
        <f>G135+10</f>
        <v>40</v>
      </c>
    </row>
    <row r="137" spans="1:7" ht="12.75" customHeight="1">
      <c r="A137" s="5"/>
      <c r="B137" s="142"/>
      <c r="C137" s="143"/>
      <c r="E137" s="26"/>
      <c r="F137" s="26"/>
      <c r="G137" s="26"/>
    </row>
    <row r="138" spans="1:7" ht="12.75" customHeight="1">
      <c r="A138" s="5"/>
      <c r="B138" s="125" t="s">
        <v>177</v>
      </c>
      <c r="C138" s="9"/>
      <c r="E138" s="18" t="s">
        <v>1117</v>
      </c>
      <c r="F138" s="18"/>
      <c r="G138" s="132"/>
    </row>
    <row r="139" spans="1:7" ht="12.75" customHeight="1">
      <c r="A139" s="5"/>
      <c r="B139" s="67" t="s">
        <v>1823</v>
      </c>
      <c r="C139" s="129">
        <f>'Facility &amp; Product Information'!E18</f>
        <v>20</v>
      </c>
      <c r="E139" s="18" t="s">
        <v>189</v>
      </c>
      <c r="F139" s="18" t="s">
        <v>186</v>
      </c>
      <c r="G139" s="105" t="s">
        <v>187</v>
      </c>
    </row>
    <row r="140" spans="1:9" ht="12.75" customHeight="1">
      <c r="A140" s="5"/>
      <c r="B140" s="67" t="s">
        <v>184</v>
      </c>
      <c r="C140" s="126">
        <f>C139*MIQP/VCS</f>
        <v>2.5602857215971198</v>
      </c>
      <c r="E140" s="130">
        <v>20000000</v>
      </c>
      <c r="F140" s="131">
        <v>200000</v>
      </c>
      <c r="G140" s="105">
        <v>0</v>
      </c>
      <c r="I140" s="4"/>
    </row>
    <row r="141" spans="1:9" ht="12.75" customHeight="1">
      <c r="A141" s="5"/>
      <c r="B141" s="67" t="s">
        <v>188</v>
      </c>
      <c r="C141" s="8">
        <f>IF(ISERROR($C$27/C140),"N/A",$C$27/C140)</f>
        <v>43332.05116294346</v>
      </c>
      <c r="E141" s="131">
        <v>200000</v>
      </c>
      <c r="F141" s="131">
        <v>150000</v>
      </c>
      <c r="G141" s="105">
        <f>G140+5</f>
        <v>5</v>
      </c>
      <c r="I141" s="4"/>
    </row>
    <row r="142" spans="1:9" ht="12.75" customHeight="1">
      <c r="A142" s="5"/>
      <c r="B142" s="140" t="s">
        <v>175</v>
      </c>
      <c r="C142" s="141">
        <f aca="true" t="array" ref="C142">SUM(IF((C141&gt;=$F$140:$F$144)*(C141&lt;$E$140:$E$144),$G$140:$G$144))</f>
        <v>20</v>
      </c>
      <c r="E142" s="131">
        <v>150000</v>
      </c>
      <c r="F142" s="131">
        <v>100000</v>
      </c>
      <c r="G142" s="105">
        <f>G141+5</f>
        <v>10</v>
      </c>
      <c r="I142" s="4"/>
    </row>
    <row r="143" spans="3:9" ht="12.75" customHeight="1">
      <c r="C143" s="1"/>
      <c r="E143" s="131">
        <v>100000</v>
      </c>
      <c r="F143" s="131">
        <v>50000</v>
      </c>
      <c r="G143" s="105">
        <f>G142+5</f>
        <v>15</v>
      </c>
      <c r="I143" s="4"/>
    </row>
    <row r="144" spans="1:9" ht="12.75" customHeight="1">
      <c r="A144" s="5"/>
      <c r="B144" s="125" t="s">
        <v>176</v>
      </c>
      <c r="C144" s="9"/>
      <c r="E144" s="131">
        <v>50000</v>
      </c>
      <c r="F144" s="131">
        <v>0</v>
      </c>
      <c r="G144" s="105">
        <f>G143+5</f>
        <v>20</v>
      </c>
      <c r="I144" s="4"/>
    </row>
    <row r="145" spans="1:9" ht="12.75" customHeight="1">
      <c r="A145" s="5"/>
      <c r="B145" s="140" t="s">
        <v>1822</v>
      </c>
      <c r="C145" s="141">
        <v>0</v>
      </c>
      <c r="I145" s="4"/>
    </row>
    <row r="146" spans="1:9" ht="12.75" customHeight="1">
      <c r="A146" s="5"/>
      <c r="B146" s="142"/>
      <c r="C146" s="143"/>
      <c r="E146" s="18" t="s">
        <v>445</v>
      </c>
      <c r="F146" s="18"/>
      <c r="G146" s="34">
        <f>(1-POSCA)*('Pollution Costs'!$L$5+'Pollution Costs'!$L$6)</f>
        <v>0</v>
      </c>
      <c r="H146" s="6" t="s">
        <v>1826</v>
      </c>
      <c r="I146" s="4"/>
    </row>
    <row r="147" spans="1:9" ht="12.75" customHeight="1">
      <c r="A147" s="5"/>
      <c r="B147" s="125" t="s">
        <v>180</v>
      </c>
      <c r="C147" s="9"/>
      <c r="E147" s="18" t="s">
        <v>446</v>
      </c>
      <c r="F147" s="18"/>
      <c r="G147" s="34">
        <f>(1-POSCA)*('Pollution Costs'!K13)</f>
        <v>0</v>
      </c>
      <c r="H147" s="6" t="s">
        <v>1827</v>
      </c>
      <c r="I147" s="4"/>
    </row>
    <row r="148" spans="1:9" ht="12.75" customHeight="1">
      <c r="A148" s="5"/>
      <c r="B148" s="67" t="s">
        <v>1372</v>
      </c>
      <c r="C148" s="9">
        <v>0</v>
      </c>
      <c r="E148" s="18" t="s">
        <v>2214</v>
      </c>
      <c r="F148" s="18"/>
      <c r="G148" s="34">
        <v>0</v>
      </c>
      <c r="I148" s="4"/>
    </row>
    <row r="149" spans="1:9" ht="12.75" customHeight="1">
      <c r="A149" s="5"/>
      <c r="B149" s="67" t="s">
        <v>1373</v>
      </c>
      <c r="C149" s="9">
        <v>0</v>
      </c>
      <c r="E149" s="18" t="s">
        <v>1828</v>
      </c>
      <c r="F149" s="18"/>
      <c r="G149" s="34">
        <f>(1-POSCA)*('Pollution Costs'!$H$6)</f>
        <v>0</v>
      </c>
      <c r="I149" s="4"/>
    </row>
    <row r="150" spans="1:9" ht="12.75" customHeight="1">
      <c r="A150" s="5"/>
      <c r="B150" s="67" t="s">
        <v>1374</v>
      </c>
      <c r="C150" s="9">
        <v>0</v>
      </c>
      <c r="E150" s="18" t="s">
        <v>1829</v>
      </c>
      <c r="F150" s="18"/>
      <c r="G150" s="34">
        <f>(1-POSCA)*('Pollution Costs'!$H$5)</f>
        <v>0</v>
      </c>
      <c r="I150" s="266"/>
    </row>
    <row r="151" spans="1:9" ht="12.75" customHeight="1">
      <c r="A151" s="5"/>
      <c r="B151" s="67" t="s">
        <v>1294</v>
      </c>
      <c r="C151" s="9">
        <v>0</v>
      </c>
      <c r="E151" s="176" t="s">
        <v>439</v>
      </c>
      <c r="F151" s="177"/>
      <c r="G151" s="178">
        <f>IF(C68=1,C70,IF(C68=2,NI,IF(C68=3,C94,IF(C68=4,C103,0))))</f>
        <v>0.0099</v>
      </c>
      <c r="I151" s="266"/>
    </row>
    <row r="152" spans="1:9" ht="12.75" customHeight="1">
      <c r="A152" s="5"/>
      <c r="B152" s="67" t="s">
        <v>1295</v>
      </c>
      <c r="C152" s="9">
        <v>0</v>
      </c>
      <c r="E152" s="176" t="s">
        <v>438</v>
      </c>
      <c r="F152" s="177"/>
      <c r="G152" s="178" t="str">
        <f>IF(Scoring!$C$68=1,"MWh",IF(Scoring!$C$68=2,C86,IF(Scoring!$C$68=3,"GGE",IF(Scoring!$C$68=4,0))))</f>
        <v>MWh</v>
      </c>
      <c r="I152" s="266"/>
    </row>
    <row r="153" spans="1:9" ht="12.75" customHeight="1">
      <c r="A153" s="5"/>
      <c r="B153" s="67" t="s">
        <v>1296</v>
      </c>
      <c r="C153" s="9">
        <v>0</v>
      </c>
      <c r="E153" s="176" t="s">
        <v>447</v>
      </c>
      <c r="F153" s="177"/>
      <c r="G153" s="268">
        <f>IF(Scoring!$C$68=3,C96,0)</f>
        <v>0</v>
      </c>
      <c r="I153" s="266"/>
    </row>
    <row r="154" spans="1:9" ht="12.75" customHeight="1">
      <c r="A154" s="5"/>
      <c r="B154" s="140" t="s">
        <v>181</v>
      </c>
      <c r="C154" s="141">
        <f>IF(SUM(C148:C153)&gt;40,40,SUM(C148:C153))</f>
        <v>0</v>
      </c>
      <c r="E154" s="267" t="s">
        <v>444</v>
      </c>
      <c r="F154" s="177"/>
      <c r="G154" s="268">
        <f>0</f>
        <v>0</v>
      </c>
      <c r="I154" s="6"/>
    </row>
    <row r="155" spans="1:9" ht="12.75" customHeight="1">
      <c r="A155" s="5"/>
      <c r="B155" s="67"/>
      <c r="C155" s="9"/>
      <c r="E155" s="176" t="s">
        <v>448</v>
      </c>
      <c r="F155" s="177"/>
      <c r="G155" s="268">
        <f>IF(Scoring!$C$68=1,C70*C73,0)</f>
        <v>0</v>
      </c>
      <c r="I155" s="4"/>
    </row>
    <row r="156" spans="1:9" ht="12.75" customHeight="1">
      <c r="A156" s="5"/>
      <c r="B156" s="125" t="s">
        <v>182</v>
      </c>
      <c r="C156" s="9"/>
      <c r="E156" s="176" t="s">
        <v>449</v>
      </c>
      <c r="F156" s="177"/>
      <c r="G156" s="268">
        <f>IF(Scoring!$C$68=1,C74*C70,0)</f>
        <v>0</v>
      </c>
      <c r="I156" s="4"/>
    </row>
    <row r="157" spans="1:9" ht="12.75" customHeight="1">
      <c r="A157" s="5"/>
      <c r="B157" s="174" t="s">
        <v>1824</v>
      </c>
      <c r="C157" s="199">
        <f>IF(G152="MWh/yr",(G151*G146),IF(G152="GGE/yr",(G151*G147),IF(G152="MMBTU/yr",G151*G148,0)))</f>
        <v>0</v>
      </c>
      <c r="I157" s="4"/>
    </row>
    <row r="158" spans="1:9" ht="12.75" customHeight="1">
      <c r="A158" s="5"/>
      <c r="B158" s="174" t="s">
        <v>1825</v>
      </c>
      <c r="C158" s="199">
        <f>-(G153*G146+G154*G147+G155*G149+G156*G150)</f>
        <v>0</v>
      </c>
      <c r="I158" s="4"/>
    </row>
    <row r="159" spans="1:9" ht="12.75" customHeight="1">
      <c r="A159" s="5"/>
      <c r="B159" s="174" t="s">
        <v>2302</v>
      </c>
      <c r="C159" s="199">
        <f>-PV(G66,ULOP,(C157-C158))</f>
        <v>0</v>
      </c>
      <c r="I159" s="4"/>
    </row>
    <row r="160" spans="1:9" ht="12.75" customHeight="1">
      <c r="A160" s="5"/>
      <c r="B160" s="67" t="s">
        <v>450</v>
      </c>
      <c r="C160" s="299">
        <f>-PV(G66,WALS,(C159*AS*MIU))</f>
        <v>0</v>
      </c>
      <c r="I160" s="4"/>
    </row>
    <row r="161" spans="1:9" ht="12.75" customHeight="1">
      <c r="A161" s="5"/>
      <c r="B161" s="140" t="s">
        <v>1330</v>
      </c>
      <c r="C161" s="175">
        <f>IF(((C160/C27)*1000)/2&gt;40,40,IF(((C160/C27)*1000)/2&lt;0,0,((C160/C27)*1000)/2))</f>
        <v>0</v>
      </c>
      <c r="I161" s="4"/>
    </row>
    <row r="162" spans="1:9" ht="12.75" customHeight="1">
      <c r="A162" s="5"/>
      <c r="I162" s="4"/>
    </row>
    <row r="163" spans="1:9" ht="12.75" customHeight="1">
      <c r="A163" s="5"/>
      <c r="B163" s="124" t="s">
        <v>1332</v>
      </c>
      <c r="C163" s="128">
        <f>C161+C154+C145+C142+C136+C130</f>
        <v>20</v>
      </c>
      <c r="I163" s="4"/>
    </row>
    <row r="164" spans="1:9" ht="12.75" customHeight="1">
      <c r="A164" s="5"/>
      <c r="B164" s="63"/>
      <c r="C164" s="126"/>
      <c r="I164" s="4"/>
    </row>
    <row r="165" spans="1:9" ht="12.75" customHeight="1">
      <c r="A165" s="5"/>
      <c r="B165" s="124" t="s">
        <v>179</v>
      </c>
      <c r="C165" s="128">
        <f>IF(C163&lt;200,C163,200)</f>
        <v>20</v>
      </c>
      <c r="I165" s="4"/>
    </row>
    <row r="166" spans="1:9" ht="12.75" customHeight="1">
      <c r="A166" s="5"/>
      <c r="B166" s="124"/>
      <c r="C166" s="128"/>
      <c r="I166" s="4"/>
    </row>
    <row r="167" spans="1:9" ht="12.75" customHeight="1">
      <c r="A167" s="6"/>
      <c r="B167" s="65" t="s">
        <v>1588</v>
      </c>
      <c r="C167" s="66">
        <f>C165+C124</f>
        <v>2080.168341444464</v>
      </c>
      <c r="I167" s="4"/>
    </row>
    <row r="168" spans="2:9" ht="12.75">
      <c r="B168" s="190"/>
      <c r="C168" s="190"/>
      <c r="I168" s="4"/>
    </row>
    <row r="169" spans="2:9" ht="12.75">
      <c r="B169" s="190"/>
      <c r="C169" s="190"/>
      <c r="I169" s="4"/>
    </row>
    <row r="170" ht="12.75">
      <c r="I170" s="4"/>
    </row>
    <row r="171" spans="3:9" ht="12.75">
      <c r="C171" s="1"/>
      <c r="D171" s="1"/>
      <c r="I171" s="4"/>
    </row>
    <row r="172" spans="3:9" ht="12.75">
      <c r="C172" s="1"/>
      <c r="D172" s="1"/>
      <c r="I172" s="4"/>
    </row>
    <row r="173" spans="3:9" ht="12.75">
      <c r="C173" s="1"/>
      <c r="D173" s="1"/>
      <c r="I173" s="4"/>
    </row>
    <row r="174" spans="3:9" ht="12.75">
      <c r="C174" s="1"/>
      <c r="D174" s="1"/>
      <c r="I174" s="4"/>
    </row>
    <row r="175" spans="3:9" ht="12.75">
      <c r="C175" s="1"/>
      <c r="D175" s="1"/>
      <c r="I175" s="4"/>
    </row>
    <row r="176" spans="3:9" ht="12.75">
      <c r="C176" s="1"/>
      <c r="D176" s="1"/>
      <c r="I176" s="4"/>
    </row>
    <row r="177" spans="3:9" ht="12.75">
      <c r="C177" s="1"/>
      <c r="D177" s="1"/>
      <c r="I177" s="4"/>
    </row>
    <row r="178" spans="3:9" ht="12.75">
      <c r="C178" s="1"/>
      <c r="D178" s="1"/>
      <c r="I178" s="4"/>
    </row>
    <row r="179" spans="2:9" ht="12.75">
      <c r="B179" s="190"/>
      <c r="C179" s="190"/>
      <c r="I179" s="4"/>
    </row>
    <row r="180" spans="2:9" ht="12.75">
      <c r="B180" s="190"/>
      <c r="C180" s="190"/>
      <c r="I180" s="4"/>
    </row>
    <row r="181" spans="2:9" ht="12.75">
      <c r="B181" s="190"/>
      <c r="C181" s="190"/>
      <c r="I181" s="4"/>
    </row>
    <row r="182" spans="2:9" ht="12.75">
      <c r="B182" s="190"/>
      <c r="C182" s="190"/>
      <c r="I182" s="4"/>
    </row>
    <row r="183" spans="2:9" ht="12.75">
      <c r="B183" s="190"/>
      <c r="C183" s="190"/>
      <c r="G183" s="1" t="s">
        <v>115</v>
      </c>
      <c r="I183" s="4"/>
    </row>
    <row r="184" spans="3:9" ht="12.75">
      <c r="C184" s="190"/>
      <c r="I184" s="4"/>
    </row>
    <row r="185" spans="3:9" ht="12.75">
      <c r="C185" s="190"/>
      <c r="I185" s="4"/>
    </row>
    <row r="186" spans="2:9" ht="12.75">
      <c r="B186" s="190"/>
      <c r="C186" s="190"/>
      <c r="I186" s="4"/>
    </row>
    <row r="187" spans="2:9" ht="12.75">
      <c r="B187" s="190"/>
      <c r="C187" s="190"/>
      <c r="I187" s="4"/>
    </row>
    <row r="188" spans="2:9" ht="12.75">
      <c r="B188" s="190"/>
      <c r="C188" s="190"/>
      <c r="I188" s="4"/>
    </row>
    <row r="189" spans="2:9" ht="12.75">
      <c r="B189" s="190"/>
      <c r="C189" s="190"/>
      <c r="I189" s="4"/>
    </row>
    <row r="190" spans="2:9" ht="12.75">
      <c r="B190" s="190"/>
      <c r="C190" s="190"/>
      <c r="I190" s="4"/>
    </row>
    <row r="191" spans="2:9" ht="12.75">
      <c r="B191" s="190"/>
      <c r="C191" s="190"/>
      <c r="I191" s="4"/>
    </row>
    <row r="192" spans="2:9" ht="12.75">
      <c r="B192" s="190"/>
      <c r="C192" s="190"/>
      <c r="I192" s="4"/>
    </row>
    <row r="193" ht="12.75">
      <c r="I193" s="4"/>
    </row>
    <row r="194" ht="12.75">
      <c r="I194" s="4"/>
    </row>
    <row r="195" ht="12.75">
      <c r="I195" s="4"/>
    </row>
    <row r="196" ht="12.75">
      <c r="I196" s="4"/>
    </row>
    <row r="197" ht="12.75">
      <c r="I197" s="4"/>
    </row>
    <row r="198" ht="12.75">
      <c r="I198" s="4"/>
    </row>
    <row r="199" ht="12.75">
      <c r="I199" s="4"/>
    </row>
    <row r="200" spans="7:9" ht="12.75">
      <c r="G200" s="6"/>
      <c r="I200" s="4"/>
    </row>
    <row r="201" ht="12.75">
      <c r="I201" s="4"/>
    </row>
    <row r="202" ht="12.75">
      <c r="I202" s="4"/>
    </row>
    <row r="203" ht="12.75">
      <c r="I203" s="4"/>
    </row>
    <row r="204" ht="12.75">
      <c r="I204" s="4"/>
    </row>
    <row r="205" ht="12.75">
      <c r="I205" s="6"/>
    </row>
    <row r="214" ht="12.75">
      <c r="A214" s="6"/>
    </row>
    <row r="236" ht="12.75">
      <c r="A236" s="191" t="s">
        <v>1579</v>
      </c>
    </row>
    <row r="237" ht="12.75">
      <c r="A237" s="191"/>
    </row>
    <row r="238" ht="12.75">
      <c r="A238" s="192" t="s">
        <v>1313</v>
      </c>
    </row>
    <row r="239" ht="12.75">
      <c r="A239" s="193" t="s">
        <v>669</v>
      </c>
    </row>
    <row r="240" ht="12.75">
      <c r="A240" s="193" t="s">
        <v>1314</v>
      </c>
    </row>
    <row r="241" ht="12.75">
      <c r="A241" s="193" t="s">
        <v>1312</v>
      </c>
    </row>
    <row r="242" ht="12.75">
      <c r="A242" s="193" t="s">
        <v>1608</v>
      </c>
    </row>
    <row r="244" ht="12.75">
      <c r="A244" s="194"/>
    </row>
    <row r="245" ht="12.75">
      <c r="A245" s="192" t="s">
        <v>1315</v>
      </c>
    </row>
    <row r="246" ht="12.75">
      <c r="A246" s="194" t="s">
        <v>1316</v>
      </c>
    </row>
    <row r="247" ht="12.75">
      <c r="A247" s="194" t="s">
        <v>1317</v>
      </c>
    </row>
    <row r="248" ht="12.75">
      <c r="A248" s="194"/>
    </row>
    <row r="249" ht="12.75">
      <c r="A249" s="192" t="s">
        <v>1320</v>
      </c>
    </row>
    <row r="250" ht="12.75">
      <c r="A250" s="195" t="s">
        <v>611</v>
      </c>
    </row>
    <row r="251" ht="12.75">
      <c r="A251" s="195" t="s">
        <v>612</v>
      </c>
    </row>
    <row r="252" ht="12.75">
      <c r="A252" s="195" t="s">
        <v>2211</v>
      </c>
    </row>
    <row r="253" ht="12.75">
      <c r="A253" s="194"/>
    </row>
    <row r="254" ht="12.75">
      <c r="A254" s="191" t="s">
        <v>1362</v>
      </c>
    </row>
    <row r="255" ht="12.75">
      <c r="A255" s="193" t="s">
        <v>1358</v>
      </c>
    </row>
    <row r="256" ht="12.75">
      <c r="A256" s="193" t="s">
        <v>1359</v>
      </c>
    </row>
    <row r="257" ht="12.75">
      <c r="A257" s="193" t="s">
        <v>1360</v>
      </c>
    </row>
    <row r="258" ht="12.75">
      <c r="A258" s="193" t="s">
        <v>1361</v>
      </c>
    </row>
    <row r="259" ht="12.75">
      <c r="A259" s="193" t="s">
        <v>1608</v>
      </c>
    </row>
    <row r="261" ht="12.75">
      <c r="A261" s="192" t="s">
        <v>1382</v>
      </c>
    </row>
    <row r="262" ht="12.75">
      <c r="A262" s="195" t="s">
        <v>1338</v>
      </c>
    </row>
    <row r="263" ht="12.75">
      <c r="A263" s="195" t="s">
        <v>612</v>
      </c>
    </row>
    <row r="264" ht="12.75">
      <c r="A264" s="195" t="s">
        <v>1339</v>
      </c>
    </row>
    <row r="266" ht="12.75">
      <c r="A266" s="335" t="s">
        <v>1137</v>
      </c>
    </row>
    <row r="267" ht="12.75">
      <c r="A267" s="334" t="s">
        <v>1138</v>
      </c>
    </row>
    <row r="268" ht="12.75">
      <c r="A268" s="334" t="s">
        <v>1139</v>
      </c>
    </row>
    <row r="269" ht="12.75">
      <c r="A269" s="334" t="s">
        <v>1140</v>
      </c>
    </row>
    <row r="270" ht="12.75">
      <c r="A270" s="334" t="s">
        <v>1608</v>
      </c>
    </row>
  </sheetData>
  <sheetProtection password="E6A0" sheet="1" objects="1" scenarios="1" formatCells="0" formatColumns="0" formatRows="0"/>
  <conditionalFormatting sqref="B163:B167 B119:B121 B124:B125">
    <cfRule type="cellIs" priority="1" dxfId="0" operator="equal" stopIfTrue="1">
      <formula>"$C$40=""No"""</formula>
    </cfRule>
  </conditionalFormatting>
  <dataValidations count="1">
    <dataValidation type="list" allowBlank="1" showInputMessage="1" showErrorMessage="1" sqref="C10">
      <formula1>Project_types</formula1>
    </dataValidation>
  </dataValidations>
  <printOptions horizontalCentered="1"/>
  <pageMargins left="0.5905511811023623" right="0.5905511811023623" top="0.3937007874015748" bottom="0.3937007874015748" header="0.5118110236220472" footer="0.5118110236220472"/>
  <pageSetup fitToHeight="5" horizontalDpi="600" verticalDpi="600" orientation="landscape" scale="60" r:id="rId1"/>
  <rowBreaks count="2" manualBreakCount="2">
    <brk id="57" max="7" man="1"/>
    <brk id="125" max="7" man="1"/>
  </rowBreaks>
</worksheet>
</file>

<file path=xl/worksheets/sheet8.xml><?xml version="1.0" encoding="utf-8"?>
<worksheet xmlns="http://schemas.openxmlformats.org/spreadsheetml/2006/main" xmlns:r="http://schemas.openxmlformats.org/officeDocument/2006/relationships">
  <dimension ref="A1:R39"/>
  <sheetViews>
    <sheetView showGridLines="0" zoomScalePageLayoutView="0" workbookViewId="0" topLeftCell="A1">
      <selection activeCell="K14" sqref="K14"/>
    </sheetView>
  </sheetViews>
  <sheetFormatPr defaultColWidth="9.140625" defaultRowHeight="12.75"/>
  <cols>
    <col min="1" max="1" width="3.140625" style="0" customWidth="1"/>
    <col min="2" max="2" width="24.421875" style="0" customWidth="1"/>
    <col min="3" max="3" width="12.8515625" style="0" customWidth="1"/>
    <col min="4" max="4" width="11.7109375" style="0" customWidth="1"/>
    <col min="5" max="5" width="0.85546875" style="0" customWidth="1"/>
    <col min="6" max="6" width="10.421875" style="0" customWidth="1"/>
    <col min="7" max="7" width="12.8515625" style="0" customWidth="1"/>
    <col min="8" max="8" width="11.00390625" style="0" customWidth="1"/>
    <col min="10" max="10" width="9.7109375" style="0" customWidth="1"/>
    <col min="11" max="11" width="9.57421875" style="0" customWidth="1"/>
    <col min="14" max="14" width="11.28125" style="26" customWidth="1"/>
    <col min="15" max="15" width="16.00390625" style="26" bestFit="1" customWidth="1"/>
    <col min="16" max="18" width="9.140625" style="26" customWidth="1"/>
  </cols>
  <sheetData>
    <row r="1" spans="1:18" ht="12.75">
      <c r="A1" s="71" t="s">
        <v>455</v>
      </c>
      <c r="Q1" s="24"/>
      <c r="R1" s="24"/>
    </row>
    <row r="2" spans="1:18" ht="13.5" thickBot="1">
      <c r="A2" s="14" t="s">
        <v>2215</v>
      </c>
      <c r="B2" s="16"/>
      <c r="C2" s="16"/>
      <c r="D2" s="16"/>
      <c r="E2" s="16"/>
      <c r="F2" s="16"/>
      <c r="G2" s="16"/>
      <c r="H2" s="16"/>
      <c r="I2" s="16"/>
      <c r="J2" s="16"/>
      <c r="K2" s="16"/>
      <c r="L2" s="16"/>
      <c r="Q2" s="25"/>
      <c r="R2" s="25"/>
    </row>
    <row r="3" spans="2:11" ht="13.5" thickTop="1">
      <c r="B3" s="17" t="s">
        <v>1595</v>
      </c>
      <c r="C3" s="3"/>
      <c r="D3" s="3"/>
      <c r="E3" s="3"/>
      <c r="J3" s="46" t="s">
        <v>1593</v>
      </c>
      <c r="K3" s="3"/>
    </row>
    <row r="4" spans="2:12" ht="12.75">
      <c r="B4" s="13" t="s">
        <v>1615</v>
      </c>
      <c r="C4" s="13" t="s">
        <v>1602</v>
      </c>
      <c r="D4" s="13" t="s">
        <v>1601</v>
      </c>
      <c r="E4" s="13"/>
      <c r="F4" s="13" t="s">
        <v>1618</v>
      </c>
      <c r="G4" s="13" t="s">
        <v>1599</v>
      </c>
      <c r="H4" s="13" t="s">
        <v>1596</v>
      </c>
      <c r="I4" s="28"/>
      <c r="J4" s="19"/>
      <c r="K4" s="21" t="s">
        <v>1616</v>
      </c>
      <c r="L4" s="21" t="s">
        <v>1617</v>
      </c>
    </row>
    <row r="5" spans="2:12" ht="12.75">
      <c r="B5" s="19" t="s">
        <v>1304</v>
      </c>
      <c r="C5" s="36">
        <v>0.34</v>
      </c>
      <c r="D5" s="36">
        <v>2.06</v>
      </c>
      <c r="E5" s="13"/>
      <c r="F5" s="37">
        <v>260</v>
      </c>
      <c r="G5" s="43">
        <v>2000</v>
      </c>
      <c r="H5" s="38">
        <f>F5/G5</f>
        <v>0.13</v>
      </c>
      <c r="I5" s="12"/>
      <c r="J5" s="19" t="s">
        <v>1304</v>
      </c>
      <c r="K5" s="40">
        <f>$H5*C5</f>
        <v>0.0442</v>
      </c>
      <c r="L5" s="40">
        <f>$H5*D5</f>
        <v>0.26780000000000004</v>
      </c>
    </row>
    <row r="6" spans="2:12" ht="12.75">
      <c r="B6" s="19" t="s">
        <v>1619</v>
      </c>
      <c r="C6" s="36">
        <v>0.13</v>
      </c>
      <c r="D6" s="36">
        <v>5.48</v>
      </c>
      <c r="E6" s="13"/>
      <c r="F6" s="37">
        <v>1310</v>
      </c>
      <c r="G6" s="43">
        <v>2000</v>
      </c>
      <c r="H6" s="38">
        <f>F6/G6</f>
        <v>0.655</v>
      </c>
      <c r="I6" s="12"/>
      <c r="J6" s="19" t="s">
        <v>1619</v>
      </c>
      <c r="K6" s="40">
        <f>$H6*C6</f>
        <v>0.08515</v>
      </c>
      <c r="L6" s="40">
        <f>$H6*D6</f>
        <v>3.5894000000000004</v>
      </c>
    </row>
    <row r="7" spans="2:12" ht="12.75">
      <c r="B7" s="19" t="s">
        <v>1620</v>
      </c>
      <c r="C7" s="39">
        <v>700.4</v>
      </c>
      <c r="D7" s="39">
        <v>1361.9</v>
      </c>
      <c r="E7" s="13"/>
      <c r="F7" s="37">
        <v>12.4</v>
      </c>
      <c r="G7" s="43">
        <v>2000</v>
      </c>
      <c r="H7" s="38">
        <f>F7/G7</f>
        <v>0.0062</v>
      </c>
      <c r="I7" s="12"/>
      <c r="J7" s="19" t="s">
        <v>1620</v>
      </c>
      <c r="K7" s="40">
        <f>H7*C7</f>
        <v>4.34248</v>
      </c>
      <c r="L7" s="40">
        <f>H7*D7</f>
        <v>8.44378</v>
      </c>
    </row>
    <row r="8" spans="5:12" ht="12.75">
      <c r="E8" s="13"/>
      <c r="J8" s="31" t="s">
        <v>1610</v>
      </c>
      <c r="K8" s="38">
        <f>SUM(K5:K7)</f>
        <v>4.47183</v>
      </c>
      <c r="L8" s="38">
        <f>SUM(L5:L7)</f>
        <v>12.300980000000001</v>
      </c>
    </row>
    <row r="9" spans="9:12" ht="12.75">
      <c r="I9" s="1"/>
      <c r="J9" s="41"/>
      <c r="K9" s="41"/>
      <c r="L9" s="41"/>
    </row>
    <row r="10" spans="1:13" ht="13.5" thickBot="1">
      <c r="A10" s="14" t="s">
        <v>1597</v>
      </c>
      <c r="B10" s="16"/>
      <c r="C10" s="16"/>
      <c r="D10" s="16"/>
      <c r="E10" s="16"/>
      <c r="F10" s="16"/>
      <c r="G10" s="16"/>
      <c r="H10" s="16"/>
      <c r="I10" s="35"/>
      <c r="J10" s="42"/>
      <c r="K10" s="42"/>
      <c r="L10" s="42"/>
      <c r="M10" s="26"/>
    </row>
    <row r="11" spans="2:11" ht="13.5" thickTop="1">
      <c r="B11" s="17" t="s">
        <v>1595</v>
      </c>
      <c r="C11" s="3"/>
      <c r="F11" s="3"/>
      <c r="J11" s="46" t="s">
        <v>1604</v>
      </c>
      <c r="K11" s="41"/>
    </row>
    <row r="12" spans="2:11" ht="12.75">
      <c r="B12" s="13" t="s">
        <v>1615</v>
      </c>
      <c r="C12" s="13" t="s">
        <v>1598</v>
      </c>
      <c r="F12" s="13" t="s">
        <v>1618</v>
      </c>
      <c r="G12" s="13" t="s">
        <v>1600</v>
      </c>
      <c r="H12" s="13" t="s">
        <v>1603</v>
      </c>
      <c r="I12" s="1"/>
      <c r="J12" s="19"/>
      <c r="K12" s="21" t="s">
        <v>1606</v>
      </c>
    </row>
    <row r="13" spans="2:11" ht="12.75">
      <c r="B13" s="19" t="s">
        <v>1305</v>
      </c>
      <c r="C13" s="36">
        <v>3.42</v>
      </c>
      <c r="F13" s="45">
        <v>500</v>
      </c>
      <c r="G13" s="43">
        <f>(1000/2.2)*2000</f>
        <v>909090.9090909091</v>
      </c>
      <c r="H13" s="44">
        <f>F13/G13</f>
        <v>0.00055</v>
      </c>
      <c r="I13" s="1"/>
      <c r="J13" s="19" t="s">
        <v>1305</v>
      </c>
      <c r="K13" s="69">
        <f>C13*H13</f>
        <v>0.001881</v>
      </c>
    </row>
    <row r="14" spans="3:11" ht="12.75">
      <c r="C14" s="13" t="s">
        <v>1605</v>
      </c>
      <c r="F14" s="13" t="s">
        <v>1618</v>
      </c>
      <c r="G14" s="13" t="s">
        <v>1599</v>
      </c>
      <c r="H14" s="13" t="s">
        <v>1596</v>
      </c>
      <c r="J14" s="47" t="s">
        <v>1620</v>
      </c>
      <c r="K14" s="70">
        <f>H15*C15</f>
        <v>0.12027999999999998</v>
      </c>
    </row>
    <row r="15" spans="2:11" ht="12.75">
      <c r="B15" s="19" t="s">
        <v>1620</v>
      </c>
      <c r="C15" s="36">
        <v>19.4</v>
      </c>
      <c r="F15" s="37">
        <f>F7</f>
        <v>12.4</v>
      </c>
      <c r="G15" s="43">
        <v>2000</v>
      </c>
      <c r="H15" s="38">
        <f>F15/G15</f>
        <v>0.0062</v>
      </c>
      <c r="J15" s="47" t="s">
        <v>1610</v>
      </c>
      <c r="K15" s="70">
        <f>SUM(K13:K14)</f>
        <v>0.12216099999999998</v>
      </c>
    </row>
    <row r="16" spans="8:11" ht="12.75">
      <c r="H16" s="1"/>
      <c r="I16" s="41"/>
      <c r="J16" s="41"/>
      <c r="K16" s="41"/>
    </row>
    <row r="17" spans="8:11" ht="12.75">
      <c r="H17" s="1"/>
      <c r="I17" s="41"/>
      <c r="J17" s="41"/>
      <c r="K17" s="41"/>
    </row>
    <row r="18" spans="1:12" ht="13.5" thickBot="1">
      <c r="A18" s="14" t="s">
        <v>2207</v>
      </c>
      <c r="B18" s="16"/>
      <c r="C18" s="16"/>
      <c r="D18" s="16"/>
      <c r="E18" s="16"/>
      <c r="F18" s="16"/>
      <c r="G18" s="16"/>
      <c r="H18" s="35"/>
      <c r="I18" s="42"/>
      <c r="J18" s="42"/>
      <c r="K18" s="42"/>
      <c r="L18" s="16"/>
    </row>
    <row r="19" spans="3:11" ht="13.5" thickTop="1">
      <c r="C19" s="71" t="s">
        <v>2208</v>
      </c>
      <c r="F19" s="13" t="s">
        <v>1618</v>
      </c>
      <c r="G19" s="13" t="s">
        <v>1599</v>
      </c>
      <c r="H19" s="13" t="s">
        <v>1596</v>
      </c>
      <c r="I19" s="41"/>
      <c r="J19" s="46" t="s">
        <v>2209</v>
      </c>
      <c r="K19" s="41"/>
    </row>
    <row r="20" spans="2:11" ht="12.75">
      <c r="B20" s="19" t="s">
        <v>1620</v>
      </c>
      <c r="C20" s="39">
        <v>117</v>
      </c>
      <c r="F20" s="37">
        <f>F7</f>
        <v>12.4</v>
      </c>
      <c r="G20" s="43">
        <v>2000</v>
      </c>
      <c r="H20" s="38">
        <f>F20/G20</f>
        <v>0.0062</v>
      </c>
      <c r="I20" s="41"/>
      <c r="J20" s="47" t="s">
        <v>1620</v>
      </c>
      <c r="K20" s="70">
        <f>H20*C20</f>
        <v>0.7253999999999999</v>
      </c>
    </row>
    <row r="21" spans="8:11" ht="12.75">
      <c r="H21" s="1"/>
      <c r="I21" s="41"/>
      <c r="J21" s="41"/>
      <c r="K21" s="41"/>
    </row>
    <row r="22" spans="8:11" ht="12.75">
      <c r="H22" s="1"/>
      <c r="I22" s="41"/>
      <c r="J22" s="41"/>
      <c r="K22" s="41"/>
    </row>
    <row r="23" spans="8:11" ht="12.75">
      <c r="H23" s="1"/>
      <c r="I23" s="41"/>
      <c r="J23" s="41"/>
      <c r="K23" s="41"/>
    </row>
    <row r="24" spans="8:11" ht="12.75">
      <c r="H24" s="1"/>
      <c r="I24" s="41"/>
      <c r="J24" s="41"/>
      <c r="K24" s="41"/>
    </row>
    <row r="25" spans="1:11" ht="12.75">
      <c r="A25" s="1"/>
      <c r="H25" s="1"/>
      <c r="I25" s="41"/>
      <c r="J25" s="41"/>
      <c r="K25" s="41"/>
    </row>
    <row r="26" spans="8:11" ht="12.75">
      <c r="H26" s="1"/>
      <c r="I26" s="41"/>
      <c r="J26" s="41"/>
      <c r="K26" s="41"/>
    </row>
    <row r="27" spans="8:11" ht="12.75">
      <c r="H27" s="1"/>
      <c r="I27" s="41"/>
      <c r="J27" s="41"/>
      <c r="K27" s="41"/>
    </row>
    <row r="29" spans="8:10" ht="12.75">
      <c r="H29" s="12"/>
      <c r="I29" s="12"/>
      <c r="J29" s="12"/>
    </row>
    <row r="30" spans="8:10" ht="12.75">
      <c r="H30" s="12"/>
      <c r="I30" s="12"/>
      <c r="J30" s="12"/>
    </row>
    <row r="31" spans="8:10" ht="12.75">
      <c r="H31" s="12"/>
      <c r="I31" s="12"/>
      <c r="J31" s="12"/>
    </row>
    <row r="32" spans="6:8" ht="12.75">
      <c r="F32" s="12"/>
      <c r="G32" s="12"/>
      <c r="H32" s="12"/>
    </row>
    <row r="34" spans="3:4" ht="12.75">
      <c r="C34" s="12"/>
      <c r="D34" s="12"/>
    </row>
    <row r="35" spans="3:4" ht="12.75">
      <c r="C35" s="12"/>
      <c r="D35" s="12"/>
    </row>
    <row r="36" spans="2:4" ht="12.75">
      <c r="B36" s="7"/>
      <c r="C36" s="12"/>
      <c r="D36" s="12"/>
    </row>
    <row r="39" spans="3:4" ht="12.75">
      <c r="C39" s="12"/>
      <c r="D39" s="12"/>
    </row>
  </sheetData>
  <sheetProtection formatCells="0" formatColumns="0" formatRows="0"/>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M1780"/>
  <sheetViews>
    <sheetView showGridLines="0" zoomScalePageLayoutView="0" workbookViewId="0" topLeftCell="A554">
      <selection activeCell="J5" sqref="J5:J6"/>
    </sheetView>
  </sheetViews>
  <sheetFormatPr defaultColWidth="9.140625" defaultRowHeight="12.75"/>
  <cols>
    <col min="1" max="1" width="35.7109375" style="144" bestFit="1" customWidth="1"/>
    <col min="2" max="2" width="19.7109375" style="144" customWidth="1"/>
    <col min="3" max="3" width="35.7109375" style="144" customWidth="1"/>
    <col min="4" max="4" width="19.140625" style="11" bestFit="1" customWidth="1"/>
    <col min="5" max="5" width="19.140625" style="11" customWidth="1"/>
    <col min="6" max="6" width="16.7109375" style="11" customWidth="1"/>
    <col min="7" max="7" width="14.7109375" style="11" bestFit="1" customWidth="1"/>
    <col min="8" max="8" width="28.7109375" style="11" customWidth="1"/>
    <col min="9" max="9" width="15.421875" style="11" bestFit="1" customWidth="1"/>
    <col min="10" max="10" width="15.140625" style="11" bestFit="1" customWidth="1"/>
    <col min="11" max="11" width="14.57421875" style="11" bestFit="1" customWidth="1"/>
    <col min="12" max="12" width="17.28125" style="11" bestFit="1" customWidth="1"/>
    <col min="13" max="13" width="9.00390625" style="229" customWidth="1"/>
    <col min="14" max="14" width="9.140625" style="11" customWidth="1"/>
    <col min="15" max="15" width="26.28125" style="11" bestFit="1" customWidth="1"/>
    <col min="16" max="16384" width="9.140625" style="11" customWidth="1"/>
  </cols>
  <sheetData>
    <row r="1" ht="15">
      <c r="A1" s="71" t="s">
        <v>455</v>
      </c>
    </row>
    <row r="2" ht="15">
      <c r="A2" s="71"/>
    </row>
    <row r="3" ht="15.75">
      <c r="A3" s="78" t="s">
        <v>1297</v>
      </c>
    </row>
    <row r="5" spans="1:10" ht="15.75">
      <c r="A5" s="78" t="s">
        <v>1298</v>
      </c>
      <c r="B5" s="78"/>
      <c r="C5" s="78"/>
      <c r="D5" s="78"/>
      <c r="E5" s="78"/>
      <c r="F5" s="78"/>
      <c r="G5" s="78" t="s">
        <v>1567</v>
      </c>
      <c r="I5" s="78"/>
      <c r="J5" s="78" t="s">
        <v>1029</v>
      </c>
    </row>
    <row r="6" spans="1:13" s="145" customFormat="1" ht="16.5" thickBot="1">
      <c r="A6" s="155" t="s">
        <v>672</v>
      </c>
      <c r="B6" s="146"/>
      <c r="C6" s="146"/>
      <c r="D6" s="154"/>
      <c r="E6" s="154"/>
      <c r="F6" s="154"/>
      <c r="G6" s="154" t="s">
        <v>1568</v>
      </c>
      <c r="I6" s="154"/>
      <c r="J6" s="154" t="s">
        <v>1091</v>
      </c>
      <c r="M6" s="230"/>
    </row>
    <row r="7" spans="1:11" s="147" customFormat="1" ht="26.25" customHeight="1" thickBot="1">
      <c r="A7" s="148" t="s">
        <v>613</v>
      </c>
      <c r="B7" s="149" t="s">
        <v>673</v>
      </c>
      <c r="C7" s="149" t="str">
        <f aca="true" t="shared" si="0" ref="C7:C70">A7&amp;" - "&amp;B7</f>
        <v>City - County</v>
      </c>
      <c r="D7" s="222" t="s">
        <v>1089</v>
      </c>
      <c r="E7" s="221" t="s">
        <v>1090</v>
      </c>
      <c r="G7" s="162" t="s">
        <v>1299</v>
      </c>
      <c r="H7" s="339" t="s">
        <v>1300</v>
      </c>
      <c r="I7" s="150"/>
      <c r="J7" s="226" t="s">
        <v>673</v>
      </c>
      <c r="K7" s="340" t="s">
        <v>1088</v>
      </c>
    </row>
    <row r="8" spans="1:13" ht="12.75">
      <c r="A8" s="156" t="s">
        <v>674</v>
      </c>
      <c r="B8" s="157" t="s">
        <v>675</v>
      </c>
      <c r="C8" s="117" t="str">
        <f t="shared" si="0"/>
        <v>Acampo - San Joaquin</v>
      </c>
      <c r="D8" s="223">
        <f aca="true" t="shared" si="1" ref="D8:D71">VLOOKUP(B8,unemployment_rates,2,FALSE)</f>
        <v>0.17300000000000001</v>
      </c>
      <c r="E8" s="224">
        <f>VLOOKUP(B8,Prop_Tax_Rates,2,FALSE)</f>
        <v>0.01113</v>
      </c>
      <c r="G8" s="337" t="s">
        <v>443</v>
      </c>
      <c r="H8" s="338">
        <v>0.12191666666666669</v>
      </c>
      <c r="J8" s="151"/>
      <c r="K8" s="227"/>
      <c r="L8" s="117"/>
      <c r="M8" s="11"/>
    </row>
    <row r="9" spans="1:13" ht="12.75">
      <c r="A9" s="158" t="s">
        <v>676</v>
      </c>
      <c r="B9" s="157" t="s">
        <v>677</v>
      </c>
      <c r="C9" s="117" t="str">
        <f t="shared" si="0"/>
        <v>Acton - Los Angeles</v>
      </c>
      <c r="D9" s="223">
        <f t="shared" si="1"/>
        <v>0.12533333333333332</v>
      </c>
      <c r="E9" s="224">
        <f>VLOOKUP(B9,Prop_Tax_Rates,2,FALSE)</f>
        <v>0.01168</v>
      </c>
      <c r="G9" s="151" t="s">
        <v>1030</v>
      </c>
      <c r="H9" s="231">
        <v>0.10916666666666666</v>
      </c>
      <c r="J9" s="151" t="s">
        <v>1030</v>
      </c>
      <c r="K9" s="227">
        <v>0.011890000000000001</v>
      </c>
      <c r="L9" s="117"/>
      <c r="M9" s="11"/>
    </row>
    <row r="10" spans="1:13" ht="12.75">
      <c r="A10" s="158" t="s">
        <v>678</v>
      </c>
      <c r="B10" s="157" t="s">
        <v>679</v>
      </c>
      <c r="C10" s="117" t="str">
        <f t="shared" si="0"/>
        <v>Adelaida - San Luis Obispo</v>
      </c>
      <c r="D10" s="223">
        <f t="shared" si="1"/>
        <v>0.099</v>
      </c>
      <c r="E10" s="224">
        <f aca="true" t="shared" si="2" ref="E10:E71">VLOOKUP(B10,Prop_Tax_Rates,2,FALSE)</f>
        <v>0.01039</v>
      </c>
      <c r="G10" s="151" t="s">
        <v>1031</v>
      </c>
      <c r="H10" s="231">
        <v>0.16133333333333333</v>
      </c>
      <c r="J10" s="151" t="s">
        <v>1031</v>
      </c>
      <c r="K10" s="227">
        <v>0.01</v>
      </c>
      <c r="L10" s="117"/>
      <c r="M10" s="11"/>
    </row>
    <row r="11" spans="1:13" ht="12.75">
      <c r="A11" s="158" t="s">
        <v>680</v>
      </c>
      <c r="B11" s="157" t="s">
        <v>681</v>
      </c>
      <c r="C11" s="117" t="str">
        <f t="shared" si="0"/>
        <v>Adelanto - San Bernardino</v>
      </c>
      <c r="D11" s="223">
        <f t="shared" si="1"/>
        <v>0.13891666666666666</v>
      </c>
      <c r="E11" s="224">
        <f t="shared" si="2"/>
        <v>0.01134</v>
      </c>
      <c r="G11" s="151" t="s">
        <v>1032</v>
      </c>
      <c r="H11" s="231">
        <v>0.13091666666666668</v>
      </c>
      <c r="J11" s="151" t="s">
        <v>1032</v>
      </c>
      <c r="K11" s="227">
        <v>0.01015</v>
      </c>
      <c r="L11" s="117"/>
      <c r="M11" s="11"/>
    </row>
    <row r="12" spans="1:13" ht="12.75">
      <c r="A12" s="158" t="s">
        <v>682</v>
      </c>
      <c r="B12" s="157" t="s">
        <v>683</v>
      </c>
      <c r="C12" s="117" t="str">
        <f t="shared" si="0"/>
        <v>Adin - Modoc</v>
      </c>
      <c r="D12" s="223">
        <f t="shared" si="1"/>
        <v>0.14341666666666666</v>
      </c>
      <c r="E12" s="224">
        <f t="shared" si="2"/>
        <v>0.01</v>
      </c>
      <c r="G12" s="151" t="s">
        <v>1033</v>
      </c>
      <c r="H12" s="231">
        <v>0.13741666666666666</v>
      </c>
      <c r="J12" s="151" t="s">
        <v>1033</v>
      </c>
      <c r="K12" s="227">
        <v>0.01064</v>
      </c>
      <c r="L12" s="117"/>
      <c r="M12" s="11"/>
    </row>
    <row r="13" spans="1:13" ht="12.75">
      <c r="A13" s="158" t="s">
        <v>684</v>
      </c>
      <c r="B13" s="157" t="s">
        <v>677</v>
      </c>
      <c r="C13" s="117" t="str">
        <f t="shared" si="0"/>
        <v>Agoura  - Los Angeles</v>
      </c>
      <c r="D13" s="223">
        <f t="shared" si="1"/>
        <v>0.12533333333333332</v>
      </c>
      <c r="E13" s="224">
        <f t="shared" si="2"/>
        <v>0.01168</v>
      </c>
      <c r="G13" s="151" t="s">
        <v>1034</v>
      </c>
      <c r="H13" s="231">
        <v>0.1545833333333333</v>
      </c>
      <c r="J13" s="151" t="s">
        <v>1034</v>
      </c>
      <c r="K13" s="227">
        <v>0.01075</v>
      </c>
      <c r="L13" s="117"/>
      <c r="M13" s="11"/>
    </row>
    <row r="14" spans="1:13" ht="12.75">
      <c r="A14" s="158" t="s">
        <v>685</v>
      </c>
      <c r="B14" s="157" t="s">
        <v>677</v>
      </c>
      <c r="C14" s="117" t="str">
        <f t="shared" si="0"/>
        <v>Agoura Hills - Los Angeles</v>
      </c>
      <c r="D14" s="223">
        <f t="shared" si="1"/>
        <v>0.12533333333333332</v>
      </c>
      <c r="E14" s="224">
        <f t="shared" si="2"/>
        <v>0.01168</v>
      </c>
      <c r="G14" s="151" t="s">
        <v>1035</v>
      </c>
      <c r="H14" s="231">
        <v>0.20800000000000002</v>
      </c>
      <c r="J14" s="151" t="s">
        <v>1035</v>
      </c>
      <c r="K14" s="227">
        <v>0.01027</v>
      </c>
      <c r="L14" s="117"/>
      <c r="M14" s="11"/>
    </row>
    <row r="15" spans="1:13" ht="12.75">
      <c r="A15" s="158" t="s">
        <v>686</v>
      </c>
      <c r="B15" s="157" t="s">
        <v>687</v>
      </c>
      <c r="C15" s="117" t="str">
        <f t="shared" si="0"/>
        <v>Agua Caliente - Sonoma</v>
      </c>
      <c r="D15" s="223">
        <f t="shared" si="1"/>
        <v>0.10133333333333334</v>
      </c>
      <c r="E15" s="224">
        <f t="shared" si="2"/>
        <v>0.01115</v>
      </c>
      <c r="G15" s="151" t="s">
        <v>1036</v>
      </c>
      <c r="H15" s="231">
        <v>0.10966666666666666</v>
      </c>
      <c r="J15" s="151" t="s">
        <v>1036</v>
      </c>
      <c r="K15" s="227">
        <v>0.011080000000000001</v>
      </c>
      <c r="L15" s="117"/>
      <c r="M15" s="11"/>
    </row>
    <row r="16" spans="1:13" ht="12.75">
      <c r="A16" s="158" t="s">
        <v>688</v>
      </c>
      <c r="B16" s="157" t="s">
        <v>689</v>
      </c>
      <c r="C16" s="117" t="str">
        <f t="shared" si="0"/>
        <v>Agua Caliente Springs - San Diego</v>
      </c>
      <c r="D16" s="223">
        <f t="shared" si="1"/>
        <v>0.10283333333333333</v>
      </c>
      <c r="E16" s="224">
        <f t="shared" si="2"/>
        <v>0.01076</v>
      </c>
      <c r="G16" s="151" t="s">
        <v>1037</v>
      </c>
      <c r="H16" s="231">
        <v>0.13525</v>
      </c>
      <c r="J16" s="151" t="s">
        <v>1037</v>
      </c>
      <c r="K16" s="227">
        <v>0.01039</v>
      </c>
      <c r="L16" s="117"/>
      <c r="M16" s="11"/>
    </row>
    <row r="17" spans="1:13" ht="12.75">
      <c r="A17" s="158" t="s">
        <v>690</v>
      </c>
      <c r="B17" s="157" t="s">
        <v>677</v>
      </c>
      <c r="C17" s="117" t="str">
        <f t="shared" si="0"/>
        <v>Agua Dulce - Los Angeles</v>
      </c>
      <c r="D17" s="223">
        <f t="shared" si="1"/>
        <v>0.12533333333333332</v>
      </c>
      <c r="E17" s="224">
        <f t="shared" si="2"/>
        <v>0.01168</v>
      </c>
      <c r="G17" s="151" t="s">
        <v>1038</v>
      </c>
      <c r="H17" s="231">
        <v>0.12433333333333335</v>
      </c>
      <c r="J17" s="151" t="s">
        <v>1038</v>
      </c>
      <c r="K17" s="227">
        <v>0.01055</v>
      </c>
      <c r="L17" s="117"/>
      <c r="M17" s="11"/>
    </row>
    <row r="18" spans="1:13" ht="12.75">
      <c r="A18" s="158" t="s">
        <v>691</v>
      </c>
      <c r="B18" s="157" t="s">
        <v>692</v>
      </c>
      <c r="C18" s="117" t="str">
        <f t="shared" si="0"/>
        <v>Aguanga - Riverside</v>
      </c>
      <c r="D18" s="223">
        <f t="shared" si="1"/>
        <v>0.144</v>
      </c>
      <c r="E18" s="224">
        <f t="shared" si="2"/>
        <v>0.01089</v>
      </c>
      <c r="G18" s="151" t="s">
        <v>1039</v>
      </c>
      <c r="H18" s="231">
        <v>0.1685</v>
      </c>
      <c r="J18" s="151" t="s">
        <v>1039</v>
      </c>
      <c r="K18" s="227">
        <v>0.01165</v>
      </c>
      <c r="L18" s="117"/>
      <c r="M18" s="11"/>
    </row>
    <row r="19" spans="1:13" ht="12.75">
      <c r="A19" s="158" t="s">
        <v>693</v>
      </c>
      <c r="B19" s="157" t="s">
        <v>694</v>
      </c>
      <c r="C19" s="117" t="str">
        <f t="shared" si="0"/>
        <v>Ahwahnee - Madera</v>
      </c>
      <c r="D19" s="223">
        <f t="shared" si="1"/>
        <v>0.15525</v>
      </c>
      <c r="E19" s="224">
        <f t="shared" si="2"/>
        <v>0.01118</v>
      </c>
      <c r="G19" s="151" t="s">
        <v>1040</v>
      </c>
      <c r="H19" s="231">
        <v>0.16558333333333333</v>
      </c>
      <c r="J19" s="151" t="s">
        <v>1040</v>
      </c>
      <c r="K19" s="227">
        <v>0.0105</v>
      </c>
      <c r="L19" s="117"/>
      <c r="M19" s="11"/>
    </row>
    <row r="20" spans="1:13" ht="12.75">
      <c r="A20" s="158" t="s">
        <v>695</v>
      </c>
      <c r="B20" s="157" t="s">
        <v>696</v>
      </c>
      <c r="C20" s="117" t="str">
        <f t="shared" si="0"/>
        <v>Al Tahoe - El Dorado</v>
      </c>
      <c r="D20" s="223">
        <f t="shared" si="1"/>
        <v>0.12433333333333335</v>
      </c>
      <c r="E20" s="224">
        <f t="shared" si="2"/>
        <v>0.01055</v>
      </c>
      <c r="G20" s="151" t="s">
        <v>1041</v>
      </c>
      <c r="H20" s="231">
        <v>0.11391666666666665</v>
      </c>
      <c r="J20" s="151" t="s">
        <v>1041</v>
      </c>
      <c r="K20" s="227">
        <v>0.01055</v>
      </c>
      <c r="L20" s="117"/>
      <c r="M20" s="11"/>
    </row>
    <row r="21" spans="1:13" ht="12.75">
      <c r="A21" s="158" t="s">
        <v>697</v>
      </c>
      <c r="B21" s="157" t="s">
        <v>697</v>
      </c>
      <c r="C21" s="117" t="str">
        <f t="shared" si="0"/>
        <v>Alameda - Alameda</v>
      </c>
      <c r="D21" s="223">
        <f t="shared" si="1"/>
        <v>0.10916666666666666</v>
      </c>
      <c r="E21" s="224">
        <f t="shared" si="2"/>
        <v>0.011890000000000001</v>
      </c>
      <c r="G21" s="151" t="s">
        <v>1042</v>
      </c>
      <c r="H21" s="231">
        <v>0.29941666666666666</v>
      </c>
      <c r="J21" s="151" t="s">
        <v>1042</v>
      </c>
      <c r="K21" s="227">
        <v>0.01052</v>
      </c>
      <c r="L21" s="117"/>
      <c r="M21" s="11"/>
    </row>
    <row r="22" spans="1:13" ht="12.75">
      <c r="A22" s="158" t="s">
        <v>698</v>
      </c>
      <c r="B22" s="157" t="s">
        <v>699</v>
      </c>
      <c r="C22" s="117" t="str">
        <f t="shared" si="0"/>
        <v>Alamo - Contra Costa</v>
      </c>
      <c r="D22" s="223">
        <f t="shared" si="1"/>
        <v>0.10966666666666666</v>
      </c>
      <c r="E22" s="224">
        <f t="shared" si="2"/>
        <v>0.011080000000000001</v>
      </c>
      <c r="G22" s="151" t="s">
        <v>1043</v>
      </c>
      <c r="H22" s="231">
        <v>0.10058333333333332</v>
      </c>
      <c r="J22" s="151" t="s">
        <v>1043</v>
      </c>
      <c r="K22" s="227">
        <v>0.01052</v>
      </c>
      <c r="L22" s="117"/>
      <c r="M22" s="11"/>
    </row>
    <row r="23" spans="1:13" ht="12.75">
      <c r="A23" s="158" t="s">
        <v>700</v>
      </c>
      <c r="B23" s="157" t="s">
        <v>697</v>
      </c>
      <c r="C23" s="117" t="str">
        <f t="shared" si="0"/>
        <v>Albany - Alameda</v>
      </c>
      <c r="D23" s="223">
        <f t="shared" si="1"/>
        <v>0.10916666666666666</v>
      </c>
      <c r="E23" s="224">
        <f t="shared" si="2"/>
        <v>0.011890000000000001</v>
      </c>
      <c r="G23" s="151" t="s">
        <v>1044</v>
      </c>
      <c r="H23" s="231">
        <v>0.15741666666666668</v>
      </c>
      <c r="J23" s="151" t="s">
        <v>1044</v>
      </c>
      <c r="K23" s="227">
        <v>0.01114</v>
      </c>
      <c r="L23" s="117"/>
      <c r="M23" s="11"/>
    </row>
    <row r="24" spans="1:13" ht="12.75">
      <c r="A24" s="158" t="s">
        <v>701</v>
      </c>
      <c r="B24" s="157" t="s">
        <v>692</v>
      </c>
      <c r="C24" s="117" t="str">
        <f t="shared" si="0"/>
        <v>Alberhill - Riverside</v>
      </c>
      <c r="D24" s="223">
        <f t="shared" si="1"/>
        <v>0.144</v>
      </c>
      <c r="E24" s="224">
        <f t="shared" si="2"/>
        <v>0.01089</v>
      </c>
      <c r="G24" s="151" t="s">
        <v>1045</v>
      </c>
      <c r="H24" s="231">
        <v>0.16516666666666666</v>
      </c>
      <c r="J24" s="151" t="s">
        <v>1045</v>
      </c>
      <c r="K24" s="227">
        <v>0.01075</v>
      </c>
      <c r="L24" s="117"/>
      <c r="M24" s="11"/>
    </row>
    <row r="25" spans="1:13" ht="12.75">
      <c r="A25" s="158" t="s">
        <v>702</v>
      </c>
      <c r="B25" s="157" t="s">
        <v>703</v>
      </c>
      <c r="C25" s="117" t="str">
        <f t="shared" si="0"/>
        <v>Albion - Mendocino</v>
      </c>
      <c r="D25" s="223">
        <f t="shared" si="1"/>
        <v>0.11325000000000002</v>
      </c>
      <c r="E25" s="224">
        <f t="shared" si="2"/>
        <v>0.01097</v>
      </c>
      <c r="G25" s="151" t="s">
        <v>1046</v>
      </c>
      <c r="H25" s="231">
        <v>0.18208333333333332</v>
      </c>
      <c r="J25" s="151" t="s">
        <v>1046</v>
      </c>
      <c r="K25" s="227">
        <v>0.01068</v>
      </c>
      <c r="L25" s="117"/>
      <c r="M25" s="11"/>
    </row>
    <row r="26" spans="1:13" ht="12.75">
      <c r="A26" s="158" t="s">
        <v>704</v>
      </c>
      <c r="B26" s="157" t="s">
        <v>705</v>
      </c>
      <c r="C26" s="117" t="str">
        <f t="shared" si="0"/>
        <v>Alderpoint - Humboldt</v>
      </c>
      <c r="D26" s="223">
        <f t="shared" si="1"/>
        <v>0.11391666666666665</v>
      </c>
      <c r="E26" s="224">
        <f t="shared" si="2"/>
        <v>0.01055</v>
      </c>
      <c r="G26" s="151" t="s">
        <v>1047</v>
      </c>
      <c r="H26" s="231">
        <v>0.1388333333333333</v>
      </c>
      <c r="J26" s="151" t="s">
        <v>1047</v>
      </c>
      <c r="K26" s="227">
        <v>0.01024</v>
      </c>
      <c r="L26" s="117"/>
      <c r="M26" s="11"/>
    </row>
    <row r="27" spans="1:13" ht="12.75">
      <c r="A27" s="158" t="s">
        <v>706</v>
      </c>
      <c r="B27" s="157" t="s">
        <v>677</v>
      </c>
      <c r="C27" s="117" t="str">
        <f t="shared" si="0"/>
        <v>Alhambra - Los Angeles</v>
      </c>
      <c r="D27" s="223">
        <f t="shared" si="1"/>
        <v>0.12533333333333332</v>
      </c>
      <c r="E27" s="224">
        <f t="shared" si="2"/>
        <v>0.01168</v>
      </c>
      <c r="G27" s="151" t="s">
        <v>1048</v>
      </c>
      <c r="H27" s="231">
        <v>0.12533333333333332</v>
      </c>
      <c r="J27" s="151" t="s">
        <v>1048</v>
      </c>
      <c r="K27" s="227">
        <v>0.01168</v>
      </c>
      <c r="L27" s="117"/>
      <c r="M27" s="11"/>
    </row>
    <row r="28" spans="1:13" ht="12.75">
      <c r="A28" s="158" t="s">
        <v>707</v>
      </c>
      <c r="B28" s="157" t="s">
        <v>708</v>
      </c>
      <c r="C28" s="117" t="str">
        <f t="shared" si="0"/>
        <v>Aliso Viejo - Orange</v>
      </c>
      <c r="D28" s="223">
        <f t="shared" si="1"/>
        <v>0.0915</v>
      </c>
      <c r="E28" s="224">
        <f t="shared" si="2"/>
        <v>0.01054</v>
      </c>
      <c r="G28" s="151" t="s">
        <v>1049</v>
      </c>
      <c r="H28" s="231">
        <v>0.15525</v>
      </c>
      <c r="J28" s="151" t="s">
        <v>1049</v>
      </c>
      <c r="K28" s="227">
        <v>0.01118</v>
      </c>
      <c r="L28" s="117"/>
      <c r="M28" s="11"/>
    </row>
    <row r="29" spans="1:13" ht="12.75">
      <c r="A29" s="158" t="s">
        <v>709</v>
      </c>
      <c r="B29" s="157" t="s">
        <v>710</v>
      </c>
      <c r="C29" s="117" t="str">
        <f t="shared" si="0"/>
        <v>Alleghany - Sierra</v>
      </c>
      <c r="D29" s="223">
        <f t="shared" si="1"/>
        <v>0.16016666666666665</v>
      </c>
      <c r="E29" s="224">
        <f t="shared" si="2"/>
        <v>0.010329999999999999</v>
      </c>
      <c r="G29" s="151" t="s">
        <v>1050</v>
      </c>
      <c r="H29" s="231">
        <v>0.08033333333333333</v>
      </c>
      <c r="J29" s="151" t="s">
        <v>1050</v>
      </c>
      <c r="K29" s="227">
        <v>0.01105</v>
      </c>
      <c r="L29" s="117"/>
      <c r="M29" s="11"/>
    </row>
    <row r="30" spans="1:13" ht="12.75">
      <c r="A30" s="158" t="s">
        <v>711</v>
      </c>
      <c r="B30" s="157" t="s">
        <v>712</v>
      </c>
      <c r="C30" s="117" t="str">
        <f t="shared" si="0"/>
        <v>Almaden Valley - Santa Clara</v>
      </c>
      <c r="D30" s="223">
        <f t="shared" si="1"/>
        <v>0.10433333333333333</v>
      </c>
      <c r="E30" s="224">
        <f t="shared" si="2"/>
        <v>0.011810000000000001</v>
      </c>
      <c r="G30" s="151" t="s">
        <v>1051</v>
      </c>
      <c r="H30" s="231">
        <v>0.12466666666666669</v>
      </c>
      <c r="J30" s="151" t="s">
        <v>1051</v>
      </c>
      <c r="K30" s="227">
        <v>0.01005</v>
      </c>
      <c r="L30" s="117"/>
      <c r="M30" s="11"/>
    </row>
    <row r="31" spans="1:13" ht="12.75">
      <c r="A31" s="158" t="s">
        <v>713</v>
      </c>
      <c r="B31" s="157" t="s">
        <v>714</v>
      </c>
      <c r="C31" s="117" t="str">
        <f t="shared" si="0"/>
        <v>Almanor - Plumas</v>
      </c>
      <c r="D31" s="223">
        <f t="shared" si="1"/>
        <v>0.16258333333333333</v>
      </c>
      <c r="E31" s="224">
        <f t="shared" si="2"/>
        <v>0.01038</v>
      </c>
      <c r="G31" s="151" t="s">
        <v>1052</v>
      </c>
      <c r="H31" s="231">
        <v>0.11325000000000002</v>
      </c>
      <c r="J31" s="151" t="s">
        <v>1052</v>
      </c>
      <c r="K31" s="227">
        <v>0.01097</v>
      </c>
      <c r="L31" s="117"/>
      <c r="M31" s="11"/>
    </row>
    <row r="32" spans="1:13" ht="12.75">
      <c r="A32" s="158" t="s">
        <v>715</v>
      </c>
      <c r="B32" s="157" t="s">
        <v>677</v>
      </c>
      <c r="C32" s="117" t="str">
        <f t="shared" si="0"/>
        <v>Almondale - Los Angeles</v>
      </c>
      <c r="D32" s="223">
        <f t="shared" si="1"/>
        <v>0.12533333333333332</v>
      </c>
      <c r="E32" s="224">
        <f t="shared" si="2"/>
        <v>0.01168</v>
      </c>
      <c r="G32" s="151" t="s">
        <v>1053</v>
      </c>
      <c r="H32" s="231">
        <v>0.1885</v>
      </c>
      <c r="J32" s="151" t="s">
        <v>1053</v>
      </c>
      <c r="K32" s="227">
        <v>0.01061</v>
      </c>
      <c r="L32" s="117"/>
      <c r="M32" s="11"/>
    </row>
    <row r="33" spans="1:13" ht="12.75">
      <c r="A33" s="158" t="s">
        <v>716</v>
      </c>
      <c r="B33" s="157" t="s">
        <v>677</v>
      </c>
      <c r="C33" s="117" t="str">
        <f t="shared" si="0"/>
        <v>Alondra - Los Angeles</v>
      </c>
      <c r="D33" s="223">
        <f t="shared" si="1"/>
        <v>0.12533333333333332</v>
      </c>
      <c r="E33" s="224">
        <f t="shared" si="2"/>
        <v>0.01168</v>
      </c>
      <c r="G33" s="151" t="s">
        <v>1054</v>
      </c>
      <c r="H33" s="231">
        <v>0.14341666666666666</v>
      </c>
      <c r="J33" s="151" t="s">
        <v>1054</v>
      </c>
      <c r="K33" s="227">
        <v>0.01</v>
      </c>
      <c r="L33" s="117"/>
      <c r="M33" s="11"/>
    </row>
    <row r="34" spans="1:13" ht="12.75">
      <c r="A34" s="158" t="s">
        <v>717</v>
      </c>
      <c r="B34" s="157" t="s">
        <v>718</v>
      </c>
      <c r="C34" s="117" t="str">
        <f t="shared" si="0"/>
        <v>Alpaugh - Tulare</v>
      </c>
      <c r="D34" s="223">
        <f t="shared" si="1"/>
        <v>0.16641666666666666</v>
      </c>
      <c r="E34" s="224">
        <f t="shared" si="2"/>
        <v>0.01088</v>
      </c>
      <c r="G34" s="151" t="s">
        <v>1055</v>
      </c>
      <c r="H34" s="231">
        <v>0.10441666666666664</v>
      </c>
      <c r="J34" s="151" t="s">
        <v>1055</v>
      </c>
      <c r="K34" s="227">
        <v>0.01073</v>
      </c>
      <c r="L34" s="117"/>
      <c r="M34" s="11"/>
    </row>
    <row r="35" spans="1:13" ht="12.75">
      <c r="A35" s="158" t="s">
        <v>719</v>
      </c>
      <c r="B35" s="157" t="s">
        <v>689</v>
      </c>
      <c r="C35" s="117" t="str">
        <f t="shared" si="0"/>
        <v>Alpine - San Diego</v>
      </c>
      <c r="D35" s="223">
        <f t="shared" si="1"/>
        <v>0.10283333333333333</v>
      </c>
      <c r="E35" s="224">
        <f t="shared" si="2"/>
        <v>0.01076</v>
      </c>
      <c r="G35" s="151" t="s">
        <v>1056</v>
      </c>
      <c r="H35" s="231">
        <v>0.12916666666666665</v>
      </c>
      <c r="J35" s="151" t="s">
        <v>1056</v>
      </c>
      <c r="K35" s="227">
        <v>0.01084</v>
      </c>
      <c r="L35" s="117"/>
      <c r="M35" s="11"/>
    </row>
    <row r="36" spans="1:13" ht="12.75">
      <c r="A36" s="158" t="s">
        <v>720</v>
      </c>
      <c r="B36" s="157" t="s">
        <v>721</v>
      </c>
      <c r="C36" s="117" t="str">
        <f t="shared" si="0"/>
        <v>Alta - Placer</v>
      </c>
      <c r="D36" s="223">
        <f t="shared" si="1"/>
        <v>0.11291666666666667</v>
      </c>
      <c r="E36" s="224">
        <f t="shared" si="2"/>
        <v>0.010629999999999999</v>
      </c>
      <c r="G36" s="151" t="s">
        <v>1057</v>
      </c>
      <c r="H36" s="231">
        <v>0.09708333333333334</v>
      </c>
      <c r="J36" s="151" t="s">
        <v>1057</v>
      </c>
      <c r="K36" s="227">
        <v>0.01093</v>
      </c>
      <c r="L36" s="117"/>
      <c r="M36" s="11"/>
    </row>
    <row r="37" spans="1:13" ht="12.75">
      <c r="A37" s="158" t="s">
        <v>722</v>
      </c>
      <c r="B37" s="157" t="s">
        <v>681</v>
      </c>
      <c r="C37" s="117" t="str">
        <f t="shared" si="0"/>
        <v>Alta Loma - San Bernardino</v>
      </c>
      <c r="D37" s="223">
        <f t="shared" si="1"/>
        <v>0.13891666666666666</v>
      </c>
      <c r="E37" s="224">
        <f t="shared" si="2"/>
        <v>0.01134</v>
      </c>
      <c r="G37" s="151" t="s">
        <v>1058</v>
      </c>
      <c r="H37" s="231">
        <v>0.11266666666666668</v>
      </c>
      <c r="J37" s="151" t="s">
        <v>1058</v>
      </c>
      <c r="K37" s="227">
        <v>0.010329999999999999</v>
      </c>
      <c r="L37" s="117"/>
      <c r="M37" s="11"/>
    </row>
    <row r="38" spans="1:13" ht="12.75">
      <c r="A38" s="159" t="s">
        <v>723</v>
      </c>
      <c r="B38" s="157" t="s">
        <v>677</v>
      </c>
      <c r="C38" s="117" t="str">
        <f t="shared" si="0"/>
        <v>Altadena - Los Angeles</v>
      </c>
      <c r="D38" s="223">
        <f t="shared" si="1"/>
        <v>0.12533333333333332</v>
      </c>
      <c r="E38" s="224">
        <f t="shared" si="2"/>
        <v>0.01168</v>
      </c>
      <c r="G38" s="151" t="s">
        <v>1059</v>
      </c>
      <c r="H38" s="231">
        <v>0.0915</v>
      </c>
      <c r="J38" s="151" t="s">
        <v>1059</v>
      </c>
      <c r="K38" s="227">
        <v>0.01054</v>
      </c>
      <c r="L38" s="117"/>
      <c r="M38" s="11"/>
    </row>
    <row r="39" spans="1:13" ht="12.75">
      <c r="A39" s="158" t="s">
        <v>724</v>
      </c>
      <c r="B39" s="157" t="s">
        <v>725</v>
      </c>
      <c r="C39" s="117" t="str">
        <f t="shared" si="0"/>
        <v>Altaville - Calaveras</v>
      </c>
      <c r="D39" s="223">
        <f t="shared" si="1"/>
        <v>0.1545833333333333</v>
      </c>
      <c r="E39" s="224">
        <f t="shared" si="2"/>
        <v>0.01075</v>
      </c>
      <c r="G39" s="151" t="s">
        <v>1060</v>
      </c>
      <c r="H39" s="231">
        <v>0.11291666666666667</v>
      </c>
      <c r="J39" s="151" t="s">
        <v>1060</v>
      </c>
      <c r="K39" s="227">
        <v>0.010629999999999999</v>
      </c>
      <c r="L39" s="117"/>
      <c r="M39" s="11"/>
    </row>
    <row r="40" spans="1:13" ht="12.75">
      <c r="A40" s="158" t="s">
        <v>726</v>
      </c>
      <c r="B40" s="157" t="s">
        <v>705</v>
      </c>
      <c r="C40" s="117" t="str">
        <f t="shared" si="0"/>
        <v>Alton - Humboldt</v>
      </c>
      <c r="D40" s="223">
        <f t="shared" si="1"/>
        <v>0.11391666666666665</v>
      </c>
      <c r="E40" s="224">
        <f t="shared" si="2"/>
        <v>0.01055</v>
      </c>
      <c r="G40" s="151" t="s">
        <v>1061</v>
      </c>
      <c r="H40" s="231">
        <v>0.16258333333333333</v>
      </c>
      <c r="J40" s="151" t="s">
        <v>1061</v>
      </c>
      <c r="K40" s="227">
        <v>0.01038</v>
      </c>
      <c r="L40" s="117"/>
      <c r="M40" s="11"/>
    </row>
    <row r="41" spans="1:13" ht="12.75">
      <c r="A41" s="158" t="s">
        <v>727</v>
      </c>
      <c r="B41" s="157" t="s">
        <v>683</v>
      </c>
      <c r="C41" s="117" t="str">
        <f t="shared" si="0"/>
        <v>Alturas - Modoc</v>
      </c>
      <c r="D41" s="223">
        <f t="shared" si="1"/>
        <v>0.14341666666666666</v>
      </c>
      <c r="E41" s="224">
        <f t="shared" si="2"/>
        <v>0.01</v>
      </c>
      <c r="G41" s="151" t="s">
        <v>1062</v>
      </c>
      <c r="H41" s="231">
        <v>0.144</v>
      </c>
      <c r="J41" s="151" t="s">
        <v>1062</v>
      </c>
      <c r="K41" s="227">
        <v>0.01089</v>
      </c>
      <c r="L41" s="117"/>
      <c r="M41" s="11"/>
    </row>
    <row r="42" spans="1:13" ht="12.75">
      <c r="A42" s="158" t="s">
        <v>728</v>
      </c>
      <c r="B42" s="157" t="s">
        <v>712</v>
      </c>
      <c r="C42" s="117" t="str">
        <f t="shared" si="0"/>
        <v>Alviso - Santa Clara</v>
      </c>
      <c r="D42" s="223">
        <f t="shared" si="1"/>
        <v>0.10433333333333333</v>
      </c>
      <c r="E42" s="224">
        <f t="shared" si="2"/>
        <v>0.011810000000000001</v>
      </c>
      <c r="G42" s="151" t="s">
        <v>1063</v>
      </c>
      <c r="H42" s="231">
        <v>0.12641666666666665</v>
      </c>
      <c r="J42" s="151" t="s">
        <v>1063</v>
      </c>
      <c r="K42" s="227">
        <v>0.01087</v>
      </c>
      <c r="L42" s="117"/>
      <c r="M42" s="11"/>
    </row>
    <row r="43" spans="1:13" ht="12.75">
      <c r="A43" s="158" t="s">
        <v>729</v>
      </c>
      <c r="B43" s="157" t="s">
        <v>730</v>
      </c>
      <c r="C43" s="117" t="str">
        <f t="shared" si="0"/>
        <v>Amador City - Amador</v>
      </c>
      <c r="D43" s="223">
        <f t="shared" si="1"/>
        <v>0.13091666666666668</v>
      </c>
      <c r="E43" s="224">
        <f t="shared" si="2"/>
        <v>0.01015</v>
      </c>
      <c r="G43" s="151" t="s">
        <v>1064</v>
      </c>
      <c r="H43" s="231">
        <v>0.1704166666666667</v>
      </c>
      <c r="J43" s="151" t="s">
        <v>1064</v>
      </c>
      <c r="K43" s="227">
        <v>0.01142</v>
      </c>
      <c r="L43" s="117"/>
      <c r="M43" s="11"/>
    </row>
    <row r="44" spans="1:13" ht="12.75">
      <c r="A44" s="158" t="s">
        <v>731</v>
      </c>
      <c r="B44" s="157" t="s">
        <v>732</v>
      </c>
      <c r="C44" s="117" t="str">
        <f t="shared" si="0"/>
        <v>Amargosa - Inyo</v>
      </c>
      <c r="D44" s="223">
        <f t="shared" si="1"/>
        <v>0.10058333333333332</v>
      </c>
      <c r="E44" s="224">
        <f t="shared" si="2"/>
        <v>0.01052</v>
      </c>
      <c r="G44" s="151" t="s">
        <v>1065</v>
      </c>
      <c r="H44" s="231">
        <v>0.13891666666666666</v>
      </c>
      <c r="J44" s="151" t="s">
        <v>1065</v>
      </c>
      <c r="K44" s="227">
        <v>0.01134</v>
      </c>
      <c r="L44" s="117"/>
      <c r="M44" s="11"/>
    </row>
    <row r="45" spans="1:13" ht="12.75">
      <c r="A45" s="158" t="s">
        <v>733</v>
      </c>
      <c r="B45" s="157" t="s">
        <v>681</v>
      </c>
      <c r="C45" s="117" t="str">
        <f t="shared" si="0"/>
        <v>Amboy - San Bernardino</v>
      </c>
      <c r="D45" s="223">
        <f t="shared" si="1"/>
        <v>0.13891666666666666</v>
      </c>
      <c r="E45" s="224">
        <f t="shared" si="2"/>
        <v>0.01134</v>
      </c>
      <c r="G45" s="151" t="s">
        <v>1066</v>
      </c>
      <c r="H45" s="231">
        <v>0.10283333333333333</v>
      </c>
      <c r="J45" s="151" t="s">
        <v>1066</v>
      </c>
      <c r="K45" s="227">
        <v>0.01076</v>
      </c>
      <c r="L45" s="117"/>
      <c r="M45" s="11"/>
    </row>
    <row r="46" spans="1:13" ht="12.75">
      <c r="A46" s="158" t="s">
        <v>734</v>
      </c>
      <c r="B46" s="157" t="s">
        <v>735</v>
      </c>
      <c r="C46" s="117" t="str">
        <f t="shared" si="0"/>
        <v>American Canyon - Napa</v>
      </c>
      <c r="D46" s="223">
        <f t="shared" si="1"/>
        <v>0.09708333333333334</v>
      </c>
      <c r="E46" s="224">
        <f t="shared" si="2"/>
        <v>0.01093</v>
      </c>
      <c r="G46" s="151" t="s">
        <v>1067</v>
      </c>
      <c r="H46" s="231">
        <v>0.09141666666666667</v>
      </c>
      <c r="J46" s="151" t="s">
        <v>1067</v>
      </c>
      <c r="K46" s="227">
        <v>0.0116</v>
      </c>
      <c r="L46" s="117"/>
      <c r="M46" s="11"/>
    </row>
    <row r="47" spans="1:13" ht="12.75">
      <c r="A47" s="158" t="s">
        <v>736</v>
      </c>
      <c r="B47" s="157" t="s">
        <v>708</v>
      </c>
      <c r="C47" s="117" t="str">
        <f t="shared" si="0"/>
        <v>Anaheim - Orange</v>
      </c>
      <c r="D47" s="223">
        <f t="shared" si="1"/>
        <v>0.0915</v>
      </c>
      <c r="E47" s="224">
        <f t="shared" si="2"/>
        <v>0.01054</v>
      </c>
      <c r="G47" s="151" t="s">
        <v>1068</v>
      </c>
      <c r="H47" s="231">
        <v>0.17300000000000001</v>
      </c>
      <c r="J47" s="151" t="s">
        <v>1068</v>
      </c>
      <c r="K47" s="227">
        <v>0.01113</v>
      </c>
      <c r="L47" s="117"/>
      <c r="M47" s="11"/>
    </row>
    <row r="48" spans="1:13" ht="12.75">
      <c r="A48" s="158" t="s">
        <v>737</v>
      </c>
      <c r="B48" s="157" t="s">
        <v>738</v>
      </c>
      <c r="C48" s="117" t="str">
        <f t="shared" si="0"/>
        <v>Anderson - Shasta</v>
      </c>
      <c r="D48" s="223">
        <f t="shared" si="1"/>
        <v>0.15616666666666668</v>
      </c>
      <c r="E48" s="224">
        <f t="shared" si="2"/>
        <v>0.01085</v>
      </c>
      <c r="G48" s="151" t="s">
        <v>1069</v>
      </c>
      <c r="H48" s="231">
        <v>0.099</v>
      </c>
      <c r="J48" s="151" t="s">
        <v>1069</v>
      </c>
      <c r="K48" s="227">
        <v>0.01039</v>
      </c>
      <c r="L48" s="117"/>
      <c r="M48" s="11"/>
    </row>
    <row r="49" spans="1:13" ht="12.75">
      <c r="A49" s="158" t="s">
        <v>739</v>
      </c>
      <c r="B49" s="157" t="s">
        <v>725</v>
      </c>
      <c r="C49" s="117" t="str">
        <f t="shared" si="0"/>
        <v>Angels Camp - Calaveras</v>
      </c>
      <c r="D49" s="223">
        <f t="shared" si="1"/>
        <v>0.1545833333333333</v>
      </c>
      <c r="E49" s="224">
        <f t="shared" si="2"/>
        <v>0.01075</v>
      </c>
      <c r="G49" s="151" t="s">
        <v>1070</v>
      </c>
      <c r="H49" s="231">
        <v>0.08433333333333333</v>
      </c>
      <c r="J49" s="151" t="s">
        <v>1070</v>
      </c>
      <c r="K49" s="227">
        <v>0.01085</v>
      </c>
      <c r="L49" s="117"/>
      <c r="M49" s="11"/>
    </row>
    <row r="50" spans="1:13" ht="12.75">
      <c r="A50" s="158" t="s">
        <v>740</v>
      </c>
      <c r="B50" s="157" t="s">
        <v>681</v>
      </c>
      <c r="C50" s="117" t="str">
        <f t="shared" si="0"/>
        <v>Angelus Oaks - San Bernardino</v>
      </c>
      <c r="D50" s="223">
        <f t="shared" si="1"/>
        <v>0.13891666666666666</v>
      </c>
      <c r="E50" s="224">
        <f t="shared" si="2"/>
        <v>0.01134</v>
      </c>
      <c r="G50" s="151" t="s">
        <v>1071</v>
      </c>
      <c r="H50" s="231">
        <v>0.09174999999999998</v>
      </c>
      <c r="J50" s="151" t="s">
        <v>1071</v>
      </c>
      <c r="K50" s="227">
        <v>0.01055</v>
      </c>
      <c r="L50" s="117"/>
      <c r="M50" s="11"/>
    </row>
    <row r="51" spans="1:13" ht="12.75">
      <c r="A51" s="158" t="s">
        <v>741</v>
      </c>
      <c r="B51" s="157" t="s">
        <v>735</v>
      </c>
      <c r="C51" s="117" t="str">
        <f t="shared" si="0"/>
        <v>Angwin - Napa</v>
      </c>
      <c r="D51" s="223">
        <f t="shared" si="1"/>
        <v>0.09708333333333334</v>
      </c>
      <c r="E51" s="224">
        <f t="shared" si="2"/>
        <v>0.01093</v>
      </c>
      <c r="G51" s="151" t="s">
        <v>1072</v>
      </c>
      <c r="H51" s="231">
        <v>0.10433333333333333</v>
      </c>
      <c r="J51" s="151" t="s">
        <v>1072</v>
      </c>
      <c r="K51" s="227">
        <v>0.011810000000000001</v>
      </c>
      <c r="L51" s="117"/>
      <c r="M51" s="11"/>
    </row>
    <row r="52" spans="1:13" ht="12.75">
      <c r="A52" s="158" t="s">
        <v>742</v>
      </c>
      <c r="B52" s="157" t="s">
        <v>687</v>
      </c>
      <c r="C52" s="117" t="str">
        <f t="shared" si="0"/>
        <v>Annapolis - Sonoma</v>
      </c>
      <c r="D52" s="223">
        <f t="shared" si="1"/>
        <v>0.10133333333333334</v>
      </c>
      <c r="E52" s="224">
        <f t="shared" si="2"/>
        <v>0.01115</v>
      </c>
      <c r="G52" s="151" t="s">
        <v>1073</v>
      </c>
      <c r="H52" s="231">
        <v>0.12516666666666665</v>
      </c>
      <c r="J52" s="151" t="s">
        <v>1073</v>
      </c>
      <c r="K52" s="227">
        <v>0.01093</v>
      </c>
      <c r="L52" s="117"/>
      <c r="M52" s="11"/>
    </row>
    <row r="53" spans="1:13" ht="12.75">
      <c r="A53" s="158" t="s">
        <v>743</v>
      </c>
      <c r="B53" s="157" t="s">
        <v>744</v>
      </c>
      <c r="C53" s="117" t="str">
        <f t="shared" si="0"/>
        <v>Antelope - Sacramento</v>
      </c>
      <c r="D53" s="223">
        <f t="shared" si="1"/>
        <v>0.12641666666666665</v>
      </c>
      <c r="E53" s="224">
        <f t="shared" si="2"/>
        <v>0.01087</v>
      </c>
      <c r="G53" s="151" t="s">
        <v>1074</v>
      </c>
      <c r="H53" s="231">
        <v>0.15616666666666668</v>
      </c>
      <c r="J53" s="151" t="s">
        <v>1074</v>
      </c>
      <c r="K53" s="227">
        <v>0.01085</v>
      </c>
      <c r="L53" s="117"/>
      <c r="M53" s="11"/>
    </row>
    <row r="54" spans="1:13" ht="12.75">
      <c r="A54" s="158" t="s">
        <v>745</v>
      </c>
      <c r="B54" s="157" t="s">
        <v>677</v>
      </c>
      <c r="C54" s="117" t="str">
        <f t="shared" si="0"/>
        <v>Antelope Acres - Los Angeles</v>
      </c>
      <c r="D54" s="223">
        <f t="shared" si="1"/>
        <v>0.12533333333333332</v>
      </c>
      <c r="E54" s="224">
        <f t="shared" si="2"/>
        <v>0.01168</v>
      </c>
      <c r="G54" s="151" t="s">
        <v>1075</v>
      </c>
      <c r="H54" s="231">
        <v>0.16016666666666665</v>
      </c>
      <c r="J54" s="151" t="s">
        <v>1075</v>
      </c>
      <c r="K54" s="227">
        <v>0.010329999999999999</v>
      </c>
      <c r="L54" s="117"/>
      <c r="M54" s="11"/>
    </row>
    <row r="55" spans="1:13" ht="12.75">
      <c r="A55" s="158" t="s">
        <v>746</v>
      </c>
      <c r="B55" s="157" t="s">
        <v>699</v>
      </c>
      <c r="C55" s="117" t="str">
        <f t="shared" si="0"/>
        <v>Antioch - Contra Costa</v>
      </c>
      <c r="D55" s="223">
        <f t="shared" si="1"/>
        <v>0.10966666666666666</v>
      </c>
      <c r="E55" s="224">
        <f t="shared" si="2"/>
        <v>0.011080000000000001</v>
      </c>
      <c r="G55" s="151" t="s">
        <v>1076</v>
      </c>
      <c r="H55" s="231">
        <v>0.17858333333333332</v>
      </c>
      <c r="J55" s="151" t="s">
        <v>1076</v>
      </c>
      <c r="K55" s="227">
        <v>0.01038</v>
      </c>
      <c r="L55" s="117"/>
      <c r="M55" s="11"/>
    </row>
    <row r="56" spans="1:13" ht="12.75">
      <c r="A56" s="158" t="s">
        <v>747</v>
      </c>
      <c r="B56" s="157" t="s">
        <v>692</v>
      </c>
      <c r="C56" s="117" t="str">
        <f t="shared" si="0"/>
        <v>Anza - Riverside</v>
      </c>
      <c r="D56" s="223">
        <f t="shared" si="1"/>
        <v>0.144</v>
      </c>
      <c r="E56" s="224">
        <f t="shared" si="2"/>
        <v>0.01089</v>
      </c>
      <c r="G56" s="151" t="s">
        <v>1077</v>
      </c>
      <c r="H56" s="231">
        <v>0.11916666666666666</v>
      </c>
      <c r="J56" s="151" t="s">
        <v>1077</v>
      </c>
      <c r="K56" s="227">
        <v>0.01121</v>
      </c>
      <c r="L56" s="117"/>
      <c r="M56" s="11"/>
    </row>
    <row r="57" spans="1:13" ht="12.75">
      <c r="A57" s="158" t="s">
        <v>748</v>
      </c>
      <c r="B57" s="157" t="s">
        <v>681</v>
      </c>
      <c r="C57" s="117" t="str">
        <f t="shared" si="0"/>
        <v>Apple Valley - San Bernardino</v>
      </c>
      <c r="D57" s="223">
        <f t="shared" si="1"/>
        <v>0.13891666666666666</v>
      </c>
      <c r="E57" s="224">
        <f t="shared" si="2"/>
        <v>0.01134</v>
      </c>
      <c r="G57" s="151" t="s">
        <v>1078</v>
      </c>
      <c r="H57" s="231">
        <v>0.10133333333333334</v>
      </c>
      <c r="J57" s="151" t="s">
        <v>1078</v>
      </c>
      <c r="K57" s="227">
        <v>0.01115</v>
      </c>
      <c r="L57" s="117"/>
      <c r="M57" s="11"/>
    </row>
    <row r="58" spans="1:13" ht="12.75">
      <c r="A58" s="158" t="s">
        <v>749</v>
      </c>
      <c r="B58" s="157" t="s">
        <v>721</v>
      </c>
      <c r="C58" s="117" t="str">
        <f t="shared" si="0"/>
        <v>Applegate - Placer</v>
      </c>
      <c r="D58" s="223">
        <f t="shared" si="1"/>
        <v>0.11291666666666667</v>
      </c>
      <c r="E58" s="224">
        <f t="shared" si="2"/>
        <v>0.010629999999999999</v>
      </c>
      <c r="G58" s="151" t="s">
        <v>1079</v>
      </c>
      <c r="H58" s="231">
        <v>0.1716666666666667</v>
      </c>
      <c r="J58" s="151" t="s">
        <v>1079</v>
      </c>
      <c r="K58" s="227">
        <v>0.01093</v>
      </c>
      <c r="L58" s="117"/>
      <c r="M58" s="11"/>
    </row>
    <row r="59" spans="1:13" ht="12.75">
      <c r="A59" s="158" t="s">
        <v>750</v>
      </c>
      <c r="B59" s="157" t="s">
        <v>751</v>
      </c>
      <c r="C59" s="117" t="str">
        <f t="shared" si="0"/>
        <v>Aptos - Santa Cruz</v>
      </c>
      <c r="D59" s="223">
        <f t="shared" si="1"/>
        <v>0.12516666666666665</v>
      </c>
      <c r="E59" s="224">
        <f t="shared" si="2"/>
        <v>0.01093</v>
      </c>
      <c r="G59" s="151" t="s">
        <v>1080</v>
      </c>
      <c r="H59" s="231">
        <v>0.19824999999999998</v>
      </c>
      <c r="J59" s="151" t="s">
        <v>1080</v>
      </c>
      <c r="K59" s="227">
        <v>0.010700000000000001</v>
      </c>
      <c r="L59" s="117"/>
      <c r="M59" s="11"/>
    </row>
    <row r="60" spans="1:13" ht="12.75">
      <c r="A60" s="158" t="s">
        <v>752</v>
      </c>
      <c r="B60" s="157" t="s">
        <v>753</v>
      </c>
      <c r="C60" s="117" t="str">
        <f t="shared" si="0"/>
        <v>Arbuckle - Colusa</v>
      </c>
      <c r="D60" s="223">
        <f t="shared" si="1"/>
        <v>0.20800000000000002</v>
      </c>
      <c r="E60" s="224">
        <f t="shared" si="2"/>
        <v>0.01027</v>
      </c>
      <c r="G60" s="151" t="s">
        <v>1081</v>
      </c>
      <c r="H60" s="231">
        <v>0.15649999999999997</v>
      </c>
      <c r="J60" s="151" t="s">
        <v>1081</v>
      </c>
      <c r="K60" s="227">
        <v>0.01022</v>
      </c>
      <c r="L60" s="117"/>
      <c r="M60" s="11"/>
    </row>
    <row r="61" spans="1:13" ht="12.75">
      <c r="A61" s="158" t="s">
        <v>754</v>
      </c>
      <c r="B61" s="157" t="s">
        <v>677</v>
      </c>
      <c r="C61" s="117" t="str">
        <f t="shared" si="0"/>
        <v>Arcadia - Los Angeles</v>
      </c>
      <c r="D61" s="223">
        <f t="shared" si="1"/>
        <v>0.12533333333333332</v>
      </c>
      <c r="E61" s="224">
        <f t="shared" si="2"/>
        <v>0.01168</v>
      </c>
      <c r="G61" s="151" t="s">
        <v>1082</v>
      </c>
      <c r="H61" s="231">
        <v>0.18466666666666667</v>
      </c>
      <c r="J61" s="151" t="s">
        <v>1082</v>
      </c>
      <c r="K61" s="227">
        <v>0.010129999999999998</v>
      </c>
      <c r="L61" s="117"/>
      <c r="M61" s="11"/>
    </row>
    <row r="62" spans="1:13" ht="12.75">
      <c r="A62" s="158" t="s">
        <v>755</v>
      </c>
      <c r="B62" s="157" t="s">
        <v>705</v>
      </c>
      <c r="C62" s="117" t="str">
        <f t="shared" si="0"/>
        <v>Arcata - Humboldt</v>
      </c>
      <c r="D62" s="223">
        <f t="shared" si="1"/>
        <v>0.11391666666666665</v>
      </c>
      <c r="E62" s="224">
        <f t="shared" si="2"/>
        <v>0.01055</v>
      </c>
      <c r="G62" s="151" t="s">
        <v>1083</v>
      </c>
      <c r="H62" s="231">
        <v>0.16641666666666666</v>
      </c>
      <c r="J62" s="151" t="s">
        <v>1083</v>
      </c>
      <c r="K62" s="227">
        <v>0.01088</v>
      </c>
      <c r="L62" s="117"/>
      <c r="M62" s="11"/>
    </row>
    <row r="63" spans="1:13" ht="12.75">
      <c r="A63" s="158" t="s">
        <v>756</v>
      </c>
      <c r="B63" s="157" t="s">
        <v>681</v>
      </c>
      <c r="C63" s="117" t="str">
        <f t="shared" si="0"/>
        <v>Argus - San Bernardino</v>
      </c>
      <c r="D63" s="223">
        <f t="shared" si="1"/>
        <v>0.13891666666666666</v>
      </c>
      <c r="E63" s="224">
        <f t="shared" si="2"/>
        <v>0.01134</v>
      </c>
      <c r="G63" s="151" t="s">
        <v>1084</v>
      </c>
      <c r="H63" s="231">
        <v>0.13766666666666666</v>
      </c>
      <c r="J63" s="151" t="s">
        <v>1084</v>
      </c>
      <c r="K63" s="227">
        <v>0.01042</v>
      </c>
      <c r="L63" s="117"/>
      <c r="M63" s="11"/>
    </row>
    <row r="64" spans="1:13" ht="12.75">
      <c r="A64" s="158" t="s">
        <v>757</v>
      </c>
      <c r="B64" s="157" t="s">
        <v>677</v>
      </c>
      <c r="C64" s="117" t="str">
        <f t="shared" si="0"/>
        <v>Arleta - Los Angeles</v>
      </c>
      <c r="D64" s="223">
        <f t="shared" si="1"/>
        <v>0.12533333333333332</v>
      </c>
      <c r="E64" s="224">
        <f t="shared" si="2"/>
        <v>0.01168</v>
      </c>
      <c r="G64" s="151" t="s">
        <v>1085</v>
      </c>
      <c r="H64" s="231">
        <v>0.10525000000000001</v>
      </c>
      <c r="J64" s="151" t="s">
        <v>1085</v>
      </c>
      <c r="K64" s="227">
        <v>0.010820000000000001</v>
      </c>
      <c r="L64" s="117"/>
      <c r="M64" s="11"/>
    </row>
    <row r="65" spans="1:13" ht="12.75">
      <c r="A65" s="158" t="s">
        <v>758</v>
      </c>
      <c r="B65" s="157" t="s">
        <v>692</v>
      </c>
      <c r="C65" s="117" t="str">
        <f t="shared" si="0"/>
        <v>Arlington - Riverside</v>
      </c>
      <c r="D65" s="223">
        <f t="shared" si="1"/>
        <v>0.144</v>
      </c>
      <c r="E65" s="224">
        <f t="shared" si="2"/>
        <v>0.01089</v>
      </c>
      <c r="G65" s="151" t="s">
        <v>1086</v>
      </c>
      <c r="H65" s="231">
        <v>0.13033333333333333</v>
      </c>
      <c r="J65" s="151" t="s">
        <v>1086</v>
      </c>
      <c r="K65" s="227">
        <v>0.01054</v>
      </c>
      <c r="L65" s="117"/>
      <c r="M65" s="11"/>
    </row>
    <row r="66" spans="1:13" ht="13.5" thickBot="1">
      <c r="A66" s="158" t="s">
        <v>759</v>
      </c>
      <c r="B66" s="157" t="s">
        <v>760</v>
      </c>
      <c r="C66" s="117" t="str">
        <f t="shared" si="0"/>
        <v>Armona - Kings</v>
      </c>
      <c r="D66" s="223">
        <f t="shared" si="1"/>
        <v>0.16516666666666666</v>
      </c>
      <c r="E66" s="224">
        <f t="shared" si="2"/>
        <v>0.01075</v>
      </c>
      <c r="G66" s="152" t="s">
        <v>1087</v>
      </c>
      <c r="H66" s="232">
        <v>0.1881666666666667</v>
      </c>
      <c r="J66" s="152" t="s">
        <v>1087</v>
      </c>
      <c r="K66" s="228">
        <v>0.01102</v>
      </c>
      <c r="L66" s="153"/>
      <c r="M66" s="11"/>
    </row>
    <row r="67" spans="1:5" ht="12.75">
      <c r="A67" s="158" t="s">
        <v>761</v>
      </c>
      <c r="B67" s="157" t="s">
        <v>697</v>
      </c>
      <c r="C67" s="117" t="str">
        <f t="shared" si="0"/>
        <v>Army Terminal - Alameda</v>
      </c>
      <c r="D67" s="223">
        <f t="shared" si="1"/>
        <v>0.10916666666666666</v>
      </c>
      <c r="E67" s="224">
        <f t="shared" si="2"/>
        <v>0.011890000000000001</v>
      </c>
    </row>
    <row r="68" spans="1:5" ht="12.75">
      <c r="A68" s="158" t="s">
        <v>762</v>
      </c>
      <c r="B68" s="157" t="s">
        <v>725</v>
      </c>
      <c r="C68" s="117" t="str">
        <f t="shared" si="0"/>
        <v>Arnold - Calaveras</v>
      </c>
      <c r="D68" s="223">
        <f t="shared" si="1"/>
        <v>0.1545833333333333</v>
      </c>
      <c r="E68" s="224">
        <f t="shared" si="2"/>
        <v>0.01075</v>
      </c>
    </row>
    <row r="69" spans="1:5" ht="12.75">
      <c r="A69" s="158" t="s">
        <v>763</v>
      </c>
      <c r="B69" s="157" t="s">
        <v>764</v>
      </c>
      <c r="C69" s="117" t="str">
        <f t="shared" si="0"/>
        <v>Aromas - Monterey</v>
      </c>
      <c r="D69" s="223">
        <f t="shared" si="1"/>
        <v>0.12916666666666665</v>
      </c>
      <c r="E69" s="224">
        <f t="shared" si="2"/>
        <v>0.01084</v>
      </c>
    </row>
    <row r="70" spans="1:5" ht="12.75">
      <c r="A70" s="158" t="s">
        <v>765</v>
      </c>
      <c r="B70" s="157" t="s">
        <v>681</v>
      </c>
      <c r="C70" s="117" t="str">
        <f t="shared" si="0"/>
        <v>Arrowbear Lake - San Bernardino</v>
      </c>
      <c r="D70" s="223">
        <f t="shared" si="1"/>
        <v>0.13891666666666666</v>
      </c>
      <c r="E70" s="224">
        <f t="shared" si="2"/>
        <v>0.01134</v>
      </c>
    </row>
    <row r="71" spans="1:5" ht="12.75">
      <c r="A71" s="158" t="s">
        <v>766</v>
      </c>
      <c r="B71" s="157" t="s">
        <v>681</v>
      </c>
      <c r="C71" s="117" t="str">
        <f aca="true" t="shared" si="3" ref="C71:C134">A71&amp;" - "&amp;B71</f>
        <v>Arrowhead Highlands - San Bernardino</v>
      </c>
      <c r="D71" s="223">
        <f t="shared" si="1"/>
        <v>0.13891666666666666</v>
      </c>
      <c r="E71" s="224">
        <f t="shared" si="2"/>
        <v>0.01134</v>
      </c>
    </row>
    <row r="72" spans="1:5" ht="12.75">
      <c r="A72" s="158" t="s">
        <v>767</v>
      </c>
      <c r="B72" s="157" t="s">
        <v>679</v>
      </c>
      <c r="C72" s="117" t="str">
        <f t="shared" si="3"/>
        <v>Arroyo Grande - San Luis Obispo</v>
      </c>
      <c r="D72" s="223">
        <f aca="true" t="shared" si="4" ref="D72:D135">VLOOKUP(B72,unemployment_rates,2,FALSE)</f>
        <v>0.099</v>
      </c>
      <c r="E72" s="224">
        <f aca="true" t="shared" si="5" ref="E72:E135">VLOOKUP(B72,Prop_Tax_Rates,2,FALSE)</f>
        <v>0.01039</v>
      </c>
    </row>
    <row r="73" spans="1:5" ht="12.75">
      <c r="A73" s="158" t="s">
        <v>768</v>
      </c>
      <c r="B73" s="157" t="s">
        <v>677</v>
      </c>
      <c r="C73" s="117" t="str">
        <f t="shared" si="3"/>
        <v>Artesia - Los Angeles</v>
      </c>
      <c r="D73" s="223">
        <f t="shared" si="4"/>
        <v>0.12533333333333332</v>
      </c>
      <c r="E73" s="224">
        <f t="shared" si="5"/>
        <v>0.01168</v>
      </c>
    </row>
    <row r="74" spans="1:5" ht="12.75">
      <c r="A74" s="158" t="s">
        <v>769</v>
      </c>
      <c r="B74" s="157" t="s">
        <v>770</v>
      </c>
      <c r="C74" s="117" t="str">
        <f t="shared" si="3"/>
        <v>Artois - Glenn</v>
      </c>
      <c r="D74" s="223">
        <f t="shared" si="4"/>
        <v>0.16558333333333333</v>
      </c>
      <c r="E74" s="224">
        <f t="shared" si="5"/>
        <v>0.0105</v>
      </c>
    </row>
    <row r="75" spans="1:5" ht="12.75">
      <c r="A75" s="158" t="s">
        <v>771</v>
      </c>
      <c r="B75" s="157" t="s">
        <v>772</v>
      </c>
      <c r="C75" s="117" t="str">
        <f t="shared" si="3"/>
        <v>Arvin - Kern</v>
      </c>
      <c r="D75" s="223">
        <f t="shared" si="4"/>
        <v>0.15741666666666668</v>
      </c>
      <c r="E75" s="224">
        <f t="shared" si="5"/>
        <v>0.01114</v>
      </c>
    </row>
    <row r="76" spans="1:5" ht="12.75">
      <c r="A76" s="158" t="s">
        <v>773</v>
      </c>
      <c r="B76" s="157" t="s">
        <v>697</v>
      </c>
      <c r="C76" s="117" t="str">
        <f t="shared" si="3"/>
        <v>Ashland - Alameda</v>
      </c>
      <c r="D76" s="223">
        <f t="shared" si="4"/>
        <v>0.10916666666666666</v>
      </c>
      <c r="E76" s="224">
        <f t="shared" si="5"/>
        <v>0.011890000000000001</v>
      </c>
    </row>
    <row r="77" spans="1:5" ht="12.75">
      <c r="A77" s="158" t="s">
        <v>774</v>
      </c>
      <c r="B77" s="157" t="s">
        <v>687</v>
      </c>
      <c r="C77" s="117" t="str">
        <f t="shared" si="3"/>
        <v>Asti - Sonoma</v>
      </c>
      <c r="D77" s="223">
        <f t="shared" si="4"/>
        <v>0.10133333333333334</v>
      </c>
      <c r="E77" s="224">
        <f t="shared" si="5"/>
        <v>0.01115</v>
      </c>
    </row>
    <row r="78" spans="1:5" ht="12.75">
      <c r="A78" s="158" t="s">
        <v>775</v>
      </c>
      <c r="B78" s="157" t="s">
        <v>679</v>
      </c>
      <c r="C78" s="117" t="str">
        <f t="shared" si="3"/>
        <v>Atascadero - San Luis Obispo</v>
      </c>
      <c r="D78" s="223">
        <f t="shared" si="4"/>
        <v>0.099</v>
      </c>
      <c r="E78" s="224">
        <f t="shared" si="5"/>
        <v>0.01039</v>
      </c>
    </row>
    <row r="79" spans="1:5" ht="12.75">
      <c r="A79" s="158" t="s">
        <v>776</v>
      </c>
      <c r="B79" s="157" t="s">
        <v>677</v>
      </c>
      <c r="C79" s="117" t="str">
        <f t="shared" si="3"/>
        <v>Athens - Los Angeles</v>
      </c>
      <c r="D79" s="223">
        <f t="shared" si="4"/>
        <v>0.12533333333333332</v>
      </c>
      <c r="E79" s="224">
        <f t="shared" si="5"/>
        <v>0.01168</v>
      </c>
    </row>
    <row r="80" spans="1:5" ht="12.75">
      <c r="A80" s="158" t="s">
        <v>777</v>
      </c>
      <c r="B80" s="157" t="s">
        <v>778</v>
      </c>
      <c r="C80" s="117" t="str">
        <f t="shared" si="3"/>
        <v>Atherton - San Mateo</v>
      </c>
      <c r="D80" s="223">
        <f t="shared" si="4"/>
        <v>0.08433333333333333</v>
      </c>
      <c r="E80" s="224">
        <f t="shared" si="5"/>
        <v>0.01085</v>
      </c>
    </row>
    <row r="81" spans="1:5" ht="12.75">
      <c r="A81" s="158" t="s">
        <v>779</v>
      </c>
      <c r="B81" s="157" t="s">
        <v>780</v>
      </c>
      <c r="C81" s="117" t="str">
        <f t="shared" si="3"/>
        <v>Atwater - Merced</v>
      </c>
      <c r="D81" s="223">
        <f t="shared" si="4"/>
        <v>0.1885</v>
      </c>
      <c r="E81" s="224">
        <f t="shared" si="5"/>
        <v>0.01061</v>
      </c>
    </row>
    <row r="82" spans="1:5" ht="12.75">
      <c r="A82" s="158" t="s">
        <v>781</v>
      </c>
      <c r="B82" s="157" t="s">
        <v>708</v>
      </c>
      <c r="C82" s="117" t="str">
        <f t="shared" si="3"/>
        <v>Atwood - Orange</v>
      </c>
      <c r="D82" s="223">
        <f t="shared" si="4"/>
        <v>0.0915</v>
      </c>
      <c r="E82" s="224">
        <f t="shared" si="5"/>
        <v>0.01054</v>
      </c>
    </row>
    <row r="83" spans="1:5" ht="12.75">
      <c r="A83" s="158" t="s">
        <v>782</v>
      </c>
      <c r="B83" s="157" t="s">
        <v>783</v>
      </c>
      <c r="C83" s="117" t="str">
        <f t="shared" si="3"/>
        <v>Auberry - Fresno</v>
      </c>
      <c r="D83" s="223">
        <f t="shared" si="4"/>
        <v>0.1685</v>
      </c>
      <c r="E83" s="224">
        <f t="shared" si="5"/>
        <v>0.01165</v>
      </c>
    </row>
    <row r="84" spans="1:5" ht="12.75">
      <c r="A84" s="158" t="s">
        <v>784</v>
      </c>
      <c r="B84" s="157" t="s">
        <v>721</v>
      </c>
      <c r="C84" s="117" t="str">
        <f t="shared" si="3"/>
        <v>Auburn - Placer</v>
      </c>
      <c r="D84" s="223">
        <f t="shared" si="4"/>
        <v>0.11291666666666667</v>
      </c>
      <c r="E84" s="224">
        <f t="shared" si="5"/>
        <v>0.010629999999999999</v>
      </c>
    </row>
    <row r="85" spans="1:5" ht="12.75">
      <c r="A85" s="158" t="s">
        <v>785</v>
      </c>
      <c r="B85" s="157" t="s">
        <v>677</v>
      </c>
      <c r="C85" s="117" t="str">
        <f t="shared" si="3"/>
        <v>Avalon - Los Angeles</v>
      </c>
      <c r="D85" s="223">
        <f t="shared" si="4"/>
        <v>0.12533333333333332</v>
      </c>
      <c r="E85" s="224">
        <f t="shared" si="5"/>
        <v>0.01168</v>
      </c>
    </row>
    <row r="86" spans="1:5" ht="12.75">
      <c r="A86" s="158" t="s">
        <v>786</v>
      </c>
      <c r="B86" s="157" t="s">
        <v>760</v>
      </c>
      <c r="C86" s="117" t="str">
        <f t="shared" si="3"/>
        <v>Avenal - Kings</v>
      </c>
      <c r="D86" s="223">
        <f t="shared" si="4"/>
        <v>0.16516666666666666</v>
      </c>
      <c r="E86" s="224">
        <f t="shared" si="5"/>
        <v>0.01075</v>
      </c>
    </row>
    <row r="87" spans="1:5" ht="12.75">
      <c r="A87" s="158" t="s">
        <v>787</v>
      </c>
      <c r="B87" s="157" t="s">
        <v>725</v>
      </c>
      <c r="C87" s="117" t="str">
        <f t="shared" si="3"/>
        <v>Avery - Calaveras</v>
      </c>
      <c r="D87" s="223">
        <f t="shared" si="4"/>
        <v>0.1545833333333333</v>
      </c>
      <c r="E87" s="224">
        <f t="shared" si="5"/>
        <v>0.01075</v>
      </c>
    </row>
    <row r="88" spans="1:5" ht="12.75">
      <c r="A88" s="158" t="s">
        <v>788</v>
      </c>
      <c r="B88" s="157" t="s">
        <v>679</v>
      </c>
      <c r="C88" s="117" t="str">
        <f t="shared" si="3"/>
        <v>Avila Beach - San Luis Obispo</v>
      </c>
      <c r="D88" s="223">
        <f t="shared" si="4"/>
        <v>0.099</v>
      </c>
      <c r="E88" s="224">
        <f t="shared" si="5"/>
        <v>0.01039</v>
      </c>
    </row>
    <row r="89" spans="1:5" ht="12.75">
      <c r="A89" s="158" t="s">
        <v>789</v>
      </c>
      <c r="B89" s="157" t="s">
        <v>677</v>
      </c>
      <c r="C89" s="117" t="str">
        <f t="shared" si="3"/>
        <v>Azusa - Los Angeles</v>
      </c>
      <c r="D89" s="223">
        <f t="shared" si="4"/>
        <v>0.12533333333333332</v>
      </c>
      <c r="E89" s="224">
        <f t="shared" si="5"/>
        <v>0.01168</v>
      </c>
    </row>
    <row r="90" spans="1:5" ht="12.75">
      <c r="A90" s="158" t="s">
        <v>790</v>
      </c>
      <c r="B90" s="157" t="s">
        <v>718</v>
      </c>
      <c r="C90" s="117" t="str">
        <f t="shared" si="3"/>
        <v>Badger - Tulare</v>
      </c>
      <c r="D90" s="223">
        <f t="shared" si="4"/>
        <v>0.16641666666666666</v>
      </c>
      <c r="E90" s="224">
        <f t="shared" si="5"/>
        <v>0.01088</v>
      </c>
    </row>
    <row r="91" spans="1:5" ht="12.75">
      <c r="A91" s="158" t="s">
        <v>791</v>
      </c>
      <c r="B91" s="157" t="s">
        <v>677</v>
      </c>
      <c r="C91" s="117" t="str">
        <f t="shared" si="3"/>
        <v>Bailey - Los Angeles</v>
      </c>
      <c r="D91" s="223">
        <f t="shared" si="4"/>
        <v>0.12533333333333332</v>
      </c>
      <c r="E91" s="224">
        <f t="shared" si="5"/>
        <v>0.01168</v>
      </c>
    </row>
    <row r="92" spans="1:5" ht="12.75">
      <c r="A92" s="158" t="s">
        <v>792</v>
      </c>
      <c r="B92" s="157" t="s">
        <v>681</v>
      </c>
      <c r="C92" s="117" t="str">
        <f t="shared" si="3"/>
        <v>Baker - San Bernardino</v>
      </c>
      <c r="D92" s="223">
        <f t="shared" si="4"/>
        <v>0.13891666666666666</v>
      </c>
      <c r="E92" s="224">
        <f t="shared" si="5"/>
        <v>0.01134</v>
      </c>
    </row>
    <row r="93" spans="1:5" ht="12.75">
      <c r="A93" s="158" t="s">
        <v>793</v>
      </c>
      <c r="B93" s="157" t="s">
        <v>772</v>
      </c>
      <c r="C93" s="117" t="str">
        <f t="shared" si="3"/>
        <v>Bakersfield - Kern</v>
      </c>
      <c r="D93" s="223">
        <f t="shared" si="4"/>
        <v>0.15741666666666668</v>
      </c>
      <c r="E93" s="224">
        <f t="shared" si="5"/>
        <v>0.01114</v>
      </c>
    </row>
    <row r="94" spans="1:5" ht="12.75">
      <c r="A94" s="158" t="s">
        <v>794</v>
      </c>
      <c r="B94" s="157" t="s">
        <v>708</v>
      </c>
      <c r="C94" s="117" t="str">
        <f t="shared" si="3"/>
        <v>Balboa - Orange</v>
      </c>
      <c r="D94" s="223">
        <f t="shared" si="4"/>
        <v>0.0915</v>
      </c>
      <c r="E94" s="224">
        <f t="shared" si="5"/>
        <v>0.01054</v>
      </c>
    </row>
    <row r="95" spans="1:5" ht="12.75">
      <c r="A95" s="158" t="s">
        <v>795</v>
      </c>
      <c r="B95" s="157" t="s">
        <v>708</v>
      </c>
      <c r="C95" s="117" t="str">
        <f t="shared" si="3"/>
        <v>Balboa Island - Orange</v>
      </c>
      <c r="D95" s="223">
        <f t="shared" si="4"/>
        <v>0.0915</v>
      </c>
      <c r="E95" s="224">
        <f t="shared" si="5"/>
        <v>0.01054</v>
      </c>
    </row>
    <row r="96" spans="1:5" ht="12.75">
      <c r="A96" s="158" t="s">
        <v>796</v>
      </c>
      <c r="B96" s="157" t="s">
        <v>689</v>
      </c>
      <c r="C96" s="117" t="str">
        <f t="shared" si="3"/>
        <v>Balboa Park  - San Diego</v>
      </c>
      <c r="D96" s="223">
        <f t="shared" si="4"/>
        <v>0.10283333333333333</v>
      </c>
      <c r="E96" s="224">
        <f t="shared" si="5"/>
        <v>0.01076</v>
      </c>
    </row>
    <row r="97" spans="1:5" ht="12.75">
      <c r="A97" s="158" t="s">
        <v>797</v>
      </c>
      <c r="B97" s="157" t="s">
        <v>677</v>
      </c>
      <c r="C97" s="117" t="str">
        <f t="shared" si="3"/>
        <v>Baldwin Park - Los Angeles</v>
      </c>
      <c r="D97" s="223">
        <f t="shared" si="4"/>
        <v>0.12533333333333332</v>
      </c>
      <c r="E97" s="224">
        <f t="shared" si="5"/>
        <v>0.01168</v>
      </c>
    </row>
    <row r="98" spans="1:5" ht="12.75">
      <c r="A98" s="158" t="s">
        <v>798</v>
      </c>
      <c r="B98" s="157" t="s">
        <v>799</v>
      </c>
      <c r="C98" s="117" t="str">
        <f t="shared" si="3"/>
        <v>Ballard - Santa Barbara</v>
      </c>
      <c r="D98" s="223">
        <f t="shared" si="4"/>
        <v>0.09174999999999998</v>
      </c>
      <c r="E98" s="224">
        <f t="shared" si="5"/>
        <v>0.01055</v>
      </c>
    </row>
    <row r="99" spans="1:5" ht="12.75">
      <c r="A99" s="158" t="s">
        <v>800</v>
      </c>
      <c r="B99" s="157" t="s">
        <v>780</v>
      </c>
      <c r="C99" s="117" t="str">
        <f t="shared" si="3"/>
        <v>Ballico - Merced</v>
      </c>
      <c r="D99" s="223">
        <f t="shared" si="4"/>
        <v>0.1885</v>
      </c>
      <c r="E99" s="224">
        <f t="shared" si="5"/>
        <v>0.01061</v>
      </c>
    </row>
    <row r="100" spans="1:5" ht="12.75">
      <c r="A100" s="158" t="s">
        <v>801</v>
      </c>
      <c r="B100" s="157" t="s">
        <v>708</v>
      </c>
      <c r="C100" s="117" t="str">
        <f t="shared" si="3"/>
        <v>Ballroad - Orange</v>
      </c>
      <c r="D100" s="223">
        <f t="shared" si="4"/>
        <v>0.0915</v>
      </c>
      <c r="E100" s="224">
        <f t="shared" si="5"/>
        <v>0.01054</v>
      </c>
    </row>
    <row r="101" spans="1:5" ht="12.75">
      <c r="A101" s="158" t="s">
        <v>802</v>
      </c>
      <c r="B101" s="157" t="s">
        <v>803</v>
      </c>
      <c r="C101" s="117" t="str">
        <f t="shared" si="3"/>
        <v>Bangor - Butte</v>
      </c>
      <c r="D101" s="223">
        <f t="shared" si="4"/>
        <v>0.13741666666666666</v>
      </c>
      <c r="E101" s="224">
        <f t="shared" si="5"/>
        <v>0.01064</v>
      </c>
    </row>
    <row r="102" spans="1:5" ht="12.75">
      <c r="A102" s="158" t="s">
        <v>804</v>
      </c>
      <c r="B102" s="157" t="s">
        <v>692</v>
      </c>
      <c r="C102" s="117" t="str">
        <f t="shared" si="3"/>
        <v>Banning - Riverside</v>
      </c>
      <c r="D102" s="223">
        <f t="shared" si="4"/>
        <v>0.144</v>
      </c>
      <c r="E102" s="224">
        <f t="shared" si="5"/>
        <v>0.01089</v>
      </c>
    </row>
    <row r="103" spans="1:5" ht="12.75">
      <c r="A103" s="158" t="s">
        <v>805</v>
      </c>
      <c r="B103" s="157" t="s">
        <v>675</v>
      </c>
      <c r="C103" s="117" t="str">
        <f t="shared" si="3"/>
        <v>Banta - San Joaquin</v>
      </c>
      <c r="D103" s="223">
        <f t="shared" si="4"/>
        <v>0.17300000000000001</v>
      </c>
      <c r="E103" s="224">
        <f t="shared" si="5"/>
        <v>0.01113</v>
      </c>
    </row>
    <row r="104" spans="1:5" ht="12.75">
      <c r="A104" s="158" t="s">
        <v>806</v>
      </c>
      <c r="B104" s="157" t="s">
        <v>807</v>
      </c>
      <c r="C104" s="117" t="str">
        <f t="shared" si="3"/>
        <v>Bard - Imperial</v>
      </c>
      <c r="D104" s="223">
        <f t="shared" si="4"/>
        <v>0.29941666666666666</v>
      </c>
      <c r="E104" s="224">
        <f t="shared" si="5"/>
        <v>0.01052</v>
      </c>
    </row>
    <row r="105" spans="1:5" ht="12.75">
      <c r="A105" s="158" t="s">
        <v>808</v>
      </c>
      <c r="B105" s="157" t="s">
        <v>677</v>
      </c>
      <c r="C105" s="117" t="str">
        <f t="shared" si="3"/>
        <v>Barrington - Los Angeles</v>
      </c>
      <c r="D105" s="223">
        <f t="shared" si="4"/>
        <v>0.12533333333333332</v>
      </c>
      <c r="E105" s="224">
        <f t="shared" si="5"/>
        <v>0.01168</v>
      </c>
    </row>
    <row r="106" spans="1:5" ht="12.75">
      <c r="A106" s="158" t="s">
        <v>809</v>
      </c>
      <c r="B106" s="157" t="s">
        <v>681</v>
      </c>
      <c r="C106" s="117" t="str">
        <f t="shared" si="3"/>
        <v>Barstow - San Bernardino</v>
      </c>
      <c r="D106" s="223">
        <f t="shared" si="4"/>
        <v>0.13891666666666666</v>
      </c>
      <c r="E106" s="224">
        <f t="shared" si="5"/>
        <v>0.01134</v>
      </c>
    </row>
    <row r="107" spans="1:5" ht="12.75">
      <c r="A107" s="158" t="s">
        <v>810</v>
      </c>
      <c r="B107" s="157" t="s">
        <v>732</v>
      </c>
      <c r="C107" s="117" t="str">
        <f t="shared" si="3"/>
        <v>Bartlett - Inyo</v>
      </c>
      <c r="D107" s="223">
        <f t="shared" si="4"/>
        <v>0.10058333333333332</v>
      </c>
      <c r="E107" s="224">
        <f t="shared" si="5"/>
        <v>0.01052</v>
      </c>
    </row>
    <row r="108" spans="1:5" ht="12.75">
      <c r="A108" s="158" t="s">
        <v>811</v>
      </c>
      <c r="B108" s="157" t="s">
        <v>783</v>
      </c>
      <c r="C108" s="117" t="str">
        <f t="shared" si="3"/>
        <v>Barton - Fresno</v>
      </c>
      <c r="D108" s="223">
        <f t="shared" si="4"/>
        <v>0.1685</v>
      </c>
      <c r="E108" s="224">
        <f t="shared" si="5"/>
        <v>0.01165</v>
      </c>
    </row>
    <row r="109" spans="1:5" ht="12.75">
      <c r="A109" s="158" t="s">
        <v>812</v>
      </c>
      <c r="B109" s="157" t="s">
        <v>681</v>
      </c>
      <c r="C109" s="117" t="str">
        <f t="shared" si="3"/>
        <v>Base Line - San Bernardino</v>
      </c>
      <c r="D109" s="223">
        <f t="shared" si="4"/>
        <v>0.13891666666666666</v>
      </c>
      <c r="E109" s="224">
        <f t="shared" si="5"/>
        <v>0.01134</v>
      </c>
    </row>
    <row r="110" spans="1:5" ht="12.75">
      <c r="A110" s="158" t="s">
        <v>813</v>
      </c>
      <c r="B110" s="157" t="s">
        <v>694</v>
      </c>
      <c r="C110" s="117" t="str">
        <f t="shared" si="3"/>
        <v>Bass Lake - Madera</v>
      </c>
      <c r="D110" s="223">
        <f t="shared" si="4"/>
        <v>0.15525</v>
      </c>
      <c r="E110" s="224">
        <f t="shared" si="5"/>
        <v>0.01118</v>
      </c>
    </row>
    <row r="111" spans="1:5" ht="12.75">
      <c r="A111" s="158" t="s">
        <v>814</v>
      </c>
      <c r="B111" s="157" t="s">
        <v>677</v>
      </c>
      <c r="C111" s="117" t="str">
        <f t="shared" si="3"/>
        <v>Bassett - Los Angeles</v>
      </c>
      <c r="D111" s="223">
        <f t="shared" si="4"/>
        <v>0.12533333333333332</v>
      </c>
      <c r="E111" s="224">
        <f t="shared" si="5"/>
        <v>0.01168</v>
      </c>
    </row>
    <row r="112" spans="1:5" ht="12.75">
      <c r="A112" s="158" t="s">
        <v>815</v>
      </c>
      <c r="B112" s="157" t="s">
        <v>721</v>
      </c>
      <c r="C112" s="117" t="str">
        <f t="shared" si="3"/>
        <v>Baxter - Placer</v>
      </c>
      <c r="D112" s="223">
        <f t="shared" si="4"/>
        <v>0.11291666666666667</v>
      </c>
      <c r="E112" s="224">
        <f t="shared" si="5"/>
        <v>0.010629999999999999</v>
      </c>
    </row>
    <row r="113" spans="1:5" ht="12.75">
      <c r="A113" s="158" t="s">
        <v>816</v>
      </c>
      <c r="B113" s="157" t="s">
        <v>699</v>
      </c>
      <c r="C113" s="117" t="str">
        <f t="shared" si="3"/>
        <v>Bay Point - Contra Costa</v>
      </c>
      <c r="D113" s="223">
        <f t="shared" si="4"/>
        <v>0.10966666666666666</v>
      </c>
      <c r="E113" s="224">
        <f t="shared" si="5"/>
        <v>0.011080000000000001</v>
      </c>
    </row>
    <row r="114" spans="1:5" ht="12.75">
      <c r="A114" s="158" t="s">
        <v>817</v>
      </c>
      <c r="B114" s="157" t="s">
        <v>705</v>
      </c>
      <c r="C114" s="117" t="str">
        <f t="shared" si="3"/>
        <v>Bayside - Humboldt</v>
      </c>
      <c r="D114" s="223">
        <f t="shared" si="4"/>
        <v>0.11391666666666665</v>
      </c>
      <c r="E114" s="224">
        <f t="shared" si="5"/>
        <v>0.01055</v>
      </c>
    </row>
    <row r="115" spans="1:5" ht="12.75">
      <c r="A115" s="158" t="s">
        <v>818</v>
      </c>
      <c r="B115" s="157" t="s">
        <v>679</v>
      </c>
      <c r="C115" s="117" t="str">
        <f t="shared" si="3"/>
        <v>Baywood Park - San Luis Obispo</v>
      </c>
      <c r="D115" s="223">
        <f t="shared" si="4"/>
        <v>0.099</v>
      </c>
      <c r="E115" s="224">
        <f t="shared" si="5"/>
        <v>0.01039</v>
      </c>
    </row>
    <row r="116" spans="1:5" ht="12.75">
      <c r="A116" s="158" t="s">
        <v>819</v>
      </c>
      <c r="B116" s="157" t="s">
        <v>820</v>
      </c>
      <c r="C116" s="117" t="str">
        <f t="shared" si="3"/>
        <v>Beale A.F.B. - Yuba</v>
      </c>
      <c r="D116" s="223">
        <f t="shared" si="4"/>
        <v>0.1881666666666667</v>
      </c>
      <c r="E116" s="224">
        <f t="shared" si="5"/>
        <v>0.01102</v>
      </c>
    </row>
    <row r="117" spans="1:5" ht="12.75">
      <c r="A117" s="158" t="s">
        <v>821</v>
      </c>
      <c r="B117" s="157" t="s">
        <v>730</v>
      </c>
      <c r="C117" s="117" t="str">
        <f t="shared" si="3"/>
        <v>Bear River Lake - Amador</v>
      </c>
      <c r="D117" s="223">
        <f t="shared" si="4"/>
        <v>0.13091666666666668</v>
      </c>
      <c r="E117" s="224">
        <f t="shared" si="5"/>
        <v>0.01015</v>
      </c>
    </row>
    <row r="118" spans="1:5" ht="12.75">
      <c r="A118" s="158" t="s">
        <v>822</v>
      </c>
      <c r="B118" s="157" t="s">
        <v>719</v>
      </c>
      <c r="C118" s="117" t="str">
        <f t="shared" si="3"/>
        <v>Bear Valley - Alpine</v>
      </c>
      <c r="D118" s="223">
        <f t="shared" si="4"/>
        <v>0.16133333333333333</v>
      </c>
      <c r="E118" s="224">
        <f t="shared" si="5"/>
        <v>0.01</v>
      </c>
    </row>
    <row r="119" spans="1:5" ht="12.75">
      <c r="A119" s="158" t="s">
        <v>822</v>
      </c>
      <c r="B119" s="157" t="s">
        <v>823</v>
      </c>
      <c r="C119" s="117" t="str">
        <f t="shared" si="3"/>
        <v>Bear Valley - Mariposa</v>
      </c>
      <c r="D119" s="223">
        <f t="shared" si="4"/>
        <v>0.12466666666666669</v>
      </c>
      <c r="E119" s="224">
        <f t="shared" si="5"/>
        <v>0.01005</v>
      </c>
    </row>
    <row r="120" spans="1:5" ht="12.75">
      <c r="A120" s="158" t="s">
        <v>824</v>
      </c>
      <c r="B120" s="157" t="s">
        <v>692</v>
      </c>
      <c r="C120" s="117" t="str">
        <f t="shared" si="3"/>
        <v>Beaumont - Riverside</v>
      </c>
      <c r="D120" s="223">
        <f t="shared" si="4"/>
        <v>0.144</v>
      </c>
      <c r="E120" s="224">
        <f t="shared" si="5"/>
        <v>0.01089</v>
      </c>
    </row>
    <row r="121" spans="1:5" ht="12.75">
      <c r="A121" s="158" t="s">
        <v>825</v>
      </c>
      <c r="B121" s="157" t="s">
        <v>714</v>
      </c>
      <c r="C121" s="117" t="str">
        <f t="shared" si="3"/>
        <v>Beckwourth - Plumas</v>
      </c>
      <c r="D121" s="223">
        <f t="shared" si="4"/>
        <v>0.16258333333333333</v>
      </c>
      <c r="E121" s="224">
        <f t="shared" si="5"/>
        <v>0.01038</v>
      </c>
    </row>
    <row r="122" spans="1:5" ht="12.75">
      <c r="A122" s="158" t="s">
        <v>826</v>
      </c>
      <c r="B122" s="157" t="s">
        <v>677</v>
      </c>
      <c r="C122" s="117" t="str">
        <f t="shared" si="3"/>
        <v>Bel Air Estates - Los Angeles</v>
      </c>
      <c r="D122" s="223">
        <f t="shared" si="4"/>
        <v>0.12533333333333332</v>
      </c>
      <c r="E122" s="224">
        <f t="shared" si="5"/>
        <v>0.01168</v>
      </c>
    </row>
    <row r="123" spans="1:5" ht="12.75">
      <c r="A123" s="158" t="s">
        <v>827</v>
      </c>
      <c r="B123" s="157" t="s">
        <v>714</v>
      </c>
      <c r="C123" s="117" t="str">
        <f t="shared" si="3"/>
        <v>Belden - Plumas</v>
      </c>
      <c r="D123" s="223">
        <f t="shared" si="4"/>
        <v>0.16258333333333333</v>
      </c>
      <c r="E123" s="224">
        <f t="shared" si="5"/>
        <v>0.01038</v>
      </c>
    </row>
    <row r="124" spans="1:5" ht="12.75">
      <c r="A124" s="158" t="s">
        <v>828</v>
      </c>
      <c r="B124" s="157" t="s">
        <v>677</v>
      </c>
      <c r="C124" s="117" t="str">
        <f t="shared" si="3"/>
        <v>Bell - Los Angeles</v>
      </c>
      <c r="D124" s="223">
        <f t="shared" si="4"/>
        <v>0.12533333333333332</v>
      </c>
      <c r="E124" s="224">
        <f t="shared" si="5"/>
        <v>0.01168</v>
      </c>
    </row>
    <row r="125" spans="1:5" ht="12.75">
      <c r="A125" s="158" t="s">
        <v>829</v>
      </c>
      <c r="B125" s="157" t="s">
        <v>677</v>
      </c>
      <c r="C125" s="117" t="str">
        <f t="shared" si="3"/>
        <v>Bell Gardens - Los Angeles</v>
      </c>
      <c r="D125" s="223">
        <f t="shared" si="4"/>
        <v>0.12533333333333332</v>
      </c>
      <c r="E125" s="224">
        <f t="shared" si="5"/>
        <v>0.01168</v>
      </c>
    </row>
    <row r="126" spans="1:5" ht="12.75">
      <c r="A126" s="158" t="s">
        <v>830</v>
      </c>
      <c r="B126" s="157" t="s">
        <v>738</v>
      </c>
      <c r="C126" s="117" t="str">
        <f t="shared" si="3"/>
        <v>Bella Vista - Shasta</v>
      </c>
      <c r="D126" s="223">
        <f t="shared" si="4"/>
        <v>0.15616666666666668</v>
      </c>
      <c r="E126" s="224">
        <f t="shared" si="5"/>
        <v>0.01085</v>
      </c>
    </row>
    <row r="127" spans="1:5" ht="12.75">
      <c r="A127" s="158" t="s">
        <v>831</v>
      </c>
      <c r="B127" s="157" t="s">
        <v>677</v>
      </c>
      <c r="C127" s="117" t="str">
        <f t="shared" si="3"/>
        <v>Bellflower - Los Angeles</v>
      </c>
      <c r="D127" s="223">
        <f t="shared" si="4"/>
        <v>0.12533333333333332</v>
      </c>
      <c r="E127" s="224">
        <f t="shared" si="5"/>
        <v>0.01168</v>
      </c>
    </row>
    <row r="128" spans="1:5" ht="12.75">
      <c r="A128" s="158" t="s">
        <v>832</v>
      </c>
      <c r="B128" s="157" t="s">
        <v>778</v>
      </c>
      <c r="C128" s="117" t="str">
        <f t="shared" si="3"/>
        <v>Belmont - San Mateo</v>
      </c>
      <c r="D128" s="223">
        <f t="shared" si="4"/>
        <v>0.08433333333333333</v>
      </c>
      <c r="E128" s="224">
        <f t="shared" si="5"/>
        <v>0.01085</v>
      </c>
    </row>
    <row r="129" spans="1:5" ht="12.75">
      <c r="A129" s="158" t="s">
        <v>833</v>
      </c>
      <c r="B129" s="157" t="s">
        <v>834</v>
      </c>
      <c r="C129" s="117" t="str">
        <f t="shared" si="3"/>
        <v>Belvedere - Marin</v>
      </c>
      <c r="D129" s="223">
        <f t="shared" si="4"/>
        <v>0.08033333333333333</v>
      </c>
      <c r="E129" s="224">
        <f t="shared" si="5"/>
        <v>0.01105</v>
      </c>
    </row>
    <row r="130" spans="1:5" ht="12.75">
      <c r="A130" s="158" t="s">
        <v>835</v>
      </c>
      <c r="B130" s="157" t="s">
        <v>751</v>
      </c>
      <c r="C130" s="117" t="str">
        <f t="shared" si="3"/>
        <v>Ben Lomond - Santa Cruz</v>
      </c>
      <c r="D130" s="223">
        <f t="shared" si="4"/>
        <v>0.12516666666666665</v>
      </c>
      <c r="E130" s="224">
        <f t="shared" si="5"/>
        <v>0.01093</v>
      </c>
    </row>
    <row r="131" spans="1:5" ht="12.75">
      <c r="A131" s="158" t="s">
        <v>836</v>
      </c>
      <c r="B131" s="157" t="s">
        <v>837</v>
      </c>
      <c r="C131" s="117" t="str">
        <f t="shared" si="3"/>
        <v>Benicia - Solano</v>
      </c>
      <c r="D131" s="223">
        <f t="shared" si="4"/>
        <v>0.11916666666666666</v>
      </c>
      <c r="E131" s="224">
        <f t="shared" si="5"/>
        <v>0.01121</v>
      </c>
    </row>
    <row r="132" spans="1:5" ht="12.75">
      <c r="A132" s="158" t="s">
        <v>838</v>
      </c>
      <c r="B132" s="157" t="s">
        <v>839</v>
      </c>
      <c r="C132" s="117" t="str">
        <f t="shared" si="3"/>
        <v>Benton - Mono</v>
      </c>
      <c r="D132" s="223">
        <f t="shared" si="4"/>
        <v>0.10441666666666664</v>
      </c>
      <c r="E132" s="224">
        <f t="shared" si="5"/>
        <v>0.01073</v>
      </c>
    </row>
    <row r="133" spans="1:5" ht="12.75">
      <c r="A133" s="158" t="s">
        <v>840</v>
      </c>
      <c r="B133" s="157" t="s">
        <v>697</v>
      </c>
      <c r="C133" s="117" t="str">
        <f t="shared" si="3"/>
        <v>Berkeley - Alameda</v>
      </c>
      <c r="D133" s="223">
        <f t="shared" si="4"/>
        <v>0.10916666666666666</v>
      </c>
      <c r="E133" s="224">
        <f t="shared" si="5"/>
        <v>0.011890000000000001</v>
      </c>
    </row>
    <row r="134" spans="1:5" ht="12.75">
      <c r="A134" s="158" t="s">
        <v>841</v>
      </c>
      <c r="B134" s="157" t="s">
        <v>692</v>
      </c>
      <c r="C134" s="117" t="str">
        <f t="shared" si="3"/>
        <v>Bermuda Dunes - Riverside</v>
      </c>
      <c r="D134" s="223">
        <f t="shared" si="4"/>
        <v>0.144</v>
      </c>
      <c r="E134" s="224">
        <f t="shared" si="5"/>
        <v>0.01089</v>
      </c>
    </row>
    <row r="135" spans="1:5" ht="12.75">
      <c r="A135" s="158" t="s">
        <v>842</v>
      </c>
      <c r="B135" s="157" t="s">
        <v>803</v>
      </c>
      <c r="C135" s="117" t="str">
        <f aca="true" t="shared" si="6" ref="C135:C198">A135&amp;" - "&amp;B135</f>
        <v>Berry Creek - Butte</v>
      </c>
      <c r="D135" s="223">
        <f t="shared" si="4"/>
        <v>0.13741666666666666</v>
      </c>
      <c r="E135" s="224">
        <f t="shared" si="5"/>
        <v>0.01064</v>
      </c>
    </row>
    <row r="136" spans="1:5" ht="12.75">
      <c r="A136" s="158" t="s">
        <v>843</v>
      </c>
      <c r="B136" s="157" t="s">
        <v>699</v>
      </c>
      <c r="C136" s="117" t="str">
        <f t="shared" si="6"/>
        <v>Bethel Island - Contra Costa</v>
      </c>
      <c r="D136" s="223">
        <f aca="true" t="shared" si="7" ref="D136:D199">VLOOKUP(B136,unemployment_rates,2,FALSE)</f>
        <v>0.10966666666666666</v>
      </c>
      <c r="E136" s="224">
        <f aca="true" t="shared" si="8" ref="E136:E199">VLOOKUP(B136,Prop_Tax_Rates,2,FALSE)</f>
        <v>0.011080000000000001</v>
      </c>
    </row>
    <row r="137" spans="1:5" ht="12.75">
      <c r="A137" s="158" t="s">
        <v>844</v>
      </c>
      <c r="B137" s="157" t="s">
        <v>799</v>
      </c>
      <c r="C137" s="117" t="str">
        <f t="shared" si="6"/>
        <v>Betteravia - Santa Barbara</v>
      </c>
      <c r="D137" s="223">
        <f t="shared" si="7"/>
        <v>0.09174999999999998</v>
      </c>
      <c r="E137" s="224">
        <f t="shared" si="8"/>
        <v>0.01055</v>
      </c>
    </row>
    <row r="138" spans="1:5" ht="12.75">
      <c r="A138" s="158" t="s">
        <v>845</v>
      </c>
      <c r="B138" s="157" t="s">
        <v>677</v>
      </c>
      <c r="C138" s="117" t="str">
        <f t="shared" si="6"/>
        <v>Beverly Hills - Los Angeles</v>
      </c>
      <c r="D138" s="223">
        <f t="shared" si="7"/>
        <v>0.12533333333333332</v>
      </c>
      <c r="E138" s="224">
        <f t="shared" si="8"/>
        <v>0.01168</v>
      </c>
    </row>
    <row r="139" spans="1:5" ht="12.75">
      <c r="A139" s="158" t="s">
        <v>846</v>
      </c>
      <c r="B139" s="157" t="s">
        <v>847</v>
      </c>
      <c r="C139" s="117" t="str">
        <f t="shared" si="6"/>
        <v>Bieber - Lassen</v>
      </c>
      <c r="D139" s="223">
        <f t="shared" si="7"/>
        <v>0.1388333333333333</v>
      </c>
      <c r="E139" s="224">
        <f t="shared" si="8"/>
        <v>0.01024</v>
      </c>
    </row>
    <row r="140" spans="1:5" ht="12.75">
      <c r="A140" s="158" t="s">
        <v>848</v>
      </c>
      <c r="B140" s="157" t="s">
        <v>849</v>
      </c>
      <c r="C140" s="117" t="str">
        <f t="shared" si="6"/>
        <v>Big Bar - Trinity</v>
      </c>
      <c r="D140" s="223">
        <f t="shared" si="7"/>
        <v>0.18466666666666667</v>
      </c>
      <c r="E140" s="224">
        <f t="shared" si="8"/>
        <v>0.010129999999999998</v>
      </c>
    </row>
    <row r="141" spans="1:5" ht="12.75">
      <c r="A141" s="158" t="s">
        <v>850</v>
      </c>
      <c r="B141" s="157" t="s">
        <v>751</v>
      </c>
      <c r="C141" s="117" t="str">
        <f t="shared" si="6"/>
        <v>Big Basin - Santa Cruz</v>
      </c>
      <c r="D141" s="223">
        <f t="shared" si="7"/>
        <v>0.12516666666666665</v>
      </c>
      <c r="E141" s="224">
        <f t="shared" si="8"/>
        <v>0.01093</v>
      </c>
    </row>
    <row r="142" spans="1:5" ht="12.75">
      <c r="A142" s="158" t="s">
        <v>851</v>
      </c>
      <c r="B142" s="157" t="s">
        <v>681</v>
      </c>
      <c r="C142" s="117" t="str">
        <f t="shared" si="6"/>
        <v>Big Bear City - San Bernardino</v>
      </c>
      <c r="D142" s="223">
        <f t="shared" si="7"/>
        <v>0.13891666666666666</v>
      </c>
      <c r="E142" s="224">
        <f t="shared" si="8"/>
        <v>0.01134</v>
      </c>
    </row>
    <row r="143" spans="1:5" ht="12.75">
      <c r="A143" s="158" t="s">
        <v>852</v>
      </c>
      <c r="B143" s="157" t="s">
        <v>681</v>
      </c>
      <c r="C143" s="117" t="str">
        <f t="shared" si="6"/>
        <v>Big Bear Lake - San Bernardino</v>
      </c>
      <c r="D143" s="223">
        <f t="shared" si="7"/>
        <v>0.13891666666666666</v>
      </c>
      <c r="E143" s="224">
        <f t="shared" si="8"/>
        <v>0.01134</v>
      </c>
    </row>
    <row r="144" spans="1:5" ht="12.75">
      <c r="A144" s="158" t="s">
        <v>853</v>
      </c>
      <c r="B144" s="157" t="s">
        <v>738</v>
      </c>
      <c r="C144" s="117" t="str">
        <f t="shared" si="6"/>
        <v>Big Bend - Shasta</v>
      </c>
      <c r="D144" s="223">
        <f t="shared" si="7"/>
        <v>0.15616666666666668</v>
      </c>
      <c r="E144" s="224">
        <f t="shared" si="8"/>
        <v>0.01085</v>
      </c>
    </row>
    <row r="145" spans="1:5" ht="12.75">
      <c r="A145" s="158" t="s">
        <v>854</v>
      </c>
      <c r="B145" s="157" t="s">
        <v>783</v>
      </c>
      <c r="C145" s="117" t="str">
        <f t="shared" si="6"/>
        <v>Big Creek - Fresno</v>
      </c>
      <c r="D145" s="223">
        <f t="shared" si="7"/>
        <v>0.1685</v>
      </c>
      <c r="E145" s="224">
        <f t="shared" si="8"/>
        <v>0.01165</v>
      </c>
    </row>
    <row r="146" spans="1:5" ht="12.75">
      <c r="A146" s="158" t="s">
        <v>855</v>
      </c>
      <c r="B146" s="157" t="s">
        <v>856</v>
      </c>
      <c r="C146" s="117" t="str">
        <f t="shared" si="6"/>
        <v>Big Oak Flat - Tuolumne</v>
      </c>
      <c r="D146" s="223">
        <f t="shared" si="7"/>
        <v>0.13766666666666666</v>
      </c>
      <c r="E146" s="224">
        <f t="shared" si="8"/>
        <v>0.01042</v>
      </c>
    </row>
    <row r="147" spans="1:5" ht="12.75">
      <c r="A147" s="158" t="s">
        <v>857</v>
      </c>
      <c r="B147" s="157" t="s">
        <v>732</v>
      </c>
      <c r="C147" s="117" t="str">
        <f t="shared" si="6"/>
        <v>Big Pine - Inyo</v>
      </c>
      <c r="D147" s="223">
        <f t="shared" si="7"/>
        <v>0.10058333333333332</v>
      </c>
      <c r="E147" s="224">
        <f t="shared" si="8"/>
        <v>0.01052</v>
      </c>
    </row>
    <row r="148" spans="1:5" ht="12.75">
      <c r="A148" s="158" t="s">
        <v>858</v>
      </c>
      <c r="B148" s="157" t="s">
        <v>681</v>
      </c>
      <c r="C148" s="117" t="str">
        <f t="shared" si="6"/>
        <v>Big River - San Bernardino</v>
      </c>
      <c r="D148" s="223">
        <f t="shared" si="7"/>
        <v>0.13891666666666666</v>
      </c>
      <c r="E148" s="224">
        <f t="shared" si="8"/>
        <v>0.01134</v>
      </c>
    </row>
    <row r="149" spans="1:5" ht="12.75">
      <c r="A149" s="158" t="s">
        <v>859</v>
      </c>
      <c r="B149" s="157" t="s">
        <v>764</v>
      </c>
      <c r="C149" s="117" t="str">
        <f t="shared" si="6"/>
        <v>Big Sur - Monterey</v>
      </c>
      <c r="D149" s="223">
        <f t="shared" si="7"/>
        <v>0.12916666666666665</v>
      </c>
      <c r="E149" s="224">
        <f t="shared" si="8"/>
        <v>0.01084</v>
      </c>
    </row>
    <row r="150" spans="1:5" ht="12.75">
      <c r="A150" s="158" t="s">
        <v>860</v>
      </c>
      <c r="B150" s="157" t="s">
        <v>803</v>
      </c>
      <c r="C150" s="117" t="str">
        <f t="shared" si="6"/>
        <v>Biggs - Butte</v>
      </c>
      <c r="D150" s="223">
        <f t="shared" si="7"/>
        <v>0.13741666666666666</v>
      </c>
      <c r="E150" s="224">
        <f t="shared" si="8"/>
        <v>0.01064</v>
      </c>
    </row>
    <row r="151" spans="1:5" ht="12.75">
      <c r="A151" s="158" t="s">
        <v>861</v>
      </c>
      <c r="B151" s="157" t="s">
        <v>696</v>
      </c>
      <c r="C151" s="117" t="str">
        <f t="shared" si="6"/>
        <v>Bijou - El Dorado</v>
      </c>
      <c r="D151" s="223">
        <f t="shared" si="7"/>
        <v>0.12433333333333335</v>
      </c>
      <c r="E151" s="224">
        <f t="shared" si="8"/>
        <v>0.01055</v>
      </c>
    </row>
    <row r="152" spans="1:5" ht="12.75">
      <c r="A152" s="158" t="s">
        <v>862</v>
      </c>
      <c r="B152" s="157" t="s">
        <v>783</v>
      </c>
      <c r="C152" s="117" t="str">
        <f t="shared" si="6"/>
        <v>Biola - Fresno</v>
      </c>
      <c r="D152" s="223">
        <f t="shared" si="7"/>
        <v>0.1685</v>
      </c>
      <c r="E152" s="224">
        <f t="shared" si="8"/>
        <v>0.01165</v>
      </c>
    </row>
    <row r="153" spans="1:5" ht="12.75">
      <c r="A153" s="158" t="s">
        <v>863</v>
      </c>
      <c r="B153" s="157" t="s">
        <v>677</v>
      </c>
      <c r="C153" s="117" t="str">
        <f t="shared" si="6"/>
        <v>Biola College - Los Angeles</v>
      </c>
      <c r="D153" s="223">
        <f t="shared" si="7"/>
        <v>0.12533333333333332</v>
      </c>
      <c r="E153" s="224">
        <f t="shared" si="8"/>
        <v>0.01168</v>
      </c>
    </row>
    <row r="154" spans="1:5" ht="12.75">
      <c r="A154" s="158" t="s">
        <v>864</v>
      </c>
      <c r="B154" s="157" t="s">
        <v>837</v>
      </c>
      <c r="C154" s="117" t="str">
        <f t="shared" si="6"/>
        <v>Birds Landing - Solano</v>
      </c>
      <c r="D154" s="223">
        <f t="shared" si="7"/>
        <v>0.11916666666666666</v>
      </c>
      <c r="E154" s="224">
        <f t="shared" si="8"/>
        <v>0.01121</v>
      </c>
    </row>
    <row r="155" spans="1:5" ht="12.75">
      <c r="A155" s="158" t="s">
        <v>865</v>
      </c>
      <c r="B155" s="157" t="s">
        <v>732</v>
      </c>
      <c r="C155" s="117" t="str">
        <f t="shared" si="6"/>
        <v>Bishop - Inyo</v>
      </c>
      <c r="D155" s="223">
        <f t="shared" si="7"/>
        <v>0.10058333333333332</v>
      </c>
      <c r="E155" s="224">
        <f t="shared" si="8"/>
        <v>0.01052</v>
      </c>
    </row>
    <row r="156" spans="1:5" ht="12.75">
      <c r="A156" s="158" t="s">
        <v>866</v>
      </c>
      <c r="B156" s="157" t="s">
        <v>699</v>
      </c>
      <c r="C156" s="117" t="str">
        <f t="shared" si="6"/>
        <v>Black Hawk - Contra Costa</v>
      </c>
      <c r="D156" s="223">
        <f t="shared" si="7"/>
        <v>0.10966666666666666</v>
      </c>
      <c r="E156" s="224">
        <f t="shared" si="8"/>
        <v>0.011080000000000001</v>
      </c>
    </row>
    <row r="157" spans="1:5" ht="12.75">
      <c r="A157" s="158" t="s">
        <v>867</v>
      </c>
      <c r="B157" s="157" t="s">
        <v>714</v>
      </c>
      <c r="C157" s="117" t="str">
        <f t="shared" si="6"/>
        <v>Blairsden - Plumas</v>
      </c>
      <c r="D157" s="223">
        <f t="shared" si="7"/>
        <v>0.16258333333333333</v>
      </c>
      <c r="E157" s="224">
        <f t="shared" si="8"/>
        <v>0.01038</v>
      </c>
    </row>
    <row r="158" spans="1:5" ht="12.75">
      <c r="A158" s="158" t="s">
        <v>868</v>
      </c>
      <c r="B158" s="157" t="s">
        <v>705</v>
      </c>
      <c r="C158" s="117" t="str">
        <f t="shared" si="6"/>
        <v>Blocksburg - Humboldt</v>
      </c>
      <c r="D158" s="223">
        <f t="shared" si="7"/>
        <v>0.11391666666666665</v>
      </c>
      <c r="E158" s="224">
        <f t="shared" si="8"/>
        <v>0.01055</v>
      </c>
    </row>
    <row r="159" spans="1:5" ht="12.75">
      <c r="A159" s="158" t="s">
        <v>869</v>
      </c>
      <c r="B159" s="157" t="s">
        <v>681</v>
      </c>
      <c r="C159" s="117" t="str">
        <f t="shared" si="6"/>
        <v>Bloomington - San Bernardino</v>
      </c>
      <c r="D159" s="223">
        <f t="shared" si="7"/>
        <v>0.13891666666666666</v>
      </c>
      <c r="E159" s="224">
        <f t="shared" si="8"/>
        <v>0.01134</v>
      </c>
    </row>
    <row r="160" spans="1:5" ht="12.75">
      <c r="A160" s="158" t="s">
        <v>870</v>
      </c>
      <c r="B160" s="157" t="s">
        <v>712</v>
      </c>
      <c r="C160" s="117" t="str">
        <f t="shared" si="6"/>
        <v>Blossom Hill - Santa Clara</v>
      </c>
      <c r="D160" s="223">
        <f t="shared" si="7"/>
        <v>0.10433333333333333</v>
      </c>
      <c r="E160" s="224">
        <f t="shared" si="8"/>
        <v>0.011810000000000001</v>
      </c>
    </row>
    <row r="161" spans="1:5" ht="12.75">
      <c r="A161" s="158" t="s">
        <v>871</v>
      </c>
      <c r="B161" s="157" t="s">
        <v>712</v>
      </c>
      <c r="C161" s="117" t="str">
        <f t="shared" si="6"/>
        <v>Blossom Valley - Santa Clara</v>
      </c>
      <c r="D161" s="223">
        <f t="shared" si="7"/>
        <v>0.10433333333333333</v>
      </c>
      <c r="E161" s="224">
        <f t="shared" si="8"/>
        <v>0.011810000000000001</v>
      </c>
    </row>
    <row r="162" spans="1:5" ht="12.75">
      <c r="A162" s="158" t="s">
        <v>872</v>
      </c>
      <c r="B162" s="157" t="s">
        <v>681</v>
      </c>
      <c r="C162" s="117" t="str">
        <f t="shared" si="6"/>
        <v>Blue Jay - San Bernardino</v>
      </c>
      <c r="D162" s="223">
        <f t="shared" si="7"/>
        <v>0.13891666666666666</v>
      </c>
      <c r="E162" s="224">
        <f t="shared" si="8"/>
        <v>0.01134</v>
      </c>
    </row>
    <row r="163" spans="1:5" ht="12.75">
      <c r="A163" s="158" t="s">
        <v>873</v>
      </c>
      <c r="B163" s="157" t="s">
        <v>705</v>
      </c>
      <c r="C163" s="117" t="str">
        <f t="shared" si="6"/>
        <v>Blue Lake - Humboldt</v>
      </c>
      <c r="D163" s="223">
        <f t="shared" si="7"/>
        <v>0.11391666666666665</v>
      </c>
      <c r="E163" s="224">
        <f t="shared" si="8"/>
        <v>0.01055</v>
      </c>
    </row>
    <row r="164" spans="1:5" ht="12.75">
      <c r="A164" s="158" t="s">
        <v>874</v>
      </c>
      <c r="B164" s="157" t="s">
        <v>692</v>
      </c>
      <c r="C164" s="117" t="str">
        <f t="shared" si="6"/>
        <v>Blythe - Riverside</v>
      </c>
      <c r="D164" s="223">
        <f t="shared" si="7"/>
        <v>0.144</v>
      </c>
      <c r="E164" s="224">
        <f t="shared" si="8"/>
        <v>0.01089</v>
      </c>
    </row>
    <row r="165" spans="1:5" ht="12.75">
      <c r="A165" s="158" t="s">
        <v>875</v>
      </c>
      <c r="B165" s="157" t="s">
        <v>687</v>
      </c>
      <c r="C165" s="117" t="str">
        <f t="shared" si="6"/>
        <v>Bodega - Sonoma</v>
      </c>
      <c r="D165" s="223">
        <f t="shared" si="7"/>
        <v>0.10133333333333334</v>
      </c>
      <c r="E165" s="224">
        <f t="shared" si="8"/>
        <v>0.01115</v>
      </c>
    </row>
    <row r="166" spans="1:5" ht="12.75">
      <c r="A166" s="158" t="s">
        <v>876</v>
      </c>
      <c r="B166" s="157" t="s">
        <v>687</v>
      </c>
      <c r="C166" s="117" t="str">
        <f t="shared" si="6"/>
        <v>Bodega Bay - Sonoma</v>
      </c>
      <c r="D166" s="223">
        <f t="shared" si="7"/>
        <v>0.10133333333333334</v>
      </c>
      <c r="E166" s="224">
        <f t="shared" si="8"/>
        <v>0.01115</v>
      </c>
    </row>
    <row r="167" spans="1:5" ht="12.75">
      <c r="A167" s="158" t="s">
        <v>877</v>
      </c>
      <c r="B167" s="157" t="s">
        <v>772</v>
      </c>
      <c r="C167" s="117" t="str">
        <f t="shared" si="6"/>
        <v>Bodfish - Kern</v>
      </c>
      <c r="D167" s="223">
        <f t="shared" si="7"/>
        <v>0.15741666666666668</v>
      </c>
      <c r="E167" s="224">
        <f t="shared" si="8"/>
        <v>0.01114</v>
      </c>
    </row>
    <row r="168" spans="1:5" ht="12.75">
      <c r="A168" s="158" t="s">
        <v>878</v>
      </c>
      <c r="B168" s="157" t="s">
        <v>834</v>
      </c>
      <c r="C168" s="117" t="str">
        <f t="shared" si="6"/>
        <v>Bolinas - Marin</v>
      </c>
      <c r="D168" s="223">
        <f t="shared" si="7"/>
        <v>0.08033333333333333</v>
      </c>
      <c r="E168" s="224">
        <f t="shared" si="8"/>
        <v>0.01105</v>
      </c>
    </row>
    <row r="169" spans="1:5" ht="12.75">
      <c r="A169" s="158" t="s">
        <v>879</v>
      </c>
      <c r="B169" s="157" t="s">
        <v>708</v>
      </c>
      <c r="C169" s="117" t="str">
        <f t="shared" si="6"/>
        <v>Bolsa - Orange</v>
      </c>
      <c r="D169" s="223">
        <f t="shared" si="7"/>
        <v>0.0915</v>
      </c>
      <c r="E169" s="224">
        <f t="shared" si="8"/>
        <v>0.01054</v>
      </c>
    </row>
    <row r="170" spans="1:5" ht="12.75">
      <c r="A170" s="158" t="s">
        <v>880</v>
      </c>
      <c r="B170" s="157" t="s">
        <v>807</v>
      </c>
      <c r="C170" s="117" t="str">
        <f t="shared" si="6"/>
        <v>Bombay Beach - Imperial</v>
      </c>
      <c r="D170" s="223">
        <f t="shared" si="7"/>
        <v>0.29941666666666666</v>
      </c>
      <c r="E170" s="224">
        <f t="shared" si="8"/>
        <v>0.01052</v>
      </c>
    </row>
    <row r="171" spans="1:5" ht="12.75">
      <c r="A171" s="158" t="s">
        <v>881</v>
      </c>
      <c r="B171" s="157" t="s">
        <v>689</v>
      </c>
      <c r="C171" s="117" t="str">
        <f t="shared" si="6"/>
        <v>Bonita - San Diego</v>
      </c>
      <c r="D171" s="223">
        <f t="shared" si="7"/>
        <v>0.10283333333333333</v>
      </c>
      <c r="E171" s="224">
        <f t="shared" si="8"/>
        <v>0.01076</v>
      </c>
    </row>
    <row r="172" spans="1:5" ht="12.75">
      <c r="A172" s="158" t="s">
        <v>882</v>
      </c>
      <c r="B172" s="157" t="s">
        <v>751</v>
      </c>
      <c r="C172" s="117" t="str">
        <f t="shared" si="6"/>
        <v>Bonny Doon - Santa Cruz</v>
      </c>
      <c r="D172" s="223">
        <f t="shared" si="7"/>
        <v>0.12516666666666665</v>
      </c>
      <c r="E172" s="224">
        <f t="shared" si="8"/>
        <v>0.01093</v>
      </c>
    </row>
    <row r="173" spans="1:5" ht="12.75">
      <c r="A173" s="158" t="s">
        <v>883</v>
      </c>
      <c r="B173" s="157" t="s">
        <v>689</v>
      </c>
      <c r="C173" s="117" t="str">
        <f t="shared" si="6"/>
        <v>Bonsall - San Diego</v>
      </c>
      <c r="D173" s="223">
        <f t="shared" si="7"/>
        <v>0.10283333333333333</v>
      </c>
      <c r="E173" s="224">
        <f t="shared" si="8"/>
        <v>0.01076</v>
      </c>
    </row>
    <row r="174" spans="1:5" ht="12.75">
      <c r="A174" s="158" t="s">
        <v>884</v>
      </c>
      <c r="B174" s="157" t="s">
        <v>703</v>
      </c>
      <c r="C174" s="117" t="str">
        <f t="shared" si="6"/>
        <v>Boonville - Mendocino</v>
      </c>
      <c r="D174" s="223">
        <f t="shared" si="7"/>
        <v>0.11325000000000002</v>
      </c>
      <c r="E174" s="224">
        <f t="shared" si="8"/>
        <v>0.01097</v>
      </c>
    </row>
    <row r="175" spans="1:5" ht="12.75">
      <c r="A175" s="158" t="s">
        <v>885</v>
      </c>
      <c r="B175" s="157" t="s">
        <v>772</v>
      </c>
      <c r="C175" s="117" t="str">
        <f t="shared" si="6"/>
        <v>Boron - Kern</v>
      </c>
      <c r="D175" s="223">
        <f t="shared" si="7"/>
        <v>0.15741666666666668</v>
      </c>
      <c r="E175" s="224">
        <f t="shared" si="8"/>
        <v>0.01114</v>
      </c>
    </row>
    <row r="176" spans="1:5" ht="12.75">
      <c r="A176" s="158" t="s">
        <v>886</v>
      </c>
      <c r="B176" s="157" t="s">
        <v>689</v>
      </c>
      <c r="C176" s="117" t="str">
        <f t="shared" si="6"/>
        <v>Borrego Springs - San Diego</v>
      </c>
      <c r="D176" s="223">
        <f t="shared" si="7"/>
        <v>0.10283333333333333</v>
      </c>
      <c r="E176" s="224">
        <f t="shared" si="8"/>
        <v>0.01076</v>
      </c>
    </row>
    <row r="177" spans="1:5" ht="12.75">
      <c r="A177" s="158" t="s">
        <v>887</v>
      </c>
      <c r="B177" s="157" t="s">
        <v>689</v>
      </c>
      <c r="C177" s="117" t="str">
        <f t="shared" si="6"/>
        <v>Bostonia - San Diego</v>
      </c>
      <c r="D177" s="223">
        <f t="shared" si="7"/>
        <v>0.10283333333333333</v>
      </c>
      <c r="E177" s="224">
        <f t="shared" si="8"/>
        <v>0.01076</v>
      </c>
    </row>
    <row r="178" spans="1:5" ht="12.75">
      <c r="A178" s="158" t="s">
        <v>888</v>
      </c>
      <c r="B178" s="157" t="s">
        <v>751</v>
      </c>
      <c r="C178" s="117" t="str">
        <f t="shared" si="6"/>
        <v>Boulder Creek - Santa Cruz</v>
      </c>
      <c r="D178" s="223">
        <f t="shared" si="7"/>
        <v>0.12516666666666665</v>
      </c>
      <c r="E178" s="224">
        <f t="shared" si="8"/>
        <v>0.01093</v>
      </c>
    </row>
    <row r="179" spans="1:5" ht="12.75">
      <c r="A179" s="158" t="s">
        <v>889</v>
      </c>
      <c r="B179" s="157" t="s">
        <v>689</v>
      </c>
      <c r="C179" s="117" t="str">
        <f t="shared" si="6"/>
        <v>Boulevard - San Diego</v>
      </c>
      <c r="D179" s="223">
        <f t="shared" si="7"/>
        <v>0.10283333333333333</v>
      </c>
      <c r="E179" s="224">
        <f t="shared" si="8"/>
        <v>0.01076</v>
      </c>
    </row>
    <row r="180" spans="1:5" ht="12.75">
      <c r="A180" s="158" t="s">
        <v>890</v>
      </c>
      <c r="B180" s="157" t="s">
        <v>677</v>
      </c>
      <c r="C180" s="117" t="str">
        <f t="shared" si="6"/>
        <v>Bouquet Canyon - Los Angeles</v>
      </c>
      <c r="D180" s="223">
        <f t="shared" si="7"/>
        <v>0.12533333333333332</v>
      </c>
      <c r="E180" s="224">
        <f t="shared" si="8"/>
        <v>0.01168</v>
      </c>
    </row>
    <row r="181" spans="1:5" ht="12.75">
      <c r="A181" s="158" t="s">
        <v>891</v>
      </c>
      <c r="B181" s="157" t="s">
        <v>721</v>
      </c>
      <c r="C181" s="117" t="str">
        <f t="shared" si="6"/>
        <v>Bowman - Placer</v>
      </c>
      <c r="D181" s="223">
        <f t="shared" si="7"/>
        <v>0.11291666666666667</v>
      </c>
      <c r="E181" s="224">
        <f t="shared" si="8"/>
        <v>0.010629999999999999</v>
      </c>
    </row>
    <row r="182" spans="1:5" ht="12.75">
      <c r="A182" s="158" t="s">
        <v>892</v>
      </c>
      <c r="B182" s="157" t="s">
        <v>687</v>
      </c>
      <c r="C182" s="117" t="str">
        <f t="shared" si="6"/>
        <v>Boyes Hot Springs - Sonoma</v>
      </c>
      <c r="D182" s="223">
        <f t="shared" si="7"/>
        <v>0.10133333333333334</v>
      </c>
      <c r="E182" s="224">
        <f t="shared" si="8"/>
        <v>0.01115</v>
      </c>
    </row>
    <row r="183" spans="1:5" ht="12.75">
      <c r="A183" s="158" t="s">
        <v>893</v>
      </c>
      <c r="B183" s="157" t="s">
        <v>677</v>
      </c>
      <c r="C183" s="117" t="str">
        <f t="shared" si="6"/>
        <v>Bradbury - Los Angeles</v>
      </c>
      <c r="D183" s="223">
        <f t="shared" si="7"/>
        <v>0.12533333333333332</v>
      </c>
      <c r="E183" s="224">
        <f t="shared" si="8"/>
        <v>0.01168</v>
      </c>
    </row>
    <row r="184" spans="1:5" ht="12.75">
      <c r="A184" s="158" t="s">
        <v>894</v>
      </c>
      <c r="B184" s="157" t="s">
        <v>697</v>
      </c>
      <c r="C184" s="117" t="str">
        <f t="shared" si="6"/>
        <v>Bradford - Alameda</v>
      </c>
      <c r="D184" s="223">
        <f t="shared" si="7"/>
        <v>0.10916666666666666</v>
      </c>
      <c r="E184" s="224">
        <f t="shared" si="8"/>
        <v>0.011890000000000001</v>
      </c>
    </row>
    <row r="185" spans="1:5" ht="12.75">
      <c r="A185" s="158" t="s">
        <v>895</v>
      </c>
      <c r="B185" s="157" t="s">
        <v>764</v>
      </c>
      <c r="C185" s="117" t="str">
        <f t="shared" si="6"/>
        <v>Bradley - Monterey</v>
      </c>
      <c r="D185" s="223">
        <f t="shared" si="7"/>
        <v>0.12916666666666665</v>
      </c>
      <c r="E185" s="224">
        <f t="shared" si="8"/>
        <v>0.01084</v>
      </c>
    </row>
    <row r="186" spans="1:5" ht="12.75">
      <c r="A186" s="158" t="s">
        <v>896</v>
      </c>
      <c r="B186" s="157" t="s">
        <v>703</v>
      </c>
      <c r="C186" s="117" t="str">
        <f t="shared" si="6"/>
        <v>Branscomb - Mendocino</v>
      </c>
      <c r="D186" s="223">
        <f t="shared" si="7"/>
        <v>0.11325000000000002</v>
      </c>
      <c r="E186" s="224">
        <f t="shared" si="8"/>
        <v>0.01097</v>
      </c>
    </row>
    <row r="187" spans="1:5" ht="12.75">
      <c r="A187" s="158" t="s">
        <v>897</v>
      </c>
      <c r="B187" s="157" t="s">
        <v>807</v>
      </c>
      <c r="C187" s="117" t="str">
        <f t="shared" si="6"/>
        <v>Brawley - Imperial</v>
      </c>
      <c r="D187" s="223">
        <f t="shared" si="7"/>
        <v>0.29941666666666666</v>
      </c>
      <c r="E187" s="224">
        <f t="shared" si="8"/>
        <v>0.01052</v>
      </c>
    </row>
    <row r="188" spans="1:5" ht="12.75">
      <c r="A188" s="158" t="s">
        <v>898</v>
      </c>
      <c r="B188" s="157" t="s">
        <v>708</v>
      </c>
      <c r="C188" s="117" t="str">
        <f t="shared" si="6"/>
        <v>Brea - Orange</v>
      </c>
      <c r="D188" s="223">
        <f t="shared" si="7"/>
        <v>0.0915</v>
      </c>
      <c r="E188" s="224">
        <f t="shared" si="8"/>
        <v>0.01054</v>
      </c>
    </row>
    <row r="189" spans="1:5" ht="12.75">
      <c r="A189" s="158" t="s">
        <v>899</v>
      </c>
      <c r="B189" s="157" t="s">
        <v>677</v>
      </c>
      <c r="C189" s="117" t="str">
        <f t="shared" si="6"/>
        <v>Brents Junction - Los Angeles</v>
      </c>
      <c r="D189" s="223">
        <f t="shared" si="7"/>
        <v>0.12533333333333332</v>
      </c>
      <c r="E189" s="224">
        <f t="shared" si="8"/>
        <v>0.01168</v>
      </c>
    </row>
    <row r="190" spans="1:5" ht="12.75">
      <c r="A190" s="158" t="s">
        <v>900</v>
      </c>
      <c r="B190" s="157" t="s">
        <v>699</v>
      </c>
      <c r="C190" s="117" t="str">
        <f t="shared" si="6"/>
        <v>Brentwood - Contra Costa</v>
      </c>
      <c r="D190" s="223">
        <f t="shared" si="7"/>
        <v>0.10966666666666666</v>
      </c>
      <c r="E190" s="224">
        <f t="shared" si="8"/>
        <v>0.011080000000000001</v>
      </c>
    </row>
    <row r="191" spans="1:5" ht="12.75">
      <c r="A191" s="158" t="s">
        <v>900</v>
      </c>
      <c r="B191" s="157" t="s">
        <v>677</v>
      </c>
      <c r="C191" s="117" t="str">
        <f t="shared" si="6"/>
        <v>Brentwood - Los Angeles</v>
      </c>
      <c r="D191" s="223">
        <f t="shared" si="7"/>
        <v>0.12533333333333332</v>
      </c>
      <c r="E191" s="224">
        <f t="shared" si="8"/>
        <v>0.01168</v>
      </c>
    </row>
    <row r="192" spans="1:5" ht="12.75">
      <c r="A192" s="158" t="s">
        <v>901</v>
      </c>
      <c r="B192" s="157" t="s">
        <v>705</v>
      </c>
      <c r="C192" s="117" t="str">
        <f t="shared" si="6"/>
        <v>Briceland - Humboldt</v>
      </c>
      <c r="D192" s="223">
        <f t="shared" si="7"/>
        <v>0.11391666666666665</v>
      </c>
      <c r="E192" s="224">
        <f t="shared" si="8"/>
        <v>0.01055</v>
      </c>
    </row>
    <row r="193" spans="1:5" ht="12.75">
      <c r="A193" s="158" t="s">
        <v>902</v>
      </c>
      <c r="B193" s="157" t="s">
        <v>823</v>
      </c>
      <c r="C193" s="117" t="str">
        <f t="shared" si="6"/>
        <v>Bridgeport - Mariposa</v>
      </c>
      <c r="D193" s="223">
        <f t="shared" si="7"/>
        <v>0.12466666666666669</v>
      </c>
      <c r="E193" s="224">
        <f t="shared" si="8"/>
        <v>0.01005</v>
      </c>
    </row>
    <row r="194" spans="1:5" ht="12.75">
      <c r="A194" s="158" t="s">
        <v>902</v>
      </c>
      <c r="B194" s="157" t="s">
        <v>839</v>
      </c>
      <c r="C194" s="117" t="str">
        <f t="shared" si="6"/>
        <v>Bridgeport - Mono</v>
      </c>
      <c r="D194" s="223">
        <f t="shared" si="7"/>
        <v>0.10441666666666664</v>
      </c>
      <c r="E194" s="224">
        <f t="shared" si="8"/>
        <v>0.01073</v>
      </c>
    </row>
    <row r="195" spans="1:5" ht="12.75">
      <c r="A195" s="158" t="s">
        <v>903</v>
      </c>
      <c r="B195" s="157" t="s">
        <v>705</v>
      </c>
      <c r="C195" s="117" t="str">
        <f t="shared" si="6"/>
        <v>Bridgeville - Humboldt</v>
      </c>
      <c r="D195" s="223">
        <f t="shared" si="7"/>
        <v>0.11391666666666665</v>
      </c>
      <c r="E195" s="224">
        <f t="shared" si="8"/>
        <v>0.01055</v>
      </c>
    </row>
    <row r="196" spans="1:5" ht="12.75">
      <c r="A196" s="158" t="s">
        <v>904</v>
      </c>
      <c r="B196" s="157" t="s">
        <v>778</v>
      </c>
      <c r="C196" s="117" t="str">
        <f t="shared" si="6"/>
        <v>Brisbane - San Mateo</v>
      </c>
      <c r="D196" s="223">
        <f t="shared" si="7"/>
        <v>0.08433333333333333</v>
      </c>
      <c r="E196" s="224">
        <f t="shared" si="8"/>
        <v>0.01085</v>
      </c>
    </row>
    <row r="197" spans="1:5" ht="12.75">
      <c r="A197" s="158" t="s">
        <v>905</v>
      </c>
      <c r="B197" s="157" t="s">
        <v>906</v>
      </c>
      <c r="C197" s="117" t="str">
        <f t="shared" si="6"/>
        <v>Broderick - Yolo</v>
      </c>
      <c r="D197" s="223">
        <f t="shared" si="7"/>
        <v>0.13033333333333333</v>
      </c>
      <c r="E197" s="224">
        <f t="shared" si="8"/>
        <v>0.01054</v>
      </c>
    </row>
    <row r="198" spans="1:5" ht="12.75">
      <c r="A198" s="158" t="s">
        <v>907</v>
      </c>
      <c r="B198" s="157" t="s">
        <v>751</v>
      </c>
      <c r="C198" s="117" t="str">
        <f t="shared" si="6"/>
        <v>Brookdale - Santa Cruz</v>
      </c>
      <c r="D198" s="223">
        <f t="shared" si="7"/>
        <v>0.12516666666666665</v>
      </c>
      <c r="E198" s="224">
        <f t="shared" si="8"/>
        <v>0.01093</v>
      </c>
    </row>
    <row r="199" spans="1:5" ht="12.75">
      <c r="A199" s="158" t="s">
        <v>908</v>
      </c>
      <c r="B199" s="157" t="s">
        <v>708</v>
      </c>
      <c r="C199" s="117" t="str">
        <f aca="true" t="shared" si="9" ref="C199:C262">A199&amp;" - "&amp;B199</f>
        <v>Brookhurst Center - Orange</v>
      </c>
      <c r="D199" s="223">
        <f t="shared" si="7"/>
        <v>0.0915</v>
      </c>
      <c r="E199" s="224">
        <f t="shared" si="8"/>
        <v>0.01054</v>
      </c>
    </row>
    <row r="200" spans="1:5" ht="12.75">
      <c r="A200" s="158" t="s">
        <v>909</v>
      </c>
      <c r="B200" s="157" t="s">
        <v>906</v>
      </c>
      <c r="C200" s="117" t="str">
        <f t="shared" si="9"/>
        <v>Brooks - Yolo</v>
      </c>
      <c r="D200" s="223">
        <f aca="true" t="shared" si="10" ref="D200:D263">VLOOKUP(B200,unemployment_rates,2,FALSE)</f>
        <v>0.13033333333333333</v>
      </c>
      <c r="E200" s="224">
        <f aca="true" t="shared" si="11" ref="E200:E263">VLOOKUP(B200,Prop_Tax_Rates,2,FALSE)</f>
        <v>0.01054</v>
      </c>
    </row>
    <row r="201" spans="1:5" ht="12.75">
      <c r="A201" s="158" t="s">
        <v>910</v>
      </c>
      <c r="B201" s="157" t="s">
        <v>820</v>
      </c>
      <c r="C201" s="117" t="str">
        <f t="shared" si="9"/>
        <v>Browns Valley - Yuba</v>
      </c>
      <c r="D201" s="223">
        <f t="shared" si="10"/>
        <v>0.1881666666666667</v>
      </c>
      <c r="E201" s="224">
        <f t="shared" si="11"/>
        <v>0.01102</v>
      </c>
    </row>
    <row r="202" spans="1:5" ht="12.75">
      <c r="A202" s="158" t="s">
        <v>911</v>
      </c>
      <c r="B202" s="157" t="s">
        <v>820</v>
      </c>
      <c r="C202" s="117" t="str">
        <f t="shared" si="9"/>
        <v>Brownsville - Yuba</v>
      </c>
      <c r="D202" s="223">
        <f t="shared" si="10"/>
        <v>0.1881666666666667</v>
      </c>
      <c r="E202" s="224">
        <f t="shared" si="11"/>
        <v>0.01102</v>
      </c>
    </row>
    <row r="203" spans="1:5" ht="12.75">
      <c r="A203" s="158" t="s">
        <v>912</v>
      </c>
      <c r="B203" s="157" t="s">
        <v>681</v>
      </c>
      <c r="C203" s="117" t="str">
        <f t="shared" si="9"/>
        <v>Bryn Mawr - San Bernardino</v>
      </c>
      <c r="D203" s="223">
        <f t="shared" si="10"/>
        <v>0.13891666666666666</v>
      </c>
      <c r="E203" s="224">
        <f t="shared" si="11"/>
        <v>0.01134</v>
      </c>
    </row>
    <row r="204" spans="1:5" ht="12.75">
      <c r="A204" s="158" t="s">
        <v>913</v>
      </c>
      <c r="B204" s="157" t="s">
        <v>906</v>
      </c>
      <c r="C204" s="117" t="str">
        <f t="shared" si="9"/>
        <v>Bryte - Yolo</v>
      </c>
      <c r="D204" s="223">
        <f t="shared" si="10"/>
        <v>0.13033333333333333</v>
      </c>
      <c r="E204" s="224">
        <f t="shared" si="11"/>
        <v>0.01054</v>
      </c>
    </row>
    <row r="205" spans="1:5" ht="12.75">
      <c r="A205" s="158" t="s">
        <v>914</v>
      </c>
      <c r="B205" s="157" t="s">
        <v>799</v>
      </c>
      <c r="C205" s="117" t="str">
        <f t="shared" si="9"/>
        <v>Buellton - Santa Barbara</v>
      </c>
      <c r="D205" s="223">
        <f t="shared" si="10"/>
        <v>0.09174999999999998</v>
      </c>
      <c r="E205" s="224">
        <f t="shared" si="11"/>
        <v>0.01055</v>
      </c>
    </row>
    <row r="206" spans="1:5" ht="12.75">
      <c r="A206" s="158" t="s">
        <v>915</v>
      </c>
      <c r="B206" s="157" t="s">
        <v>708</v>
      </c>
      <c r="C206" s="117" t="str">
        <f t="shared" si="9"/>
        <v>Buena Park - Orange</v>
      </c>
      <c r="D206" s="223">
        <f t="shared" si="10"/>
        <v>0.0915</v>
      </c>
      <c r="E206" s="224">
        <f t="shared" si="11"/>
        <v>0.01054</v>
      </c>
    </row>
    <row r="207" spans="1:5" ht="12.75">
      <c r="A207" s="158" t="s">
        <v>956</v>
      </c>
      <c r="B207" s="157" t="s">
        <v>677</v>
      </c>
      <c r="C207" s="117" t="str">
        <f t="shared" si="9"/>
        <v>Burbank - Los Angeles</v>
      </c>
      <c r="D207" s="223">
        <f t="shared" si="10"/>
        <v>0.12533333333333332</v>
      </c>
      <c r="E207" s="224">
        <f t="shared" si="11"/>
        <v>0.01168</v>
      </c>
    </row>
    <row r="208" spans="1:5" ht="12.75">
      <c r="A208" s="158" t="s">
        <v>957</v>
      </c>
      <c r="B208" s="157" t="s">
        <v>778</v>
      </c>
      <c r="C208" s="117" t="str">
        <f t="shared" si="9"/>
        <v>Burlingame - San Mateo</v>
      </c>
      <c r="D208" s="223">
        <f t="shared" si="10"/>
        <v>0.08433333333333333</v>
      </c>
      <c r="E208" s="224">
        <f t="shared" si="11"/>
        <v>0.01085</v>
      </c>
    </row>
    <row r="209" spans="1:5" ht="12.75">
      <c r="A209" s="158" t="s">
        <v>989</v>
      </c>
      <c r="B209" s="157" t="s">
        <v>738</v>
      </c>
      <c r="C209" s="117" t="str">
        <f t="shared" si="9"/>
        <v>Burney - Shasta</v>
      </c>
      <c r="D209" s="223">
        <f t="shared" si="10"/>
        <v>0.15616666666666668</v>
      </c>
      <c r="E209" s="224">
        <f t="shared" si="11"/>
        <v>0.01085</v>
      </c>
    </row>
    <row r="210" spans="1:5" ht="12.75">
      <c r="A210" s="158" t="s">
        <v>990</v>
      </c>
      <c r="B210" s="157" t="s">
        <v>849</v>
      </c>
      <c r="C210" s="117" t="str">
        <f t="shared" si="9"/>
        <v>Burnt Ranch - Trinity</v>
      </c>
      <c r="D210" s="223">
        <f t="shared" si="10"/>
        <v>0.18466666666666667</v>
      </c>
      <c r="E210" s="224">
        <f t="shared" si="11"/>
        <v>0.010129999999999998</v>
      </c>
    </row>
    <row r="211" spans="1:5" ht="12.75">
      <c r="A211" s="158" t="s">
        <v>991</v>
      </c>
      <c r="B211" s="157" t="s">
        <v>783</v>
      </c>
      <c r="C211" s="117" t="str">
        <f t="shared" si="9"/>
        <v>Burrel - Fresno</v>
      </c>
      <c r="D211" s="223">
        <f t="shared" si="10"/>
        <v>0.1685</v>
      </c>
      <c r="E211" s="224">
        <f t="shared" si="11"/>
        <v>0.01165</v>
      </c>
    </row>
    <row r="212" spans="1:5" ht="12.75">
      <c r="A212" s="158" t="s">
        <v>992</v>
      </c>
      <c r="B212" s="157" t="s">
        <v>725</v>
      </c>
      <c r="C212" s="117" t="str">
        <f t="shared" si="9"/>
        <v>Burson - Calaveras</v>
      </c>
      <c r="D212" s="223">
        <f t="shared" si="10"/>
        <v>0.1545833333333333</v>
      </c>
      <c r="E212" s="224">
        <f t="shared" si="11"/>
        <v>0.01075</v>
      </c>
    </row>
    <row r="213" spans="1:5" ht="12.75">
      <c r="A213" s="158" t="s">
        <v>993</v>
      </c>
      <c r="B213" s="157" t="s">
        <v>770</v>
      </c>
      <c r="C213" s="117" t="str">
        <f t="shared" si="9"/>
        <v>Butte City - Glenn</v>
      </c>
      <c r="D213" s="223">
        <f t="shared" si="10"/>
        <v>0.16558333333333333</v>
      </c>
      <c r="E213" s="224">
        <f t="shared" si="11"/>
        <v>0.0105</v>
      </c>
    </row>
    <row r="214" spans="1:5" ht="12.75">
      <c r="A214" s="158" t="s">
        <v>994</v>
      </c>
      <c r="B214" s="157" t="s">
        <v>803</v>
      </c>
      <c r="C214" s="117" t="str">
        <f t="shared" si="9"/>
        <v>Butte Meadows - Butte</v>
      </c>
      <c r="D214" s="223">
        <f t="shared" si="10"/>
        <v>0.13741666666666666</v>
      </c>
      <c r="E214" s="224">
        <f t="shared" si="11"/>
        <v>0.01064</v>
      </c>
    </row>
    <row r="215" spans="1:5" ht="12.75">
      <c r="A215" s="158" t="s">
        <v>995</v>
      </c>
      <c r="B215" s="157" t="s">
        <v>772</v>
      </c>
      <c r="C215" s="117" t="str">
        <f t="shared" si="9"/>
        <v>Buttonwillow - Kern</v>
      </c>
      <c r="D215" s="223">
        <f t="shared" si="10"/>
        <v>0.15741666666666668</v>
      </c>
      <c r="E215" s="224">
        <f t="shared" si="11"/>
        <v>0.01114</v>
      </c>
    </row>
    <row r="216" spans="1:5" ht="12.75">
      <c r="A216" s="158" t="s">
        <v>996</v>
      </c>
      <c r="B216" s="157" t="s">
        <v>699</v>
      </c>
      <c r="C216" s="117" t="str">
        <f t="shared" si="9"/>
        <v>Byron - Contra Costa</v>
      </c>
      <c r="D216" s="223">
        <f t="shared" si="10"/>
        <v>0.10966666666666666</v>
      </c>
      <c r="E216" s="224">
        <f t="shared" si="11"/>
        <v>0.011080000000000001</v>
      </c>
    </row>
    <row r="217" spans="1:5" ht="12.75">
      <c r="A217" s="158" t="s">
        <v>997</v>
      </c>
      <c r="B217" s="157" t="s">
        <v>692</v>
      </c>
      <c r="C217" s="117" t="str">
        <f t="shared" si="9"/>
        <v>Cabazon - Riverside</v>
      </c>
      <c r="D217" s="223">
        <f t="shared" si="10"/>
        <v>0.144</v>
      </c>
      <c r="E217" s="224">
        <f t="shared" si="11"/>
        <v>0.01089</v>
      </c>
    </row>
    <row r="218" spans="1:5" ht="12.75">
      <c r="A218" s="158" t="s">
        <v>998</v>
      </c>
      <c r="B218" s="157" t="s">
        <v>677</v>
      </c>
      <c r="C218" s="117" t="str">
        <f t="shared" si="9"/>
        <v>Cabrillo - Los Angeles</v>
      </c>
      <c r="D218" s="223">
        <f t="shared" si="10"/>
        <v>0.12533333333333332</v>
      </c>
      <c r="E218" s="224">
        <f t="shared" si="11"/>
        <v>0.01168</v>
      </c>
    </row>
    <row r="219" spans="1:5" ht="12.75">
      <c r="A219" s="158" t="s">
        <v>999</v>
      </c>
      <c r="B219" s="157" t="s">
        <v>681</v>
      </c>
      <c r="C219" s="117" t="str">
        <f t="shared" si="9"/>
        <v>Cadiz - San Bernardino</v>
      </c>
      <c r="D219" s="223">
        <f t="shared" si="10"/>
        <v>0.13891666666666666</v>
      </c>
      <c r="E219" s="224">
        <f t="shared" si="11"/>
        <v>0.01134</v>
      </c>
    </row>
    <row r="220" spans="1:5" ht="12.75">
      <c r="A220" s="158" t="s">
        <v>1000</v>
      </c>
      <c r="B220" s="157" t="s">
        <v>677</v>
      </c>
      <c r="C220" s="117" t="str">
        <f t="shared" si="9"/>
        <v>Calabasas - Los Angeles</v>
      </c>
      <c r="D220" s="223">
        <f t="shared" si="10"/>
        <v>0.12533333333333332</v>
      </c>
      <c r="E220" s="224">
        <f t="shared" si="11"/>
        <v>0.01168</v>
      </c>
    </row>
    <row r="221" spans="1:5" ht="12.75">
      <c r="A221" s="158" t="s">
        <v>1001</v>
      </c>
      <c r="B221" s="157" t="s">
        <v>677</v>
      </c>
      <c r="C221" s="117" t="str">
        <f t="shared" si="9"/>
        <v>Calabasas Highlands - Los Angeles</v>
      </c>
      <c r="D221" s="223">
        <f t="shared" si="10"/>
        <v>0.12533333333333332</v>
      </c>
      <c r="E221" s="224">
        <f t="shared" si="11"/>
        <v>0.01168</v>
      </c>
    </row>
    <row r="222" spans="1:5" ht="12.75">
      <c r="A222" s="158" t="s">
        <v>1002</v>
      </c>
      <c r="B222" s="157" t="s">
        <v>677</v>
      </c>
      <c r="C222" s="117" t="str">
        <f t="shared" si="9"/>
        <v>Calabasas Park - Los Angeles</v>
      </c>
      <c r="D222" s="223">
        <f t="shared" si="10"/>
        <v>0.12533333333333332</v>
      </c>
      <c r="E222" s="224">
        <f t="shared" si="11"/>
        <v>0.01168</v>
      </c>
    </row>
    <row r="223" spans="1:5" ht="12.75">
      <c r="A223" s="158" t="s">
        <v>1003</v>
      </c>
      <c r="B223" s="157" t="s">
        <v>807</v>
      </c>
      <c r="C223" s="117" t="str">
        <f t="shared" si="9"/>
        <v>Calexico - Imperial</v>
      </c>
      <c r="D223" s="223">
        <f t="shared" si="10"/>
        <v>0.29941666666666666</v>
      </c>
      <c r="E223" s="224">
        <f t="shared" si="11"/>
        <v>0.01052</v>
      </c>
    </row>
    <row r="224" spans="1:5" ht="12.75">
      <c r="A224" s="158" t="s">
        <v>1004</v>
      </c>
      <c r="B224" s="157" t="s">
        <v>772</v>
      </c>
      <c r="C224" s="117" t="str">
        <f t="shared" si="9"/>
        <v>Caliente - Kern</v>
      </c>
      <c r="D224" s="223">
        <f t="shared" si="10"/>
        <v>0.15741666666666668</v>
      </c>
      <c r="E224" s="224">
        <f t="shared" si="11"/>
        <v>0.01114</v>
      </c>
    </row>
    <row r="225" spans="1:5" ht="12.75">
      <c r="A225" s="158" t="s">
        <v>1005</v>
      </c>
      <c r="B225" s="157" t="s">
        <v>772</v>
      </c>
      <c r="C225" s="117" t="str">
        <f t="shared" si="9"/>
        <v>California City - Kern</v>
      </c>
      <c r="D225" s="223">
        <f t="shared" si="10"/>
        <v>0.15741666666666668</v>
      </c>
      <c r="E225" s="224">
        <f t="shared" si="11"/>
        <v>0.01114</v>
      </c>
    </row>
    <row r="226" spans="1:5" ht="12.75">
      <c r="A226" s="158" t="s">
        <v>1006</v>
      </c>
      <c r="B226" s="157" t="s">
        <v>718</v>
      </c>
      <c r="C226" s="117" t="str">
        <f t="shared" si="9"/>
        <v>California Hot Springs - Tulare</v>
      </c>
      <c r="D226" s="223">
        <f t="shared" si="10"/>
        <v>0.16641666666666666</v>
      </c>
      <c r="E226" s="224">
        <f t="shared" si="11"/>
        <v>0.01088</v>
      </c>
    </row>
    <row r="227" spans="1:5" ht="12.75">
      <c r="A227" s="158" t="s">
        <v>1007</v>
      </c>
      <c r="B227" s="157" t="s">
        <v>679</v>
      </c>
      <c r="C227" s="117" t="str">
        <f t="shared" si="9"/>
        <v>California Valley - San Luis Obispo</v>
      </c>
      <c r="D227" s="223">
        <f t="shared" si="10"/>
        <v>0.099</v>
      </c>
      <c r="E227" s="224">
        <f t="shared" si="11"/>
        <v>0.01039</v>
      </c>
    </row>
    <row r="228" spans="1:5" ht="12.75">
      <c r="A228" s="158" t="s">
        <v>1008</v>
      </c>
      <c r="B228" s="157" t="s">
        <v>692</v>
      </c>
      <c r="C228" s="117" t="str">
        <f t="shared" si="9"/>
        <v>Calimesa - Riverside</v>
      </c>
      <c r="D228" s="223">
        <f t="shared" si="10"/>
        <v>0.144</v>
      </c>
      <c r="E228" s="224">
        <f t="shared" si="11"/>
        <v>0.01089</v>
      </c>
    </row>
    <row r="229" spans="1:5" ht="12.75">
      <c r="A229" s="158" t="s">
        <v>1009</v>
      </c>
      <c r="B229" s="157" t="s">
        <v>807</v>
      </c>
      <c r="C229" s="117" t="str">
        <f t="shared" si="9"/>
        <v>Calipatria - Imperial</v>
      </c>
      <c r="D229" s="223">
        <f t="shared" si="10"/>
        <v>0.29941666666666666</v>
      </c>
      <c r="E229" s="224">
        <f t="shared" si="11"/>
        <v>0.01052</v>
      </c>
    </row>
    <row r="230" spans="1:5" ht="12.75">
      <c r="A230" s="158" t="s">
        <v>1010</v>
      </c>
      <c r="B230" s="157" t="s">
        <v>735</v>
      </c>
      <c r="C230" s="117" t="str">
        <f t="shared" si="9"/>
        <v>Calistoga - Napa</v>
      </c>
      <c r="D230" s="223">
        <f t="shared" si="10"/>
        <v>0.09708333333333334</v>
      </c>
      <c r="E230" s="224">
        <f t="shared" si="11"/>
        <v>0.01093</v>
      </c>
    </row>
    <row r="231" spans="1:5" ht="12.75">
      <c r="A231" s="158" t="s">
        <v>1011</v>
      </c>
      <c r="B231" s="157" t="s">
        <v>1012</v>
      </c>
      <c r="C231" s="117" t="str">
        <f t="shared" si="9"/>
        <v>Callahan - Siskiyou</v>
      </c>
      <c r="D231" s="223">
        <f t="shared" si="10"/>
        <v>0.17858333333333332</v>
      </c>
      <c r="E231" s="224">
        <f t="shared" si="11"/>
        <v>0.01038</v>
      </c>
    </row>
    <row r="232" spans="1:5" ht="12.75">
      <c r="A232" s="158" t="s">
        <v>1013</v>
      </c>
      <c r="B232" s="157" t="s">
        <v>703</v>
      </c>
      <c r="C232" s="117" t="str">
        <f t="shared" si="9"/>
        <v>Calpella - Mendocino</v>
      </c>
      <c r="D232" s="223">
        <f t="shared" si="10"/>
        <v>0.11325000000000002</v>
      </c>
      <c r="E232" s="224">
        <f t="shared" si="11"/>
        <v>0.01097</v>
      </c>
    </row>
    <row r="233" spans="1:5" ht="12.75">
      <c r="A233" s="158" t="s">
        <v>1014</v>
      </c>
      <c r="B233" s="157" t="s">
        <v>710</v>
      </c>
      <c r="C233" s="117" t="str">
        <f t="shared" si="9"/>
        <v>Calpine - Sierra</v>
      </c>
      <c r="D233" s="223">
        <f t="shared" si="10"/>
        <v>0.16016666666666665</v>
      </c>
      <c r="E233" s="224">
        <f t="shared" si="11"/>
        <v>0.010329999999999999</v>
      </c>
    </row>
    <row r="234" spans="1:5" ht="12.75">
      <c r="A234" s="158" t="s">
        <v>1015</v>
      </c>
      <c r="B234" s="157" t="s">
        <v>783</v>
      </c>
      <c r="C234" s="117" t="str">
        <f t="shared" si="9"/>
        <v>Calwa - Fresno</v>
      </c>
      <c r="D234" s="223">
        <f t="shared" si="10"/>
        <v>0.1685</v>
      </c>
      <c r="E234" s="224">
        <f t="shared" si="11"/>
        <v>0.01165</v>
      </c>
    </row>
    <row r="235" spans="1:5" ht="12.75">
      <c r="A235" s="158" t="s">
        <v>1016</v>
      </c>
      <c r="B235" s="157" t="s">
        <v>1017</v>
      </c>
      <c r="C235" s="117" t="str">
        <f t="shared" si="9"/>
        <v>Camarillo - Ventura</v>
      </c>
      <c r="D235" s="223">
        <f t="shared" si="10"/>
        <v>0.10525000000000001</v>
      </c>
      <c r="E235" s="224">
        <f t="shared" si="11"/>
        <v>0.010820000000000001</v>
      </c>
    </row>
    <row r="236" spans="1:5" ht="12.75">
      <c r="A236" s="158" t="s">
        <v>1018</v>
      </c>
      <c r="B236" s="157" t="s">
        <v>679</v>
      </c>
      <c r="C236" s="117" t="str">
        <f t="shared" si="9"/>
        <v>Cambria - San Luis Obispo</v>
      </c>
      <c r="D236" s="223">
        <f t="shared" si="10"/>
        <v>0.099</v>
      </c>
      <c r="E236" s="224">
        <f t="shared" si="11"/>
        <v>0.01039</v>
      </c>
    </row>
    <row r="237" spans="1:5" ht="12.75">
      <c r="A237" s="158" t="s">
        <v>1019</v>
      </c>
      <c r="B237" s="157" t="s">
        <v>712</v>
      </c>
      <c r="C237" s="117" t="str">
        <f t="shared" si="9"/>
        <v>Cambrian Park - Santa Clara</v>
      </c>
      <c r="D237" s="223">
        <f t="shared" si="10"/>
        <v>0.10433333333333333</v>
      </c>
      <c r="E237" s="224">
        <f t="shared" si="11"/>
        <v>0.011810000000000001</v>
      </c>
    </row>
    <row r="238" spans="1:5" ht="12.75">
      <c r="A238" s="158" t="s">
        <v>1020</v>
      </c>
      <c r="B238" s="157" t="s">
        <v>696</v>
      </c>
      <c r="C238" s="117" t="str">
        <f t="shared" si="9"/>
        <v>Cameron Park - El Dorado</v>
      </c>
      <c r="D238" s="223">
        <f t="shared" si="10"/>
        <v>0.12433333333333335</v>
      </c>
      <c r="E238" s="224">
        <f t="shared" si="11"/>
        <v>0.01055</v>
      </c>
    </row>
    <row r="239" spans="1:5" ht="12.75">
      <c r="A239" s="158" t="s">
        <v>1021</v>
      </c>
      <c r="B239" s="157" t="s">
        <v>696</v>
      </c>
      <c r="C239" s="117" t="str">
        <f t="shared" si="9"/>
        <v>Camino - El Dorado</v>
      </c>
      <c r="D239" s="223">
        <f t="shared" si="10"/>
        <v>0.12433333333333335</v>
      </c>
      <c r="E239" s="224">
        <f t="shared" si="11"/>
        <v>0.01055</v>
      </c>
    </row>
    <row r="240" spans="1:5" ht="12.75">
      <c r="A240" s="158" t="s">
        <v>1022</v>
      </c>
      <c r="B240" s="157" t="s">
        <v>820</v>
      </c>
      <c r="C240" s="117" t="str">
        <f t="shared" si="9"/>
        <v>Camp Beale - Yuba</v>
      </c>
      <c r="D240" s="223">
        <f t="shared" si="10"/>
        <v>0.1881666666666667</v>
      </c>
      <c r="E240" s="224">
        <f t="shared" si="11"/>
        <v>0.01102</v>
      </c>
    </row>
    <row r="241" spans="1:5" ht="12.75">
      <c r="A241" s="158" t="s">
        <v>1023</v>
      </c>
      <c r="B241" s="157" t="s">
        <v>725</v>
      </c>
      <c r="C241" s="117" t="str">
        <f t="shared" si="9"/>
        <v>Camp Connell - Calaveras</v>
      </c>
      <c r="D241" s="223">
        <f t="shared" si="10"/>
        <v>0.1545833333333333</v>
      </c>
      <c r="E241" s="224">
        <f t="shared" si="11"/>
        <v>0.01075</v>
      </c>
    </row>
    <row r="242" spans="1:5" ht="12.75">
      <c r="A242" s="158" t="s">
        <v>1024</v>
      </c>
      <c r="B242" s="157" t="s">
        <v>823</v>
      </c>
      <c r="C242" s="117" t="str">
        <f t="shared" si="9"/>
        <v>Camp Curry - Mariposa</v>
      </c>
      <c r="D242" s="223">
        <f t="shared" si="10"/>
        <v>0.12466666666666669</v>
      </c>
      <c r="E242" s="224">
        <f t="shared" si="11"/>
        <v>0.01005</v>
      </c>
    </row>
    <row r="243" spans="1:5" ht="12.75">
      <c r="A243" s="158" t="s">
        <v>1025</v>
      </c>
      <c r="B243" s="157" t="s">
        <v>718</v>
      </c>
      <c r="C243" s="117" t="str">
        <f t="shared" si="9"/>
        <v>Camp Kaweah - Tulare</v>
      </c>
      <c r="D243" s="223">
        <f t="shared" si="10"/>
        <v>0.16641666666666666</v>
      </c>
      <c r="E243" s="224">
        <f t="shared" si="11"/>
        <v>0.01088</v>
      </c>
    </row>
    <row r="244" spans="1:5" ht="12.75">
      <c r="A244" s="158" t="s">
        <v>1026</v>
      </c>
      <c r="B244" s="157" t="s">
        <v>687</v>
      </c>
      <c r="C244" s="117" t="str">
        <f t="shared" si="9"/>
        <v>Camp Meeker - Sonoma</v>
      </c>
      <c r="D244" s="223">
        <f t="shared" si="10"/>
        <v>0.10133333333333334</v>
      </c>
      <c r="E244" s="224">
        <f t="shared" si="11"/>
        <v>0.01115</v>
      </c>
    </row>
    <row r="245" spans="1:5" ht="12.75">
      <c r="A245" s="158" t="s">
        <v>1027</v>
      </c>
      <c r="B245" s="157" t="s">
        <v>718</v>
      </c>
      <c r="C245" s="117" t="str">
        <f t="shared" si="9"/>
        <v>Camp Nelson - Tulare</v>
      </c>
      <c r="D245" s="223">
        <f t="shared" si="10"/>
        <v>0.16641666666666666</v>
      </c>
      <c r="E245" s="224">
        <f t="shared" si="11"/>
        <v>0.01088</v>
      </c>
    </row>
    <row r="246" spans="1:5" ht="12.75">
      <c r="A246" s="158" t="s">
        <v>1028</v>
      </c>
      <c r="B246" s="157" t="s">
        <v>689</v>
      </c>
      <c r="C246" s="117" t="str">
        <f t="shared" si="9"/>
        <v>Camp Pendleton - San Diego</v>
      </c>
      <c r="D246" s="223">
        <f t="shared" si="10"/>
        <v>0.10283333333333333</v>
      </c>
      <c r="E246" s="224">
        <f t="shared" si="11"/>
        <v>0.01076</v>
      </c>
    </row>
    <row r="247" spans="1:5" ht="12.75">
      <c r="A247" s="158" t="s">
        <v>1092</v>
      </c>
      <c r="B247" s="157" t="s">
        <v>764</v>
      </c>
      <c r="C247" s="117" t="str">
        <f t="shared" si="9"/>
        <v>Camp Roberts - Monterey</v>
      </c>
      <c r="D247" s="223">
        <f t="shared" si="10"/>
        <v>0.12916666666666665</v>
      </c>
      <c r="E247" s="224">
        <f t="shared" si="11"/>
        <v>0.01084</v>
      </c>
    </row>
    <row r="248" spans="1:5" ht="12.75">
      <c r="A248" s="158" t="s">
        <v>1093</v>
      </c>
      <c r="B248" s="157" t="s">
        <v>712</v>
      </c>
      <c r="C248" s="117" t="str">
        <f t="shared" si="9"/>
        <v>Campbell - Santa Clara</v>
      </c>
      <c r="D248" s="223">
        <f t="shared" si="10"/>
        <v>0.10433333333333333</v>
      </c>
      <c r="E248" s="224">
        <f t="shared" si="11"/>
        <v>0.011810000000000001</v>
      </c>
    </row>
    <row r="249" spans="1:5" ht="12.75">
      <c r="A249" s="158" t="s">
        <v>1094</v>
      </c>
      <c r="B249" s="157" t="s">
        <v>689</v>
      </c>
      <c r="C249" s="117" t="str">
        <f t="shared" si="9"/>
        <v>Campo - San Diego</v>
      </c>
      <c r="D249" s="223">
        <f t="shared" si="10"/>
        <v>0.10283333333333333</v>
      </c>
      <c r="E249" s="224">
        <f t="shared" si="11"/>
        <v>0.01076</v>
      </c>
    </row>
    <row r="250" spans="1:5" ht="12.75">
      <c r="A250" s="158" t="s">
        <v>1095</v>
      </c>
      <c r="B250" s="157" t="s">
        <v>725</v>
      </c>
      <c r="C250" s="117" t="str">
        <f t="shared" si="9"/>
        <v>Campo Seco - Calaveras</v>
      </c>
      <c r="D250" s="223">
        <f t="shared" si="10"/>
        <v>0.1545833333333333</v>
      </c>
      <c r="E250" s="224">
        <f t="shared" si="11"/>
        <v>0.01075</v>
      </c>
    </row>
    <row r="251" spans="1:5" ht="12.75">
      <c r="A251" s="158" t="s">
        <v>1096</v>
      </c>
      <c r="B251" s="157" t="s">
        <v>820</v>
      </c>
      <c r="C251" s="117" t="str">
        <f t="shared" si="9"/>
        <v>Camptonville - Yuba</v>
      </c>
      <c r="D251" s="223">
        <f t="shared" si="10"/>
        <v>0.1881666666666667</v>
      </c>
      <c r="E251" s="224">
        <f t="shared" si="11"/>
        <v>0.01102</v>
      </c>
    </row>
    <row r="252" spans="1:5" ht="12.75">
      <c r="A252" s="158" t="s">
        <v>1097</v>
      </c>
      <c r="B252" s="157" t="s">
        <v>683</v>
      </c>
      <c r="C252" s="117" t="str">
        <f t="shared" si="9"/>
        <v>Canby - Modoc</v>
      </c>
      <c r="D252" s="223">
        <f t="shared" si="10"/>
        <v>0.14341666666666666</v>
      </c>
      <c r="E252" s="224">
        <f t="shared" si="11"/>
        <v>0.01</v>
      </c>
    </row>
    <row r="253" spans="1:5" ht="12.75">
      <c r="A253" s="158" t="s">
        <v>1098</v>
      </c>
      <c r="B253" s="157" t="s">
        <v>677</v>
      </c>
      <c r="C253" s="117" t="str">
        <f t="shared" si="9"/>
        <v>Canoga Annex - Los Angeles</v>
      </c>
      <c r="D253" s="223">
        <f t="shared" si="10"/>
        <v>0.12533333333333332</v>
      </c>
      <c r="E253" s="224">
        <f t="shared" si="11"/>
        <v>0.01168</v>
      </c>
    </row>
    <row r="254" spans="1:5" ht="12.75">
      <c r="A254" s="158" t="s">
        <v>1099</v>
      </c>
      <c r="B254" s="157" t="s">
        <v>677</v>
      </c>
      <c r="C254" s="117" t="str">
        <f t="shared" si="9"/>
        <v>Canoga Park - Los Angeles</v>
      </c>
      <c r="D254" s="223">
        <f t="shared" si="10"/>
        <v>0.12533333333333332</v>
      </c>
      <c r="E254" s="224">
        <f t="shared" si="11"/>
        <v>0.01168</v>
      </c>
    </row>
    <row r="255" spans="1:5" ht="12.75">
      <c r="A255" s="158" t="s">
        <v>1100</v>
      </c>
      <c r="B255" s="157" t="s">
        <v>772</v>
      </c>
      <c r="C255" s="117" t="str">
        <f t="shared" si="9"/>
        <v>Cantil - Kern</v>
      </c>
      <c r="D255" s="223">
        <f t="shared" si="10"/>
        <v>0.15741666666666668</v>
      </c>
      <c r="E255" s="224">
        <f t="shared" si="11"/>
        <v>0.01114</v>
      </c>
    </row>
    <row r="256" spans="1:5" ht="12.75">
      <c r="A256" s="158" t="s">
        <v>1101</v>
      </c>
      <c r="B256" s="157" t="s">
        <v>783</v>
      </c>
      <c r="C256" s="117" t="str">
        <f t="shared" si="9"/>
        <v>Cantua Creek - Fresno</v>
      </c>
      <c r="D256" s="223">
        <f t="shared" si="10"/>
        <v>0.1685</v>
      </c>
      <c r="E256" s="224">
        <f t="shared" si="11"/>
        <v>0.01165</v>
      </c>
    </row>
    <row r="257" spans="1:5" ht="12.75">
      <c r="A257" s="158" t="s">
        <v>1102</v>
      </c>
      <c r="B257" s="157" t="s">
        <v>699</v>
      </c>
      <c r="C257" s="117" t="str">
        <f t="shared" si="9"/>
        <v>Canyon - Contra Costa</v>
      </c>
      <c r="D257" s="223">
        <f t="shared" si="10"/>
        <v>0.10966666666666666</v>
      </c>
      <c r="E257" s="224">
        <f t="shared" si="11"/>
        <v>0.011080000000000001</v>
      </c>
    </row>
    <row r="258" spans="1:5" ht="12.75">
      <c r="A258" s="158" t="s">
        <v>1103</v>
      </c>
      <c r="B258" s="157" t="s">
        <v>677</v>
      </c>
      <c r="C258" s="117" t="str">
        <f t="shared" si="9"/>
        <v>Canyon Country - Los Angeles</v>
      </c>
      <c r="D258" s="223">
        <f t="shared" si="10"/>
        <v>0.12533333333333332</v>
      </c>
      <c r="E258" s="224">
        <f t="shared" si="11"/>
        <v>0.01168</v>
      </c>
    </row>
    <row r="259" spans="1:5" ht="12.75">
      <c r="A259" s="158" t="s">
        <v>1104</v>
      </c>
      <c r="B259" s="157" t="s">
        <v>692</v>
      </c>
      <c r="C259" s="117" t="str">
        <f t="shared" si="9"/>
        <v>Canyon Lake - Riverside</v>
      </c>
      <c r="D259" s="223">
        <f t="shared" si="10"/>
        <v>0.144</v>
      </c>
      <c r="E259" s="224">
        <f t="shared" si="11"/>
        <v>0.01089</v>
      </c>
    </row>
    <row r="260" spans="1:5" ht="12.75">
      <c r="A260" s="158" t="s">
        <v>1105</v>
      </c>
      <c r="B260" s="157" t="s">
        <v>714</v>
      </c>
      <c r="C260" s="117" t="str">
        <f t="shared" si="9"/>
        <v>Canyondam - Plumas</v>
      </c>
      <c r="D260" s="223">
        <f t="shared" si="10"/>
        <v>0.16258333333333333</v>
      </c>
      <c r="E260" s="224">
        <f t="shared" si="11"/>
        <v>0.01038</v>
      </c>
    </row>
    <row r="261" spans="1:5" ht="12.75">
      <c r="A261" s="158" t="s">
        <v>1106</v>
      </c>
      <c r="B261" s="157" t="s">
        <v>906</v>
      </c>
      <c r="C261" s="117" t="str">
        <f t="shared" si="9"/>
        <v>Capay - Yolo</v>
      </c>
      <c r="D261" s="223">
        <f t="shared" si="10"/>
        <v>0.13033333333333333</v>
      </c>
      <c r="E261" s="224">
        <f t="shared" si="11"/>
        <v>0.01054</v>
      </c>
    </row>
    <row r="262" spans="1:5" ht="12.75">
      <c r="A262" s="158" t="s">
        <v>1107</v>
      </c>
      <c r="B262" s="157" t="s">
        <v>708</v>
      </c>
      <c r="C262" s="117" t="str">
        <f t="shared" si="9"/>
        <v>Capistrano Beach - Orange</v>
      </c>
      <c r="D262" s="223">
        <f t="shared" si="10"/>
        <v>0.0915</v>
      </c>
      <c r="E262" s="224">
        <f t="shared" si="11"/>
        <v>0.01054</v>
      </c>
    </row>
    <row r="263" spans="1:5" ht="12.75">
      <c r="A263" s="158" t="s">
        <v>1108</v>
      </c>
      <c r="B263" s="157" t="s">
        <v>751</v>
      </c>
      <c r="C263" s="117" t="str">
        <f aca="true" t="shared" si="12" ref="C263:C326">A263&amp;" - "&amp;B263</f>
        <v>Capitola - Santa Cruz</v>
      </c>
      <c r="D263" s="223">
        <f t="shared" si="10"/>
        <v>0.12516666666666665</v>
      </c>
      <c r="E263" s="224">
        <f t="shared" si="11"/>
        <v>0.01093</v>
      </c>
    </row>
    <row r="264" spans="1:5" ht="12.75">
      <c r="A264" s="158" t="s">
        <v>1109</v>
      </c>
      <c r="B264" s="157" t="s">
        <v>689</v>
      </c>
      <c r="C264" s="117" t="str">
        <f t="shared" si="12"/>
        <v>Cardiff By The Sea  - San Diego</v>
      </c>
      <c r="D264" s="223">
        <f aca="true" t="shared" si="13" ref="D264:D327">VLOOKUP(B264,unemployment_rates,2,FALSE)</f>
        <v>0.10283333333333333</v>
      </c>
      <c r="E264" s="224">
        <f aca="true" t="shared" si="14" ref="E264:E327">VLOOKUP(B264,Prop_Tax_Rates,2,FALSE)</f>
        <v>0.01076</v>
      </c>
    </row>
    <row r="265" spans="1:5" ht="12.75">
      <c r="A265" s="158" t="s">
        <v>1110</v>
      </c>
      <c r="B265" s="157" t="s">
        <v>783</v>
      </c>
      <c r="C265" s="117" t="str">
        <f t="shared" si="12"/>
        <v>Cardwell - Fresno</v>
      </c>
      <c r="D265" s="223">
        <f t="shared" si="13"/>
        <v>0.1685</v>
      </c>
      <c r="E265" s="224">
        <f t="shared" si="14"/>
        <v>0.01165</v>
      </c>
    </row>
    <row r="266" spans="1:5" ht="12.75">
      <c r="A266" s="158" t="s">
        <v>1111</v>
      </c>
      <c r="B266" s="157" t="s">
        <v>705</v>
      </c>
      <c r="C266" s="117" t="str">
        <f t="shared" si="12"/>
        <v>Carlotta - Humboldt</v>
      </c>
      <c r="D266" s="223">
        <f t="shared" si="13"/>
        <v>0.11391666666666665</v>
      </c>
      <c r="E266" s="224">
        <f t="shared" si="14"/>
        <v>0.01055</v>
      </c>
    </row>
    <row r="267" spans="1:5" ht="12.75">
      <c r="A267" s="158" t="s">
        <v>1112</v>
      </c>
      <c r="B267" s="157" t="s">
        <v>689</v>
      </c>
      <c r="C267" s="117" t="str">
        <f t="shared" si="12"/>
        <v>Carlsbad - San Diego</v>
      </c>
      <c r="D267" s="223">
        <f t="shared" si="13"/>
        <v>0.10283333333333333</v>
      </c>
      <c r="E267" s="224">
        <f t="shared" si="14"/>
        <v>0.01076</v>
      </c>
    </row>
    <row r="268" spans="1:5" ht="12.75">
      <c r="A268" s="158" t="s">
        <v>1113</v>
      </c>
      <c r="B268" s="157" t="s">
        <v>764</v>
      </c>
      <c r="C268" s="117" t="str">
        <f t="shared" si="12"/>
        <v>Carmel - Monterey</v>
      </c>
      <c r="D268" s="223">
        <f t="shared" si="13"/>
        <v>0.12916666666666665</v>
      </c>
      <c r="E268" s="224">
        <f t="shared" si="14"/>
        <v>0.01084</v>
      </c>
    </row>
    <row r="269" spans="1:5" ht="12.75">
      <c r="A269" s="158" t="s">
        <v>1114</v>
      </c>
      <c r="B269" s="157" t="s">
        <v>764</v>
      </c>
      <c r="C269" s="117" t="str">
        <f t="shared" si="12"/>
        <v>Carmel Rancho - Monterey</v>
      </c>
      <c r="D269" s="223">
        <f t="shared" si="13"/>
        <v>0.12916666666666665</v>
      </c>
      <c r="E269" s="224">
        <f t="shared" si="14"/>
        <v>0.01084</v>
      </c>
    </row>
    <row r="270" spans="1:5" ht="12.75">
      <c r="A270" s="158" t="s">
        <v>1115</v>
      </c>
      <c r="B270" s="157" t="s">
        <v>764</v>
      </c>
      <c r="C270" s="117" t="str">
        <f t="shared" si="12"/>
        <v>Carmel Valley - Monterey</v>
      </c>
      <c r="D270" s="223">
        <f t="shared" si="13"/>
        <v>0.12916666666666665</v>
      </c>
      <c r="E270" s="224">
        <f t="shared" si="14"/>
        <v>0.01084</v>
      </c>
    </row>
    <row r="271" spans="1:5" ht="12.75">
      <c r="A271" s="158" t="s">
        <v>1122</v>
      </c>
      <c r="B271" s="157" t="s">
        <v>744</v>
      </c>
      <c r="C271" s="117" t="str">
        <f t="shared" si="12"/>
        <v>Carmichael - Sacramento</v>
      </c>
      <c r="D271" s="223">
        <f t="shared" si="13"/>
        <v>0.12641666666666665</v>
      </c>
      <c r="E271" s="224">
        <f t="shared" si="14"/>
        <v>0.01087</v>
      </c>
    </row>
    <row r="272" spans="1:5" ht="12.75">
      <c r="A272" s="158" t="s">
        <v>1123</v>
      </c>
      <c r="B272" s="157" t="s">
        <v>721</v>
      </c>
      <c r="C272" s="117" t="str">
        <f t="shared" si="12"/>
        <v>Carnelian Bay - Placer</v>
      </c>
      <c r="D272" s="223">
        <f t="shared" si="13"/>
        <v>0.11291666666666667</v>
      </c>
      <c r="E272" s="224">
        <f t="shared" si="14"/>
        <v>0.010629999999999999</v>
      </c>
    </row>
    <row r="273" spans="1:5" ht="12.75">
      <c r="A273" s="158" t="s">
        <v>1124</v>
      </c>
      <c r="B273" s="157" t="s">
        <v>799</v>
      </c>
      <c r="C273" s="117" t="str">
        <f t="shared" si="12"/>
        <v>Carpinteria - Santa Barbara</v>
      </c>
      <c r="D273" s="223">
        <f t="shared" si="13"/>
        <v>0.09174999999999998</v>
      </c>
      <c r="E273" s="224">
        <f t="shared" si="14"/>
        <v>0.01055</v>
      </c>
    </row>
    <row r="274" spans="1:5" ht="12.75">
      <c r="A274" s="158" t="s">
        <v>1125</v>
      </c>
      <c r="B274" s="157" t="s">
        <v>677</v>
      </c>
      <c r="C274" s="117" t="str">
        <f t="shared" si="12"/>
        <v>Carson - Los Angeles</v>
      </c>
      <c r="D274" s="223">
        <f t="shared" si="13"/>
        <v>0.12533333333333332</v>
      </c>
      <c r="E274" s="224">
        <f t="shared" si="14"/>
        <v>0.01168</v>
      </c>
    </row>
    <row r="275" spans="1:5" ht="12.75">
      <c r="A275" s="158" t="s">
        <v>1126</v>
      </c>
      <c r="B275" s="157" t="s">
        <v>732</v>
      </c>
      <c r="C275" s="117" t="str">
        <f t="shared" si="12"/>
        <v>Cartago - Inyo</v>
      </c>
      <c r="D275" s="223">
        <f t="shared" si="13"/>
        <v>0.10058333333333332</v>
      </c>
      <c r="E275" s="224">
        <f t="shared" si="14"/>
        <v>0.01052</v>
      </c>
    </row>
    <row r="276" spans="1:5" ht="12.75">
      <c r="A276" s="158" t="s">
        <v>1127</v>
      </c>
      <c r="B276" s="157" t="s">
        <v>783</v>
      </c>
      <c r="C276" s="117" t="str">
        <f t="shared" si="12"/>
        <v>Caruthers - Fresno</v>
      </c>
      <c r="D276" s="223">
        <f t="shared" si="13"/>
        <v>0.1685</v>
      </c>
      <c r="E276" s="224">
        <f t="shared" si="14"/>
        <v>0.01165</v>
      </c>
    </row>
    <row r="277" spans="1:5" ht="12.75">
      <c r="A277" s="158" t="s">
        <v>1128</v>
      </c>
      <c r="B277" s="157" t="s">
        <v>1017</v>
      </c>
      <c r="C277" s="117" t="str">
        <f t="shared" si="12"/>
        <v>Casitas Springs - Ventura</v>
      </c>
      <c r="D277" s="223">
        <f t="shared" si="13"/>
        <v>0.10525000000000001</v>
      </c>
      <c r="E277" s="224">
        <f t="shared" si="14"/>
        <v>0.010820000000000001</v>
      </c>
    </row>
    <row r="278" spans="1:5" ht="12.75">
      <c r="A278" s="158" t="s">
        <v>1129</v>
      </c>
      <c r="B278" s="157" t="s">
        <v>799</v>
      </c>
      <c r="C278" s="117" t="str">
        <f t="shared" si="12"/>
        <v>Casmalia - Santa Barbara</v>
      </c>
      <c r="D278" s="223">
        <f t="shared" si="13"/>
        <v>0.09174999999999998</v>
      </c>
      <c r="E278" s="224">
        <f t="shared" si="14"/>
        <v>0.01055</v>
      </c>
    </row>
    <row r="279" spans="1:5" ht="12.75">
      <c r="A279" s="158" t="s">
        <v>1130</v>
      </c>
      <c r="B279" s="157" t="s">
        <v>703</v>
      </c>
      <c r="C279" s="117" t="str">
        <f t="shared" si="12"/>
        <v>Caspar - Mendocino</v>
      </c>
      <c r="D279" s="223">
        <f t="shared" si="13"/>
        <v>0.11325000000000002</v>
      </c>
      <c r="E279" s="224">
        <f t="shared" si="14"/>
        <v>0.01097</v>
      </c>
    </row>
    <row r="280" spans="1:5" ht="12.75">
      <c r="A280" s="158" t="s">
        <v>1131</v>
      </c>
      <c r="B280" s="157" t="s">
        <v>738</v>
      </c>
      <c r="C280" s="117" t="str">
        <f t="shared" si="12"/>
        <v>Cassel - Shasta</v>
      </c>
      <c r="D280" s="223">
        <f t="shared" si="13"/>
        <v>0.15616666666666668</v>
      </c>
      <c r="E280" s="224">
        <f t="shared" si="14"/>
        <v>0.01085</v>
      </c>
    </row>
    <row r="281" spans="1:5" ht="12.75">
      <c r="A281" s="158" t="s">
        <v>1132</v>
      </c>
      <c r="B281" s="157" t="s">
        <v>677</v>
      </c>
      <c r="C281" s="117" t="str">
        <f t="shared" si="12"/>
        <v>Castaic - Los Angeles</v>
      </c>
      <c r="D281" s="223">
        <f t="shared" si="13"/>
        <v>0.12533333333333332</v>
      </c>
      <c r="E281" s="224">
        <f t="shared" si="14"/>
        <v>0.01168</v>
      </c>
    </row>
    <row r="282" spans="1:5" ht="12.75">
      <c r="A282" s="158" t="s">
        <v>1133</v>
      </c>
      <c r="B282" s="157" t="s">
        <v>738</v>
      </c>
      <c r="C282" s="117" t="str">
        <f t="shared" si="12"/>
        <v>Castella - Shasta</v>
      </c>
      <c r="D282" s="223">
        <f t="shared" si="13"/>
        <v>0.15616666666666668</v>
      </c>
      <c r="E282" s="224">
        <f t="shared" si="14"/>
        <v>0.01085</v>
      </c>
    </row>
    <row r="283" spans="1:5" ht="12.75">
      <c r="A283" s="158" t="s">
        <v>1134</v>
      </c>
      <c r="B283" s="157" t="s">
        <v>780</v>
      </c>
      <c r="C283" s="117" t="str">
        <f t="shared" si="12"/>
        <v>Castle A.F.B. - Merced</v>
      </c>
      <c r="D283" s="223">
        <f t="shared" si="13"/>
        <v>0.1885</v>
      </c>
      <c r="E283" s="224">
        <f t="shared" si="14"/>
        <v>0.01061</v>
      </c>
    </row>
    <row r="284" spans="1:5" ht="12.75">
      <c r="A284" s="158" t="s">
        <v>1135</v>
      </c>
      <c r="B284" s="157" t="s">
        <v>697</v>
      </c>
      <c r="C284" s="117" t="str">
        <f t="shared" si="12"/>
        <v>Castro Valley - Alameda</v>
      </c>
      <c r="D284" s="223">
        <f t="shared" si="13"/>
        <v>0.10916666666666666</v>
      </c>
      <c r="E284" s="224">
        <f t="shared" si="14"/>
        <v>0.011890000000000001</v>
      </c>
    </row>
    <row r="285" spans="1:5" ht="12.75">
      <c r="A285" s="158" t="s">
        <v>1136</v>
      </c>
      <c r="B285" s="157" t="s">
        <v>764</v>
      </c>
      <c r="C285" s="117" t="str">
        <f t="shared" si="12"/>
        <v>Castroville - Monterey</v>
      </c>
      <c r="D285" s="223">
        <f t="shared" si="13"/>
        <v>0.12916666666666665</v>
      </c>
      <c r="E285" s="224">
        <f t="shared" si="14"/>
        <v>0.01084</v>
      </c>
    </row>
    <row r="286" spans="1:5" ht="12.75">
      <c r="A286" s="158" t="s">
        <v>1147</v>
      </c>
      <c r="B286" s="157" t="s">
        <v>692</v>
      </c>
      <c r="C286" s="117" t="str">
        <f t="shared" si="12"/>
        <v>Cathedral City - Riverside</v>
      </c>
      <c r="D286" s="223">
        <f t="shared" si="13"/>
        <v>0.144</v>
      </c>
      <c r="E286" s="224">
        <f t="shared" si="14"/>
        <v>0.01089</v>
      </c>
    </row>
    <row r="287" spans="1:5" ht="12.75">
      <c r="A287" s="158" t="s">
        <v>1148</v>
      </c>
      <c r="B287" s="157" t="s">
        <v>823</v>
      </c>
      <c r="C287" s="117" t="str">
        <f t="shared" si="12"/>
        <v>Catheys Valley - Mariposa</v>
      </c>
      <c r="D287" s="223">
        <f t="shared" si="13"/>
        <v>0.12466666666666669</v>
      </c>
      <c r="E287" s="224">
        <f t="shared" si="14"/>
        <v>0.01005</v>
      </c>
    </row>
    <row r="288" spans="1:5" ht="12.75">
      <c r="A288" s="158" t="s">
        <v>1149</v>
      </c>
      <c r="B288" s="157" t="s">
        <v>679</v>
      </c>
      <c r="C288" s="117" t="str">
        <f t="shared" si="12"/>
        <v>Cayucos - San Luis Obispo</v>
      </c>
      <c r="D288" s="223">
        <f t="shared" si="13"/>
        <v>0.099</v>
      </c>
      <c r="E288" s="224">
        <f t="shared" si="14"/>
        <v>0.01039</v>
      </c>
    </row>
    <row r="289" spans="1:5" ht="12.75">
      <c r="A289" s="158" t="s">
        <v>1150</v>
      </c>
      <c r="B289" s="157" t="s">
        <v>687</v>
      </c>
      <c r="C289" s="117" t="str">
        <f t="shared" si="12"/>
        <v>Cazadero - Sonoma</v>
      </c>
      <c r="D289" s="223">
        <f t="shared" si="13"/>
        <v>0.10133333333333334</v>
      </c>
      <c r="E289" s="224">
        <f t="shared" si="14"/>
        <v>0.01115</v>
      </c>
    </row>
    <row r="290" spans="1:5" ht="12.75">
      <c r="A290" s="158" t="s">
        <v>1151</v>
      </c>
      <c r="B290" s="157" t="s">
        <v>1012</v>
      </c>
      <c r="C290" s="117" t="str">
        <f t="shared" si="12"/>
        <v>Cecilville - Siskiyou</v>
      </c>
      <c r="D290" s="223">
        <f t="shared" si="13"/>
        <v>0.17858333333333332</v>
      </c>
      <c r="E290" s="224">
        <f t="shared" si="14"/>
        <v>0.01038</v>
      </c>
    </row>
    <row r="291" spans="1:5" ht="12.75">
      <c r="A291" s="158" t="s">
        <v>1152</v>
      </c>
      <c r="B291" s="157" t="s">
        <v>677</v>
      </c>
      <c r="C291" s="117" t="str">
        <f t="shared" si="12"/>
        <v>Cedar - Los Angeles</v>
      </c>
      <c r="D291" s="223">
        <f t="shared" si="13"/>
        <v>0.12533333333333332</v>
      </c>
      <c r="E291" s="224">
        <f t="shared" si="14"/>
        <v>0.01168</v>
      </c>
    </row>
    <row r="292" spans="1:5" ht="12.75">
      <c r="A292" s="158" t="s">
        <v>1153</v>
      </c>
      <c r="B292" s="157" t="s">
        <v>783</v>
      </c>
      <c r="C292" s="117" t="str">
        <f t="shared" si="12"/>
        <v>Cedar Crest - Fresno</v>
      </c>
      <c r="D292" s="223">
        <f t="shared" si="13"/>
        <v>0.1685</v>
      </c>
      <c r="E292" s="224">
        <f t="shared" si="14"/>
        <v>0.01165</v>
      </c>
    </row>
    <row r="293" spans="1:5" ht="12.75">
      <c r="A293" s="158" t="s">
        <v>1154</v>
      </c>
      <c r="B293" s="157" t="s">
        <v>681</v>
      </c>
      <c r="C293" s="117" t="str">
        <f t="shared" si="12"/>
        <v>Cedar Glen - San Bernardino</v>
      </c>
      <c r="D293" s="223">
        <f t="shared" si="13"/>
        <v>0.13891666666666666</v>
      </c>
      <c r="E293" s="224">
        <f t="shared" si="14"/>
        <v>0.01134</v>
      </c>
    </row>
    <row r="294" spans="1:5" ht="12.75">
      <c r="A294" s="158" t="s">
        <v>1155</v>
      </c>
      <c r="B294" s="157" t="s">
        <v>1156</v>
      </c>
      <c r="C294" s="117" t="str">
        <f t="shared" si="12"/>
        <v>Cedar Ridge - Nevada</v>
      </c>
      <c r="D294" s="223">
        <f t="shared" si="13"/>
        <v>0.11266666666666668</v>
      </c>
      <c r="E294" s="224">
        <f t="shared" si="14"/>
        <v>0.010329999999999999</v>
      </c>
    </row>
    <row r="295" spans="1:5" ht="12.75">
      <c r="A295" s="158" t="s">
        <v>1157</v>
      </c>
      <c r="B295" s="157" t="s">
        <v>681</v>
      </c>
      <c r="C295" s="117" t="str">
        <f t="shared" si="12"/>
        <v>Cedarpines Park - San Bernardino</v>
      </c>
      <c r="D295" s="223">
        <f t="shared" si="13"/>
        <v>0.13891666666666666</v>
      </c>
      <c r="E295" s="224">
        <f t="shared" si="14"/>
        <v>0.01134</v>
      </c>
    </row>
    <row r="296" spans="1:5" ht="12.75">
      <c r="A296" s="158" t="s">
        <v>1158</v>
      </c>
      <c r="B296" s="157" t="s">
        <v>683</v>
      </c>
      <c r="C296" s="117" t="str">
        <f t="shared" si="12"/>
        <v>Cedarville - Modoc</v>
      </c>
      <c r="D296" s="223">
        <f t="shared" si="13"/>
        <v>0.14341666666666666</v>
      </c>
      <c r="E296" s="224">
        <f t="shared" si="14"/>
        <v>0.01</v>
      </c>
    </row>
    <row r="297" spans="1:5" ht="12.75">
      <c r="A297" s="158" t="s">
        <v>1159</v>
      </c>
      <c r="B297" s="157" t="s">
        <v>738</v>
      </c>
      <c r="C297" s="117" t="str">
        <f t="shared" si="12"/>
        <v>Central Valley - Shasta</v>
      </c>
      <c r="D297" s="223">
        <f t="shared" si="13"/>
        <v>0.15616666666666668</v>
      </c>
      <c r="E297" s="224">
        <f t="shared" si="14"/>
        <v>0.01085</v>
      </c>
    </row>
    <row r="298" spans="1:5" ht="12.75">
      <c r="A298" s="158" t="s">
        <v>1160</v>
      </c>
      <c r="B298" s="157" t="s">
        <v>677</v>
      </c>
      <c r="C298" s="117" t="str">
        <f t="shared" si="12"/>
        <v>Century City - Los Angeles</v>
      </c>
      <c r="D298" s="223">
        <f t="shared" si="13"/>
        <v>0.12533333333333332</v>
      </c>
      <c r="E298" s="224">
        <f t="shared" si="14"/>
        <v>0.01168</v>
      </c>
    </row>
    <row r="299" spans="1:5" ht="12.75">
      <c r="A299" s="158" t="s">
        <v>1161</v>
      </c>
      <c r="B299" s="157" t="s">
        <v>1162</v>
      </c>
      <c r="C299" s="117" t="str">
        <f t="shared" si="12"/>
        <v>Ceres - Stanislaus</v>
      </c>
      <c r="D299" s="223">
        <f t="shared" si="13"/>
        <v>0.1716666666666667</v>
      </c>
      <c r="E299" s="224">
        <f t="shared" si="14"/>
        <v>0.01093</v>
      </c>
    </row>
    <row r="300" spans="1:5" ht="12.75">
      <c r="A300" s="158" t="s">
        <v>1163</v>
      </c>
      <c r="B300" s="157" t="s">
        <v>677</v>
      </c>
      <c r="C300" s="117" t="str">
        <f t="shared" si="12"/>
        <v>Cerritos - Los Angeles</v>
      </c>
      <c r="D300" s="223">
        <f t="shared" si="13"/>
        <v>0.12533333333333332</v>
      </c>
      <c r="E300" s="224">
        <f t="shared" si="14"/>
        <v>0.01168</v>
      </c>
    </row>
    <row r="301" spans="1:5" ht="12.75">
      <c r="A301" s="158" t="s">
        <v>1164</v>
      </c>
      <c r="B301" s="157" t="s">
        <v>820</v>
      </c>
      <c r="C301" s="117" t="str">
        <f t="shared" si="12"/>
        <v>Challenge - Yuba</v>
      </c>
      <c r="D301" s="223">
        <f t="shared" si="13"/>
        <v>0.1881666666666667</v>
      </c>
      <c r="E301" s="224">
        <f t="shared" si="14"/>
        <v>0.01102</v>
      </c>
    </row>
    <row r="302" spans="1:5" ht="12.75">
      <c r="A302" s="158" t="s">
        <v>1165</v>
      </c>
      <c r="B302" s="157" t="s">
        <v>721</v>
      </c>
      <c r="C302" s="117" t="str">
        <f t="shared" si="12"/>
        <v>Chambers Lodge - Placer</v>
      </c>
      <c r="D302" s="223">
        <f t="shared" si="13"/>
        <v>0.11291666666666667</v>
      </c>
      <c r="E302" s="224">
        <f t="shared" si="14"/>
        <v>0.010629999999999999</v>
      </c>
    </row>
    <row r="303" spans="1:5" ht="12.75">
      <c r="A303" s="158" t="s">
        <v>1166</v>
      </c>
      <c r="B303" s="157" t="s">
        <v>677</v>
      </c>
      <c r="C303" s="117" t="str">
        <f t="shared" si="12"/>
        <v>Charter Oak - Los Angeles</v>
      </c>
      <c r="D303" s="223">
        <f t="shared" si="13"/>
        <v>0.12533333333333332</v>
      </c>
      <c r="E303" s="224">
        <f t="shared" si="14"/>
        <v>0.01168</v>
      </c>
    </row>
    <row r="304" spans="1:5" ht="12.75">
      <c r="A304" s="158" t="s">
        <v>1167</v>
      </c>
      <c r="B304" s="157" t="s">
        <v>677</v>
      </c>
      <c r="C304" s="117" t="str">
        <f t="shared" si="12"/>
        <v>Chatsworth - Los Angeles</v>
      </c>
      <c r="D304" s="223">
        <f t="shared" si="13"/>
        <v>0.12533333333333332</v>
      </c>
      <c r="E304" s="224">
        <f t="shared" si="14"/>
        <v>0.01168</v>
      </c>
    </row>
    <row r="305" spans="1:5" ht="12.75">
      <c r="A305" s="158" t="s">
        <v>1168</v>
      </c>
      <c r="B305" s="157" t="s">
        <v>692</v>
      </c>
      <c r="C305" s="117" t="str">
        <f t="shared" si="12"/>
        <v>Cherry Valley - Riverside</v>
      </c>
      <c r="D305" s="223">
        <f t="shared" si="13"/>
        <v>0.144</v>
      </c>
      <c r="E305" s="224">
        <f t="shared" si="14"/>
        <v>0.01089</v>
      </c>
    </row>
    <row r="306" spans="1:5" ht="12.75">
      <c r="A306" s="158" t="s">
        <v>1169</v>
      </c>
      <c r="B306" s="157" t="s">
        <v>714</v>
      </c>
      <c r="C306" s="117" t="str">
        <f t="shared" si="12"/>
        <v>Chester - Plumas</v>
      </c>
      <c r="D306" s="223">
        <f t="shared" si="13"/>
        <v>0.16258333333333333</v>
      </c>
      <c r="E306" s="224">
        <f t="shared" si="14"/>
        <v>0.01038</v>
      </c>
    </row>
    <row r="307" spans="1:5" ht="12.75">
      <c r="A307" s="158" t="s">
        <v>1170</v>
      </c>
      <c r="B307" s="157" t="s">
        <v>1156</v>
      </c>
      <c r="C307" s="117" t="str">
        <f t="shared" si="12"/>
        <v>Chicago Park - Nevada</v>
      </c>
      <c r="D307" s="223">
        <f t="shared" si="13"/>
        <v>0.11266666666666668</v>
      </c>
      <c r="E307" s="224">
        <f t="shared" si="14"/>
        <v>0.010329999999999999</v>
      </c>
    </row>
    <row r="308" spans="1:5" ht="12.75">
      <c r="A308" s="158" t="s">
        <v>1171</v>
      </c>
      <c r="B308" s="157" t="s">
        <v>803</v>
      </c>
      <c r="C308" s="117" t="str">
        <f t="shared" si="12"/>
        <v>Chico - Butte</v>
      </c>
      <c r="D308" s="223">
        <f t="shared" si="13"/>
        <v>0.13741666666666666</v>
      </c>
      <c r="E308" s="224">
        <f t="shared" si="14"/>
        <v>0.01064</v>
      </c>
    </row>
    <row r="309" spans="1:5" ht="12.75">
      <c r="A309" s="158" t="s">
        <v>1172</v>
      </c>
      <c r="B309" s="157" t="s">
        <v>714</v>
      </c>
      <c r="C309" s="117" t="str">
        <f t="shared" si="12"/>
        <v>Chilcoot - Plumas</v>
      </c>
      <c r="D309" s="223">
        <f t="shared" si="13"/>
        <v>0.16258333333333333</v>
      </c>
      <c r="E309" s="224">
        <f t="shared" si="14"/>
        <v>0.01038</v>
      </c>
    </row>
    <row r="310" spans="1:5" ht="12.75">
      <c r="A310" s="158" t="s">
        <v>1173</v>
      </c>
      <c r="B310" s="157" t="s">
        <v>772</v>
      </c>
      <c r="C310" s="117" t="str">
        <f t="shared" si="12"/>
        <v>China Lake NWC - Kern</v>
      </c>
      <c r="D310" s="223">
        <f t="shared" si="13"/>
        <v>0.15741666666666668</v>
      </c>
      <c r="E310" s="224">
        <f t="shared" si="14"/>
        <v>0.01114</v>
      </c>
    </row>
    <row r="311" spans="1:5" ht="12.75">
      <c r="A311" s="158" t="s">
        <v>1174</v>
      </c>
      <c r="B311" s="157" t="s">
        <v>856</v>
      </c>
      <c r="C311" s="117" t="str">
        <f t="shared" si="12"/>
        <v>Chinese Camp - Tuolumne</v>
      </c>
      <c r="D311" s="223">
        <f t="shared" si="13"/>
        <v>0.13766666666666666</v>
      </c>
      <c r="E311" s="224">
        <f t="shared" si="14"/>
        <v>0.01042</v>
      </c>
    </row>
    <row r="312" spans="1:5" ht="12.75">
      <c r="A312" s="158" t="s">
        <v>1175</v>
      </c>
      <c r="B312" s="157" t="s">
        <v>681</v>
      </c>
      <c r="C312" s="117" t="str">
        <f t="shared" si="12"/>
        <v>Chino - San Bernardino</v>
      </c>
      <c r="D312" s="223">
        <f t="shared" si="13"/>
        <v>0.13891666666666666</v>
      </c>
      <c r="E312" s="224">
        <f t="shared" si="14"/>
        <v>0.01134</v>
      </c>
    </row>
    <row r="313" spans="1:5" ht="12.75">
      <c r="A313" s="158" t="s">
        <v>1176</v>
      </c>
      <c r="B313" s="157" t="s">
        <v>681</v>
      </c>
      <c r="C313" s="117" t="str">
        <f t="shared" si="12"/>
        <v>Chino Hills - San Bernardino</v>
      </c>
      <c r="D313" s="223">
        <f t="shared" si="13"/>
        <v>0.13891666666666666</v>
      </c>
      <c r="E313" s="224">
        <f t="shared" si="14"/>
        <v>0.01134</v>
      </c>
    </row>
    <row r="314" spans="1:5" ht="12.75">
      <c r="A314" s="158" t="s">
        <v>1177</v>
      </c>
      <c r="B314" s="157" t="s">
        <v>692</v>
      </c>
      <c r="C314" s="117" t="str">
        <f t="shared" si="12"/>
        <v>Chiriaco Summit - Riverside</v>
      </c>
      <c r="D314" s="223">
        <f t="shared" si="13"/>
        <v>0.144</v>
      </c>
      <c r="E314" s="224">
        <f t="shared" si="14"/>
        <v>0.01089</v>
      </c>
    </row>
    <row r="315" spans="1:5" ht="12.75">
      <c r="A315" s="158" t="s">
        <v>1178</v>
      </c>
      <c r="B315" s="157" t="s">
        <v>679</v>
      </c>
      <c r="C315" s="117" t="str">
        <f t="shared" si="12"/>
        <v>Cholame - San Luis Obispo</v>
      </c>
      <c r="D315" s="223">
        <f t="shared" si="13"/>
        <v>0.099</v>
      </c>
      <c r="E315" s="224">
        <f t="shared" si="14"/>
        <v>0.01039</v>
      </c>
    </row>
    <row r="316" spans="1:5" ht="12.75">
      <c r="A316" s="158" t="s">
        <v>1179</v>
      </c>
      <c r="B316" s="157" t="s">
        <v>694</v>
      </c>
      <c r="C316" s="117" t="str">
        <f t="shared" si="12"/>
        <v>Chowchilla - Madera</v>
      </c>
      <c r="D316" s="223">
        <f t="shared" si="13"/>
        <v>0.15525</v>
      </c>
      <c r="E316" s="224">
        <f t="shared" si="14"/>
        <v>0.01118</v>
      </c>
    </row>
    <row r="317" spans="1:5" ht="12.75">
      <c r="A317" s="158" t="s">
        <v>1180</v>
      </c>
      <c r="B317" s="157" t="s">
        <v>764</v>
      </c>
      <c r="C317" s="117" t="str">
        <f t="shared" si="12"/>
        <v>Chualar - Monterey</v>
      </c>
      <c r="D317" s="223">
        <f t="shared" si="13"/>
        <v>0.12916666666666665</v>
      </c>
      <c r="E317" s="224">
        <f t="shared" si="14"/>
        <v>0.01084</v>
      </c>
    </row>
    <row r="318" spans="1:5" ht="12.75">
      <c r="A318" s="158" t="s">
        <v>91</v>
      </c>
      <c r="B318" s="157" t="s">
        <v>689</v>
      </c>
      <c r="C318" s="117" t="str">
        <f t="shared" si="12"/>
        <v>Chula Vista - San Diego</v>
      </c>
      <c r="D318" s="223">
        <f t="shared" si="13"/>
        <v>0.10283333333333333</v>
      </c>
      <c r="E318" s="224">
        <f t="shared" si="14"/>
        <v>0.01076</v>
      </c>
    </row>
    <row r="319" spans="1:5" ht="12.75">
      <c r="A319" s="158" t="s">
        <v>92</v>
      </c>
      <c r="B319" s="157" t="s">
        <v>681</v>
      </c>
      <c r="C319" s="117" t="str">
        <f t="shared" si="12"/>
        <v>Cima - San Bernardino</v>
      </c>
      <c r="D319" s="223">
        <f t="shared" si="13"/>
        <v>0.13891666666666666</v>
      </c>
      <c r="E319" s="224">
        <f t="shared" si="14"/>
        <v>0.01134</v>
      </c>
    </row>
    <row r="320" spans="1:5" ht="12.75">
      <c r="A320" s="158" t="s">
        <v>93</v>
      </c>
      <c r="B320" s="157" t="s">
        <v>744</v>
      </c>
      <c r="C320" s="117" t="str">
        <f t="shared" si="12"/>
        <v>Citrus Heights - Sacramento</v>
      </c>
      <c r="D320" s="223">
        <f t="shared" si="13"/>
        <v>0.12641666666666665</v>
      </c>
      <c r="E320" s="224">
        <f t="shared" si="14"/>
        <v>0.01087</v>
      </c>
    </row>
    <row r="321" spans="1:5" ht="12.75">
      <c r="A321" s="158" t="s">
        <v>94</v>
      </c>
      <c r="B321" s="157" t="s">
        <v>677</v>
      </c>
      <c r="C321" s="117" t="str">
        <f t="shared" si="12"/>
        <v>City of Commerce - Los Angeles</v>
      </c>
      <c r="D321" s="223">
        <f t="shared" si="13"/>
        <v>0.12533333333333332</v>
      </c>
      <c r="E321" s="224">
        <f t="shared" si="14"/>
        <v>0.01168</v>
      </c>
    </row>
    <row r="322" spans="1:5" ht="12.75">
      <c r="A322" s="158" t="s">
        <v>95</v>
      </c>
      <c r="B322" s="157" t="s">
        <v>677</v>
      </c>
      <c r="C322" s="117" t="str">
        <f t="shared" si="12"/>
        <v>City of Industry - Los Angeles</v>
      </c>
      <c r="D322" s="223">
        <f t="shared" si="13"/>
        <v>0.12533333333333332</v>
      </c>
      <c r="E322" s="224">
        <f t="shared" si="14"/>
        <v>0.01168</v>
      </c>
    </row>
    <row r="323" spans="1:5" ht="12.75">
      <c r="A323" s="158" t="s">
        <v>96</v>
      </c>
      <c r="B323" s="157" t="s">
        <v>677</v>
      </c>
      <c r="C323" s="117" t="str">
        <f t="shared" si="12"/>
        <v>City Terrace - Los Angeles</v>
      </c>
      <c r="D323" s="223">
        <f t="shared" si="13"/>
        <v>0.12533333333333332</v>
      </c>
      <c r="E323" s="224">
        <f t="shared" si="14"/>
        <v>0.01168</v>
      </c>
    </row>
    <row r="324" spans="1:5" ht="12.75">
      <c r="A324" s="158" t="s">
        <v>97</v>
      </c>
      <c r="B324" s="157" t="s">
        <v>677</v>
      </c>
      <c r="C324" s="117" t="str">
        <f t="shared" si="12"/>
        <v>Claremont - Los Angeles</v>
      </c>
      <c r="D324" s="223">
        <f t="shared" si="13"/>
        <v>0.12533333333333332</v>
      </c>
      <c r="E324" s="224">
        <f t="shared" si="14"/>
        <v>0.01168</v>
      </c>
    </row>
    <row r="325" spans="1:5" ht="12.75">
      <c r="A325" s="158" t="s">
        <v>98</v>
      </c>
      <c r="B325" s="157" t="s">
        <v>906</v>
      </c>
      <c r="C325" s="117" t="str">
        <f t="shared" si="12"/>
        <v>Clarksburg - Yolo</v>
      </c>
      <c r="D325" s="223">
        <f t="shared" si="13"/>
        <v>0.13033333333333333</v>
      </c>
      <c r="E325" s="224">
        <f t="shared" si="14"/>
        <v>0.01054</v>
      </c>
    </row>
    <row r="326" spans="1:5" ht="12.75">
      <c r="A326" s="158" t="s">
        <v>99</v>
      </c>
      <c r="B326" s="157" t="s">
        <v>699</v>
      </c>
      <c r="C326" s="117" t="str">
        <f t="shared" si="12"/>
        <v>Clayton - Contra Costa</v>
      </c>
      <c r="D326" s="223">
        <f t="shared" si="13"/>
        <v>0.10966666666666666</v>
      </c>
      <c r="E326" s="224">
        <f t="shared" si="14"/>
        <v>0.011080000000000001</v>
      </c>
    </row>
    <row r="327" spans="1:5" ht="12.75">
      <c r="A327" s="158" t="s">
        <v>100</v>
      </c>
      <c r="B327" s="157" t="s">
        <v>1012</v>
      </c>
      <c r="C327" s="117" t="str">
        <f aca="true" t="shared" si="15" ref="C327:C390">A327&amp;" - "&amp;B327</f>
        <v>Clear Creek - Siskiyou</v>
      </c>
      <c r="D327" s="223">
        <f t="shared" si="13"/>
        <v>0.17858333333333332</v>
      </c>
      <c r="E327" s="224">
        <f t="shared" si="14"/>
        <v>0.01038</v>
      </c>
    </row>
    <row r="328" spans="1:5" ht="12.75">
      <c r="A328" s="158" t="s">
        <v>101</v>
      </c>
      <c r="B328" s="157" t="s">
        <v>102</v>
      </c>
      <c r="C328" s="117" t="str">
        <f t="shared" si="15"/>
        <v>Clearlake - Lake</v>
      </c>
      <c r="D328" s="223">
        <f aca="true" t="shared" si="16" ref="D328:D391">VLOOKUP(B328,unemployment_rates,2,FALSE)</f>
        <v>0.18208333333333332</v>
      </c>
      <c r="E328" s="224">
        <f aca="true" t="shared" si="17" ref="E328:E391">VLOOKUP(B328,Prop_Tax_Rates,2,FALSE)</f>
        <v>0.01068</v>
      </c>
    </row>
    <row r="329" spans="1:5" ht="12.75">
      <c r="A329" s="158" t="s">
        <v>103</v>
      </c>
      <c r="B329" s="157" t="s">
        <v>102</v>
      </c>
      <c r="C329" s="117" t="str">
        <f t="shared" si="15"/>
        <v>Clearlake Highlands - Lake</v>
      </c>
      <c r="D329" s="223">
        <f t="shared" si="16"/>
        <v>0.18208333333333332</v>
      </c>
      <c r="E329" s="224">
        <f t="shared" si="17"/>
        <v>0.01068</v>
      </c>
    </row>
    <row r="330" spans="1:5" ht="12.75">
      <c r="A330" s="158" t="s">
        <v>104</v>
      </c>
      <c r="B330" s="157" t="s">
        <v>102</v>
      </c>
      <c r="C330" s="117" t="str">
        <f t="shared" si="15"/>
        <v>Clearlake Oaks - Lake</v>
      </c>
      <c r="D330" s="223">
        <f t="shared" si="16"/>
        <v>0.18208333333333332</v>
      </c>
      <c r="E330" s="224">
        <f t="shared" si="17"/>
        <v>0.01068</v>
      </c>
    </row>
    <row r="331" spans="1:5" ht="12.75">
      <c r="A331" s="158" t="s">
        <v>105</v>
      </c>
      <c r="B331" s="157" t="s">
        <v>102</v>
      </c>
      <c r="C331" s="117" t="str">
        <f t="shared" si="15"/>
        <v>Clearlake Park - Lake</v>
      </c>
      <c r="D331" s="223">
        <f t="shared" si="16"/>
        <v>0.18208333333333332</v>
      </c>
      <c r="E331" s="224">
        <f t="shared" si="17"/>
        <v>0.01068</v>
      </c>
    </row>
    <row r="332" spans="1:5" ht="12.75">
      <c r="A332" s="158" t="s">
        <v>106</v>
      </c>
      <c r="B332" s="157" t="s">
        <v>675</v>
      </c>
      <c r="C332" s="117" t="str">
        <f t="shared" si="15"/>
        <v>Clements - San Joaquin</v>
      </c>
      <c r="D332" s="223">
        <f t="shared" si="16"/>
        <v>0.17300000000000001</v>
      </c>
      <c r="E332" s="224">
        <f t="shared" si="17"/>
        <v>0.01113</v>
      </c>
    </row>
    <row r="333" spans="1:5" ht="12.75">
      <c r="A333" s="158" t="s">
        <v>107</v>
      </c>
      <c r="B333" s="157" t="s">
        <v>783</v>
      </c>
      <c r="C333" s="117" t="str">
        <f t="shared" si="15"/>
        <v>Clinter - Fresno</v>
      </c>
      <c r="D333" s="223">
        <f t="shared" si="16"/>
        <v>0.1685</v>
      </c>
      <c r="E333" s="224">
        <f t="shared" si="17"/>
        <v>0.01165</v>
      </c>
    </row>
    <row r="334" spans="1:5" ht="12.75">
      <c r="A334" s="158" t="s">
        <v>1342</v>
      </c>
      <c r="B334" s="157" t="s">
        <v>714</v>
      </c>
      <c r="C334" s="117" t="str">
        <f t="shared" si="15"/>
        <v>Clio - Plumas</v>
      </c>
      <c r="D334" s="223">
        <f t="shared" si="16"/>
        <v>0.16258333333333333</v>
      </c>
      <c r="E334" s="224">
        <f t="shared" si="17"/>
        <v>0.01038</v>
      </c>
    </row>
    <row r="335" spans="1:5" ht="12.75">
      <c r="A335" s="158" t="s">
        <v>1343</v>
      </c>
      <c r="B335" s="157" t="s">
        <v>803</v>
      </c>
      <c r="C335" s="117" t="str">
        <f t="shared" si="15"/>
        <v>Clipper Mills - Butte</v>
      </c>
      <c r="D335" s="223">
        <f t="shared" si="16"/>
        <v>0.13741666666666666</v>
      </c>
      <c r="E335" s="224">
        <f t="shared" si="17"/>
        <v>0.01064</v>
      </c>
    </row>
    <row r="336" spans="1:5" ht="12.75">
      <c r="A336" s="158" t="s">
        <v>1344</v>
      </c>
      <c r="B336" s="157" t="s">
        <v>687</v>
      </c>
      <c r="C336" s="117" t="str">
        <f t="shared" si="15"/>
        <v>Cloverdale - Sonoma</v>
      </c>
      <c r="D336" s="223">
        <f t="shared" si="16"/>
        <v>0.10133333333333334</v>
      </c>
      <c r="E336" s="224">
        <f t="shared" si="17"/>
        <v>0.01115</v>
      </c>
    </row>
    <row r="337" spans="1:5" ht="12.75">
      <c r="A337" s="158" t="s">
        <v>1345</v>
      </c>
      <c r="B337" s="157" t="s">
        <v>783</v>
      </c>
      <c r="C337" s="117" t="str">
        <f t="shared" si="15"/>
        <v>Clovis - Fresno</v>
      </c>
      <c r="D337" s="223">
        <f t="shared" si="16"/>
        <v>0.1685</v>
      </c>
      <c r="E337" s="224">
        <f t="shared" si="17"/>
        <v>0.01165</v>
      </c>
    </row>
    <row r="338" spans="1:5" ht="12.75">
      <c r="A338" s="158" t="s">
        <v>1346</v>
      </c>
      <c r="B338" s="157" t="s">
        <v>692</v>
      </c>
      <c r="C338" s="117" t="str">
        <f t="shared" si="15"/>
        <v>Coachella - Riverside</v>
      </c>
      <c r="D338" s="223">
        <f t="shared" si="16"/>
        <v>0.144</v>
      </c>
      <c r="E338" s="224">
        <f t="shared" si="17"/>
        <v>0.01089</v>
      </c>
    </row>
    <row r="339" spans="1:5" ht="12.75">
      <c r="A339" s="158" t="s">
        <v>1347</v>
      </c>
      <c r="B339" s="157" t="s">
        <v>783</v>
      </c>
      <c r="C339" s="117" t="str">
        <f t="shared" si="15"/>
        <v>Coalinga - Fresno</v>
      </c>
      <c r="D339" s="223">
        <f t="shared" si="16"/>
        <v>0.1685</v>
      </c>
      <c r="E339" s="224">
        <f t="shared" si="17"/>
        <v>0.01165</v>
      </c>
    </row>
    <row r="340" spans="1:5" ht="12.75">
      <c r="A340" s="158" t="s">
        <v>1348</v>
      </c>
      <c r="B340" s="157" t="s">
        <v>694</v>
      </c>
      <c r="C340" s="117" t="str">
        <f t="shared" si="15"/>
        <v>Coarsegold - Madera</v>
      </c>
      <c r="D340" s="223">
        <f t="shared" si="16"/>
        <v>0.15525</v>
      </c>
      <c r="E340" s="224">
        <f t="shared" si="17"/>
        <v>0.01118</v>
      </c>
    </row>
    <row r="341" spans="1:5" ht="12.75">
      <c r="A341" s="158" t="s">
        <v>1349</v>
      </c>
      <c r="B341" s="157" t="s">
        <v>102</v>
      </c>
      <c r="C341" s="117" t="str">
        <f t="shared" si="15"/>
        <v>Cobb - Lake</v>
      </c>
      <c r="D341" s="223">
        <f t="shared" si="16"/>
        <v>0.18208333333333332</v>
      </c>
      <c r="E341" s="224">
        <f t="shared" si="17"/>
        <v>0.01068</v>
      </c>
    </row>
    <row r="342" spans="1:5" ht="12.75">
      <c r="A342" s="158" t="s">
        <v>1350</v>
      </c>
      <c r="B342" s="157" t="s">
        <v>803</v>
      </c>
      <c r="C342" s="117" t="str">
        <f t="shared" si="15"/>
        <v>Cohasset - Butte</v>
      </c>
      <c r="D342" s="223">
        <f t="shared" si="16"/>
        <v>0.13741666666666666</v>
      </c>
      <c r="E342" s="224">
        <f t="shared" si="17"/>
        <v>0.01064</v>
      </c>
    </row>
    <row r="343" spans="1:5" ht="12.75">
      <c r="A343" s="158" t="s">
        <v>1351</v>
      </c>
      <c r="B343" s="157" t="s">
        <v>677</v>
      </c>
      <c r="C343" s="117" t="str">
        <f t="shared" si="15"/>
        <v>Cole - Los Angeles</v>
      </c>
      <c r="D343" s="223">
        <f t="shared" si="16"/>
        <v>0.12533333333333332</v>
      </c>
      <c r="E343" s="224">
        <f t="shared" si="17"/>
        <v>0.01168</v>
      </c>
    </row>
    <row r="344" spans="1:5" ht="12.75">
      <c r="A344" s="158" t="s">
        <v>1352</v>
      </c>
      <c r="B344" s="157" t="s">
        <v>839</v>
      </c>
      <c r="C344" s="117" t="str">
        <f t="shared" si="15"/>
        <v>Coleville - Mono</v>
      </c>
      <c r="D344" s="223">
        <f t="shared" si="16"/>
        <v>0.10441666666666664</v>
      </c>
      <c r="E344" s="224">
        <f t="shared" si="17"/>
        <v>0.01073</v>
      </c>
    </row>
    <row r="345" spans="1:5" ht="12.75">
      <c r="A345" s="158" t="s">
        <v>1353</v>
      </c>
      <c r="B345" s="157" t="s">
        <v>721</v>
      </c>
      <c r="C345" s="117" t="str">
        <f t="shared" si="15"/>
        <v>Colfax - Placer</v>
      </c>
      <c r="D345" s="223">
        <f t="shared" si="16"/>
        <v>0.11291666666666667</v>
      </c>
      <c r="E345" s="224">
        <f t="shared" si="17"/>
        <v>0.010629999999999999</v>
      </c>
    </row>
    <row r="346" spans="1:5" ht="12.75">
      <c r="A346" s="158" t="s">
        <v>1354</v>
      </c>
      <c r="B346" s="157" t="s">
        <v>753</v>
      </c>
      <c r="C346" s="117" t="str">
        <f t="shared" si="15"/>
        <v>College City - Colusa</v>
      </c>
      <c r="D346" s="223">
        <f t="shared" si="16"/>
        <v>0.20800000000000002</v>
      </c>
      <c r="E346" s="224">
        <f t="shared" si="17"/>
        <v>0.01027</v>
      </c>
    </row>
    <row r="347" spans="1:5" ht="12.75">
      <c r="A347" s="158" t="s">
        <v>1919</v>
      </c>
      <c r="B347" s="157" t="s">
        <v>689</v>
      </c>
      <c r="C347" s="117" t="str">
        <f t="shared" si="15"/>
        <v>College Grove Center - San Diego</v>
      </c>
      <c r="D347" s="223">
        <f t="shared" si="16"/>
        <v>0.10283333333333333</v>
      </c>
      <c r="E347" s="224">
        <f t="shared" si="17"/>
        <v>0.01076</v>
      </c>
    </row>
    <row r="348" spans="1:5" ht="12.75">
      <c r="A348" s="158" t="s">
        <v>1920</v>
      </c>
      <c r="B348" s="157" t="s">
        <v>778</v>
      </c>
      <c r="C348" s="117" t="str">
        <f t="shared" si="15"/>
        <v>Colma - San Mateo</v>
      </c>
      <c r="D348" s="223">
        <f t="shared" si="16"/>
        <v>0.08433333333333333</v>
      </c>
      <c r="E348" s="224">
        <f t="shared" si="17"/>
        <v>0.01085</v>
      </c>
    </row>
    <row r="349" spans="1:5" ht="12.75">
      <c r="A349" s="158" t="s">
        <v>1921</v>
      </c>
      <c r="B349" s="157" t="s">
        <v>696</v>
      </c>
      <c r="C349" s="117" t="str">
        <f t="shared" si="15"/>
        <v>Coloma - El Dorado</v>
      </c>
      <c r="D349" s="223">
        <f t="shared" si="16"/>
        <v>0.12433333333333335</v>
      </c>
      <c r="E349" s="224">
        <f t="shared" si="17"/>
        <v>0.01055</v>
      </c>
    </row>
    <row r="350" spans="1:5" ht="12.75">
      <c r="A350" s="158" t="s">
        <v>1922</v>
      </c>
      <c r="B350" s="157" t="s">
        <v>823</v>
      </c>
      <c r="C350" s="117" t="str">
        <f t="shared" si="15"/>
        <v>Colorado - Mariposa</v>
      </c>
      <c r="D350" s="223">
        <f t="shared" si="16"/>
        <v>0.12466666666666669</v>
      </c>
      <c r="E350" s="224">
        <f t="shared" si="17"/>
        <v>0.01005</v>
      </c>
    </row>
    <row r="351" spans="1:5" ht="12.75">
      <c r="A351" s="158" t="s">
        <v>1923</v>
      </c>
      <c r="B351" s="157" t="s">
        <v>681</v>
      </c>
      <c r="C351" s="117" t="str">
        <f t="shared" si="15"/>
        <v>Colton - San Bernardino</v>
      </c>
      <c r="D351" s="223">
        <f t="shared" si="16"/>
        <v>0.13891666666666666</v>
      </c>
      <c r="E351" s="224">
        <f t="shared" si="17"/>
        <v>0.01134</v>
      </c>
    </row>
    <row r="352" spans="1:5" ht="12.75">
      <c r="A352" s="158" t="s">
        <v>1924</v>
      </c>
      <c r="B352" s="157" t="s">
        <v>856</v>
      </c>
      <c r="C352" s="117" t="str">
        <f t="shared" si="15"/>
        <v>Columbia - Tuolumne</v>
      </c>
      <c r="D352" s="223">
        <f t="shared" si="16"/>
        <v>0.13766666666666666</v>
      </c>
      <c r="E352" s="224">
        <f t="shared" si="17"/>
        <v>0.01042</v>
      </c>
    </row>
    <row r="353" spans="1:5" ht="12.75">
      <c r="A353" s="158" t="s">
        <v>753</v>
      </c>
      <c r="B353" s="157" t="s">
        <v>753</v>
      </c>
      <c r="C353" s="117" t="str">
        <f t="shared" si="15"/>
        <v>Colusa - Colusa</v>
      </c>
      <c r="D353" s="223">
        <f t="shared" si="16"/>
        <v>0.20800000000000002</v>
      </c>
      <c r="E353" s="224">
        <f t="shared" si="17"/>
        <v>0.01027</v>
      </c>
    </row>
    <row r="354" spans="1:5" ht="12.75">
      <c r="A354" s="158" t="s">
        <v>1925</v>
      </c>
      <c r="B354" s="157" t="s">
        <v>677</v>
      </c>
      <c r="C354" s="117" t="str">
        <f t="shared" si="15"/>
        <v>Commerce - Los Angeles</v>
      </c>
      <c r="D354" s="223">
        <f t="shared" si="16"/>
        <v>0.12533333333333332</v>
      </c>
      <c r="E354" s="224">
        <f t="shared" si="17"/>
        <v>0.01168</v>
      </c>
    </row>
    <row r="355" spans="1:5" ht="12.75">
      <c r="A355" s="158" t="s">
        <v>1926</v>
      </c>
      <c r="B355" s="157" t="s">
        <v>703</v>
      </c>
      <c r="C355" s="117" t="str">
        <f t="shared" si="15"/>
        <v>Comptche - Mendocino</v>
      </c>
      <c r="D355" s="223">
        <f t="shared" si="16"/>
        <v>0.11325000000000002</v>
      </c>
      <c r="E355" s="224">
        <f t="shared" si="17"/>
        <v>0.01097</v>
      </c>
    </row>
    <row r="356" spans="1:5" ht="12.75">
      <c r="A356" s="158" t="s">
        <v>1927</v>
      </c>
      <c r="B356" s="157" t="s">
        <v>677</v>
      </c>
      <c r="C356" s="117" t="str">
        <f t="shared" si="15"/>
        <v>Compton - Los Angeles</v>
      </c>
      <c r="D356" s="223">
        <f t="shared" si="16"/>
        <v>0.12533333333333332</v>
      </c>
      <c r="E356" s="224">
        <f t="shared" si="17"/>
        <v>0.01168</v>
      </c>
    </row>
    <row r="357" spans="1:5" ht="12.75">
      <c r="A357" s="158" t="s">
        <v>1928</v>
      </c>
      <c r="B357" s="157" t="s">
        <v>699</v>
      </c>
      <c r="C357" s="117" t="str">
        <f t="shared" si="15"/>
        <v>Concord - Contra Costa</v>
      </c>
      <c r="D357" s="223">
        <f t="shared" si="16"/>
        <v>0.10966666666666666</v>
      </c>
      <c r="E357" s="224">
        <f t="shared" si="17"/>
        <v>0.011080000000000001</v>
      </c>
    </row>
    <row r="358" spans="1:5" ht="12.75">
      <c r="A358" s="158" t="s">
        <v>1929</v>
      </c>
      <c r="B358" s="157" t="s">
        <v>696</v>
      </c>
      <c r="C358" s="117" t="str">
        <f t="shared" si="15"/>
        <v>Cool - El Dorado</v>
      </c>
      <c r="D358" s="223">
        <f t="shared" si="16"/>
        <v>0.12433333333333335</v>
      </c>
      <c r="E358" s="224">
        <f t="shared" si="17"/>
        <v>0.01055</v>
      </c>
    </row>
    <row r="359" spans="1:5" ht="12.75">
      <c r="A359" s="158" t="s">
        <v>1930</v>
      </c>
      <c r="B359" s="157" t="s">
        <v>725</v>
      </c>
      <c r="C359" s="117" t="str">
        <f t="shared" si="15"/>
        <v>Copperopolis - Calaveras</v>
      </c>
      <c r="D359" s="223">
        <f t="shared" si="16"/>
        <v>0.1545833333333333</v>
      </c>
      <c r="E359" s="224">
        <f t="shared" si="17"/>
        <v>0.01075</v>
      </c>
    </row>
    <row r="360" spans="1:5" ht="12.75">
      <c r="A360" s="158" t="s">
        <v>1931</v>
      </c>
      <c r="B360" s="157" t="s">
        <v>760</v>
      </c>
      <c r="C360" s="117" t="str">
        <f t="shared" si="15"/>
        <v>Corcoran - Kings</v>
      </c>
      <c r="D360" s="223">
        <f t="shared" si="16"/>
        <v>0.16516666666666666</v>
      </c>
      <c r="E360" s="224">
        <f t="shared" si="17"/>
        <v>0.01075</v>
      </c>
    </row>
    <row r="361" spans="1:5" ht="12.75">
      <c r="A361" s="158" t="s">
        <v>1932</v>
      </c>
      <c r="B361" s="157" t="s">
        <v>677</v>
      </c>
      <c r="C361" s="117" t="str">
        <f t="shared" si="15"/>
        <v>Cornell - Los Angeles</v>
      </c>
      <c r="D361" s="223">
        <f t="shared" si="16"/>
        <v>0.12533333333333332</v>
      </c>
      <c r="E361" s="224">
        <f t="shared" si="17"/>
        <v>0.01168</v>
      </c>
    </row>
    <row r="362" spans="1:5" ht="12.75">
      <c r="A362" s="158" t="s">
        <v>1933</v>
      </c>
      <c r="B362" s="157" t="s">
        <v>1934</v>
      </c>
      <c r="C362" s="117" t="str">
        <f t="shared" si="15"/>
        <v>Corning - Tehama</v>
      </c>
      <c r="D362" s="223">
        <f t="shared" si="16"/>
        <v>0.15649999999999997</v>
      </c>
      <c r="E362" s="224">
        <f t="shared" si="17"/>
        <v>0.01022</v>
      </c>
    </row>
    <row r="363" spans="1:5" ht="12.75">
      <c r="A363" s="158" t="s">
        <v>1935</v>
      </c>
      <c r="B363" s="157" t="s">
        <v>692</v>
      </c>
      <c r="C363" s="117" t="str">
        <f t="shared" si="15"/>
        <v>Corona - Riverside</v>
      </c>
      <c r="D363" s="223">
        <f t="shared" si="16"/>
        <v>0.144</v>
      </c>
      <c r="E363" s="224">
        <f t="shared" si="17"/>
        <v>0.01089</v>
      </c>
    </row>
    <row r="364" spans="1:5" ht="12.75">
      <c r="A364" s="158" t="s">
        <v>1936</v>
      </c>
      <c r="B364" s="157" t="s">
        <v>708</v>
      </c>
      <c r="C364" s="117" t="str">
        <f t="shared" si="15"/>
        <v>Corona Del Mar - Orange</v>
      </c>
      <c r="D364" s="223">
        <f t="shared" si="16"/>
        <v>0.0915</v>
      </c>
      <c r="E364" s="224">
        <f t="shared" si="17"/>
        <v>0.01054</v>
      </c>
    </row>
    <row r="365" spans="1:5" ht="12.75">
      <c r="A365" s="158" t="s">
        <v>1937</v>
      </c>
      <c r="B365" s="157" t="s">
        <v>689</v>
      </c>
      <c r="C365" s="117" t="str">
        <f t="shared" si="15"/>
        <v>Coronado - San Diego</v>
      </c>
      <c r="D365" s="223">
        <f t="shared" si="16"/>
        <v>0.10283333333333333</v>
      </c>
      <c r="E365" s="224">
        <f t="shared" si="17"/>
        <v>0.01076</v>
      </c>
    </row>
    <row r="366" spans="1:5" ht="12.75">
      <c r="A366" s="158" t="s">
        <v>1938</v>
      </c>
      <c r="B366" s="157" t="s">
        <v>751</v>
      </c>
      <c r="C366" s="117" t="str">
        <f t="shared" si="15"/>
        <v>Corralitos - Santa Cruz</v>
      </c>
      <c r="D366" s="223">
        <f t="shared" si="16"/>
        <v>0.12516666666666665</v>
      </c>
      <c r="E366" s="224">
        <f t="shared" si="17"/>
        <v>0.01093</v>
      </c>
    </row>
    <row r="367" spans="1:5" ht="12.75">
      <c r="A367" s="158" t="s">
        <v>1939</v>
      </c>
      <c r="B367" s="157" t="s">
        <v>834</v>
      </c>
      <c r="C367" s="117" t="str">
        <f t="shared" si="15"/>
        <v>Corte Madera - Marin</v>
      </c>
      <c r="D367" s="223">
        <f t="shared" si="16"/>
        <v>0.08033333333333333</v>
      </c>
      <c r="E367" s="224">
        <f t="shared" si="17"/>
        <v>0.01105</v>
      </c>
    </row>
    <row r="368" spans="1:5" ht="12.75">
      <c r="A368" s="158" t="s">
        <v>1940</v>
      </c>
      <c r="B368" s="157" t="s">
        <v>732</v>
      </c>
      <c r="C368" s="117" t="str">
        <f t="shared" si="15"/>
        <v>Coso Junction - Inyo</v>
      </c>
      <c r="D368" s="223">
        <f t="shared" si="16"/>
        <v>0.10058333333333332</v>
      </c>
      <c r="E368" s="224">
        <f t="shared" si="17"/>
        <v>0.01052</v>
      </c>
    </row>
    <row r="369" spans="1:5" ht="12.75">
      <c r="A369" s="158" t="s">
        <v>1941</v>
      </c>
      <c r="B369" s="157" t="s">
        <v>708</v>
      </c>
      <c r="C369" s="117" t="str">
        <f t="shared" si="15"/>
        <v>Costa Mesa - Orange</v>
      </c>
      <c r="D369" s="223">
        <f t="shared" si="16"/>
        <v>0.0915</v>
      </c>
      <c r="E369" s="224">
        <f t="shared" si="17"/>
        <v>0.01054</v>
      </c>
    </row>
    <row r="370" spans="1:5" ht="12.75">
      <c r="A370" s="158" t="s">
        <v>1942</v>
      </c>
      <c r="B370" s="157" t="s">
        <v>687</v>
      </c>
      <c r="C370" s="117" t="str">
        <f t="shared" si="15"/>
        <v>Cotati - Sonoma</v>
      </c>
      <c r="D370" s="223">
        <f t="shared" si="16"/>
        <v>0.10133333333333334</v>
      </c>
      <c r="E370" s="224">
        <f t="shared" si="17"/>
        <v>0.01115</v>
      </c>
    </row>
    <row r="371" spans="1:5" ht="12.75">
      <c r="A371" s="158" t="s">
        <v>1943</v>
      </c>
      <c r="B371" s="157" t="s">
        <v>738</v>
      </c>
      <c r="C371" s="117" t="str">
        <f t="shared" si="15"/>
        <v>Cottonwood - Shasta</v>
      </c>
      <c r="D371" s="223">
        <f t="shared" si="16"/>
        <v>0.15616666666666668</v>
      </c>
      <c r="E371" s="224">
        <f t="shared" si="17"/>
        <v>0.01085</v>
      </c>
    </row>
    <row r="372" spans="1:5" ht="12.75">
      <c r="A372" s="158" t="s">
        <v>1944</v>
      </c>
      <c r="B372" s="157" t="s">
        <v>823</v>
      </c>
      <c r="C372" s="117" t="str">
        <f t="shared" si="15"/>
        <v>Coulterville - Mariposa</v>
      </c>
      <c r="D372" s="223">
        <f t="shared" si="16"/>
        <v>0.12466666666666669</v>
      </c>
      <c r="E372" s="224">
        <f t="shared" si="17"/>
        <v>0.01005</v>
      </c>
    </row>
    <row r="373" spans="1:5" ht="12.75">
      <c r="A373" s="158" t="s">
        <v>1945</v>
      </c>
      <c r="B373" s="157" t="s">
        <v>744</v>
      </c>
      <c r="C373" s="117" t="str">
        <f t="shared" si="15"/>
        <v>Courtland - Sacramento</v>
      </c>
      <c r="D373" s="223">
        <f t="shared" si="16"/>
        <v>0.12641666666666665</v>
      </c>
      <c r="E373" s="224">
        <f t="shared" si="17"/>
        <v>0.01087</v>
      </c>
    </row>
    <row r="374" spans="1:5" ht="12.75">
      <c r="A374" s="158" t="s">
        <v>1946</v>
      </c>
      <c r="B374" s="157" t="s">
        <v>703</v>
      </c>
      <c r="C374" s="117" t="str">
        <f t="shared" si="15"/>
        <v>Covelo - Mendocino</v>
      </c>
      <c r="D374" s="223">
        <f t="shared" si="16"/>
        <v>0.11325000000000002</v>
      </c>
      <c r="E374" s="224">
        <f t="shared" si="17"/>
        <v>0.01097</v>
      </c>
    </row>
    <row r="375" spans="1:5" ht="12.75">
      <c r="A375" s="158" t="s">
        <v>1947</v>
      </c>
      <c r="B375" s="157" t="s">
        <v>677</v>
      </c>
      <c r="C375" s="117" t="str">
        <f t="shared" si="15"/>
        <v>Covina - Los Angeles</v>
      </c>
      <c r="D375" s="223">
        <f t="shared" si="16"/>
        <v>0.12533333333333332</v>
      </c>
      <c r="E375" s="224">
        <f t="shared" si="17"/>
        <v>0.01168</v>
      </c>
    </row>
    <row r="376" spans="1:5" ht="12.75">
      <c r="A376" s="158" t="s">
        <v>1948</v>
      </c>
      <c r="B376" s="157" t="s">
        <v>708</v>
      </c>
      <c r="C376" s="117" t="str">
        <f t="shared" si="15"/>
        <v>Cowan Heights - Orange</v>
      </c>
      <c r="D376" s="223">
        <f t="shared" si="16"/>
        <v>0.0915</v>
      </c>
      <c r="E376" s="224">
        <f t="shared" si="17"/>
        <v>0.01054</v>
      </c>
    </row>
    <row r="377" spans="1:5" ht="12.75">
      <c r="A377" s="158" t="s">
        <v>1949</v>
      </c>
      <c r="B377" s="157" t="s">
        <v>712</v>
      </c>
      <c r="C377" s="117" t="str">
        <f t="shared" si="15"/>
        <v>Coyote - Santa Clara</v>
      </c>
      <c r="D377" s="223">
        <f t="shared" si="16"/>
        <v>0.10433333333333333</v>
      </c>
      <c r="E377" s="224">
        <f t="shared" si="17"/>
        <v>0.011810000000000001</v>
      </c>
    </row>
    <row r="378" spans="1:5" ht="12.75">
      <c r="A378" s="158" t="s">
        <v>1950</v>
      </c>
      <c r="B378" s="157" t="s">
        <v>705</v>
      </c>
      <c r="C378" s="117" t="str">
        <f t="shared" si="15"/>
        <v>Crannell - Humboldt</v>
      </c>
      <c r="D378" s="223">
        <f t="shared" si="16"/>
        <v>0.11391666666666665</v>
      </c>
      <c r="E378" s="224">
        <f t="shared" si="17"/>
        <v>0.01055</v>
      </c>
    </row>
    <row r="379" spans="1:5" ht="12.75">
      <c r="A379" s="158" t="s">
        <v>1951</v>
      </c>
      <c r="B379" s="157" t="s">
        <v>677</v>
      </c>
      <c r="C379" s="117" t="str">
        <f t="shared" si="15"/>
        <v>Crenshaw - Los Angeles</v>
      </c>
      <c r="D379" s="223">
        <f t="shared" si="16"/>
        <v>0.12533333333333332</v>
      </c>
      <c r="E379" s="224">
        <f t="shared" si="17"/>
        <v>0.01168</v>
      </c>
    </row>
    <row r="380" spans="1:5" ht="12.75">
      <c r="A380" s="158" t="s">
        <v>1952</v>
      </c>
      <c r="B380" s="157" t="s">
        <v>1953</v>
      </c>
      <c r="C380" s="117" t="str">
        <f t="shared" si="15"/>
        <v>Crescent City - Del Norte</v>
      </c>
      <c r="D380" s="223">
        <f t="shared" si="16"/>
        <v>0.13525</v>
      </c>
      <c r="E380" s="224">
        <f t="shared" si="17"/>
        <v>0.01039</v>
      </c>
    </row>
    <row r="381" spans="1:5" ht="12.75">
      <c r="A381" s="158" t="s">
        <v>1954</v>
      </c>
      <c r="B381" s="157" t="s">
        <v>714</v>
      </c>
      <c r="C381" s="117" t="str">
        <f t="shared" si="15"/>
        <v>Crescent Mills - Plumas</v>
      </c>
      <c r="D381" s="223">
        <f t="shared" si="16"/>
        <v>0.16258333333333333</v>
      </c>
      <c r="E381" s="224">
        <f t="shared" si="17"/>
        <v>0.01038</v>
      </c>
    </row>
    <row r="382" spans="1:5" ht="12.75">
      <c r="A382" s="158" t="s">
        <v>1955</v>
      </c>
      <c r="B382" s="157" t="s">
        <v>780</v>
      </c>
      <c r="C382" s="117" t="str">
        <f t="shared" si="15"/>
        <v>Cressey - Merced</v>
      </c>
      <c r="D382" s="223">
        <f t="shared" si="16"/>
        <v>0.1885</v>
      </c>
      <c r="E382" s="224">
        <f t="shared" si="17"/>
        <v>0.01061</v>
      </c>
    </row>
    <row r="383" spans="1:5" ht="12.75">
      <c r="A383" s="158" t="s">
        <v>1956</v>
      </c>
      <c r="B383" s="157" t="s">
        <v>681</v>
      </c>
      <c r="C383" s="117" t="str">
        <f t="shared" si="15"/>
        <v>Crest Park - San Bernardino</v>
      </c>
      <c r="D383" s="223">
        <f t="shared" si="16"/>
        <v>0.13891666666666666</v>
      </c>
      <c r="E383" s="224">
        <f t="shared" si="17"/>
        <v>0.01134</v>
      </c>
    </row>
    <row r="384" spans="1:5" ht="12.75">
      <c r="A384" s="158" t="s">
        <v>1957</v>
      </c>
      <c r="B384" s="157" t="s">
        <v>697</v>
      </c>
      <c r="C384" s="117" t="str">
        <f t="shared" si="15"/>
        <v>Cresta Blanca - Alameda</v>
      </c>
      <c r="D384" s="223">
        <f t="shared" si="16"/>
        <v>0.10916666666666666</v>
      </c>
      <c r="E384" s="224">
        <f t="shared" si="17"/>
        <v>0.011890000000000001</v>
      </c>
    </row>
    <row r="385" spans="1:5" ht="12.75">
      <c r="A385" s="158" t="s">
        <v>1958</v>
      </c>
      <c r="B385" s="157" t="s">
        <v>681</v>
      </c>
      <c r="C385" s="117" t="str">
        <f t="shared" si="15"/>
        <v>Crestline - San Bernardino</v>
      </c>
      <c r="D385" s="223">
        <f t="shared" si="16"/>
        <v>0.13891666666666666</v>
      </c>
      <c r="E385" s="224">
        <f t="shared" si="17"/>
        <v>0.01134</v>
      </c>
    </row>
    <row r="386" spans="1:5" ht="12.75">
      <c r="A386" s="158" t="s">
        <v>1959</v>
      </c>
      <c r="B386" s="157" t="s">
        <v>679</v>
      </c>
      <c r="C386" s="117" t="str">
        <f t="shared" si="15"/>
        <v>Creston - San Luis Obispo</v>
      </c>
      <c r="D386" s="223">
        <f t="shared" si="16"/>
        <v>0.099</v>
      </c>
      <c r="E386" s="224">
        <f t="shared" si="17"/>
        <v>0.01039</v>
      </c>
    </row>
    <row r="387" spans="1:5" ht="12.75">
      <c r="A387" s="158" t="s">
        <v>1960</v>
      </c>
      <c r="B387" s="157" t="s">
        <v>699</v>
      </c>
      <c r="C387" s="117" t="str">
        <f t="shared" si="15"/>
        <v>Crockett - Contra Costa</v>
      </c>
      <c r="D387" s="223">
        <f t="shared" si="16"/>
        <v>0.10966666666666666</v>
      </c>
      <c r="E387" s="224">
        <f t="shared" si="17"/>
        <v>0.011080000000000001</v>
      </c>
    </row>
    <row r="388" spans="1:5" ht="12.75">
      <c r="A388" s="158" t="s">
        <v>1961</v>
      </c>
      <c r="B388" s="157" t="s">
        <v>714</v>
      </c>
      <c r="C388" s="117" t="str">
        <f t="shared" si="15"/>
        <v>Cromberg - Plumas</v>
      </c>
      <c r="D388" s="223">
        <f t="shared" si="16"/>
        <v>0.16258333333333333</v>
      </c>
      <c r="E388" s="224">
        <f t="shared" si="17"/>
        <v>0.01038</v>
      </c>
    </row>
    <row r="389" spans="1:5" ht="12.75">
      <c r="A389" s="158" t="s">
        <v>1962</v>
      </c>
      <c r="B389" s="157" t="s">
        <v>681</v>
      </c>
      <c r="C389" s="117" t="str">
        <f t="shared" si="15"/>
        <v>Cross Roads - San Bernardino</v>
      </c>
      <c r="D389" s="223">
        <f t="shared" si="16"/>
        <v>0.13891666666666666</v>
      </c>
      <c r="E389" s="224">
        <f t="shared" si="17"/>
        <v>0.01134</v>
      </c>
    </row>
    <row r="390" spans="1:5" ht="12.75">
      <c r="A390" s="158" t="s">
        <v>1963</v>
      </c>
      <c r="B390" s="157" t="s">
        <v>839</v>
      </c>
      <c r="C390" s="117" t="str">
        <f t="shared" si="15"/>
        <v>Crowley Lake - Mono</v>
      </c>
      <c r="D390" s="223">
        <f t="shared" si="16"/>
        <v>0.10441666666666664</v>
      </c>
      <c r="E390" s="224">
        <f t="shared" si="17"/>
        <v>0.01073</v>
      </c>
    </row>
    <row r="391" spans="1:5" ht="12.75">
      <c r="A391" s="158" t="s">
        <v>1964</v>
      </c>
      <c r="B391" s="157" t="s">
        <v>1162</v>
      </c>
      <c r="C391" s="117" t="str">
        <f aca="true" t="shared" si="18" ref="C391:C454">A391&amp;" - "&amp;B391</f>
        <v>Crows Landing - Stanislaus</v>
      </c>
      <c r="D391" s="223">
        <f t="shared" si="16"/>
        <v>0.1716666666666667</v>
      </c>
      <c r="E391" s="224">
        <f t="shared" si="17"/>
        <v>0.01093</v>
      </c>
    </row>
    <row r="392" spans="1:5" ht="12.75">
      <c r="A392" s="158" t="s">
        <v>1965</v>
      </c>
      <c r="B392" s="157" t="s">
        <v>681</v>
      </c>
      <c r="C392" s="117" t="str">
        <f t="shared" si="18"/>
        <v>Cucamonga - San Bernardino</v>
      </c>
      <c r="D392" s="223">
        <f aca="true" t="shared" si="19" ref="D392:D455">VLOOKUP(B392,unemployment_rates,2,FALSE)</f>
        <v>0.13891666666666666</v>
      </c>
      <c r="E392" s="224">
        <f aca="true" t="shared" si="20" ref="E392:E455">VLOOKUP(B392,Prop_Tax_Rates,2,FALSE)</f>
        <v>0.01134</v>
      </c>
    </row>
    <row r="393" spans="1:5" ht="12.75">
      <c r="A393" s="158" t="s">
        <v>1966</v>
      </c>
      <c r="B393" s="157" t="s">
        <v>677</v>
      </c>
      <c r="C393" s="117" t="str">
        <f t="shared" si="18"/>
        <v>Cudahy - Los Angeles</v>
      </c>
      <c r="D393" s="223">
        <f t="shared" si="19"/>
        <v>0.12533333333333332</v>
      </c>
      <c r="E393" s="224">
        <f t="shared" si="20"/>
        <v>0.01168</v>
      </c>
    </row>
    <row r="394" spans="1:5" ht="12.75">
      <c r="A394" s="158" t="s">
        <v>1967</v>
      </c>
      <c r="B394" s="157" t="s">
        <v>677</v>
      </c>
      <c r="C394" s="117" t="str">
        <f t="shared" si="18"/>
        <v>Culver City - Los Angeles</v>
      </c>
      <c r="D394" s="223">
        <f t="shared" si="19"/>
        <v>0.12533333333333332</v>
      </c>
      <c r="E394" s="224">
        <f t="shared" si="20"/>
        <v>0.01168</v>
      </c>
    </row>
    <row r="395" spans="1:5" ht="12.75">
      <c r="A395" s="158" t="s">
        <v>1968</v>
      </c>
      <c r="B395" s="157" t="s">
        <v>703</v>
      </c>
      <c r="C395" s="117" t="str">
        <f t="shared" si="18"/>
        <v>Cummings - Mendocino</v>
      </c>
      <c r="D395" s="223">
        <f t="shared" si="19"/>
        <v>0.11325000000000002</v>
      </c>
      <c r="E395" s="224">
        <f t="shared" si="20"/>
        <v>0.01097</v>
      </c>
    </row>
    <row r="396" spans="1:5" ht="12.75">
      <c r="A396" s="158" t="s">
        <v>1969</v>
      </c>
      <c r="B396" s="157" t="s">
        <v>712</v>
      </c>
      <c r="C396" s="117" t="str">
        <f t="shared" si="18"/>
        <v>Cupertino - Santa Clara</v>
      </c>
      <c r="D396" s="223">
        <f t="shared" si="19"/>
        <v>0.10433333333333333</v>
      </c>
      <c r="E396" s="224">
        <f t="shared" si="20"/>
        <v>0.011810000000000001</v>
      </c>
    </row>
    <row r="397" spans="1:5" ht="12.75">
      <c r="A397" s="158" t="s">
        <v>1970</v>
      </c>
      <c r="B397" s="157" t="s">
        <v>823</v>
      </c>
      <c r="C397" s="117" t="str">
        <f t="shared" si="18"/>
        <v>Curry Village - Mariposa</v>
      </c>
      <c r="D397" s="223">
        <f t="shared" si="19"/>
        <v>0.12466666666666669</v>
      </c>
      <c r="E397" s="224">
        <f t="shared" si="20"/>
        <v>0.01005</v>
      </c>
    </row>
    <row r="398" spans="1:5" ht="12.75">
      <c r="A398" s="158" t="s">
        <v>1971</v>
      </c>
      <c r="B398" s="157" t="s">
        <v>718</v>
      </c>
      <c r="C398" s="117" t="str">
        <f t="shared" si="18"/>
        <v>Cutler - Tulare</v>
      </c>
      <c r="D398" s="223">
        <f t="shared" si="19"/>
        <v>0.16641666666666666</v>
      </c>
      <c r="E398" s="224">
        <f t="shared" si="20"/>
        <v>0.01088</v>
      </c>
    </row>
    <row r="399" spans="1:5" ht="12.75">
      <c r="A399" s="158" t="s">
        <v>1972</v>
      </c>
      <c r="B399" s="157" t="s">
        <v>705</v>
      </c>
      <c r="C399" s="117" t="str">
        <f t="shared" si="18"/>
        <v>Cutten - Humboldt</v>
      </c>
      <c r="D399" s="223">
        <f t="shared" si="19"/>
        <v>0.11391666666666665</v>
      </c>
      <c r="E399" s="224">
        <f t="shared" si="20"/>
        <v>0.01055</v>
      </c>
    </row>
    <row r="400" spans="1:5" ht="12.75">
      <c r="A400" s="158" t="s">
        <v>1973</v>
      </c>
      <c r="B400" s="157" t="s">
        <v>799</v>
      </c>
      <c r="C400" s="117" t="str">
        <f t="shared" si="18"/>
        <v>Cuyama - Santa Barbara</v>
      </c>
      <c r="D400" s="223">
        <f t="shared" si="19"/>
        <v>0.09174999999999998</v>
      </c>
      <c r="E400" s="224">
        <f t="shared" si="20"/>
        <v>0.01055</v>
      </c>
    </row>
    <row r="401" spans="1:5" ht="12.75">
      <c r="A401" s="158" t="s">
        <v>1974</v>
      </c>
      <c r="B401" s="157" t="s">
        <v>1975</v>
      </c>
      <c r="C401" s="117" t="str">
        <f t="shared" si="18"/>
        <v>Cypress - Orange </v>
      </c>
      <c r="D401" s="223" t="e">
        <f t="shared" si="19"/>
        <v>#N/A</v>
      </c>
      <c r="E401" s="224" t="e">
        <f t="shared" si="20"/>
        <v>#N/A</v>
      </c>
    </row>
    <row r="402" spans="1:5" ht="12.75">
      <c r="A402" s="158" t="s">
        <v>1976</v>
      </c>
      <c r="B402" s="157" t="s">
        <v>681</v>
      </c>
      <c r="C402" s="117" t="str">
        <f t="shared" si="18"/>
        <v>Daggett - San Bernardino</v>
      </c>
      <c r="D402" s="223">
        <f t="shared" si="19"/>
        <v>0.13891666666666666</v>
      </c>
      <c r="E402" s="224">
        <f t="shared" si="20"/>
        <v>0.01134</v>
      </c>
    </row>
    <row r="403" spans="1:5" ht="12.75">
      <c r="A403" s="158" t="s">
        <v>1977</v>
      </c>
      <c r="B403" s="157" t="s">
        <v>837</v>
      </c>
      <c r="C403" s="117" t="str">
        <f t="shared" si="18"/>
        <v>Dairy Farm - Solano</v>
      </c>
      <c r="D403" s="223">
        <f t="shared" si="19"/>
        <v>0.11916666666666666</v>
      </c>
      <c r="E403" s="224">
        <f t="shared" si="20"/>
        <v>0.01121</v>
      </c>
    </row>
    <row r="404" spans="1:5" ht="12.75">
      <c r="A404" s="158" t="s">
        <v>1978</v>
      </c>
      <c r="B404" s="157" t="s">
        <v>778</v>
      </c>
      <c r="C404" s="117" t="str">
        <f t="shared" si="18"/>
        <v>Daly City - San Mateo</v>
      </c>
      <c r="D404" s="223">
        <f t="shared" si="19"/>
        <v>0.08433333333333333</v>
      </c>
      <c r="E404" s="224">
        <f t="shared" si="20"/>
        <v>0.01085</v>
      </c>
    </row>
    <row r="405" spans="1:5" ht="12.75">
      <c r="A405" s="158" t="s">
        <v>1979</v>
      </c>
      <c r="B405" s="157" t="s">
        <v>708</v>
      </c>
      <c r="C405" s="117" t="str">
        <f t="shared" si="18"/>
        <v>Dana Point - Orange</v>
      </c>
      <c r="D405" s="223">
        <f t="shared" si="19"/>
        <v>0.0915</v>
      </c>
      <c r="E405" s="224">
        <f t="shared" si="20"/>
        <v>0.01054</v>
      </c>
    </row>
    <row r="406" spans="1:5" ht="12.75">
      <c r="A406" s="158" t="s">
        <v>1980</v>
      </c>
      <c r="B406" s="157" t="s">
        <v>699</v>
      </c>
      <c r="C406" s="117" t="str">
        <f t="shared" si="18"/>
        <v>Danville - Contra Costa</v>
      </c>
      <c r="D406" s="223">
        <f t="shared" si="19"/>
        <v>0.10966666666666666</v>
      </c>
      <c r="E406" s="224">
        <f t="shared" si="20"/>
        <v>0.011080000000000001</v>
      </c>
    </row>
    <row r="407" spans="1:5" ht="12.75">
      <c r="A407" s="158" t="s">
        <v>1981</v>
      </c>
      <c r="B407" s="157" t="s">
        <v>856</v>
      </c>
      <c r="C407" s="117" t="str">
        <f t="shared" si="18"/>
        <v>Dardanelle - Tuolumne</v>
      </c>
      <c r="D407" s="223">
        <f t="shared" si="19"/>
        <v>0.13766666666666666</v>
      </c>
      <c r="E407" s="224">
        <f t="shared" si="20"/>
        <v>0.01042</v>
      </c>
    </row>
    <row r="408" spans="1:5" ht="12.75">
      <c r="A408" s="158" t="s">
        <v>1982</v>
      </c>
      <c r="B408" s="157" t="s">
        <v>732</v>
      </c>
      <c r="C408" s="117" t="str">
        <f t="shared" si="18"/>
        <v>Darwin - Inyo</v>
      </c>
      <c r="D408" s="223">
        <f t="shared" si="19"/>
        <v>0.10058333333333332</v>
      </c>
      <c r="E408" s="224">
        <f t="shared" si="20"/>
        <v>0.01052</v>
      </c>
    </row>
    <row r="409" spans="1:5" ht="12.75">
      <c r="A409" s="158" t="s">
        <v>1983</v>
      </c>
      <c r="B409" s="157" t="s">
        <v>751</v>
      </c>
      <c r="C409" s="117" t="str">
        <f t="shared" si="18"/>
        <v>Davenport - Santa Cruz</v>
      </c>
      <c r="D409" s="223">
        <f t="shared" si="19"/>
        <v>0.12516666666666665</v>
      </c>
      <c r="E409" s="224">
        <f t="shared" si="20"/>
        <v>0.01093</v>
      </c>
    </row>
    <row r="410" spans="1:5" ht="12.75">
      <c r="A410" s="158" t="s">
        <v>1984</v>
      </c>
      <c r="B410" s="157" t="s">
        <v>906</v>
      </c>
      <c r="C410" s="117" t="str">
        <f t="shared" si="18"/>
        <v>Davis - Yolo</v>
      </c>
      <c r="D410" s="223">
        <f t="shared" si="19"/>
        <v>0.13033333333333333</v>
      </c>
      <c r="E410" s="224">
        <f t="shared" si="20"/>
        <v>0.01054</v>
      </c>
    </row>
    <row r="411" spans="1:5" ht="12.75">
      <c r="A411" s="158" t="s">
        <v>1985</v>
      </c>
      <c r="B411" s="157" t="s">
        <v>683</v>
      </c>
      <c r="C411" s="117" t="str">
        <f t="shared" si="18"/>
        <v>Davis Creek - Modoc</v>
      </c>
      <c r="D411" s="223">
        <f t="shared" si="19"/>
        <v>0.14341666666666666</v>
      </c>
      <c r="E411" s="224">
        <f t="shared" si="20"/>
        <v>0.01</v>
      </c>
    </row>
    <row r="412" spans="1:5" ht="12.75">
      <c r="A412" s="158" t="s">
        <v>1986</v>
      </c>
      <c r="B412" s="157" t="s">
        <v>732</v>
      </c>
      <c r="C412" s="117" t="str">
        <f t="shared" si="18"/>
        <v>Death Valley - Inyo</v>
      </c>
      <c r="D412" s="223">
        <f t="shared" si="19"/>
        <v>0.10058333333333332</v>
      </c>
      <c r="E412" s="224">
        <f t="shared" si="20"/>
        <v>0.01052</v>
      </c>
    </row>
    <row r="413" spans="1:5" ht="12.75">
      <c r="A413" s="158" t="s">
        <v>1987</v>
      </c>
      <c r="B413" s="157" t="s">
        <v>732</v>
      </c>
      <c r="C413" s="117" t="str">
        <f t="shared" si="18"/>
        <v>Death Valley Junction - Inyo</v>
      </c>
      <c r="D413" s="223">
        <f t="shared" si="19"/>
        <v>0.10058333333333332</v>
      </c>
      <c r="E413" s="224">
        <f t="shared" si="20"/>
        <v>0.01052</v>
      </c>
    </row>
    <row r="414" spans="1:5" ht="12.75">
      <c r="A414" s="158" t="s">
        <v>1988</v>
      </c>
      <c r="B414" s="157" t="s">
        <v>735</v>
      </c>
      <c r="C414" s="117" t="str">
        <f t="shared" si="18"/>
        <v>Deer Park - Napa</v>
      </c>
      <c r="D414" s="223">
        <f t="shared" si="19"/>
        <v>0.09708333333333334</v>
      </c>
      <c r="E414" s="224">
        <f t="shared" si="20"/>
        <v>0.01093</v>
      </c>
    </row>
    <row r="415" spans="1:5" ht="12.75">
      <c r="A415" s="158" t="s">
        <v>1989</v>
      </c>
      <c r="B415" s="157" t="s">
        <v>772</v>
      </c>
      <c r="C415" s="117" t="str">
        <f t="shared" si="18"/>
        <v>Del Kern - Kern</v>
      </c>
      <c r="D415" s="223">
        <f t="shared" si="19"/>
        <v>0.15741666666666668</v>
      </c>
      <c r="E415" s="224">
        <f t="shared" si="20"/>
        <v>0.01114</v>
      </c>
    </row>
    <row r="416" spans="1:5" ht="12.75">
      <c r="A416" s="158" t="s">
        <v>1990</v>
      </c>
      <c r="B416" s="157" t="s">
        <v>689</v>
      </c>
      <c r="C416" s="117" t="str">
        <f t="shared" si="18"/>
        <v>Del Mar - San Diego</v>
      </c>
      <c r="D416" s="223">
        <f t="shared" si="19"/>
        <v>0.10283333333333333</v>
      </c>
      <c r="E416" s="224">
        <f t="shared" si="20"/>
        <v>0.01076</v>
      </c>
    </row>
    <row r="417" spans="1:5" ht="12.75">
      <c r="A417" s="158" t="s">
        <v>1991</v>
      </c>
      <c r="B417" s="157" t="s">
        <v>679</v>
      </c>
      <c r="C417" s="117" t="str">
        <f t="shared" si="18"/>
        <v>Del Mar Heights - San Luis Obispo</v>
      </c>
      <c r="D417" s="223">
        <f t="shared" si="19"/>
        <v>0.099</v>
      </c>
      <c r="E417" s="224">
        <f t="shared" si="20"/>
        <v>0.01039</v>
      </c>
    </row>
    <row r="418" spans="1:5" ht="12.75">
      <c r="A418" s="158" t="s">
        <v>1992</v>
      </c>
      <c r="B418" s="157" t="s">
        <v>764</v>
      </c>
      <c r="C418" s="117" t="str">
        <f t="shared" si="18"/>
        <v>Del Monte Park  - Monterey</v>
      </c>
      <c r="D418" s="223">
        <f t="shared" si="19"/>
        <v>0.12916666666666665</v>
      </c>
      <c r="E418" s="224">
        <f t="shared" si="20"/>
        <v>0.01084</v>
      </c>
    </row>
    <row r="419" spans="1:5" ht="12.75">
      <c r="A419" s="158" t="s">
        <v>1993</v>
      </c>
      <c r="B419" s="157" t="s">
        <v>783</v>
      </c>
      <c r="C419" s="117" t="str">
        <f t="shared" si="18"/>
        <v>Del Rey - Fresno</v>
      </c>
      <c r="D419" s="223">
        <f t="shared" si="19"/>
        <v>0.1685</v>
      </c>
      <c r="E419" s="224">
        <f t="shared" si="20"/>
        <v>0.01165</v>
      </c>
    </row>
    <row r="420" spans="1:5" ht="12.75">
      <c r="A420" s="158" t="s">
        <v>1994</v>
      </c>
      <c r="B420" s="157" t="s">
        <v>764</v>
      </c>
      <c r="C420" s="117" t="str">
        <f t="shared" si="18"/>
        <v>Del Rey Oaks - Monterey</v>
      </c>
      <c r="D420" s="223">
        <f t="shared" si="19"/>
        <v>0.12916666666666665</v>
      </c>
      <c r="E420" s="224">
        <f t="shared" si="20"/>
        <v>0.01084</v>
      </c>
    </row>
    <row r="421" spans="1:5" ht="12.75">
      <c r="A421" s="158" t="s">
        <v>1995</v>
      </c>
      <c r="B421" s="157" t="s">
        <v>681</v>
      </c>
      <c r="C421" s="117" t="str">
        <f t="shared" si="18"/>
        <v>Del Rosa - San Bernardino</v>
      </c>
      <c r="D421" s="223">
        <f t="shared" si="19"/>
        <v>0.13891666666666666</v>
      </c>
      <c r="E421" s="224">
        <f t="shared" si="20"/>
        <v>0.01134</v>
      </c>
    </row>
    <row r="422" spans="1:5" ht="12.75">
      <c r="A422" s="158" t="s">
        <v>1996</v>
      </c>
      <c r="B422" s="157" t="s">
        <v>677</v>
      </c>
      <c r="C422" s="117" t="str">
        <f t="shared" si="18"/>
        <v>Del Sur - Los Angeles</v>
      </c>
      <c r="D422" s="223">
        <f t="shared" si="19"/>
        <v>0.12533333333333332</v>
      </c>
      <c r="E422" s="224">
        <f t="shared" si="20"/>
        <v>0.01168</v>
      </c>
    </row>
    <row r="423" spans="1:5" ht="12.75">
      <c r="A423" s="158" t="s">
        <v>1997</v>
      </c>
      <c r="B423" s="157" t="s">
        <v>772</v>
      </c>
      <c r="C423" s="117" t="str">
        <f t="shared" si="18"/>
        <v>Delano - Kern</v>
      </c>
      <c r="D423" s="223">
        <f t="shared" si="19"/>
        <v>0.15741666666666668</v>
      </c>
      <c r="E423" s="224">
        <f t="shared" si="20"/>
        <v>0.01114</v>
      </c>
    </row>
    <row r="424" spans="1:5" ht="12.75">
      <c r="A424" s="158" t="s">
        <v>1998</v>
      </c>
      <c r="B424" s="157" t="s">
        <v>753</v>
      </c>
      <c r="C424" s="117" t="str">
        <f t="shared" si="18"/>
        <v>Deleven - Colusa</v>
      </c>
      <c r="D424" s="223">
        <f t="shared" si="19"/>
        <v>0.20800000000000002</v>
      </c>
      <c r="E424" s="224">
        <f t="shared" si="20"/>
        <v>0.01027</v>
      </c>
    </row>
    <row r="425" spans="1:5" ht="12.75">
      <c r="A425" s="158" t="s">
        <v>1999</v>
      </c>
      <c r="B425" s="157" t="s">
        <v>780</v>
      </c>
      <c r="C425" s="117" t="str">
        <f t="shared" si="18"/>
        <v>Delhi - Merced</v>
      </c>
      <c r="D425" s="223">
        <f t="shared" si="19"/>
        <v>0.1885</v>
      </c>
      <c r="E425" s="224">
        <f t="shared" si="20"/>
        <v>0.01061</v>
      </c>
    </row>
    <row r="426" spans="1:5" ht="12.75">
      <c r="A426" s="158" t="s">
        <v>2000</v>
      </c>
      <c r="B426" s="157" t="s">
        <v>1162</v>
      </c>
      <c r="C426" s="117" t="str">
        <f t="shared" si="18"/>
        <v>Denair - Stanislaus</v>
      </c>
      <c r="D426" s="223">
        <f t="shared" si="19"/>
        <v>0.1716666666666667</v>
      </c>
      <c r="E426" s="224">
        <f t="shared" si="20"/>
        <v>0.01093</v>
      </c>
    </row>
    <row r="427" spans="1:5" ht="12.75">
      <c r="A427" s="158" t="s">
        <v>2001</v>
      </c>
      <c r="B427" s="157" t="s">
        <v>849</v>
      </c>
      <c r="C427" s="117" t="str">
        <f t="shared" si="18"/>
        <v>Denny - Trinity</v>
      </c>
      <c r="D427" s="223">
        <f t="shared" si="19"/>
        <v>0.18466666666666667</v>
      </c>
      <c r="E427" s="224">
        <f t="shared" si="20"/>
        <v>0.010129999999999998</v>
      </c>
    </row>
    <row r="428" spans="1:5" ht="12.75">
      <c r="A428" s="158" t="s">
        <v>2002</v>
      </c>
      <c r="B428" s="157" t="s">
        <v>689</v>
      </c>
      <c r="C428" s="117" t="str">
        <f t="shared" si="18"/>
        <v>Descanso - San Diego</v>
      </c>
      <c r="D428" s="223">
        <f t="shared" si="19"/>
        <v>0.10283333333333333</v>
      </c>
      <c r="E428" s="224">
        <f t="shared" si="20"/>
        <v>0.01076</v>
      </c>
    </row>
    <row r="429" spans="1:5" ht="12.75">
      <c r="A429" s="158" t="s">
        <v>2003</v>
      </c>
      <c r="B429" s="157" t="s">
        <v>692</v>
      </c>
      <c r="C429" s="117" t="str">
        <f t="shared" si="18"/>
        <v>Desert Center - Riverside</v>
      </c>
      <c r="D429" s="223">
        <f t="shared" si="19"/>
        <v>0.144</v>
      </c>
      <c r="E429" s="224">
        <f t="shared" si="20"/>
        <v>0.01089</v>
      </c>
    </row>
    <row r="430" spans="1:5" ht="12.75">
      <c r="A430" s="158" t="s">
        <v>2004</v>
      </c>
      <c r="B430" s="157" t="s">
        <v>692</v>
      </c>
      <c r="C430" s="117" t="str">
        <f t="shared" si="18"/>
        <v>Desert Hot Springs - Riverside</v>
      </c>
      <c r="D430" s="223">
        <f t="shared" si="19"/>
        <v>0.144</v>
      </c>
      <c r="E430" s="224">
        <f t="shared" si="20"/>
        <v>0.01089</v>
      </c>
    </row>
    <row r="431" spans="1:5" ht="12.75">
      <c r="A431" s="158" t="s">
        <v>2005</v>
      </c>
      <c r="B431" s="157" t="s">
        <v>772</v>
      </c>
      <c r="C431" s="117" t="str">
        <f t="shared" si="18"/>
        <v>Di Giorgio - Kern</v>
      </c>
      <c r="D431" s="223">
        <f t="shared" si="19"/>
        <v>0.15741666666666668</v>
      </c>
      <c r="E431" s="224">
        <f t="shared" si="20"/>
        <v>0.01114</v>
      </c>
    </row>
    <row r="432" spans="1:5" ht="12.75">
      <c r="A432" s="158" t="s">
        <v>2006</v>
      </c>
      <c r="B432" s="157" t="s">
        <v>699</v>
      </c>
      <c r="C432" s="117" t="str">
        <f t="shared" si="18"/>
        <v>Diablo - Contra Costa</v>
      </c>
      <c r="D432" s="223">
        <f t="shared" si="19"/>
        <v>0.10966666666666666</v>
      </c>
      <c r="E432" s="224">
        <f t="shared" si="20"/>
        <v>0.011080000000000001</v>
      </c>
    </row>
    <row r="433" spans="1:5" ht="12.75">
      <c r="A433" s="158" t="s">
        <v>2007</v>
      </c>
      <c r="B433" s="157" t="s">
        <v>677</v>
      </c>
      <c r="C433" s="117" t="str">
        <f t="shared" si="18"/>
        <v>Diamond Bar - Los Angeles</v>
      </c>
      <c r="D433" s="223">
        <f t="shared" si="19"/>
        <v>0.12533333333333332</v>
      </c>
      <c r="E433" s="224">
        <f t="shared" si="20"/>
        <v>0.01168</v>
      </c>
    </row>
    <row r="434" spans="1:5" ht="12.75">
      <c r="A434" s="158" t="s">
        <v>2008</v>
      </c>
      <c r="B434" s="157" t="s">
        <v>696</v>
      </c>
      <c r="C434" s="117" t="str">
        <f t="shared" si="18"/>
        <v>Diamond Springs - El Dorado</v>
      </c>
      <c r="D434" s="223">
        <f t="shared" si="19"/>
        <v>0.12433333333333335</v>
      </c>
      <c r="E434" s="224">
        <f t="shared" si="20"/>
        <v>0.01055</v>
      </c>
    </row>
    <row r="435" spans="1:5" ht="12.75">
      <c r="A435" s="158" t="s">
        <v>2009</v>
      </c>
      <c r="B435" s="157" t="s">
        <v>834</v>
      </c>
      <c r="C435" s="117" t="str">
        <f t="shared" si="18"/>
        <v>Dillon Beach - Marin</v>
      </c>
      <c r="D435" s="223">
        <f t="shared" si="19"/>
        <v>0.08033333333333333</v>
      </c>
      <c r="E435" s="224">
        <f t="shared" si="20"/>
        <v>0.01105</v>
      </c>
    </row>
    <row r="436" spans="1:5" ht="12.75">
      <c r="A436" s="158" t="s">
        <v>2010</v>
      </c>
      <c r="B436" s="157" t="s">
        <v>783</v>
      </c>
      <c r="C436" s="117" t="str">
        <f t="shared" si="18"/>
        <v>Dinkey Creek - Fresno</v>
      </c>
      <c r="D436" s="223">
        <f t="shared" si="19"/>
        <v>0.1685</v>
      </c>
      <c r="E436" s="224">
        <f t="shared" si="20"/>
        <v>0.01165</v>
      </c>
    </row>
    <row r="437" spans="1:5" ht="12.75">
      <c r="A437" s="158" t="s">
        <v>2011</v>
      </c>
      <c r="B437" s="157" t="s">
        <v>718</v>
      </c>
      <c r="C437" s="117" t="str">
        <f t="shared" si="18"/>
        <v>Dinuba - Tulare</v>
      </c>
      <c r="D437" s="223">
        <f t="shared" si="19"/>
        <v>0.16641666666666666</v>
      </c>
      <c r="E437" s="224">
        <f t="shared" si="20"/>
        <v>0.01088</v>
      </c>
    </row>
    <row r="438" spans="1:5" ht="12.75">
      <c r="A438" s="158" t="s">
        <v>2012</v>
      </c>
      <c r="B438" s="157" t="s">
        <v>699</v>
      </c>
      <c r="C438" s="117" t="str">
        <f t="shared" si="18"/>
        <v>Discovery Bay - Contra Costa</v>
      </c>
      <c r="D438" s="223">
        <f t="shared" si="19"/>
        <v>0.10966666666666666</v>
      </c>
      <c r="E438" s="224">
        <f t="shared" si="20"/>
        <v>0.011080000000000001</v>
      </c>
    </row>
    <row r="439" spans="1:5" ht="12.75">
      <c r="A439" s="158" t="s">
        <v>2013</v>
      </c>
      <c r="B439" s="157" t="s">
        <v>837</v>
      </c>
      <c r="C439" s="117" t="str">
        <f t="shared" si="18"/>
        <v>Dixon - Solano</v>
      </c>
      <c r="D439" s="223">
        <f t="shared" si="19"/>
        <v>0.11916666666666666</v>
      </c>
      <c r="E439" s="224">
        <f t="shared" si="20"/>
        <v>0.01121</v>
      </c>
    </row>
    <row r="440" spans="1:5" ht="12.75">
      <c r="A440" s="158" t="s">
        <v>2014</v>
      </c>
      <c r="B440" s="157" t="s">
        <v>820</v>
      </c>
      <c r="C440" s="117" t="str">
        <f t="shared" si="18"/>
        <v>Dobbins - Yuba</v>
      </c>
      <c r="D440" s="223">
        <f t="shared" si="19"/>
        <v>0.1881666666666667</v>
      </c>
      <c r="E440" s="224">
        <f t="shared" si="20"/>
        <v>0.01102</v>
      </c>
    </row>
    <row r="441" spans="1:5" ht="12.75">
      <c r="A441" s="158" t="s">
        <v>2015</v>
      </c>
      <c r="B441" s="157" t="s">
        <v>834</v>
      </c>
      <c r="C441" s="117" t="str">
        <f t="shared" si="18"/>
        <v>Dogtown - Marin</v>
      </c>
      <c r="D441" s="223">
        <f t="shared" si="19"/>
        <v>0.08033333333333333</v>
      </c>
      <c r="E441" s="224">
        <f t="shared" si="20"/>
        <v>0.01105</v>
      </c>
    </row>
    <row r="442" spans="1:5" ht="12.75">
      <c r="A442" s="158" t="s">
        <v>2016</v>
      </c>
      <c r="B442" s="157" t="s">
        <v>699</v>
      </c>
      <c r="C442" s="117" t="str">
        <f t="shared" si="18"/>
        <v>Dollar Ranch - Contra Costa</v>
      </c>
      <c r="D442" s="223">
        <f t="shared" si="19"/>
        <v>0.10966666666666666</v>
      </c>
      <c r="E442" s="224">
        <f t="shared" si="20"/>
        <v>0.011080000000000001</v>
      </c>
    </row>
    <row r="443" spans="1:5" ht="12.75">
      <c r="A443" s="158" t="s">
        <v>2017</v>
      </c>
      <c r="B443" s="157" t="s">
        <v>1012</v>
      </c>
      <c r="C443" s="117" t="str">
        <f t="shared" si="18"/>
        <v>Dorris - Siskiyou</v>
      </c>
      <c r="D443" s="223">
        <f t="shared" si="19"/>
        <v>0.17858333333333332</v>
      </c>
      <c r="E443" s="224">
        <f t="shared" si="20"/>
        <v>0.01038</v>
      </c>
    </row>
    <row r="444" spans="1:5" ht="12.75">
      <c r="A444" s="158" t="s">
        <v>2018</v>
      </c>
      <c r="B444" s="157" t="s">
        <v>780</v>
      </c>
      <c r="C444" s="117" t="str">
        <f t="shared" si="18"/>
        <v>Dos Palos - Merced</v>
      </c>
      <c r="D444" s="223">
        <f t="shared" si="19"/>
        <v>0.1885</v>
      </c>
      <c r="E444" s="224">
        <f t="shared" si="20"/>
        <v>0.01061</v>
      </c>
    </row>
    <row r="445" spans="1:5" ht="12.75">
      <c r="A445" s="158" t="s">
        <v>2019</v>
      </c>
      <c r="B445" s="157" t="s">
        <v>703</v>
      </c>
      <c r="C445" s="117" t="str">
        <f t="shared" si="18"/>
        <v>Dos Rios - Mendocino</v>
      </c>
      <c r="D445" s="223">
        <f t="shared" si="19"/>
        <v>0.11325000000000002</v>
      </c>
      <c r="E445" s="224">
        <f t="shared" si="20"/>
        <v>0.01097</v>
      </c>
    </row>
    <row r="446" spans="1:5" ht="12.75">
      <c r="A446" s="158" t="s">
        <v>2020</v>
      </c>
      <c r="B446" s="157" t="s">
        <v>849</v>
      </c>
      <c r="C446" s="117" t="str">
        <f t="shared" si="18"/>
        <v>Douglas City - Trinity</v>
      </c>
      <c r="D446" s="223">
        <f t="shared" si="19"/>
        <v>0.18466666666666667</v>
      </c>
      <c r="E446" s="224">
        <f t="shared" si="20"/>
        <v>0.010129999999999998</v>
      </c>
    </row>
    <row r="447" spans="1:5" ht="12.75">
      <c r="A447" s="158" t="s">
        <v>2021</v>
      </c>
      <c r="B447" s="157" t="s">
        <v>725</v>
      </c>
      <c r="C447" s="117" t="str">
        <f t="shared" si="18"/>
        <v>Douglas Flat - Calaveras</v>
      </c>
      <c r="D447" s="223">
        <f t="shared" si="19"/>
        <v>0.1545833333333333</v>
      </c>
      <c r="E447" s="224">
        <f t="shared" si="20"/>
        <v>0.01075</v>
      </c>
    </row>
    <row r="448" spans="1:5" ht="12.75">
      <c r="A448" s="158" t="s">
        <v>2022</v>
      </c>
      <c r="B448" s="157" t="s">
        <v>677</v>
      </c>
      <c r="C448" s="117" t="str">
        <f t="shared" si="18"/>
        <v>Downey - Los Angeles</v>
      </c>
      <c r="D448" s="223">
        <f t="shared" si="19"/>
        <v>0.12533333333333332</v>
      </c>
      <c r="E448" s="224">
        <f t="shared" si="20"/>
        <v>0.01168</v>
      </c>
    </row>
    <row r="449" spans="1:5" ht="12.75">
      <c r="A449" s="158" t="s">
        <v>2023</v>
      </c>
      <c r="B449" s="157" t="s">
        <v>710</v>
      </c>
      <c r="C449" s="117" t="str">
        <f t="shared" si="18"/>
        <v>Downieville - Sierra</v>
      </c>
      <c r="D449" s="223">
        <f t="shared" si="19"/>
        <v>0.16016666666666665</v>
      </c>
      <c r="E449" s="224">
        <f t="shared" si="20"/>
        <v>0.010329999999999999</v>
      </c>
    </row>
    <row r="450" spans="1:5" ht="12.75">
      <c r="A450" s="158" t="s">
        <v>2024</v>
      </c>
      <c r="B450" s="157" t="s">
        <v>847</v>
      </c>
      <c r="C450" s="117" t="str">
        <f t="shared" si="18"/>
        <v>Doyle - Lassen</v>
      </c>
      <c r="D450" s="223">
        <f t="shared" si="19"/>
        <v>0.1388333333333333</v>
      </c>
      <c r="E450" s="224">
        <f t="shared" si="20"/>
        <v>0.01024</v>
      </c>
    </row>
    <row r="451" spans="1:5" ht="12.75">
      <c r="A451" s="158" t="s">
        <v>2025</v>
      </c>
      <c r="B451" s="157" t="s">
        <v>730</v>
      </c>
      <c r="C451" s="117" t="str">
        <f t="shared" si="18"/>
        <v>Drytown - Amador</v>
      </c>
      <c r="D451" s="223">
        <f t="shared" si="19"/>
        <v>0.13091666666666668</v>
      </c>
      <c r="E451" s="224">
        <f t="shared" si="20"/>
        <v>0.01015</v>
      </c>
    </row>
    <row r="452" spans="1:5" ht="12.75">
      <c r="A452" s="158" t="s">
        <v>2026</v>
      </c>
      <c r="B452" s="157" t="s">
        <v>677</v>
      </c>
      <c r="C452" s="117" t="str">
        <f t="shared" si="18"/>
        <v>Duarte - Los Angeles</v>
      </c>
      <c r="D452" s="223">
        <f t="shared" si="19"/>
        <v>0.12533333333333332</v>
      </c>
      <c r="E452" s="224">
        <f t="shared" si="20"/>
        <v>0.01168</v>
      </c>
    </row>
    <row r="453" spans="1:5" ht="12.75">
      <c r="A453" s="158" t="s">
        <v>2027</v>
      </c>
      <c r="B453" s="157" t="s">
        <v>697</v>
      </c>
      <c r="C453" s="117" t="str">
        <f t="shared" si="18"/>
        <v>Dublin - Alameda</v>
      </c>
      <c r="D453" s="223">
        <f t="shared" si="19"/>
        <v>0.10916666666666666</v>
      </c>
      <c r="E453" s="224">
        <f t="shared" si="20"/>
        <v>0.011890000000000001</v>
      </c>
    </row>
    <row r="454" spans="1:5" ht="12.75">
      <c r="A454" s="158" t="s">
        <v>2028</v>
      </c>
      <c r="B454" s="157" t="s">
        <v>718</v>
      </c>
      <c r="C454" s="117" t="str">
        <f t="shared" si="18"/>
        <v>Ducor - Tulare</v>
      </c>
      <c r="D454" s="223">
        <f t="shared" si="19"/>
        <v>0.16641666666666666</v>
      </c>
      <c r="E454" s="224">
        <f t="shared" si="20"/>
        <v>0.01088</v>
      </c>
    </row>
    <row r="455" spans="1:5" ht="12.75">
      <c r="A455" s="158" t="s">
        <v>2029</v>
      </c>
      <c r="B455" s="157" t="s">
        <v>689</v>
      </c>
      <c r="C455" s="117" t="str">
        <f aca="true" t="shared" si="21" ref="C455:C518">A455&amp;" - "&amp;B455</f>
        <v>Dulzura - San Diego</v>
      </c>
      <c r="D455" s="223">
        <f t="shared" si="19"/>
        <v>0.10283333333333333</v>
      </c>
      <c r="E455" s="224">
        <f t="shared" si="20"/>
        <v>0.01076</v>
      </c>
    </row>
    <row r="456" spans="1:5" ht="12.75">
      <c r="A456" s="158" t="s">
        <v>2030</v>
      </c>
      <c r="B456" s="157" t="s">
        <v>687</v>
      </c>
      <c r="C456" s="117" t="str">
        <f t="shared" si="21"/>
        <v>Duncans Mills - Sonoma</v>
      </c>
      <c r="D456" s="223">
        <f aca="true" t="shared" si="22" ref="D456:D519">VLOOKUP(B456,unemployment_rates,2,FALSE)</f>
        <v>0.10133333333333334</v>
      </c>
      <c r="E456" s="224">
        <f aca="true" t="shared" si="23" ref="E456:E519">VLOOKUP(B456,Prop_Tax_Rates,2,FALSE)</f>
        <v>0.01115</v>
      </c>
    </row>
    <row r="457" spans="1:5" ht="12.75">
      <c r="A457" s="158" t="s">
        <v>2031</v>
      </c>
      <c r="B457" s="157" t="s">
        <v>783</v>
      </c>
      <c r="C457" s="117" t="str">
        <f t="shared" si="21"/>
        <v>Dunlap - Fresno</v>
      </c>
      <c r="D457" s="223">
        <f t="shared" si="22"/>
        <v>0.1685</v>
      </c>
      <c r="E457" s="224">
        <f t="shared" si="23"/>
        <v>0.01165</v>
      </c>
    </row>
    <row r="458" spans="1:5" ht="12.75">
      <c r="A458" s="158" t="s">
        <v>2032</v>
      </c>
      <c r="B458" s="157" t="s">
        <v>906</v>
      </c>
      <c r="C458" s="117" t="str">
        <f t="shared" si="21"/>
        <v>Dunnigan - Yolo</v>
      </c>
      <c r="D458" s="223">
        <f t="shared" si="22"/>
        <v>0.13033333333333333</v>
      </c>
      <c r="E458" s="224">
        <f t="shared" si="23"/>
        <v>0.01054</v>
      </c>
    </row>
    <row r="459" spans="1:5" ht="12.75">
      <c r="A459" s="158" t="s">
        <v>2033</v>
      </c>
      <c r="B459" s="157" t="s">
        <v>1012</v>
      </c>
      <c r="C459" s="117" t="str">
        <f t="shared" si="21"/>
        <v>Dunsmuir - Siskiyou</v>
      </c>
      <c r="D459" s="223">
        <f t="shared" si="22"/>
        <v>0.17858333333333332</v>
      </c>
      <c r="E459" s="224">
        <f t="shared" si="23"/>
        <v>0.01038</v>
      </c>
    </row>
    <row r="460" spans="1:5" ht="12.75">
      <c r="A460" s="158" t="s">
        <v>2034</v>
      </c>
      <c r="B460" s="157" t="s">
        <v>803</v>
      </c>
      <c r="C460" s="117" t="str">
        <f t="shared" si="21"/>
        <v>Durham - Butte</v>
      </c>
      <c r="D460" s="223">
        <f t="shared" si="22"/>
        <v>0.13741666666666666</v>
      </c>
      <c r="E460" s="224">
        <f t="shared" si="23"/>
        <v>0.01064</v>
      </c>
    </row>
    <row r="461" spans="1:5" ht="12.75">
      <c r="A461" s="158" t="s">
        <v>2035</v>
      </c>
      <c r="B461" s="157" t="s">
        <v>721</v>
      </c>
      <c r="C461" s="117" t="str">
        <f t="shared" si="21"/>
        <v>Dutch Flat - Placer</v>
      </c>
      <c r="D461" s="223">
        <f t="shared" si="22"/>
        <v>0.11291666666666667</v>
      </c>
      <c r="E461" s="224">
        <f t="shared" si="23"/>
        <v>0.010629999999999999</v>
      </c>
    </row>
    <row r="462" spans="1:5" ht="12.75">
      <c r="A462" s="158" t="s">
        <v>2036</v>
      </c>
      <c r="B462" s="157" t="s">
        <v>692</v>
      </c>
      <c r="C462" s="117" t="str">
        <f t="shared" si="21"/>
        <v>Eagle Mountain - Riverside</v>
      </c>
      <c r="D462" s="223">
        <f t="shared" si="22"/>
        <v>0.144</v>
      </c>
      <c r="E462" s="224">
        <f t="shared" si="23"/>
        <v>0.01089</v>
      </c>
    </row>
    <row r="463" spans="1:5" ht="12.75">
      <c r="A463" s="158" t="s">
        <v>2037</v>
      </c>
      <c r="B463" s="157" t="s">
        <v>677</v>
      </c>
      <c r="C463" s="117" t="str">
        <f t="shared" si="21"/>
        <v>Eagle Rock  - Los Angeles</v>
      </c>
      <c r="D463" s="223">
        <f t="shared" si="22"/>
        <v>0.12533333333333332</v>
      </c>
      <c r="E463" s="224">
        <f t="shared" si="23"/>
        <v>0.01168</v>
      </c>
    </row>
    <row r="464" spans="1:5" ht="12.75">
      <c r="A464" s="158" t="s">
        <v>2038</v>
      </c>
      <c r="B464" s="157" t="s">
        <v>683</v>
      </c>
      <c r="C464" s="117" t="str">
        <f t="shared" si="21"/>
        <v>Eagleville - Modoc</v>
      </c>
      <c r="D464" s="223">
        <f t="shared" si="22"/>
        <v>0.14341666666666666</v>
      </c>
      <c r="E464" s="224">
        <f t="shared" si="23"/>
        <v>0.01</v>
      </c>
    </row>
    <row r="465" spans="1:5" ht="12.75">
      <c r="A465" s="158" t="s">
        <v>2039</v>
      </c>
      <c r="B465" s="157" t="s">
        <v>718</v>
      </c>
      <c r="C465" s="117" t="str">
        <f t="shared" si="21"/>
        <v>Earlimart - Tulare</v>
      </c>
      <c r="D465" s="223">
        <f t="shared" si="22"/>
        <v>0.16641666666666666</v>
      </c>
      <c r="E465" s="224">
        <f t="shared" si="23"/>
        <v>0.01088</v>
      </c>
    </row>
    <row r="466" spans="1:5" ht="12.75">
      <c r="A466" s="158" t="s">
        <v>2040</v>
      </c>
      <c r="B466" s="157" t="s">
        <v>681</v>
      </c>
      <c r="C466" s="117" t="str">
        <f t="shared" si="21"/>
        <v>Earp - San Bernardino</v>
      </c>
      <c r="D466" s="223">
        <f t="shared" si="22"/>
        <v>0.13891666666666666</v>
      </c>
      <c r="E466" s="224">
        <f t="shared" si="23"/>
        <v>0.01134</v>
      </c>
    </row>
    <row r="467" spans="1:5" ht="12.75">
      <c r="A467" s="158" t="s">
        <v>2041</v>
      </c>
      <c r="B467" s="157" t="s">
        <v>681</v>
      </c>
      <c r="C467" s="117" t="str">
        <f t="shared" si="21"/>
        <v>East Highlands  - San Bernardino</v>
      </c>
      <c r="D467" s="223">
        <f t="shared" si="22"/>
        <v>0.13891666666666666</v>
      </c>
      <c r="E467" s="224">
        <f t="shared" si="23"/>
        <v>0.01134</v>
      </c>
    </row>
    <row r="468" spans="1:5" ht="12.75">
      <c r="A468" s="158" t="s">
        <v>2042</v>
      </c>
      <c r="B468" s="157" t="s">
        <v>708</v>
      </c>
      <c r="C468" s="117" t="str">
        <f t="shared" si="21"/>
        <v>East Irvine - Orange</v>
      </c>
      <c r="D468" s="223">
        <f t="shared" si="22"/>
        <v>0.0915</v>
      </c>
      <c r="E468" s="224">
        <f t="shared" si="23"/>
        <v>0.01054</v>
      </c>
    </row>
    <row r="469" spans="1:5" ht="12.75">
      <c r="A469" s="158" t="s">
        <v>2043</v>
      </c>
      <c r="B469" s="157" t="s">
        <v>677</v>
      </c>
      <c r="C469" s="117" t="str">
        <f t="shared" si="21"/>
        <v>East Los Angeles - Los Angeles</v>
      </c>
      <c r="D469" s="223">
        <f t="shared" si="22"/>
        <v>0.12533333333333332</v>
      </c>
      <c r="E469" s="224">
        <f t="shared" si="23"/>
        <v>0.01168</v>
      </c>
    </row>
    <row r="470" spans="1:5" ht="12.75">
      <c r="A470" s="158" t="s">
        <v>2044</v>
      </c>
      <c r="B470" s="157" t="s">
        <v>677</v>
      </c>
      <c r="C470" s="117" t="str">
        <f t="shared" si="21"/>
        <v>East Lynwood - Los Angeles</v>
      </c>
      <c r="D470" s="223">
        <f t="shared" si="22"/>
        <v>0.12533333333333332</v>
      </c>
      <c r="E470" s="224">
        <f t="shared" si="23"/>
        <v>0.01168</v>
      </c>
    </row>
    <row r="471" spans="1:5" ht="12.75">
      <c r="A471" s="158" t="s">
        <v>2045</v>
      </c>
      <c r="B471" s="157" t="s">
        <v>2046</v>
      </c>
      <c r="C471" s="117" t="str">
        <f t="shared" si="21"/>
        <v>East Nicolaus - Sutter</v>
      </c>
      <c r="D471" s="223">
        <f t="shared" si="22"/>
        <v>0.19824999999999998</v>
      </c>
      <c r="E471" s="224">
        <f t="shared" si="23"/>
        <v>0.010700000000000001</v>
      </c>
    </row>
    <row r="472" spans="1:5" ht="12.75">
      <c r="A472" s="158" t="s">
        <v>2047</v>
      </c>
      <c r="B472" s="157" t="s">
        <v>778</v>
      </c>
      <c r="C472" s="117" t="str">
        <f t="shared" si="21"/>
        <v>East Palo Alto - San Mateo</v>
      </c>
      <c r="D472" s="223">
        <f t="shared" si="22"/>
        <v>0.08433333333333333</v>
      </c>
      <c r="E472" s="224">
        <f t="shared" si="23"/>
        <v>0.01085</v>
      </c>
    </row>
    <row r="473" spans="1:5" ht="12.75">
      <c r="A473" s="158" t="s">
        <v>2048</v>
      </c>
      <c r="B473" s="157" t="s">
        <v>718</v>
      </c>
      <c r="C473" s="117" t="str">
        <f t="shared" si="21"/>
        <v>East Porterville - Tulare</v>
      </c>
      <c r="D473" s="223">
        <f t="shared" si="22"/>
        <v>0.16641666666666666</v>
      </c>
      <c r="E473" s="224">
        <f t="shared" si="23"/>
        <v>0.01088</v>
      </c>
    </row>
    <row r="474" spans="1:5" ht="12.75">
      <c r="A474" s="158" t="s">
        <v>2049</v>
      </c>
      <c r="B474" s="157" t="s">
        <v>677</v>
      </c>
      <c r="C474" s="117" t="str">
        <f t="shared" si="21"/>
        <v>East Rancho Dominguez - Los Angeles</v>
      </c>
      <c r="D474" s="223">
        <f t="shared" si="22"/>
        <v>0.12533333333333332</v>
      </c>
      <c r="E474" s="224">
        <f t="shared" si="23"/>
        <v>0.01168</v>
      </c>
    </row>
    <row r="475" spans="1:5" ht="12.75">
      <c r="A475" s="158" t="s">
        <v>2050</v>
      </c>
      <c r="B475" s="157" t="s">
        <v>677</v>
      </c>
      <c r="C475" s="117" t="str">
        <f t="shared" si="21"/>
        <v>East San Pedro - Los Angeles</v>
      </c>
      <c r="D475" s="223">
        <f t="shared" si="22"/>
        <v>0.12533333333333332</v>
      </c>
      <c r="E475" s="224">
        <f t="shared" si="23"/>
        <v>0.01168</v>
      </c>
    </row>
    <row r="476" spans="1:5" ht="12.75">
      <c r="A476" s="158" t="s">
        <v>2051</v>
      </c>
      <c r="B476" s="157" t="s">
        <v>677</v>
      </c>
      <c r="C476" s="117" t="str">
        <f t="shared" si="21"/>
        <v>Eastgate - Los Angeles</v>
      </c>
      <c r="D476" s="223">
        <f t="shared" si="22"/>
        <v>0.12533333333333332</v>
      </c>
      <c r="E476" s="224">
        <f t="shared" si="23"/>
        <v>0.01168</v>
      </c>
    </row>
    <row r="477" spans="1:5" ht="12.75">
      <c r="A477" s="158" t="s">
        <v>2052</v>
      </c>
      <c r="B477" s="157" t="s">
        <v>783</v>
      </c>
      <c r="C477" s="117" t="str">
        <f t="shared" si="21"/>
        <v>Easton - Fresno</v>
      </c>
      <c r="D477" s="223">
        <f t="shared" si="22"/>
        <v>0.1685</v>
      </c>
      <c r="E477" s="224">
        <f t="shared" si="23"/>
        <v>0.01165</v>
      </c>
    </row>
    <row r="478" spans="1:5" ht="12.75">
      <c r="A478" s="158" t="s">
        <v>2053</v>
      </c>
      <c r="B478" s="157" t="s">
        <v>681</v>
      </c>
      <c r="C478" s="117" t="str">
        <f t="shared" si="21"/>
        <v>Eastside - San Bernardino</v>
      </c>
      <c r="D478" s="223">
        <f t="shared" si="22"/>
        <v>0.13891666666666666</v>
      </c>
      <c r="E478" s="224">
        <f t="shared" si="23"/>
        <v>0.01134</v>
      </c>
    </row>
    <row r="479" spans="1:5" ht="12.75">
      <c r="A479" s="158" t="s">
        <v>2054</v>
      </c>
      <c r="B479" s="157" t="s">
        <v>696</v>
      </c>
      <c r="C479" s="117" t="str">
        <f t="shared" si="21"/>
        <v>Echo Lake - El Dorado</v>
      </c>
      <c r="D479" s="223">
        <f t="shared" si="22"/>
        <v>0.12433333333333335</v>
      </c>
      <c r="E479" s="224">
        <f t="shared" si="23"/>
        <v>0.01055</v>
      </c>
    </row>
    <row r="480" spans="1:5" ht="12.75">
      <c r="A480" s="158" t="s">
        <v>2055</v>
      </c>
      <c r="B480" s="157" t="s">
        <v>677</v>
      </c>
      <c r="C480" s="117" t="str">
        <f t="shared" si="21"/>
        <v>Echo Park  - Los Angeles</v>
      </c>
      <c r="D480" s="223">
        <f t="shared" si="22"/>
        <v>0.12533333333333332</v>
      </c>
      <c r="E480" s="224">
        <f t="shared" si="23"/>
        <v>0.01168</v>
      </c>
    </row>
    <row r="481" spans="1:5" ht="12.75">
      <c r="A481" s="158" t="s">
        <v>2056</v>
      </c>
      <c r="B481" s="157" t="s">
        <v>692</v>
      </c>
      <c r="C481" s="117" t="str">
        <f t="shared" si="21"/>
        <v>Edgemont  - Riverside</v>
      </c>
      <c r="D481" s="223">
        <f t="shared" si="22"/>
        <v>0.144</v>
      </c>
      <c r="E481" s="224">
        <f t="shared" si="23"/>
        <v>0.01089</v>
      </c>
    </row>
    <row r="482" spans="1:5" ht="12.75">
      <c r="A482" s="158" t="s">
        <v>2057</v>
      </c>
      <c r="B482" s="157" t="s">
        <v>1012</v>
      </c>
      <c r="C482" s="117" t="str">
        <f t="shared" si="21"/>
        <v>Edgewood - Siskiyou</v>
      </c>
      <c r="D482" s="223">
        <f t="shared" si="22"/>
        <v>0.17858333333333332</v>
      </c>
      <c r="E482" s="224">
        <f t="shared" si="23"/>
        <v>0.01038</v>
      </c>
    </row>
    <row r="483" spans="1:5" ht="12.75">
      <c r="A483" s="158" t="s">
        <v>2058</v>
      </c>
      <c r="B483" s="157" t="s">
        <v>772</v>
      </c>
      <c r="C483" s="117" t="str">
        <f t="shared" si="21"/>
        <v>Edison - Kern</v>
      </c>
      <c r="D483" s="223">
        <f t="shared" si="22"/>
        <v>0.15741666666666668</v>
      </c>
      <c r="E483" s="224">
        <f t="shared" si="23"/>
        <v>0.01114</v>
      </c>
    </row>
    <row r="484" spans="1:5" ht="12.75">
      <c r="A484" s="158" t="s">
        <v>2059</v>
      </c>
      <c r="B484" s="157" t="s">
        <v>772</v>
      </c>
      <c r="C484" s="117" t="str">
        <f t="shared" si="21"/>
        <v>Edwards - Kern</v>
      </c>
      <c r="D484" s="223">
        <f t="shared" si="22"/>
        <v>0.15741666666666668</v>
      </c>
      <c r="E484" s="224">
        <f t="shared" si="23"/>
        <v>0.01114</v>
      </c>
    </row>
    <row r="485" spans="1:5" ht="12.75">
      <c r="A485" s="158" t="s">
        <v>2060</v>
      </c>
      <c r="B485" s="157" t="s">
        <v>772</v>
      </c>
      <c r="C485" s="117" t="str">
        <f t="shared" si="21"/>
        <v>Edwards A.F.B. - Kern</v>
      </c>
      <c r="D485" s="223">
        <f t="shared" si="22"/>
        <v>0.15741666666666668</v>
      </c>
      <c r="E485" s="224">
        <f t="shared" si="23"/>
        <v>0.01114</v>
      </c>
    </row>
    <row r="486" spans="1:5" ht="12.75">
      <c r="A486" s="158" t="s">
        <v>2061</v>
      </c>
      <c r="B486" s="157" t="s">
        <v>689</v>
      </c>
      <c r="C486" s="117" t="str">
        <f t="shared" si="21"/>
        <v>El Cajon - San Diego</v>
      </c>
      <c r="D486" s="223">
        <f t="shared" si="22"/>
        <v>0.10283333333333333</v>
      </c>
      <c r="E486" s="224">
        <f t="shared" si="23"/>
        <v>0.01076</v>
      </c>
    </row>
    <row r="487" spans="1:5" ht="12.75">
      <c r="A487" s="158" t="s">
        <v>2062</v>
      </c>
      <c r="B487" s="157" t="s">
        <v>807</v>
      </c>
      <c r="C487" s="117" t="str">
        <f t="shared" si="21"/>
        <v>El Centro - Imperial</v>
      </c>
      <c r="D487" s="223">
        <f t="shared" si="22"/>
        <v>0.29941666666666666</v>
      </c>
      <c r="E487" s="224">
        <f t="shared" si="23"/>
        <v>0.01052</v>
      </c>
    </row>
    <row r="488" spans="1:5" ht="12.75">
      <c r="A488" s="158" t="s">
        <v>2063</v>
      </c>
      <c r="B488" s="157" t="s">
        <v>699</v>
      </c>
      <c r="C488" s="117" t="str">
        <f t="shared" si="21"/>
        <v>El Cerrito - Contra Costa</v>
      </c>
      <c r="D488" s="223">
        <f t="shared" si="22"/>
        <v>0.10966666666666666</v>
      </c>
      <c r="E488" s="224">
        <f t="shared" si="23"/>
        <v>0.011080000000000001</v>
      </c>
    </row>
    <row r="489" spans="1:5" ht="12.75">
      <c r="A489" s="158" t="s">
        <v>696</v>
      </c>
      <c r="B489" s="157" t="s">
        <v>696</v>
      </c>
      <c r="C489" s="117" t="str">
        <f t="shared" si="21"/>
        <v>El Dorado - El Dorado</v>
      </c>
      <c r="D489" s="223">
        <f t="shared" si="22"/>
        <v>0.12433333333333335</v>
      </c>
      <c r="E489" s="224">
        <f t="shared" si="23"/>
        <v>0.01055</v>
      </c>
    </row>
    <row r="490" spans="1:5" ht="12.75">
      <c r="A490" s="158" t="s">
        <v>2064</v>
      </c>
      <c r="B490" s="157" t="s">
        <v>696</v>
      </c>
      <c r="C490" s="117" t="str">
        <f t="shared" si="21"/>
        <v>El Dorado Hills - El Dorado</v>
      </c>
      <c r="D490" s="223">
        <f t="shared" si="22"/>
        <v>0.12433333333333335</v>
      </c>
      <c r="E490" s="224">
        <f t="shared" si="23"/>
        <v>0.01055</v>
      </c>
    </row>
    <row r="491" spans="1:5" ht="12.75">
      <c r="A491" s="158" t="s">
        <v>2065</v>
      </c>
      <c r="B491" s="157" t="s">
        <v>778</v>
      </c>
      <c r="C491" s="117" t="str">
        <f t="shared" si="21"/>
        <v>El Granada - San Mateo</v>
      </c>
      <c r="D491" s="223">
        <f t="shared" si="22"/>
        <v>0.08433333333333333</v>
      </c>
      <c r="E491" s="224">
        <f t="shared" si="23"/>
        <v>0.01085</v>
      </c>
    </row>
    <row r="492" spans="1:5" ht="12.75">
      <c r="A492" s="158" t="s">
        <v>2066</v>
      </c>
      <c r="B492" s="157" t="s">
        <v>906</v>
      </c>
      <c r="C492" s="117" t="str">
        <f t="shared" si="21"/>
        <v>El Macero - Yolo</v>
      </c>
      <c r="D492" s="223">
        <f t="shared" si="22"/>
        <v>0.13033333333333333</v>
      </c>
      <c r="E492" s="224">
        <f t="shared" si="23"/>
        <v>0.01054</v>
      </c>
    </row>
    <row r="493" spans="1:5" ht="12.75">
      <c r="A493" s="158" t="s">
        <v>2067</v>
      </c>
      <c r="B493" s="157" t="s">
        <v>708</v>
      </c>
      <c r="C493" s="117" t="str">
        <f t="shared" si="21"/>
        <v>El Modena - Orange</v>
      </c>
      <c r="D493" s="223">
        <f t="shared" si="22"/>
        <v>0.0915</v>
      </c>
      <c r="E493" s="224">
        <f t="shared" si="23"/>
        <v>0.01054</v>
      </c>
    </row>
    <row r="494" spans="1:5" ht="12.75">
      <c r="A494" s="158" t="s">
        <v>2068</v>
      </c>
      <c r="B494" s="157" t="s">
        <v>677</v>
      </c>
      <c r="C494" s="117" t="str">
        <f t="shared" si="21"/>
        <v>El Monte - Los Angeles</v>
      </c>
      <c r="D494" s="223">
        <f t="shared" si="22"/>
        <v>0.12533333333333332</v>
      </c>
      <c r="E494" s="224">
        <f t="shared" si="23"/>
        <v>0.01168</v>
      </c>
    </row>
    <row r="495" spans="1:5" ht="12.75">
      <c r="A495" s="158" t="s">
        <v>2069</v>
      </c>
      <c r="B495" s="157" t="s">
        <v>780</v>
      </c>
      <c r="C495" s="117" t="str">
        <f t="shared" si="21"/>
        <v>El Nido - Merced</v>
      </c>
      <c r="D495" s="223">
        <f t="shared" si="22"/>
        <v>0.1885</v>
      </c>
      <c r="E495" s="224">
        <f t="shared" si="23"/>
        <v>0.01061</v>
      </c>
    </row>
    <row r="496" spans="1:5" ht="12.75">
      <c r="A496" s="158" t="s">
        <v>2070</v>
      </c>
      <c r="B496" s="157" t="s">
        <v>823</v>
      </c>
      <c r="C496" s="117" t="str">
        <f t="shared" si="21"/>
        <v>El Portal - Mariposa</v>
      </c>
      <c r="D496" s="223">
        <f t="shared" si="22"/>
        <v>0.12466666666666669</v>
      </c>
      <c r="E496" s="224">
        <f t="shared" si="23"/>
        <v>0.01005</v>
      </c>
    </row>
    <row r="497" spans="1:5" ht="12.75">
      <c r="A497" s="158" t="s">
        <v>2071</v>
      </c>
      <c r="B497" s="157" t="s">
        <v>677</v>
      </c>
      <c r="C497" s="117" t="str">
        <f t="shared" si="21"/>
        <v>El Segundo - Los Angeles</v>
      </c>
      <c r="D497" s="223">
        <f t="shared" si="22"/>
        <v>0.12533333333333332</v>
      </c>
      <c r="E497" s="224">
        <f t="shared" si="23"/>
        <v>0.01168</v>
      </c>
    </row>
    <row r="498" spans="1:5" ht="12.75">
      <c r="A498" s="158" t="s">
        <v>2072</v>
      </c>
      <c r="B498" s="157" t="s">
        <v>699</v>
      </c>
      <c r="C498" s="117" t="str">
        <f t="shared" si="21"/>
        <v>El Sobrante - Contra Costa</v>
      </c>
      <c r="D498" s="223">
        <f t="shared" si="22"/>
        <v>0.10966666666666666</v>
      </c>
      <c r="E498" s="224">
        <f t="shared" si="23"/>
        <v>0.011080000000000001</v>
      </c>
    </row>
    <row r="499" spans="1:5" ht="12.75">
      <c r="A499" s="158" t="s">
        <v>2073</v>
      </c>
      <c r="B499" s="157" t="s">
        <v>708</v>
      </c>
      <c r="C499" s="117" t="str">
        <f t="shared" si="21"/>
        <v>El Toro - Orange</v>
      </c>
      <c r="D499" s="223">
        <f t="shared" si="22"/>
        <v>0.0915</v>
      </c>
      <c r="E499" s="224">
        <f t="shared" si="23"/>
        <v>0.01054</v>
      </c>
    </row>
    <row r="500" spans="1:5" ht="12.75">
      <c r="A500" s="158" t="s">
        <v>2074</v>
      </c>
      <c r="B500" s="157" t="s">
        <v>708</v>
      </c>
      <c r="C500" s="117" t="str">
        <f t="shared" si="21"/>
        <v>El Toro M.C.A.S. - Orange</v>
      </c>
      <c r="D500" s="223">
        <f t="shared" si="22"/>
        <v>0.0915</v>
      </c>
      <c r="E500" s="224">
        <f t="shared" si="23"/>
        <v>0.01054</v>
      </c>
    </row>
    <row r="501" spans="1:5" ht="12.75">
      <c r="A501" s="158" t="s">
        <v>2075</v>
      </c>
      <c r="B501" s="157" t="s">
        <v>687</v>
      </c>
      <c r="C501" s="117" t="str">
        <f t="shared" si="21"/>
        <v>El Verano - Sonoma</v>
      </c>
      <c r="D501" s="223">
        <f t="shared" si="22"/>
        <v>0.10133333333333334</v>
      </c>
      <c r="E501" s="224">
        <f t="shared" si="23"/>
        <v>0.01115</v>
      </c>
    </row>
    <row r="502" spans="1:5" ht="12.75">
      <c r="A502" s="158" t="s">
        <v>2076</v>
      </c>
      <c r="B502" s="157" t="s">
        <v>1162</v>
      </c>
      <c r="C502" s="117" t="str">
        <f t="shared" si="21"/>
        <v>El Viejo - Stanislaus</v>
      </c>
      <c r="D502" s="223">
        <f t="shared" si="22"/>
        <v>0.1716666666666667</v>
      </c>
      <c r="E502" s="224">
        <f t="shared" si="23"/>
        <v>0.01093</v>
      </c>
    </row>
    <row r="503" spans="1:5" ht="12.75">
      <c r="A503" s="158" t="s">
        <v>2077</v>
      </c>
      <c r="B503" s="157" t="s">
        <v>687</v>
      </c>
      <c r="C503" s="117" t="str">
        <f t="shared" si="21"/>
        <v>Eldridge - Sonoma</v>
      </c>
      <c r="D503" s="223">
        <f t="shared" si="22"/>
        <v>0.10133333333333334</v>
      </c>
      <c r="E503" s="224">
        <f t="shared" si="23"/>
        <v>0.01115</v>
      </c>
    </row>
    <row r="504" spans="1:5" ht="12.75">
      <c r="A504" s="158" t="s">
        <v>2078</v>
      </c>
      <c r="B504" s="157" t="s">
        <v>677</v>
      </c>
      <c r="C504" s="117" t="str">
        <f t="shared" si="21"/>
        <v>Elizabeth Lake - Los Angeles</v>
      </c>
      <c r="D504" s="223">
        <f t="shared" si="22"/>
        <v>0.12533333333333332</v>
      </c>
      <c r="E504" s="224">
        <f t="shared" si="23"/>
        <v>0.01168</v>
      </c>
    </row>
    <row r="505" spans="1:5" ht="12.75">
      <c r="A505" s="158" t="s">
        <v>2079</v>
      </c>
      <c r="B505" s="157" t="s">
        <v>703</v>
      </c>
      <c r="C505" s="117" t="str">
        <f t="shared" si="21"/>
        <v>Elk - Mendocino</v>
      </c>
      <c r="D505" s="223">
        <f t="shared" si="22"/>
        <v>0.11325000000000002</v>
      </c>
      <c r="E505" s="224">
        <f t="shared" si="23"/>
        <v>0.01097</v>
      </c>
    </row>
    <row r="506" spans="1:5" ht="12.75">
      <c r="A506" s="158" t="s">
        <v>2080</v>
      </c>
      <c r="B506" s="157" t="s">
        <v>770</v>
      </c>
      <c r="C506" s="117" t="str">
        <f t="shared" si="21"/>
        <v>Elk Creek - Glenn</v>
      </c>
      <c r="D506" s="223">
        <f t="shared" si="22"/>
        <v>0.16558333333333333</v>
      </c>
      <c r="E506" s="224">
        <f t="shared" si="23"/>
        <v>0.0105</v>
      </c>
    </row>
    <row r="507" spans="1:5" ht="12.75">
      <c r="A507" s="158" t="s">
        <v>2081</v>
      </c>
      <c r="B507" s="157" t="s">
        <v>744</v>
      </c>
      <c r="C507" s="117" t="str">
        <f t="shared" si="21"/>
        <v>Elk Grove - Sacramento</v>
      </c>
      <c r="D507" s="223">
        <f t="shared" si="22"/>
        <v>0.12641666666666665</v>
      </c>
      <c r="E507" s="224">
        <f t="shared" si="23"/>
        <v>0.01087</v>
      </c>
    </row>
    <row r="508" spans="1:5" ht="12.75">
      <c r="A508" s="158" t="s">
        <v>2082</v>
      </c>
      <c r="B508" s="157" t="s">
        <v>837</v>
      </c>
      <c r="C508" s="117" t="str">
        <f t="shared" si="21"/>
        <v>Elmira - Solano</v>
      </c>
      <c r="D508" s="223">
        <f t="shared" si="22"/>
        <v>0.11916666666666666</v>
      </c>
      <c r="E508" s="224">
        <f t="shared" si="23"/>
        <v>0.01121</v>
      </c>
    </row>
    <row r="509" spans="1:5" ht="12.75">
      <c r="A509" s="158" t="s">
        <v>2083</v>
      </c>
      <c r="B509" s="157" t="s">
        <v>697</v>
      </c>
      <c r="C509" s="117" t="str">
        <f t="shared" si="21"/>
        <v>Elmwood - Alameda</v>
      </c>
      <c r="D509" s="223">
        <f t="shared" si="22"/>
        <v>0.10916666666666666</v>
      </c>
      <c r="E509" s="224">
        <f t="shared" si="23"/>
        <v>0.011890000000000001</v>
      </c>
    </row>
    <row r="510" spans="1:5" ht="12.75">
      <c r="A510" s="158" t="s">
        <v>2084</v>
      </c>
      <c r="B510" s="157" t="s">
        <v>744</v>
      </c>
      <c r="C510" s="117" t="str">
        <f t="shared" si="21"/>
        <v>Elverta - Sacramento</v>
      </c>
      <c r="D510" s="223">
        <f t="shared" si="22"/>
        <v>0.12641666666666665</v>
      </c>
      <c r="E510" s="224">
        <f t="shared" si="23"/>
        <v>0.01087</v>
      </c>
    </row>
    <row r="511" spans="1:5" ht="12.75">
      <c r="A511" s="158" t="s">
        <v>2085</v>
      </c>
      <c r="B511" s="157" t="s">
        <v>778</v>
      </c>
      <c r="C511" s="117" t="str">
        <f t="shared" si="21"/>
        <v>Emerald Hills - San Mateo</v>
      </c>
      <c r="D511" s="223">
        <f t="shared" si="22"/>
        <v>0.08433333333333333</v>
      </c>
      <c r="E511" s="224">
        <f t="shared" si="23"/>
        <v>0.01085</v>
      </c>
    </row>
    <row r="512" spans="1:5" ht="12.75">
      <c r="A512" s="158" t="s">
        <v>2086</v>
      </c>
      <c r="B512" s="157" t="s">
        <v>697</v>
      </c>
      <c r="C512" s="117" t="str">
        <f t="shared" si="21"/>
        <v>Emeryville - Alameda</v>
      </c>
      <c r="D512" s="223">
        <f t="shared" si="22"/>
        <v>0.10916666666666666</v>
      </c>
      <c r="E512" s="224">
        <f t="shared" si="23"/>
        <v>0.011890000000000001</v>
      </c>
    </row>
    <row r="513" spans="1:5" ht="12.75">
      <c r="A513" s="158" t="s">
        <v>2087</v>
      </c>
      <c r="B513" s="157" t="s">
        <v>721</v>
      </c>
      <c r="C513" s="117" t="str">
        <f t="shared" si="21"/>
        <v>Emigrant Gap - Placer</v>
      </c>
      <c r="D513" s="223">
        <f t="shared" si="22"/>
        <v>0.11291666666666667</v>
      </c>
      <c r="E513" s="224">
        <f t="shared" si="23"/>
        <v>0.010629999999999999</v>
      </c>
    </row>
    <row r="514" spans="1:5" ht="12.75">
      <c r="A514" s="158" t="s">
        <v>2088</v>
      </c>
      <c r="B514" s="157" t="s">
        <v>1162</v>
      </c>
      <c r="C514" s="117" t="str">
        <f t="shared" si="21"/>
        <v>Empire - Stanislaus</v>
      </c>
      <c r="D514" s="223">
        <f t="shared" si="22"/>
        <v>0.1716666666666667</v>
      </c>
      <c r="E514" s="224">
        <f t="shared" si="23"/>
        <v>0.01093</v>
      </c>
    </row>
    <row r="515" spans="1:5" ht="12.75">
      <c r="A515" s="158" t="s">
        <v>2089</v>
      </c>
      <c r="B515" s="157" t="s">
        <v>689</v>
      </c>
      <c r="C515" s="117" t="str">
        <f t="shared" si="21"/>
        <v>Encinitas - San Diego</v>
      </c>
      <c r="D515" s="223">
        <f t="shared" si="22"/>
        <v>0.10283333333333333</v>
      </c>
      <c r="E515" s="224">
        <f t="shared" si="23"/>
        <v>0.01076</v>
      </c>
    </row>
    <row r="516" spans="1:5" ht="12.75">
      <c r="A516" s="158" t="s">
        <v>2090</v>
      </c>
      <c r="B516" s="157" t="s">
        <v>677</v>
      </c>
      <c r="C516" s="117" t="str">
        <f t="shared" si="21"/>
        <v>Encino  - Los Angeles</v>
      </c>
      <c r="D516" s="223">
        <f t="shared" si="22"/>
        <v>0.12533333333333332</v>
      </c>
      <c r="E516" s="224">
        <f t="shared" si="23"/>
        <v>0.01168</v>
      </c>
    </row>
    <row r="517" spans="1:5" ht="12.75">
      <c r="A517" s="158" t="s">
        <v>2091</v>
      </c>
      <c r="B517" s="157" t="s">
        <v>738</v>
      </c>
      <c r="C517" s="117" t="str">
        <f t="shared" si="21"/>
        <v>Enterprise - Shasta</v>
      </c>
      <c r="D517" s="223">
        <f t="shared" si="22"/>
        <v>0.15616666666666668</v>
      </c>
      <c r="E517" s="224">
        <f t="shared" si="23"/>
        <v>0.01085</v>
      </c>
    </row>
    <row r="518" spans="1:5" ht="12.75">
      <c r="A518" s="158" t="s">
        <v>2092</v>
      </c>
      <c r="B518" s="157" t="s">
        <v>675</v>
      </c>
      <c r="C518" s="117" t="str">
        <f t="shared" si="21"/>
        <v>Escalon - San Joaquin</v>
      </c>
      <c r="D518" s="223">
        <f t="shared" si="22"/>
        <v>0.17300000000000001</v>
      </c>
      <c r="E518" s="224">
        <f t="shared" si="23"/>
        <v>0.01113</v>
      </c>
    </row>
    <row r="519" spans="1:5" ht="12.75">
      <c r="A519" s="158" t="s">
        <v>2093</v>
      </c>
      <c r="B519" s="157" t="s">
        <v>689</v>
      </c>
      <c r="C519" s="117" t="str">
        <f aca="true" t="shared" si="24" ref="C519:C582">A519&amp;" - "&amp;B519</f>
        <v>Escondido - San Diego</v>
      </c>
      <c r="D519" s="223">
        <f t="shared" si="22"/>
        <v>0.10283333333333333</v>
      </c>
      <c r="E519" s="224">
        <f t="shared" si="23"/>
        <v>0.01076</v>
      </c>
    </row>
    <row r="520" spans="1:5" ht="12.75">
      <c r="A520" s="158" t="s">
        <v>2094</v>
      </c>
      <c r="B520" s="157" t="s">
        <v>906</v>
      </c>
      <c r="C520" s="117" t="str">
        <f t="shared" si="24"/>
        <v>Esparto - Yolo</v>
      </c>
      <c r="D520" s="223">
        <f aca="true" t="shared" si="25" ref="D520:D583">VLOOKUP(B520,unemployment_rates,2,FALSE)</f>
        <v>0.13033333333333333</v>
      </c>
      <c r="E520" s="224">
        <f aca="true" t="shared" si="26" ref="E520:E583">VLOOKUP(B520,Prop_Tax_Rates,2,FALSE)</f>
        <v>0.01054</v>
      </c>
    </row>
    <row r="521" spans="1:5" ht="12.75">
      <c r="A521" s="158" t="s">
        <v>2095</v>
      </c>
      <c r="B521" s="157" t="s">
        <v>681</v>
      </c>
      <c r="C521" s="117" t="str">
        <f t="shared" si="24"/>
        <v>Essex - San Bernardino</v>
      </c>
      <c r="D521" s="223">
        <f t="shared" si="25"/>
        <v>0.13891666666666666</v>
      </c>
      <c r="E521" s="224">
        <f t="shared" si="26"/>
        <v>0.01134</v>
      </c>
    </row>
    <row r="522" spans="1:5" ht="12.75">
      <c r="A522" s="158" t="s">
        <v>2096</v>
      </c>
      <c r="B522" s="157" t="s">
        <v>681</v>
      </c>
      <c r="C522" s="117" t="str">
        <f t="shared" si="24"/>
        <v>Etiwanda  - San Bernardino</v>
      </c>
      <c r="D522" s="223">
        <f t="shared" si="25"/>
        <v>0.13891666666666666</v>
      </c>
      <c r="E522" s="224">
        <f t="shared" si="26"/>
        <v>0.01134</v>
      </c>
    </row>
    <row r="523" spans="1:5" ht="12.75">
      <c r="A523" s="158" t="s">
        <v>2097</v>
      </c>
      <c r="B523" s="157" t="s">
        <v>1012</v>
      </c>
      <c r="C523" s="117" t="str">
        <f t="shared" si="24"/>
        <v>Etna - Siskiyou</v>
      </c>
      <c r="D523" s="223">
        <f t="shared" si="25"/>
        <v>0.17858333333333332</v>
      </c>
      <c r="E523" s="224">
        <f t="shared" si="26"/>
        <v>0.01038</v>
      </c>
    </row>
    <row r="524" spans="1:5" ht="12.75">
      <c r="A524" s="158" t="s">
        <v>2098</v>
      </c>
      <c r="B524" s="157" t="s">
        <v>705</v>
      </c>
      <c r="C524" s="117" t="str">
        <f t="shared" si="24"/>
        <v>Ettersburg - Humboldt</v>
      </c>
      <c r="D524" s="223">
        <f t="shared" si="25"/>
        <v>0.11391666666666665</v>
      </c>
      <c r="E524" s="224">
        <f t="shared" si="26"/>
        <v>0.01055</v>
      </c>
    </row>
    <row r="525" spans="1:5" ht="12.75">
      <c r="A525" s="158" t="s">
        <v>2099</v>
      </c>
      <c r="B525" s="157" t="s">
        <v>705</v>
      </c>
      <c r="C525" s="117" t="str">
        <f t="shared" si="24"/>
        <v>Eureka - Humboldt</v>
      </c>
      <c r="D525" s="223">
        <f t="shared" si="25"/>
        <v>0.11391666666666665</v>
      </c>
      <c r="E525" s="224">
        <f t="shared" si="26"/>
        <v>0.01055</v>
      </c>
    </row>
    <row r="526" spans="1:5" ht="12.75">
      <c r="A526" s="158" t="s">
        <v>2100</v>
      </c>
      <c r="B526" s="157" t="s">
        <v>718</v>
      </c>
      <c r="C526" s="117" t="str">
        <f t="shared" si="24"/>
        <v>Exeter - Tulare</v>
      </c>
      <c r="D526" s="223">
        <f t="shared" si="25"/>
        <v>0.16641666666666666</v>
      </c>
      <c r="E526" s="224">
        <f t="shared" si="26"/>
        <v>0.01088</v>
      </c>
    </row>
    <row r="527" spans="1:5" ht="12.75">
      <c r="A527" s="158" t="s">
        <v>2101</v>
      </c>
      <c r="B527" s="157" t="s">
        <v>744</v>
      </c>
      <c r="C527" s="117" t="str">
        <f t="shared" si="24"/>
        <v>Fair Oaks  - Sacramento</v>
      </c>
      <c r="D527" s="223">
        <f t="shared" si="25"/>
        <v>0.12641666666666665</v>
      </c>
      <c r="E527" s="224">
        <f t="shared" si="26"/>
        <v>0.01087</v>
      </c>
    </row>
    <row r="528" spans="1:5" ht="12.75">
      <c r="A528" s="158" t="s">
        <v>2102</v>
      </c>
      <c r="B528" s="157" t="s">
        <v>834</v>
      </c>
      <c r="C528" s="117" t="str">
        <f t="shared" si="24"/>
        <v>Fairfax - Marin</v>
      </c>
      <c r="D528" s="223">
        <f t="shared" si="25"/>
        <v>0.08033333333333333</v>
      </c>
      <c r="E528" s="224">
        <f t="shared" si="26"/>
        <v>0.01105</v>
      </c>
    </row>
    <row r="529" spans="1:5" ht="12.75">
      <c r="A529" s="158" t="s">
        <v>2103</v>
      </c>
      <c r="B529" s="157" t="s">
        <v>837</v>
      </c>
      <c r="C529" s="117" t="str">
        <f t="shared" si="24"/>
        <v>Fairfield - Solano</v>
      </c>
      <c r="D529" s="223">
        <f t="shared" si="25"/>
        <v>0.11916666666666666</v>
      </c>
      <c r="E529" s="224">
        <f t="shared" si="26"/>
        <v>0.01121</v>
      </c>
    </row>
    <row r="530" spans="1:5" ht="12.75">
      <c r="A530" s="158" t="s">
        <v>2104</v>
      </c>
      <c r="B530" s="157" t="s">
        <v>699</v>
      </c>
      <c r="C530" s="117" t="str">
        <f t="shared" si="24"/>
        <v>Fairmount - Contra Costa</v>
      </c>
      <c r="D530" s="223">
        <f t="shared" si="25"/>
        <v>0.10966666666666666</v>
      </c>
      <c r="E530" s="224">
        <f t="shared" si="26"/>
        <v>0.011080000000000001</v>
      </c>
    </row>
    <row r="531" spans="1:5" ht="12.75">
      <c r="A531" s="158" t="s">
        <v>2105</v>
      </c>
      <c r="B531" s="157" t="s">
        <v>738</v>
      </c>
      <c r="C531" s="117" t="str">
        <f t="shared" si="24"/>
        <v>Fall River Mills - Shasta</v>
      </c>
      <c r="D531" s="223">
        <f t="shared" si="25"/>
        <v>0.15616666666666668</v>
      </c>
      <c r="E531" s="224">
        <f t="shared" si="26"/>
        <v>0.01085</v>
      </c>
    </row>
    <row r="532" spans="1:5" ht="12.75">
      <c r="A532" s="158" t="s">
        <v>2106</v>
      </c>
      <c r="B532" s="157" t="s">
        <v>689</v>
      </c>
      <c r="C532" s="117" t="str">
        <f t="shared" si="24"/>
        <v>Fallbrook  - San Diego</v>
      </c>
      <c r="D532" s="223">
        <f t="shared" si="25"/>
        <v>0.10283333333333333</v>
      </c>
      <c r="E532" s="224">
        <f t="shared" si="26"/>
        <v>0.01076</v>
      </c>
    </row>
    <row r="533" spans="1:5" ht="12.75">
      <c r="A533" s="158" t="s">
        <v>2107</v>
      </c>
      <c r="B533" s="157" t="s">
        <v>689</v>
      </c>
      <c r="C533" s="117" t="str">
        <f t="shared" si="24"/>
        <v>Fallbrook Junction - San Diego</v>
      </c>
      <c r="D533" s="223">
        <f t="shared" si="25"/>
        <v>0.10283333333333333</v>
      </c>
      <c r="E533" s="224">
        <f t="shared" si="26"/>
        <v>0.01076</v>
      </c>
    </row>
    <row r="534" spans="1:5" ht="12.75">
      <c r="A534" s="158" t="s">
        <v>2108</v>
      </c>
      <c r="B534" s="157" t="s">
        <v>696</v>
      </c>
      <c r="C534" s="117" t="str">
        <f t="shared" si="24"/>
        <v>Fallen Leaf - El Dorado</v>
      </c>
      <c r="D534" s="223">
        <f t="shared" si="25"/>
        <v>0.12433333333333335</v>
      </c>
      <c r="E534" s="224">
        <f t="shared" si="26"/>
        <v>0.01055</v>
      </c>
    </row>
    <row r="535" spans="1:5" ht="12.75">
      <c r="A535" s="158" t="s">
        <v>2109</v>
      </c>
      <c r="B535" s="157" t="s">
        <v>834</v>
      </c>
      <c r="C535" s="117" t="str">
        <f t="shared" si="24"/>
        <v>Fallon - Marin</v>
      </c>
      <c r="D535" s="223">
        <f t="shared" si="25"/>
        <v>0.08033333333333333</v>
      </c>
      <c r="E535" s="224">
        <f t="shared" si="26"/>
        <v>0.01105</v>
      </c>
    </row>
    <row r="536" spans="1:5" ht="12.75">
      <c r="A536" s="158" t="s">
        <v>2110</v>
      </c>
      <c r="B536" s="157" t="s">
        <v>783</v>
      </c>
      <c r="C536" s="117" t="str">
        <f t="shared" si="24"/>
        <v>Fancher - Fresno</v>
      </c>
      <c r="D536" s="223">
        <f t="shared" si="25"/>
        <v>0.1685</v>
      </c>
      <c r="E536" s="224">
        <f t="shared" si="26"/>
        <v>0.01165</v>
      </c>
    </row>
    <row r="537" spans="1:5" ht="12.75">
      <c r="A537" s="158" t="s">
        <v>2111</v>
      </c>
      <c r="B537" s="157" t="s">
        <v>718</v>
      </c>
      <c r="C537" s="117" t="str">
        <f t="shared" si="24"/>
        <v>Farmersville - Tulare</v>
      </c>
      <c r="D537" s="223">
        <f t="shared" si="25"/>
        <v>0.16641666666666666</v>
      </c>
      <c r="E537" s="224">
        <f t="shared" si="26"/>
        <v>0.01088</v>
      </c>
    </row>
    <row r="538" spans="1:5" ht="12.75">
      <c r="A538" s="158" t="s">
        <v>2112</v>
      </c>
      <c r="B538" s="157" t="s">
        <v>675</v>
      </c>
      <c r="C538" s="117" t="str">
        <f t="shared" si="24"/>
        <v>Farmington - San Joaquin</v>
      </c>
      <c r="D538" s="223">
        <f t="shared" si="25"/>
        <v>0.17300000000000001</v>
      </c>
      <c r="E538" s="224">
        <f t="shared" si="26"/>
        <v>0.01113</v>
      </c>
    </row>
    <row r="539" spans="1:5" ht="12.75">
      <c r="A539" s="158" t="s">
        <v>2113</v>
      </c>
      <c r="B539" s="157" t="s">
        <v>681</v>
      </c>
      <c r="C539" s="117" t="str">
        <f t="shared" si="24"/>
        <v>Fawnskin - San Bernardino</v>
      </c>
      <c r="D539" s="223">
        <f t="shared" si="25"/>
        <v>0.13891666666666666</v>
      </c>
      <c r="E539" s="224">
        <f t="shared" si="26"/>
        <v>0.01134</v>
      </c>
    </row>
    <row r="540" spans="1:5" ht="12.75">
      <c r="A540" s="158" t="s">
        <v>2114</v>
      </c>
      <c r="B540" s="157" t="s">
        <v>803</v>
      </c>
      <c r="C540" s="117" t="str">
        <f t="shared" si="24"/>
        <v>Feather Falls - Butte</v>
      </c>
      <c r="D540" s="223">
        <f t="shared" si="25"/>
        <v>0.13741666666666666</v>
      </c>
      <c r="E540" s="224">
        <f t="shared" si="26"/>
        <v>0.01064</v>
      </c>
    </row>
    <row r="541" spans="1:5" ht="12.75">
      <c r="A541" s="158" t="s">
        <v>2115</v>
      </c>
      <c r="B541" s="157" t="s">
        <v>772</v>
      </c>
      <c r="C541" s="117" t="str">
        <f t="shared" si="24"/>
        <v>Fellows - Kern</v>
      </c>
      <c r="D541" s="223">
        <f t="shared" si="25"/>
        <v>0.15741666666666668</v>
      </c>
      <c r="E541" s="224">
        <f t="shared" si="26"/>
        <v>0.01114</v>
      </c>
    </row>
    <row r="542" spans="1:5" ht="12.75">
      <c r="A542" s="158" t="s">
        <v>2116</v>
      </c>
      <c r="B542" s="157" t="s">
        <v>751</v>
      </c>
      <c r="C542" s="117" t="str">
        <f t="shared" si="24"/>
        <v>Felton - Santa Cruz</v>
      </c>
      <c r="D542" s="223">
        <f t="shared" si="25"/>
        <v>0.12516666666666665</v>
      </c>
      <c r="E542" s="224">
        <f t="shared" si="26"/>
        <v>0.01093</v>
      </c>
    </row>
    <row r="543" spans="1:5" ht="12.75">
      <c r="A543" s="158" t="s">
        <v>2117</v>
      </c>
      <c r="B543" s="157" t="s">
        <v>681</v>
      </c>
      <c r="C543" s="117" t="str">
        <f t="shared" si="24"/>
        <v>Fenner - San Bernardino</v>
      </c>
      <c r="D543" s="223">
        <f t="shared" si="25"/>
        <v>0.13891666666666666</v>
      </c>
      <c r="E543" s="224">
        <f t="shared" si="26"/>
        <v>0.01134</v>
      </c>
    </row>
    <row r="544" spans="1:5" ht="12.75">
      <c r="A544" s="158" t="s">
        <v>2118</v>
      </c>
      <c r="B544" s="157" t="s">
        <v>705</v>
      </c>
      <c r="C544" s="117" t="str">
        <f t="shared" si="24"/>
        <v>Fernbridge  - Humboldt</v>
      </c>
      <c r="D544" s="223">
        <f t="shared" si="25"/>
        <v>0.11391666666666665</v>
      </c>
      <c r="E544" s="224">
        <f t="shared" si="26"/>
        <v>0.01055</v>
      </c>
    </row>
    <row r="545" spans="1:5" ht="12.75">
      <c r="A545" s="158" t="s">
        <v>2119</v>
      </c>
      <c r="B545" s="157" t="s">
        <v>705</v>
      </c>
      <c r="C545" s="117" t="str">
        <f t="shared" si="24"/>
        <v>Ferndale - Humboldt</v>
      </c>
      <c r="D545" s="223">
        <f t="shared" si="25"/>
        <v>0.11391666666666665</v>
      </c>
      <c r="E545" s="224">
        <f t="shared" si="26"/>
        <v>0.01055</v>
      </c>
    </row>
    <row r="546" spans="1:5" ht="12.75">
      <c r="A546" s="158" t="s">
        <v>2120</v>
      </c>
      <c r="B546" s="157" t="s">
        <v>730</v>
      </c>
      <c r="C546" s="117" t="str">
        <f t="shared" si="24"/>
        <v>Fiddletown - Amador</v>
      </c>
      <c r="D546" s="223">
        <f t="shared" si="25"/>
        <v>0.13091666666666668</v>
      </c>
      <c r="E546" s="224">
        <f t="shared" si="26"/>
        <v>0.01015</v>
      </c>
    </row>
    <row r="547" spans="1:5" ht="12.75">
      <c r="A547" s="158" t="s">
        <v>2121</v>
      </c>
      <c r="B547" s="157" t="s">
        <v>705</v>
      </c>
      <c r="C547" s="117" t="str">
        <f t="shared" si="24"/>
        <v>Fields Landing - Humboldt</v>
      </c>
      <c r="D547" s="223">
        <f t="shared" si="25"/>
        <v>0.11391666666666665</v>
      </c>
      <c r="E547" s="224">
        <f t="shared" si="26"/>
        <v>0.01055</v>
      </c>
    </row>
    <row r="548" spans="1:5" ht="12.75">
      <c r="A548" s="158" t="s">
        <v>2122</v>
      </c>
      <c r="B548" s="157" t="s">
        <v>783</v>
      </c>
      <c r="C548" s="117" t="str">
        <f t="shared" si="24"/>
        <v>Fig Garden Village - Fresno</v>
      </c>
      <c r="D548" s="223">
        <f t="shared" si="25"/>
        <v>0.1685</v>
      </c>
      <c r="E548" s="224">
        <f t="shared" si="26"/>
        <v>0.01165</v>
      </c>
    </row>
    <row r="549" spans="1:5" ht="12.75">
      <c r="A549" s="158" t="s">
        <v>2123</v>
      </c>
      <c r="B549" s="157" t="s">
        <v>1017</v>
      </c>
      <c r="C549" s="117" t="str">
        <f t="shared" si="24"/>
        <v>Fillmore - Ventura</v>
      </c>
      <c r="D549" s="223">
        <f t="shared" si="25"/>
        <v>0.10525000000000001</v>
      </c>
      <c r="E549" s="224">
        <f t="shared" si="26"/>
        <v>0.010820000000000001</v>
      </c>
    </row>
    <row r="550" spans="1:5" ht="12.75">
      <c r="A550" s="158" t="s">
        <v>2124</v>
      </c>
      <c r="B550" s="157" t="s">
        <v>102</v>
      </c>
      <c r="C550" s="117" t="str">
        <f t="shared" si="24"/>
        <v>Finley - Lake</v>
      </c>
      <c r="D550" s="223">
        <f t="shared" si="25"/>
        <v>0.18208333333333332</v>
      </c>
      <c r="E550" s="224">
        <f t="shared" si="26"/>
        <v>0.01068</v>
      </c>
    </row>
    <row r="551" spans="1:5" ht="12.75">
      <c r="A551" s="158" t="s">
        <v>2125</v>
      </c>
      <c r="B551" s="157" t="s">
        <v>783</v>
      </c>
      <c r="C551" s="117" t="str">
        <f t="shared" si="24"/>
        <v>Firebaugh - Fresno</v>
      </c>
      <c r="D551" s="223">
        <f t="shared" si="25"/>
        <v>0.1685</v>
      </c>
      <c r="E551" s="224">
        <f t="shared" si="26"/>
        <v>0.01165</v>
      </c>
    </row>
    <row r="552" spans="1:5" ht="12.75">
      <c r="A552" s="158" t="s">
        <v>2126</v>
      </c>
      <c r="B552" s="157" t="s">
        <v>823</v>
      </c>
      <c r="C552" s="117" t="str">
        <f t="shared" si="24"/>
        <v>Fish Camp - Mariposa</v>
      </c>
      <c r="D552" s="223">
        <f t="shared" si="25"/>
        <v>0.12466666666666669</v>
      </c>
      <c r="E552" s="224">
        <f t="shared" si="26"/>
        <v>0.01005</v>
      </c>
    </row>
    <row r="553" spans="1:5" ht="12.75">
      <c r="A553" s="158" t="s">
        <v>2127</v>
      </c>
      <c r="B553" s="157" t="s">
        <v>783</v>
      </c>
      <c r="C553" s="117" t="str">
        <f t="shared" si="24"/>
        <v>Five Points - Fresno</v>
      </c>
      <c r="D553" s="223">
        <f t="shared" si="25"/>
        <v>0.1685</v>
      </c>
      <c r="E553" s="224">
        <f t="shared" si="26"/>
        <v>0.01165</v>
      </c>
    </row>
    <row r="554" spans="1:5" ht="12.75">
      <c r="A554" s="158" t="s">
        <v>2128</v>
      </c>
      <c r="B554" s="157" t="s">
        <v>689</v>
      </c>
      <c r="C554" s="117" t="str">
        <f t="shared" si="24"/>
        <v>Flinn Springs - San Diego</v>
      </c>
      <c r="D554" s="223">
        <f t="shared" si="25"/>
        <v>0.10283333333333333</v>
      </c>
      <c r="E554" s="224">
        <f t="shared" si="26"/>
        <v>0.01076</v>
      </c>
    </row>
    <row r="555" spans="1:5" ht="12.75">
      <c r="A555" s="158" t="s">
        <v>2129</v>
      </c>
      <c r="B555" s="157" t="s">
        <v>677</v>
      </c>
      <c r="C555" s="117" t="str">
        <f t="shared" si="24"/>
        <v>Flintridge  - Los Angeles</v>
      </c>
      <c r="D555" s="223">
        <f t="shared" si="25"/>
        <v>0.12533333333333332</v>
      </c>
      <c r="E555" s="224">
        <f t="shared" si="26"/>
        <v>0.01168</v>
      </c>
    </row>
    <row r="556" spans="1:5" ht="12.75">
      <c r="A556" s="158" t="s">
        <v>2130</v>
      </c>
      <c r="B556" s="157" t="s">
        <v>677</v>
      </c>
      <c r="C556" s="117" t="str">
        <f t="shared" si="24"/>
        <v>Florence - Los Angeles</v>
      </c>
      <c r="D556" s="223">
        <f t="shared" si="25"/>
        <v>0.12533333333333332</v>
      </c>
      <c r="E556" s="224">
        <f t="shared" si="26"/>
        <v>0.01168</v>
      </c>
    </row>
    <row r="557" spans="1:5" ht="12.75">
      <c r="A557" s="158" t="s">
        <v>2131</v>
      </c>
      <c r="B557" s="157" t="s">
        <v>1156</v>
      </c>
      <c r="C557" s="117" t="str">
        <f t="shared" si="24"/>
        <v>Floriston - Nevada</v>
      </c>
      <c r="D557" s="223">
        <f t="shared" si="25"/>
        <v>0.11266666666666668</v>
      </c>
      <c r="E557" s="224">
        <f t="shared" si="26"/>
        <v>0.010329999999999999</v>
      </c>
    </row>
    <row r="558" spans="1:5" ht="12.75">
      <c r="A558" s="158" t="s">
        <v>2132</v>
      </c>
      <c r="B558" s="157" t="s">
        <v>1934</v>
      </c>
      <c r="C558" s="117" t="str">
        <f t="shared" si="24"/>
        <v>Flournoy - Tehama</v>
      </c>
      <c r="D558" s="223">
        <f t="shared" si="25"/>
        <v>0.15649999999999997</v>
      </c>
      <c r="E558" s="224">
        <f t="shared" si="26"/>
        <v>0.01022</v>
      </c>
    </row>
    <row r="559" spans="1:5" ht="12.75">
      <c r="A559" s="158" t="s">
        <v>2133</v>
      </c>
      <c r="B559" s="157" t="s">
        <v>744</v>
      </c>
      <c r="C559" s="117" t="str">
        <f t="shared" si="24"/>
        <v>Folsom - Sacramento</v>
      </c>
      <c r="D559" s="223">
        <f t="shared" si="25"/>
        <v>0.12641666666666665</v>
      </c>
      <c r="E559" s="224">
        <f t="shared" si="26"/>
        <v>0.01087</v>
      </c>
    </row>
    <row r="560" spans="1:5" ht="12.75">
      <c r="A560" s="158" t="s">
        <v>2134</v>
      </c>
      <c r="B560" s="157" t="s">
        <v>681</v>
      </c>
      <c r="C560" s="117" t="str">
        <f t="shared" si="24"/>
        <v>Fontana - San Bernardino</v>
      </c>
      <c r="D560" s="223">
        <f t="shared" si="25"/>
        <v>0.13891666666666666</v>
      </c>
      <c r="E560" s="224">
        <f t="shared" si="26"/>
        <v>0.01134</v>
      </c>
    </row>
    <row r="561" spans="1:5" ht="12.75">
      <c r="A561" s="158" t="s">
        <v>2135</v>
      </c>
      <c r="B561" s="157" t="s">
        <v>708</v>
      </c>
      <c r="C561" s="117" t="str">
        <f t="shared" si="24"/>
        <v>Foothill Ranch - Orange</v>
      </c>
      <c r="D561" s="223">
        <f t="shared" si="25"/>
        <v>0.0915</v>
      </c>
      <c r="E561" s="224">
        <f t="shared" si="26"/>
        <v>0.01054</v>
      </c>
    </row>
    <row r="562" spans="1:5" ht="12.75">
      <c r="A562" s="158" t="s">
        <v>2136</v>
      </c>
      <c r="B562" s="157" t="s">
        <v>803</v>
      </c>
      <c r="C562" s="117" t="str">
        <f t="shared" si="24"/>
        <v>Forbestown - Butte</v>
      </c>
      <c r="D562" s="223">
        <f t="shared" si="25"/>
        <v>0.13741666666666666</v>
      </c>
      <c r="E562" s="224">
        <f t="shared" si="26"/>
        <v>0.01064</v>
      </c>
    </row>
    <row r="563" spans="1:5" ht="12.75">
      <c r="A563" s="158" t="s">
        <v>2137</v>
      </c>
      <c r="B563" s="157" t="s">
        <v>681</v>
      </c>
      <c r="C563" s="117" t="str">
        <f t="shared" si="24"/>
        <v>Forest Falls - San Bernardino</v>
      </c>
      <c r="D563" s="223">
        <f t="shared" si="25"/>
        <v>0.13891666666666666</v>
      </c>
      <c r="E563" s="224">
        <f t="shared" si="26"/>
        <v>0.01134</v>
      </c>
    </row>
    <row r="564" spans="1:5" ht="12.75">
      <c r="A564" s="158" t="s">
        <v>2138</v>
      </c>
      <c r="B564" s="157" t="s">
        <v>849</v>
      </c>
      <c r="C564" s="117" t="str">
        <f t="shared" si="24"/>
        <v>Forest Glen - Trinity</v>
      </c>
      <c r="D564" s="223">
        <f t="shared" si="25"/>
        <v>0.18466666666666667</v>
      </c>
      <c r="E564" s="224">
        <f t="shared" si="26"/>
        <v>0.010129999999999998</v>
      </c>
    </row>
    <row r="565" spans="1:5" ht="12.75">
      <c r="A565" s="158" t="s">
        <v>2139</v>
      </c>
      <c r="B565" s="157" t="s">
        <v>834</v>
      </c>
      <c r="C565" s="117" t="str">
        <f t="shared" si="24"/>
        <v>Forest Knolls - Marin</v>
      </c>
      <c r="D565" s="223">
        <f t="shared" si="25"/>
        <v>0.08033333333333333</v>
      </c>
      <c r="E565" s="224">
        <f t="shared" si="26"/>
        <v>0.01105</v>
      </c>
    </row>
    <row r="566" spans="1:5" ht="12.75">
      <c r="A566" s="158" t="s">
        <v>2140</v>
      </c>
      <c r="B566" s="157" t="s">
        <v>677</v>
      </c>
      <c r="C566" s="117" t="str">
        <f t="shared" si="24"/>
        <v>Forest Park - Los Angeles</v>
      </c>
      <c r="D566" s="223">
        <f t="shared" si="25"/>
        <v>0.12533333333333332</v>
      </c>
      <c r="E566" s="224">
        <f t="shared" si="26"/>
        <v>0.01168</v>
      </c>
    </row>
    <row r="567" spans="1:5" ht="12.75">
      <c r="A567" s="158" t="s">
        <v>2141</v>
      </c>
      <c r="B567" s="157" t="s">
        <v>803</v>
      </c>
      <c r="C567" s="117" t="str">
        <f t="shared" si="24"/>
        <v>Forest Ranch - Butte</v>
      </c>
      <c r="D567" s="223">
        <f t="shared" si="25"/>
        <v>0.13741666666666666</v>
      </c>
      <c r="E567" s="224">
        <f t="shared" si="26"/>
        <v>0.01064</v>
      </c>
    </row>
    <row r="568" spans="1:5" ht="12.75">
      <c r="A568" s="158" t="s">
        <v>2142</v>
      </c>
      <c r="B568" s="157" t="s">
        <v>721</v>
      </c>
      <c r="C568" s="117" t="str">
        <f t="shared" si="24"/>
        <v>Foresthill - Placer</v>
      </c>
      <c r="D568" s="223">
        <f t="shared" si="25"/>
        <v>0.11291666666666667</v>
      </c>
      <c r="E568" s="224">
        <f t="shared" si="26"/>
        <v>0.010629999999999999</v>
      </c>
    </row>
    <row r="569" spans="1:5" ht="12.75">
      <c r="A569" s="158" t="s">
        <v>2143</v>
      </c>
      <c r="B569" s="157" t="s">
        <v>687</v>
      </c>
      <c r="C569" s="117" t="str">
        <f t="shared" si="24"/>
        <v>Forestville - Sonoma</v>
      </c>
      <c r="D569" s="223">
        <f t="shared" si="25"/>
        <v>0.10133333333333334</v>
      </c>
      <c r="E569" s="224">
        <f t="shared" si="26"/>
        <v>0.01115</v>
      </c>
    </row>
    <row r="570" spans="1:5" ht="12.75">
      <c r="A570" s="158" t="s">
        <v>2144</v>
      </c>
      <c r="B570" s="157" t="s">
        <v>1012</v>
      </c>
      <c r="C570" s="117" t="str">
        <f t="shared" si="24"/>
        <v>Forks of Salmon - Siskiyou</v>
      </c>
      <c r="D570" s="223">
        <f t="shared" si="25"/>
        <v>0.17858333333333332</v>
      </c>
      <c r="E570" s="224">
        <f t="shared" si="26"/>
        <v>0.01038</v>
      </c>
    </row>
    <row r="571" spans="1:5" ht="12.75">
      <c r="A571" s="158" t="s">
        <v>2145</v>
      </c>
      <c r="B571" s="157" t="s">
        <v>683</v>
      </c>
      <c r="C571" s="117" t="str">
        <f t="shared" si="24"/>
        <v>Fort Bidwell - Modoc</v>
      </c>
      <c r="D571" s="223">
        <f t="shared" si="25"/>
        <v>0.14341666666666666</v>
      </c>
      <c r="E571" s="224">
        <f t="shared" si="26"/>
        <v>0.01</v>
      </c>
    </row>
    <row r="572" spans="1:5" ht="12.75">
      <c r="A572" s="158" t="s">
        <v>2146</v>
      </c>
      <c r="B572" s="157" t="s">
        <v>703</v>
      </c>
      <c r="C572" s="117" t="str">
        <f t="shared" si="24"/>
        <v>Fort Bragg - Mendocino</v>
      </c>
      <c r="D572" s="223">
        <f t="shared" si="25"/>
        <v>0.11325000000000002</v>
      </c>
      <c r="E572" s="224">
        <f t="shared" si="26"/>
        <v>0.01097</v>
      </c>
    </row>
    <row r="573" spans="1:5" ht="12.75">
      <c r="A573" s="158" t="s">
        <v>2147</v>
      </c>
      <c r="B573" s="157" t="s">
        <v>1953</v>
      </c>
      <c r="C573" s="117" t="str">
        <f t="shared" si="24"/>
        <v>Fort Dick - Del Norte</v>
      </c>
      <c r="D573" s="223">
        <f t="shared" si="25"/>
        <v>0.13525</v>
      </c>
      <c r="E573" s="224">
        <f t="shared" si="26"/>
        <v>0.01039</v>
      </c>
    </row>
    <row r="574" spans="1:5" ht="12.75">
      <c r="A574" s="158" t="s">
        <v>2148</v>
      </c>
      <c r="B574" s="157" t="s">
        <v>681</v>
      </c>
      <c r="C574" s="117" t="str">
        <f t="shared" si="24"/>
        <v>Fort Irwin - San Bernardino</v>
      </c>
      <c r="D574" s="223">
        <f t="shared" si="25"/>
        <v>0.13891666666666666</v>
      </c>
      <c r="E574" s="224">
        <f t="shared" si="26"/>
        <v>0.01134</v>
      </c>
    </row>
    <row r="575" spans="1:5" ht="12.75">
      <c r="A575" s="158" t="s">
        <v>2149</v>
      </c>
      <c r="B575" s="157" t="s">
        <v>1012</v>
      </c>
      <c r="C575" s="117" t="str">
        <f t="shared" si="24"/>
        <v>Fort Jones - Siskiyou</v>
      </c>
      <c r="D575" s="223">
        <f t="shared" si="25"/>
        <v>0.17858333333333332</v>
      </c>
      <c r="E575" s="224">
        <f t="shared" si="26"/>
        <v>0.01038</v>
      </c>
    </row>
    <row r="576" spans="1:5" ht="12.75">
      <c r="A576" s="158" t="s">
        <v>2150</v>
      </c>
      <c r="B576" s="157" t="s">
        <v>764</v>
      </c>
      <c r="C576" s="117" t="str">
        <f t="shared" si="24"/>
        <v>Fort Ord  - Monterey</v>
      </c>
      <c r="D576" s="223">
        <f t="shared" si="25"/>
        <v>0.12916666666666665</v>
      </c>
      <c r="E576" s="224">
        <f t="shared" si="26"/>
        <v>0.01084</v>
      </c>
    </row>
    <row r="577" spans="1:5" ht="12.75">
      <c r="A577" s="158" t="s">
        <v>2151</v>
      </c>
      <c r="B577" s="157" t="s">
        <v>705</v>
      </c>
      <c r="C577" s="117" t="str">
        <f t="shared" si="24"/>
        <v>Fort Seward - Humboldt</v>
      </c>
      <c r="D577" s="223">
        <f t="shared" si="25"/>
        <v>0.11391666666666665</v>
      </c>
      <c r="E577" s="224">
        <f t="shared" si="26"/>
        <v>0.01055</v>
      </c>
    </row>
    <row r="578" spans="1:5" ht="12.75">
      <c r="A578" s="158" t="s">
        <v>2152</v>
      </c>
      <c r="B578" s="157" t="s">
        <v>705</v>
      </c>
      <c r="C578" s="117" t="str">
        <f t="shared" si="24"/>
        <v>Fortuna - Humboldt</v>
      </c>
      <c r="D578" s="223">
        <f t="shared" si="25"/>
        <v>0.11391666666666665</v>
      </c>
      <c r="E578" s="224">
        <f t="shared" si="26"/>
        <v>0.01055</v>
      </c>
    </row>
    <row r="579" spans="1:5" ht="12.75">
      <c r="A579" s="158" t="s">
        <v>2153</v>
      </c>
      <c r="B579" s="157" t="s">
        <v>778</v>
      </c>
      <c r="C579" s="117" t="str">
        <f t="shared" si="24"/>
        <v>Foster City - San Mateo</v>
      </c>
      <c r="D579" s="223">
        <f t="shared" si="25"/>
        <v>0.08433333333333333</v>
      </c>
      <c r="E579" s="224">
        <f t="shared" si="26"/>
        <v>0.01085</v>
      </c>
    </row>
    <row r="580" spans="1:5" ht="12.75">
      <c r="A580" s="158" t="s">
        <v>2154</v>
      </c>
      <c r="B580" s="157" t="s">
        <v>708</v>
      </c>
      <c r="C580" s="117" t="str">
        <f t="shared" si="24"/>
        <v>Fountain Valley - Orange</v>
      </c>
      <c r="D580" s="223">
        <f t="shared" si="25"/>
        <v>0.0915</v>
      </c>
      <c r="E580" s="224">
        <f t="shared" si="26"/>
        <v>0.01054</v>
      </c>
    </row>
    <row r="581" spans="1:5" ht="12.75">
      <c r="A581" s="158" t="s">
        <v>2155</v>
      </c>
      <c r="B581" s="157" t="s">
        <v>783</v>
      </c>
      <c r="C581" s="117" t="str">
        <f t="shared" si="24"/>
        <v>Fowler - Fresno</v>
      </c>
      <c r="D581" s="223">
        <f t="shared" si="25"/>
        <v>0.1685</v>
      </c>
      <c r="E581" s="224">
        <f t="shared" si="26"/>
        <v>0.01165</v>
      </c>
    </row>
    <row r="582" spans="1:5" ht="12.75">
      <c r="A582" s="158" t="s">
        <v>2156</v>
      </c>
      <c r="B582" s="157" t="s">
        <v>772</v>
      </c>
      <c r="C582" s="117" t="str">
        <f t="shared" si="24"/>
        <v>Frazier Park - Kern</v>
      </c>
      <c r="D582" s="223">
        <f t="shared" si="25"/>
        <v>0.15741666666666668</v>
      </c>
      <c r="E582" s="224">
        <f t="shared" si="26"/>
        <v>0.01114</v>
      </c>
    </row>
    <row r="583" spans="1:5" ht="12.75">
      <c r="A583" s="158" t="s">
        <v>2157</v>
      </c>
      <c r="B583" s="157" t="s">
        <v>751</v>
      </c>
      <c r="C583" s="117" t="str">
        <f aca="true" t="shared" si="27" ref="C583:C646">A583&amp;" - "&amp;B583</f>
        <v>Freedom - Santa Cruz</v>
      </c>
      <c r="D583" s="223">
        <f t="shared" si="25"/>
        <v>0.12516666666666665</v>
      </c>
      <c r="E583" s="224">
        <f t="shared" si="26"/>
        <v>0.01093</v>
      </c>
    </row>
    <row r="584" spans="1:5" ht="12.75">
      <c r="A584" s="158" t="s">
        <v>2158</v>
      </c>
      <c r="B584" s="157" t="s">
        <v>744</v>
      </c>
      <c r="C584" s="117" t="str">
        <f t="shared" si="27"/>
        <v>Freeport - Sacramento</v>
      </c>
      <c r="D584" s="223">
        <f aca="true" t="shared" si="28" ref="D584:D647">VLOOKUP(B584,unemployment_rates,2,FALSE)</f>
        <v>0.12641666666666665</v>
      </c>
      <c r="E584" s="224">
        <f aca="true" t="shared" si="29" ref="E584:E647">VLOOKUP(B584,Prop_Tax_Rates,2,FALSE)</f>
        <v>0.01087</v>
      </c>
    </row>
    <row r="585" spans="1:5" ht="12.75">
      <c r="A585" s="158" t="s">
        <v>2159</v>
      </c>
      <c r="B585" s="157" t="s">
        <v>687</v>
      </c>
      <c r="C585" s="117" t="str">
        <f t="shared" si="27"/>
        <v>Freestone - Sonoma</v>
      </c>
      <c r="D585" s="223">
        <f t="shared" si="28"/>
        <v>0.10133333333333334</v>
      </c>
      <c r="E585" s="224">
        <f t="shared" si="29"/>
        <v>0.01115</v>
      </c>
    </row>
    <row r="586" spans="1:5" ht="12.75">
      <c r="A586" s="158" t="s">
        <v>1357</v>
      </c>
      <c r="B586" s="157" t="s">
        <v>697</v>
      </c>
      <c r="C586" s="117" t="str">
        <f t="shared" si="27"/>
        <v>Fremont - Alameda</v>
      </c>
      <c r="D586" s="223">
        <f t="shared" si="28"/>
        <v>0.10916666666666666</v>
      </c>
      <c r="E586" s="224">
        <f t="shared" si="29"/>
        <v>0.011890000000000001</v>
      </c>
    </row>
    <row r="587" spans="1:5" ht="12.75">
      <c r="A587" s="158" t="s">
        <v>2160</v>
      </c>
      <c r="B587" s="157" t="s">
        <v>675</v>
      </c>
      <c r="C587" s="117" t="str">
        <f t="shared" si="27"/>
        <v>French Camp - San Joaquin</v>
      </c>
      <c r="D587" s="223">
        <f t="shared" si="28"/>
        <v>0.17300000000000001</v>
      </c>
      <c r="E587" s="224">
        <f t="shared" si="29"/>
        <v>0.01113</v>
      </c>
    </row>
    <row r="588" spans="1:5" ht="12.75">
      <c r="A588" s="158" t="s">
        <v>2161</v>
      </c>
      <c r="B588" s="157" t="s">
        <v>738</v>
      </c>
      <c r="C588" s="117" t="str">
        <f t="shared" si="27"/>
        <v>French Gulch - Shasta</v>
      </c>
      <c r="D588" s="223">
        <f t="shared" si="28"/>
        <v>0.15616666666666668</v>
      </c>
      <c r="E588" s="224">
        <f t="shared" si="29"/>
        <v>0.01085</v>
      </c>
    </row>
    <row r="589" spans="1:5" ht="12.75">
      <c r="A589" s="158" t="s">
        <v>2162</v>
      </c>
      <c r="B589" s="157" t="s">
        <v>705</v>
      </c>
      <c r="C589" s="117" t="str">
        <f t="shared" si="27"/>
        <v>Freshwater - Humboldt</v>
      </c>
      <c r="D589" s="223">
        <f t="shared" si="28"/>
        <v>0.11391666666666665</v>
      </c>
      <c r="E589" s="224">
        <f t="shared" si="29"/>
        <v>0.01055</v>
      </c>
    </row>
    <row r="590" spans="1:5" ht="12.75">
      <c r="A590" s="158" t="s">
        <v>783</v>
      </c>
      <c r="B590" s="157" t="s">
        <v>783</v>
      </c>
      <c r="C590" s="117" t="str">
        <f t="shared" si="27"/>
        <v>Fresno - Fresno</v>
      </c>
      <c r="D590" s="223">
        <f t="shared" si="28"/>
        <v>0.1685</v>
      </c>
      <c r="E590" s="224">
        <f t="shared" si="29"/>
        <v>0.01165</v>
      </c>
    </row>
    <row r="591" spans="1:5" ht="12.75">
      <c r="A591" s="158" t="s">
        <v>2163</v>
      </c>
      <c r="B591" s="157" t="s">
        <v>783</v>
      </c>
      <c r="C591" s="117" t="str">
        <f t="shared" si="27"/>
        <v>Friant - Fresno</v>
      </c>
      <c r="D591" s="223">
        <f t="shared" si="28"/>
        <v>0.1685</v>
      </c>
      <c r="E591" s="224">
        <f t="shared" si="29"/>
        <v>0.01165</v>
      </c>
    </row>
    <row r="592" spans="1:5" ht="12.75">
      <c r="A592" s="158" t="s">
        <v>2164</v>
      </c>
      <c r="B592" s="157" t="s">
        <v>677</v>
      </c>
      <c r="C592" s="117" t="str">
        <f t="shared" si="27"/>
        <v>Friendly Valley  - Los Angeles</v>
      </c>
      <c r="D592" s="223">
        <f t="shared" si="28"/>
        <v>0.12533333333333332</v>
      </c>
      <c r="E592" s="224">
        <f t="shared" si="29"/>
        <v>0.01168</v>
      </c>
    </row>
    <row r="593" spans="1:5" ht="12.75">
      <c r="A593" s="158" t="s">
        <v>2165</v>
      </c>
      <c r="B593" s="157" t="s">
        <v>692</v>
      </c>
      <c r="C593" s="117" t="str">
        <f t="shared" si="27"/>
        <v>Frontera - Riverside</v>
      </c>
      <c r="D593" s="223">
        <f t="shared" si="28"/>
        <v>0.144</v>
      </c>
      <c r="E593" s="224">
        <f t="shared" si="29"/>
        <v>0.01089</v>
      </c>
    </row>
    <row r="594" spans="1:5" ht="12.75">
      <c r="A594" s="158" t="s">
        <v>2166</v>
      </c>
      <c r="B594" s="157" t="s">
        <v>708</v>
      </c>
      <c r="C594" s="117" t="str">
        <f t="shared" si="27"/>
        <v>Fullerton - Orange</v>
      </c>
      <c r="D594" s="223">
        <f t="shared" si="28"/>
        <v>0.0915</v>
      </c>
      <c r="E594" s="224">
        <f t="shared" si="29"/>
        <v>0.01054</v>
      </c>
    </row>
    <row r="595" spans="1:5" ht="12.75">
      <c r="A595" s="158" t="s">
        <v>2167</v>
      </c>
      <c r="B595" s="157" t="s">
        <v>687</v>
      </c>
      <c r="C595" s="117" t="str">
        <f t="shared" si="27"/>
        <v>Fulton - Sonoma</v>
      </c>
      <c r="D595" s="223">
        <f t="shared" si="28"/>
        <v>0.10133333333333334</v>
      </c>
      <c r="E595" s="224">
        <f t="shared" si="29"/>
        <v>0.01115</v>
      </c>
    </row>
    <row r="596" spans="1:5" ht="12.75">
      <c r="A596" s="158" t="s">
        <v>2168</v>
      </c>
      <c r="B596" s="157" t="s">
        <v>744</v>
      </c>
      <c r="C596" s="117" t="str">
        <f t="shared" si="27"/>
        <v>Galt - Sacramento</v>
      </c>
      <c r="D596" s="223">
        <f t="shared" si="28"/>
        <v>0.12641666666666665</v>
      </c>
      <c r="E596" s="224">
        <f t="shared" si="29"/>
        <v>0.01087</v>
      </c>
    </row>
    <row r="597" spans="1:5" ht="12.75">
      <c r="A597" s="158" t="s">
        <v>2174</v>
      </c>
      <c r="B597" s="157" t="s">
        <v>705</v>
      </c>
      <c r="C597" s="117" t="str">
        <f t="shared" si="27"/>
        <v>Garberville - Humboldt</v>
      </c>
      <c r="D597" s="223">
        <f t="shared" si="28"/>
        <v>0.11391666666666665</v>
      </c>
      <c r="E597" s="224">
        <f t="shared" si="29"/>
        <v>0.01055</v>
      </c>
    </row>
    <row r="598" spans="1:5" ht="12.75">
      <c r="A598" s="158" t="s">
        <v>2175</v>
      </c>
      <c r="B598" s="157" t="s">
        <v>708</v>
      </c>
      <c r="C598" s="117" t="str">
        <f t="shared" si="27"/>
        <v>Garden Grove - Orange</v>
      </c>
      <c r="D598" s="223">
        <f t="shared" si="28"/>
        <v>0.0915</v>
      </c>
      <c r="E598" s="224">
        <f t="shared" si="29"/>
        <v>0.01054</v>
      </c>
    </row>
    <row r="599" spans="1:5" ht="12.75">
      <c r="A599" s="158" t="s">
        <v>2176</v>
      </c>
      <c r="B599" s="157" t="s">
        <v>696</v>
      </c>
      <c r="C599" s="117" t="str">
        <f t="shared" si="27"/>
        <v>Garden Valley - El Dorado</v>
      </c>
      <c r="D599" s="223">
        <f t="shared" si="28"/>
        <v>0.12433333333333335</v>
      </c>
      <c r="E599" s="224">
        <f t="shared" si="29"/>
        <v>0.01055</v>
      </c>
    </row>
    <row r="600" spans="1:5" ht="12.75">
      <c r="A600" s="158" t="s">
        <v>2177</v>
      </c>
      <c r="B600" s="157" t="s">
        <v>677</v>
      </c>
      <c r="C600" s="117" t="str">
        <f t="shared" si="27"/>
        <v>Gardena - Los Angeles</v>
      </c>
      <c r="D600" s="223">
        <f t="shared" si="28"/>
        <v>0.12533333333333332</v>
      </c>
      <c r="E600" s="224">
        <f t="shared" si="29"/>
        <v>0.01168</v>
      </c>
    </row>
    <row r="601" spans="1:5" ht="12.75">
      <c r="A601" s="158" t="s">
        <v>2178</v>
      </c>
      <c r="B601" s="157" t="s">
        <v>799</v>
      </c>
      <c r="C601" s="117" t="str">
        <f t="shared" si="27"/>
        <v>Garey - Santa Barbara</v>
      </c>
      <c r="D601" s="223">
        <f t="shared" si="28"/>
        <v>0.09174999999999998</v>
      </c>
      <c r="E601" s="224">
        <f t="shared" si="29"/>
        <v>0.01055</v>
      </c>
    </row>
    <row r="602" spans="1:5" ht="12.75">
      <c r="A602" s="158" t="s">
        <v>2179</v>
      </c>
      <c r="B602" s="157" t="s">
        <v>692</v>
      </c>
      <c r="C602" s="117" t="str">
        <f t="shared" si="27"/>
        <v>Garnet - Riverside</v>
      </c>
      <c r="D602" s="223">
        <f t="shared" si="28"/>
        <v>0.144</v>
      </c>
      <c r="E602" s="224">
        <f t="shared" si="29"/>
        <v>0.01089</v>
      </c>
    </row>
    <row r="603" spans="1:5" ht="12.75">
      <c r="A603" s="158" t="s">
        <v>2180</v>
      </c>
      <c r="B603" s="157" t="s">
        <v>1953</v>
      </c>
      <c r="C603" s="117" t="str">
        <f t="shared" si="27"/>
        <v>Gasquet - Del Norte</v>
      </c>
      <c r="D603" s="223">
        <f t="shared" si="28"/>
        <v>0.13525</v>
      </c>
      <c r="E603" s="224">
        <f t="shared" si="29"/>
        <v>0.01039</v>
      </c>
    </row>
    <row r="604" spans="1:5" ht="12.75">
      <c r="A604" s="158" t="s">
        <v>2181</v>
      </c>
      <c r="B604" s="157" t="s">
        <v>799</v>
      </c>
      <c r="C604" s="117" t="str">
        <f t="shared" si="27"/>
        <v>Gaviota - Santa Barbara</v>
      </c>
      <c r="D604" s="223">
        <f t="shared" si="28"/>
        <v>0.09174999999999998</v>
      </c>
      <c r="E604" s="224">
        <f t="shared" si="29"/>
        <v>0.01055</v>
      </c>
    </row>
    <row r="605" spans="1:5" ht="12.75">
      <c r="A605" s="158" t="s">
        <v>2182</v>
      </c>
      <c r="B605" s="157" t="s">
        <v>1012</v>
      </c>
      <c r="C605" s="117" t="str">
        <f t="shared" si="27"/>
        <v>Gazelle - Siskiyou</v>
      </c>
      <c r="D605" s="223">
        <f t="shared" si="28"/>
        <v>0.17858333333333332</v>
      </c>
      <c r="E605" s="224">
        <f t="shared" si="29"/>
        <v>0.01038</v>
      </c>
    </row>
    <row r="606" spans="1:5" ht="12.75">
      <c r="A606" s="158" t="s">
        <v>2183</v>
      </c>
      <c r="B606" s="157" t="s">
        <v>681</v>
      </c>
      <c r="C606" s="117" t="str">
        <f t="shared" si="27"/>
        <v>George A.F.B. - San Bernardino</v>
      </c>
      <c r="D606" s="223">
        <f t="shared" si="28"/>
        <v>0.13891666666666666</v>
      </c>
      <c r="E606" s="224">
        <f t="shared" si="29"/>
        <v>0.01134</v>
      </c>
    </row>
    <row r="607" spans="1:5" ht="12.75">
      <c r="A607" s="158" t="s">
        <v>2184</v>
      </c>
      <c r="B607" s="157" t="s">
        <v>696</v>
      </c>
      <c r="C607" s="117" t="str">
        <f t="shared" si="27"/>
        <v>Georgetown - El Dorado</v>
      </c>
      <c r="D607" s="223">
        <f t="shared" si="28"/>
        <v>0.12433333333333335</v>
      </c>
      <c r="E607" s="224">
        <f t="shared" si="29"/>
        <v>0.01055</v>
      </c>
    </row>
    <row r="608" spans="1:5" ht="12.75">
      <c r="A608" s="158" t="s">
        <v>2185</v>
      </c>
      <c r="B608" s="157" t="s">
        <v>1934</v>
      </c>
      <c r="C608" s="117" t="str">
        <f t="shared" si="27"/>
        <v>Gerber - Tehama</v>
      </c>
      <c r="D608" s="223">
        <f t="shared" si="28"/>
        <v>0.15649999999999997</v>
      </c>
      <c r="E608" s="224">
        <f t="shared" si="29"/>
        <v>0.01022</v>
      </c>
    </row>
    <row r="609" spans="1:5" ht="12.75">
      <c r="A609" s="158" t="s">
        <v>2186</v>
      </c>
      <c r="B609" s="157" t="s">
        <v>687</v>
      </c>
      <c r="C609" s="117" t="str">
        <f t="shared" si="27"/>
        <v>Geyserville - Sonoma</v>
      </c>
      <c r="D609" s="223">
        <f t="shared" si="28"/>
        <v>0.10133333333333334</v>
      </c>
      <c r="E609" s="224">
        <f t="shared" si="29"/>
        <v>0.01115</v>
      </c>
    </row>
    <row r="610" spans="1:5" ht="12.75">
      <c r="A610" s="158" t="s">
        <v>2187</v>
      </c>
      <c r="B610" s="157" t="s">
        <v>718</v>
      </c>
      <c r="C610" s="117" t="str">
        <f t="shared" si="27"/>
        <v>Giant Forest - Tulare</v>
      </c>
      <c r="D610" s="223">
        <f t="shared" si="28"/>
        <v>0.16641666666666666</v>
      </c>
      <c r="E610" s="224">
        <f t="shared" si="29"/>
        <v>0.01088</v>
      </c>
    </row>
    <row r="611" spans="1:5" ht="12.75">
      <c r="A611" s="158" t="s">
        <v>2188</v>
      </c>
      <c r="B611" s="157" t="s">
        <v>692</v>
      </c>
      <c r="C611" s="117" t="str">
        <f t="shared" si="27"/>
        <v>Gillman Hot Springs - Riverside</v>
      </c>
      <c r="D611" s="223">
        <f t="shared" si="28"/>
        <v>0.144</v>
      </c>
      <c r="E611" s="224">
        <f t="shared" si="29"/>
        <v>0.01089</v>
      </c>
    </row>
    <row r="612" spans="1:5" ht="12.75">
      <c r="A612" s="158" t="s">
        <v>2189</v>
      </c>
      <c r="B612" s="157" t="s">
        <v>712</v>
      </c>
      <c r="C612" s="117" t="str">
        <f t="shared" si="27"/>
        <v>Gilroy - Santa Clara</v>
      </c>
      <c r="D612" s="223">
        <f t="shared" si="28"/>
        <v>0.10433333333333333</v>
      </c>
      <c r="E612" s="224">
        <f t="shared" si="29"/>
        <v>0.011810000000000001</v>
      </c>
    </row>
    <row r="613" spans="1:5" ht="12.75">
      <c r="A613" s="158" t="s">
        <v>2190</v>
      </c>
      <c r="B613" s="157" t="s">
        <v>677</v>
      </c>
      <c r="C613" s="117" t="str">
        <f t="shared" si="27"/>
        <v>Glassell Park - Los Angeles</v>
      </c>
      <c r="D613" s="223">
        <f t="shared" si="28"/>
        <v>0.12533333333333332</v>
      </c>
      <c r="E613" s="224">
        <f t="shared" si="29"/>
        <v>0.01168</v>
      </c>
    </row>
    <row r="614" spans="1:5" ht="12.75">
      <c r="A614" s="158" t="s">
        <v>2191</v>
      </c>
      <c r="B614" s="157" t="s">
        <v>692</v>
      </c>
      <c r="C614" s="117" t="str">
        <f t="shared" si="27"/>
        <v>Glen Avon - Riverside</v>
      </c>
      <c r="D614" s="223">
        <f t="shared" si="28"/>
        <v>0.144</v>
      </c>
      <c r="E614" s="224">
        <f t="shared" si="29"/>
        <v>0.01089</v>
      </c>
    </row>
    <row r="615" spans="1:5" ht="12.75">
      <c r="A615" s="158" t="s">
        <v>2192</v>
      </c>
      <c r="B615" s="157" t="s">
        <v>687</v>
      </c>
      <c r="C615" s="117" t="str">
        <f t="shared" si="27"/>
        <v>Glen Ellen - Sonoma</v>
      </c>
      <c r="D615" s="223">
        <f t="shared" si="28"/>
        <v>0.10133333333333334</v>
      </c>
      <c r="E615" s="224">
        <f t="shared" si="29"/>
        <v>0.01115</v>
      </c>
    </row>
    <row r="616" spans="1:5" ht="12.75">
      <c r="A616" s="158" t="s">
        <v>2193</v>
      </c>
      <c r="B616" s="157" t="s">
        <v>738</v>
      </c>
      <c r="C616" s="117" t="str">
        <f t="shared" si="27"/>
        <v>Glenburn - Shasta</v>
      </c>
      <c r="D616" s="223">
        <f t="shared" si="28"/>
        <v>0.15616666666666668</v>
      </c>
      <c r="E616" s="224">
        <f t="shared" si="29"/>
        <v>0.01085</v>
      </c>
    </row>
    <row r="617" spans="1:5" ht="12.75">
      <c r="A617" s="158" t="s">
        <v>2194</v>
      </c>
      <c r="B617" s="157" t="s">
        <v>725</v>
      </c>
      <c r="C617" s="117" t="str">
        <f t="shared" si="27"/>
        <v>Glencoe - Calaveras</v>
      </c>
      <c r="D617" s="223">
        <f t="shared" si="28"/>
        <v>0.1545833333333333</v>
      </c>
      <c r="E617" s="224">
        <f t="shared" si="29"/>
        <v>0.01075</v>
      </c>
    </row>
    <row r="618" spans="1:5" ht="12.75">
      <c r="A618" s="158" t="s">
        <v>2195</v>
      </c>
      <c r="B618" s="157" t="s">
        <v>677</v>
      </c>
      <c r="C618" s="117" t="str">
        <f t="shared" si="27"/>
        <v>Glendale - Los Angeles</v>
      </c>
      <c r="D618" s="223">
        <f t="shared" si="28"/>
        <v>0.12533333333333332</v>
      </c>
      <c r="E618" s="224">
        <f t="shared" si="29"/>
        <v>0.01168</v>
      </c>
    </row>
    <row r="619" spans="1:5" ht="12.75">
      <c r="A619" s="158" t="s">
        <v>2196</v>
      </c>
      <c r="B619" s="157" t="s">
        <v>677</v>
      </c>
      <c r="C619" s="117" t="str">
        <f t="shared" si="27"/>
        <v>Glendora - Los Angeles</v>
      </c>
      <c r="D619" s="223">
        <f t="shared" si="28"/>
        <v>0.12533333333333332</v>
      </c>
      <c r="E619" s="224">
        <f t="shared" si="29"/>
        <v>0.01168</v>
      </c>
    </row>
    <row r="620" spans="1:5" ht="12.75">
      <c r="A620" s="158" t="s">
        <v>2197</v>
      </c>
      <c r="B620" s="157" t="s">
        <v>102</v>
      </c>
      <c r="C620" s="117" t="str">
        <f t="shared" si="27"/>
        <v>Glenhaven - Lake</v>
      </c>
      <c r="D620" s="223">
        <f t="shared" si="28"/>
        <v>0.18208333333333332</v>
      </c>
      <c r="E620" s="224">
        <f t="shared" si="29"/>
        <v>0.01068</v>
      </c>
    </row>
    <row r="621" spans="1:5" ht="12.75">
      <c r="A621" s="158" t="s">
        <v>770</v>
      </c>
      <c r="B621" s="157" t="s">
        <v>770</v>
      </c>
      <c r="C621" s="117" t="str">
        <f t="shared" si="27"/>
        <v>Glenn - Glenn</v>
      </c>
      <c r="D621" s="223">
        <f t="shared" si="28"/>
        <v>0.16558333333333333</v>
      </c>
      <c r="E621" s="224">
        <f t="shared" si="29"/>
        <v>0.0105</v>
      </c>
    </row>
    <row r="622" spans="1:5" ht="12.75">
      <c r="A622" s="158" t="s">
        <v>2198</v>
      </c>
      <c r="B622" s="157" t="s">
        <v>772</v>
      </c>
      <c r="C622" s="117" t="str">
        <f t="shared" si="27"/>
        <v>Glennville - Kern</v>
      </c>
      <c r="D622" s="223">
        <f t="shared" si="28"/>
        <v>0.15741666666666668</v>
      </c>
      <c r="E622" s="224">
        <f t="shared" si="29"/>
        <v>0.01114</v>
      </c>
    </row>
    <row r="623" spans="1:5" ht="12.75">
      <c r="A623" s="158" t="s">
        <v>2199</v>
      </c>
      <c r="B623" s="157" t="s">
        <v>744</v>
      </c>
      <c r="C623" s="117" t="str">
        <f t="shared" si="27"/>
        <v>Gold River  - Sacramento</v>
      </c>
      <c r="D623" s="223">
        <f t="shared" si="28"/>
        <v>0.12641666666666665</v>
      </c>
      <c r="E623" s="224">
        <f t="shared" si="29"/>
        <v>0.01087</v>
      </c>
    </row>
    <row r="624" spans="1:5" ht="12.75">
      <c r="A624" s="158" t="s">
        <v>2200</v>
      </c>
      <c r="B624" s="157" t="s">
        <v>721</v>
      </c>
      <c r="C624" s="117" t="str">
        <f t="shared" si="27"/>
        <v>Gold Run - Placer</v>
      </c>
      <c r="D624" s="223">
        <f t="shared" si="28"/>
        <v>0.11291666666666667</v>
      </c>
      <c r="E624" s="224">
        <f t="shared" si="29"/>
        <v>0.010629999999999999</v>
      </c>
    </row>
    <row r="625" spans="1:5" ht="12.75">
      <c r="A625" s="158" t="s">
        <v>2201</v>
      </c>
      <c r="B625" s="157" t="s">
        <v>772</v>
      </c>
      <c r="C625" s="117" t="str">
        <f t="shared" si="27"/>
        <v>Golden Hills - Kern</v>
      </c>
      <c r="D625" s="223">
        <f t="shared" si="28"/>
        <v>0.15741666666666668</v>
      </c>
      <c r="E625" s="224">
        <f t="shared" si="29"/>
        <v>0.01114</v>
      </c>
    </row>
    <row r="626" spans="1:5" ht="12.75">
      <c r="A626" s="158" t="s">
        <v>2202</v>
      </c>
      <c r="B626" s="157" t="s">
        <v>799</v>
      </c>
      <c r="C626" s="117" t="str">
        <f t="shared" si="27"/>
        <v>Goleta - Santa Barbara</v>
      </c>
      <c r="D626" s="223">
        <f t="shared" si="28"/>
        <v>0.09174999999999998</v>
      </c>
      <c r="E626" s="224">
        <f t="shared" si="29"/>
        <v>0.01055</v>
      </c>
    </row>
    <row r="627" spans="1:5" ht="12.75">
      <c r="A627" s="158" t="s">
        <v>2203</v>
      </c>
      <c r="B627" s="157" t="s">
        <v>764</v>
      </c>
      <c r="C627" s="117" t="str">
        <f t="shared" si="27"/>
        <v>Gonzales - Monterey</v>
      </c>
      <c r="D627" s="223">
        <f t="shared" si="28"/>
        <v>0.12916666666666665</v>
      </c>
      <c r="E627" s="224">
        <f t="shared" si="29"/>
        <v>0.01084</v>
      </c>
    </row>
    <row r="628" spans="1:5" ht="12.75">
      <c r="A628" s="158" t="s">
        <v>2204</v>
      </c>
      <c r="B628" s="157" t="s">
        <v>710</v>
      </c>
      <c r="C628" s="117" t="str">
        <f t="shared" si="27"/>
        <v>Goodyears Bar - Sierra</v>
      </c>
      <c r="D628" s="223">
        <f t="shared" si="28"/>
        <v>0.16016666666666665</v>
      </c>
      <c r="E628" s="224">
        <f t="shared" si="29"/>
        <v>0.010329999999999999</v>
      </c>
    </row>
    <row r="629" spans="1:5" ht="12.75">
      <c r="A629" s="158" t="s">
        <v>2205</v>
      </c>
      <c r="B629" s="157" t="s">
        <v>677</v>
      </c>
      <c r="C629" s="117" t="str">
        <f t="shared" si="27"/>
        <v>Gorman - Los Angeles</v>
      </c>
      <c r="D629" s="223">
        <f t="shared" si="28"/>
        <v>0.12533333333333332</v>
      </c>
      <c r="E629" s="224">
        <f t="shared" si="29"/>
        <v>0.01168</v>
      </c>
    </row>
    <row r="630" spans="1:5" ht="12.75">
      <c r="A630" s="158" t="s">
        <v>2206</v>
      </c>
      <c r="B630" s="157" t="s">
        <v>718</v>
      </c>
      <c r="C630" s="117" t="str">
        <f t="shared" si="27"/>
        <v>Goshen - Tulare</v>
      </c>
      <c r="D630" s="223">
        <f t="shared" si="28"/>
        <v>0.16641666666666666</v>
      </c>
      <c r="E630" s="224">
        <f t="shared" si="29"/>
        <v>0.01088</v>
      </c>
    </row>
    <row r="631" spans="1:5" ht="12.75">
      <c r="A631" s="158" t="s">
        <v>1402</v>
      </c>
      <c r="B631" s="157" t="s">
        <v>697</v>
      </c>
      <c r="C631" s="117" t="str">
        <f t="shared" si="27"/>
        <v>Government Island - Alameda</v>
      </c>
      <c r="D631" s="223">
        <f t="shared" si="28"/>
        <v>0.10916666666666666</v>
      </c>
      <c r="E631" s="224">
        <f t="shared" si="29"/>
        <v>0.011890000000000001</v>
      </c>
    </row>
    <row r="632" spans="1:5" ht="12.75">
      <c r="A632" s="158" t="s">
        <v>1403</v>
      </c>
      <c r="B632" s="157" t="s">
        <v>714</v>
      </c>
      <c r="C632" s="117" t="str">
        <f t="shared" si="27"/>
        <v>Graeagle - Plumas</v>
      </c>
      <c r="D632" s="223">
        <f t="shared" si="28"/>
        <v>0.16258333333333333</v>
      </c>
      <c r="E632" s="224">
        <f t="shared" si="29"/>
        <v>0.01038</v>
      </c>
    </row>
    <row r="633" spans="1:5" ht="12.75">
      <c r="A633" s="158" t="s">
        <v>1404</v>
      </c>
      <c r="B633" s="157" t="s">
        <v>677</v>
      </c>
      <c r="C633" s="117" t="str">
        <f t="shared" si="27"/>
        <v>Granada Hills  - Los Angeles</v>
      </c>
      <c r="D633" s="223">
        <f t="shared" si="28"/>
        <v>0.12533333333333332</v>
      </c>
      <c r="E633" s="224">
        <f t="shared" si="29"/>
        <v>0.01168</v>
      </c>
    </row>
    <row r="634" spans="1:5" ht="12.75">
      <c r="A634" s="158" t="s">
        <v>1405</v>
      </c>
      <c r="B634" s="157" t="s">
        <v>681</v>
      </c>
      <c r="C634" s="117" t="str">
        <f t="shared" si="27"/>
        <v>Grand Terrace - San Bernardino</v>
      </c>
      <c r="D634" s="223">
        <f t="shared" si="28"/>
        <v>0.13891666666666666</v>
      </c>
      <c r="E634" s="224">
        <f t="shared" si="29"/>
        <v>0.01134</v>
      </c>
    </row>
    <row r="635" spans="1:5" ht="12.75">
      <c r="A635" s="158" t="s">
        <v>1406</v>
      </c>
      <c r="B635" s="157" t="s">
        <v>721</v>
      </c>
      <c r="C635" s="117" t="str">
        <f t="shared" si="27"/>
        <v>Granite Bay - Placer</v>
      </c>
      <c r="D635" s="223">
        <f t="shared" si="28"/>
        <v>0.11291666666666667</v>
      </c>
      <c r="E635" s="224">
        <f t="shared" si="29"/>
        <v>0.010629999999999999</v>
      </c>
    </row>
    <row r="636" spans="1:5" ht="12.75">
      <c r="A636" s="158" t="s">
        <v>1407</v>
      </c>
      <c r="B636" s="157" t="s">
        <v>1156</v>
      </c>
      <c r="C636" s="117" t="str">
        <f t="shared" si="27"/>
        <v>Grass Valley - Nevada</v>
      </c>
      <c r="D636" s="223">
        <f t="shared" si="28"/>
        <v>0.11266666666666668</v>
      </c>
      <c r="E636" s="224">
        <f t="shared" si="29"/>
        <v>0.010329999999999999</v>
      </c>
    </row>
    <row r="637" spans="1:5" ht="12.75">
      <c r="A637" s="158" t="s">
        <v>1408</v>
      </c>
      <c r="B637" s="157" t="s">
        <v>687</v>
      </c>
      <c r="C637" s="117" t="str">
        <f t="shared" si="27"/>
        <v>Graton - Sonoma</v>
      </c>
      <c r="D637" s="223">
        <f t="shared" si="28"/>
        <v>0.10133333333333334</v>
      </c>
      <c r="E637" s="224">
        <f t="shared" si="29"/>
        <v>0.01115</v>
      </c>
    </row>
    <row r="638" spans="1:5" ht="12.75">
      <c r="A638" s="158" t="s">
        <v>1409</v>
      </c>
      <c r="B638" s="157" t="s">
        <v>677</v>
      </c>
      <c r="C638" s="117" t="str">
        <f t="shared" si="27"/>
        <v>Green Valley - Los Angeles</v>
      </c>
      <c r="D638" s="223">
        <f t="shared" si="28"/>
        <v>0.12533333333333332</v>
      </c>
      <c r="E638" s="224">
        <f t="shared" si="29"/>
        <v>0.01168</v>
      </c>
    </row>
    <row r="639" spans="1:5" ht="12.75">
      <c r="A639" s="158" t="s">
        <v>1410</v>
      </c>
      <c r="B639" s="157" t="s">
        <v>681</v>
      </c>
      <c r="C639" s="117" t="str">
        <f t="shared" si="27"/>
        <v>Green Valley Lake - San Bernardino</v>
      </c>
      <c r="D639" s="223">
        <f t="shared" si="28"/>
        <v>0.13891666666666666</v>
      </c>
      <c r="E639" s="224">
        <f t="shared" si="29"/>
        <v>0.01134</v>
      </c>
    </row>
    <row r="640" spans="1:5" ht="12.75">
      <c r="A640" s="158" t="s">
        <v>1411</v>
      </c>
      <c r="B640" s="157" t="s">
        <v>772</v>
      </c>
      <c r="C640" s="117" t="str">
        <f t="shared" si="27"/>
        <v>Greenacres - Kern</v>
      </c>
      <c r="D640" s="223">
        <f t="shared" si="28"/>
        <v>0.15741666666666668</v>
      </c>
      <c r="E640" s="224">
        <f t="shared" si="29"/>
        <v>0.01114</v>
      </c>
    </row>
    <row r="641" spans="1:5" ht="12.75">
      <c r="A641" s="158" t="s">
        <v>1412</v>
      </c>
      <c r="B641" s="157" t="s">
        <v>834</v>
      </c>
      <c r="C641" s="117" t="str">
        <f t="shared" si="27"/>
        <v>Greenbrae  - Marin</v>
      </c>
      <c r="D641" s="223">
        <f t="shared" si="28"/>
        <v>0.08033333333333333</v>
      </c>
      <c r="E641" s="224">
        <f t="shared" si="29"/>
        <v>0.01105</v>
      </c>
    </row>
    <row r="642" spans="1:5" ht="12.75">
      <c r="A642" s="158" t="s">
        <v>1413</v>
      </c>
      <c r="B642" s="157" t="s">
        <v>764</v>
      </c>
      <c r="C642" s="117" t="str">
        <f t="shared" si="27"/>
        <v>Greenfield - Monterey</v>
      </c>
      <c r="D642" s="223">
        <f t="shared" si="28"/>
        <v>0.12916666666666665</v>
      </c>
      <c r="E642" s="224">
        <f t="shared" si="29"/>
        <v>0.01084</v>
      </c>
    </row>
    <row r="643" spans="1:5" ht="12.75">
      <c r="A643" s="158" t="s">
        <v>1414</v>
      </c>
      <c r="B643" s="157" t="s">
        <v>1012</v>
      </c>
      <c r="C643" s="117" t="str">
        <f t="shared" si="27"/>
        <v>Greenview - Siskiyou</v>
      </c>
      <c r="D643" s="223">
        <f t="shared" si="28"/>
        <v>0.17858333333333332</v>
      </c>
      <c r="E643" s="224">
        <f t="shared" si="29"/>
        <v>0.01038</v>
      </c>
    </row>
    <row r="644" spans="1:5" ht="12.75">
      <c r="A644" s="158" t="s">
        <v>1415</v>
      </c>
      <c r="B644" s="157" t="s">
        <v>714</v>
      </c>
      <c r="C644" s="117" t="str">
        <f t="shared" si="27"/>
        <v>Greenville - Plumas</v>
      </c>
      <c r="D644" s="223">
        <f t="shared" si="28"/>
        <v>0.16258333333333333</v>
      </c>
      <c r="E644" s="224">
        <f t="shared" si="29"/>
        <v>0.01038</v>
      </c>
    </row>
    <row r="645" spans="1:5" ht="12.75">
      <c r="A645" s="158" t="s">
        <v>1416</v>
      </c>
      <c r="B645" s="157" t="s">
        <v>696</v>
      </c>
      <c r="C645" s="117" t="str">
        <f t="shared" si="27"/>
        <v>Greenwood - El Dorado</v>
      </c>
      <c r="D645" s="223">
        <f t="shared" si="28"/>
        <v>0.12433333333333335</v>
      </c>
      <c r="E645" s="224">
        <f t="shared" si="29"/>
        <v>0.01055</v>
      </c>
    </row>
    <row r="646" spans="1:5" ht="12.75">
      <c r="A646" s="158" t="s">
        <v>1417</v>
      </c>
      <c r="B646" s="157" t="s">
        <v>1012</v>
      </c>
      <c r="C646" s="117" t="str">
        <f t="shared" si="27"/>
        <v>Grenada - Siskiyou</v>
      </c>
      <c r="D646" s="223">
        <f t="shared" si="28"/>
        <v>0.17858333333333332</v>
      </c>
      <c r="E646" s="224">
        <f t="shared" si="29"/>
        <v>0.01038</v>
      </c>
    </row>
    <row r="647" spans="1:5" ht="12.75">
      <c r="A647" s="158" t="s">
        <v>1418</v>
      </c>
      <c r="B647" s="157" t="s">
        <v>803</v>
      </c>
      <c r="C647" s="117" t="str">
        <f aca="true" t="shared" si="30" ref="C647:C710">A647&amp;" - "&amp;B647</f>
        <v>Gridley - Butte</v>
      </c>
      <c r="D647" s="223">
        <f t="shared" si="28"/>
        <v>0.13741666666666666</v>
      </c>
      <c r="E647" s="224">
        <f t="shared" si="29"/>
        <v>0.01064</v>
      </c>
    </row>
    <row r="648" spans="1:5" ht="12.75">
      <c r="A648" s="158" t="s">
        <v>1419</v>
      </c>
      <c r="B648" s="157" t="s">
        <v>753</v>
      </c>
      <c r="C648" s="117" t="str">
        <f t="shared" si="30"/>
        <v>Grimes - Colusa</v>
      </c>
      <c r="D648" s="223">
        <f aca="true" t="shared" si="31" ref="D648:D711">VLOOKUP(B648,unemployment_rates,2,FALSE)</f>
        <v>0.20800000000000002</v>
      </c>
      <c r="E648" s="224">
        <f aca="true" t="shared" si="32" ref="E648:E711">VLOOKUP(B648,Prop_Tax_Rates,2,FALSE)</f>
        <v>0.01027</v>
      </c>
    </row>
    <row r="649" spans="1:5" ht="12.75">
      <c r="A649" s="158" t="s">
        <v>1420</v>
      </c>
      <c r="B649" s="157" t="s">
        <v>696</v>
      </c>
      <c r="C649" s="117" t="str">
        <f t="shared" si="30"/>
        <v>Grizzly Flats - El Dorado</v>
      </c>
      <c r="D649" s="223">
        <f t="shared" si="31"/>
        <v>0.12433333333333335</v>
      </c>
      <c r="E649" s="224">
        <f t="shared" si="32"/>
        <v>0.01055</v>
      </c>
    </row>
    <row r="650" spans="1:5" ht="12.75">
      <c r="A650" s="158" t="s">
        <v>1421</v>
      </c>
      <c r="B650" s="157" t="s">
        <v>856</v>
      </c>
      <c r="C650" s="117" t="str">
        <f t="shared" si="30"/>
        <v>Groveland - Tuolumne</v>
      </c>
      <c r="D650" s="223">
        <f t="shared" si="31"/>
        <v>0.13766666666666666</v>
      </c>
      <c r="E650" s="224">
        <f t="shared" si="32"/>
        <v>0.01042</v>
      </c>
    </row>
    <row r="651" spans="1:5" ht="12.75">
      <c r="A651" s="158" t="s">
        <v>1422</v>
      </c>
      <c r="B651" s="157" t="s">
        <v>679</v>
      </c>
      <c r="C651" s="117" t="str">
        <f t="shared" si="30"/>
        <v>Grover Beach - San Luis Obispo</v>
      </c>
      <c r="D651" s="223">
        <f t="shared" si="31"/>
        <v>0.099</v>
      </c>
      <c r="E651" s="224">
        <f t="shared" si="32"/>
        <v>0.01039</v>
      </c>
    </row>
    <row r="652" spans="1:5" ht="12.75">
      <c r="A652" s="158" t="s">
        <v>1423</v>
      </c>
      <c r="B652" s="157" t="s">
        <v>799</v>
      </c>
      <c r="C652" s="117" t="str">
        <f t="shared" si="30"/>
        <v>Guadalupe - Santa Barbara</v>
      </c>
      <c r="D652" s="223">
        <f t="shared" si="31"/>
        <v>0.09174999999999998</v>
      </c>
      <c r="E652" s="224">
        <f t="shared" si="32"/>
        <v>0.01055</v>
      </c>
    </row>
    <row r="653" spans="1:5" ht="12.75">
      <c r="A653" s="158" t="s">
        <v>1424</v>
      </c>
      <c r="B653" s="157" t="s">
        <v>703</v>
      </c>
      <c r="C653" s="117" t="str">
        <f t="shared" si="30"/>
        <v>Gualala - Mendocino</v>
      </c>
      <c r="D653" s="223">
        <f t="shared" si="31"/>
        <v>0.11325000000000002</v>
      </c>
      <c r="E653" s="224">
        <f t="shared" si="32"/>
        <v>0.01097</v>
      </c>
    </row>
    <row r="654" spans="1:5" ht="12.75">
      <c r="A654" s="158" t="s">
        <v>1425</v>
      </c>
      <c r="B654" s="157" t="s">
        <v>681</v>
      </c>
      <c r="C654" s="117" t="str">
        <f t="shared" si="30"/>
        <v>Guasti - San Bernardino</v>
      </c>
      <c r="D654" s="223">
        <f t="shared" si="31"/>
        <v>0.13891666666666666</v>
      </c>
      <c r="E654" s="224">
        <f t="shared" si="32"/>
        <v>0.01134</v>
      </c>
    </row>
    <row r="655" spans="1:5" ht="12.75">
      <c r="A655" s="158" t="s">
        <v>1426</v>
      </c>
      <c r="B655" s="157" t="s">
        <v>689</v>
      </c>
      <c r="C655" s="117" t="str">
        <f t="shared" si="30"/>
        <v>Guatay - San Diego</v>
      </c>
      <c r="D655" s="223">
        <f t="shared" si="31"/>
        <v>0.10283333333333333</v>
      </c>
      <c r="E655" s="224">
        <f t="shared" si="32"/>
        <v>0.01076</v>
      </c>
    </row>
    <row r="656" spans="1:5" ht="12.75">
      <c r="A656" s="158" t="s">
        <v>1427</v>
      </c>
      <c r="B656" s="157" t="s">
        <v>687</v>
      </c>
      <c r="C656" s="117" t="str">
        <f t="shared" si="30"/>
        <v>Guerneville - Sonoma</v>
      </c>
      <c r="D656" s="223">
        <f t="shared" si="31"/>
        <v>0.10133333333333334</v>
      </c>
      <c r="E656" s="224">
        <f t="shared" si="32"/>
        <v>0.01115</v>
      </c>
    </row>
    <row r="657" spans="1:5" ht="12.75">
      <c r="A657" s="158" t="s">
        <v>1428</v>
      </c>
      <c r="B657" s="157" t="s">
        <v>906</v>
      </c>
      <c r="C657" s="117" t="str">
        <f t="shared" si="30"/>
        <v>Guinda - Yolo</v>
      </c>
      <c r="D657" s="223">
        <f t="shared" si="31"/>
        <v>0.13033333333333333</v>
      </c>
      <c r="E657" s="224">
        <f t="shared" si="32"/>
        <v>0.01054</v>
      </c>
    </row>
    <row r="658" spans="1:5" ht="12.75">
      <c r="A658" s="158" t="s">
        <v>1429</v>
      </c>
      <c r="B658" s="157" t="s">
        <v>780</v>
      </c>
      <c r="C658" s="117" t="str">
        <f t="shared" si="30"/>
        <v>Gustine - Merced</v>
      </c>
      <c r="D658" s="223">
        <f t="shared" si="31"/>
        <v>0.1885</v>
      </c>
      <c r="E658" s="224">
        <f t="shared" si="32"/>
        <v>0.01061</v>
      </c>
    </row>
    <row r="659" spans="1:5" ht="12.75">
      <c r="A659" s="158" t="s">
        <v>1430</v>
      </c>
      <c r="B659" s="157" t="s">
        <v>677</v>
      </c>
      <c r="C659" s="117" t="str">
        <f t="shared" si="30"/>
        <v>Hacienda Heights - Los Angeles</v>
      </c>
      <c r="D659" s="223">
        <f t="shared" si="31"/>
        <v>0.12533333333333332</v>
      </c>
      <c r="E659" s="224">
        <f t="shared" si="32"/>
        <v>0.01168</v>
      </c>
    </row>
    <row r="660" spans="1:5" ht="12.75">
      <c r="A660" s="158" t="s">
        <v>1431</v>
      </c>
      <c r="B660" s="157" t="s">
        <v>679</v>
      </c>
      <c r="C660" s="117" t="str">
        <f t="shared" si="30"/>
        <v>Halcyon - San Luis Obispo</v>
      </c>
      <c r="D660" s="223">
        <f t="shared" si="31"/>
        <v>0.099</v>
      </c>
      <c r="E660" s="224">
        <f t="shared" si="32"/>
        <v>0.01039</v>
      </c>
    </row>
    <row r="661" spans="1:5" ht="12.75">
      <c r="A661" s="158" t="s">
        <v>1432</v>
      </c>
      <c r="B661" s="157" t="s">
        <v>778</v>
      </c>
      <c r="C661" s="117" t="str">
        <f t="shared" si="30"/>
        <v>Half Moon Bay - San Mateo</v>
      </c>
      <c r="D661" s="223">
        <f t="shared" si="31"/>
        <v>0.08433333333333333</v>
      </c>
      <c r="E661" s="224">
        <f t="shared" si="32"/>
        <v>0.01085</v>
      </c>
    </row>
    <row r="662" spans="1:5" ht="12.75">
      <c r="A662" s="158" t="s">
        <v>1437</v>
      </c>
      <c r="B662" s="157" t="s">
        <v>834</v>
      </c>
      <c r="C662" s="117" t="str">
        <f t="shared" si="30"/>
        <v>Hamilton A.F.B.  - Marin</v>
      </c>
      <c r="D662" s="223">
        <f t="shared" si="31"/>
        <v>0.08033333333333333</v>
      </c>
      <c r="E662" s="224">
        <f t="shared" si="32"/>
        <v>0.01105</v>
      </c>
    </row>
    <row r="663" spans="1:5" ht="12.75">
      <c r="A663" s="158" t="s">
        <v>1438</v>
      </c>
      <c r="B663" s="157" t="s">
        <v>770</v>
      </c>
      <c r="C663" s="117" t="str">
        <f t="shared" si="30"/>
        <v>Hamilton City - Glenn</v>
      </c>
      <c r="D663" s="223">
        <f t="shared" si="31"/>
        <v>0.16558333333333333</v>
      </c>
      <c r="E663" s="224">
        <f t="shared" si="32"/>
        <v>0.0105</v>
      </c>
    </row>
    <row r="664" spans="1:5" ht="12.75">
      <c r="A664" s="158" t="s">
        <v>1439</v>
      </c>
      <c r="B664" s="157" t="s">
        <v>760</v>
      </c>
      <c r="C664" s="117" t="str">
        <f t="shared" si="30"/>
        <v>Hanford - Kings</v>
      </c>
      <c r="D664" s="223">
        <f t="shared" si="31"/>
        <v>0.16516666666666666</v>
      </c>
      <c r="E664" s="224">
        <f t="shared" si="32"/>
        <v>0.01075</v>
      </c>
    </row>
    <row r="665" spans="1:5" ht="12.75">
      <c r="A665" s="158" t="s">
        <v>1440</v>
      </c>
      <c r="B665" s="157" t="s">
        <v>1012</v>
      </c>
      <c r="C665" s="117" t="str">
        <f t="shared" si="30"/>
        <v>Happy Camp - Siskiyou</v>
      </c>
      <c r="D665" s="223">
        <f t="shared" si="31"/>
        <v>0.17858333333333332</v>
      </c>
      <c r="E665" s="224">
        <f t="shared" si="32"/>
        <v>0.01038</v>
      </c>
    </row>
    <row r="666" spans="1:5" ht="12.75">
      <c r="A666" s="158" t="s">
        <v>1441</v>
      </c>
      <c r="B666" s="157" t="s">
        <v>677</v>
      </c>
      <c r="C666" s="117" t="str">
        <f t="shared" si="30"/>
        <v>Harbor City  - Los Angeles</v>
      </c>
      <c r="D666" s="223">
        <f t="shared" si="31"/>
        <v>0.12533333333333332</v>
      </c>
      <c r="E666" s="224">
        <f t="shared" si="32"/>
        <v>0.01168</v>
      </c>
    </row>
    <row r="667" spans="1:5" ht="12.75">
      <c r="A667" s="158" t="s">
        <v>1442</v>
      </c>
      <c r="B667" s="157" t="s">
        <v>679</v>
      </c>
      <c r="C667" s="117" t="str">
        <f t="shared" si="30"/>
        <v>Harmony - San Luis Obispo</v>
      </c>
      <c r="D667" s="223">
        <f t="shared" si="31"/>
        <v>0.099</v>
      </c>
      <c r="E667" s="224">
        <f t="shared" si="32"/>
        <v>0.01039</v>
      </c>
    </row>
    <row r="668" spans="1:5" ht="12.75">
      <c r="A668" s="158" t="s">
        <v>1443</v>
      </c>
      <c r="B668" s="157" t="s">
        <v>705</v>
      </c>
      <c r="C668" s="117" t="str">
        <f t="shared" si="30"/>
        <v>Harris - Humboldt</v>
      </c>
      <c r="D668" s="223">
        <f t="shared" si="31"/>
        <v>0.11391666666666665</v>
      </c>
      <c r="E668" s="224">
        <f t="shared" si="32"/>
        <v>0.01055</v>
      </c>
    </row>
    <row r="669" spans="1:5" ht="12.75">
      <c r="A669" s="158" t="s">
        <v>1444</v>
      </c>
      <c r="B669" s="157" t="s">
        <v>738</v>
      </c>
      <c r="C669" s="117" t="str">
        <f t="shared" si="30"/>
        <v>Hat Creek - Shasta</v>
      </c>
      <c r="D669" s="223">
        <f t="shared" si="31"/>
        <v>0.15616666666666668</v>
      </c>
      <c r="E669" s="224">
        <f t="shared" si="32"/>
        <v>0.01085</v>
      </c>
    </row>
    <row r="670" spans="1:5" ht="12.75">
      <c r="A670" s="158" t="s">
        <v>1445</v>
      </c>
      <c r="B670" s="157" t="s">
        <v>725</v>
      </c>
      <c r="C670" s="117" t="str">
        <f t="shared" si="30"/>
        <v>Hathaway Pines - Calaveras</v>
      </c>
      <c r="D670" s="223">
        <f t="shared" si="31"/>
        <v>0.1545833333333333</v>
      </c>
      <c r="E670" s="224">
        <f t="shared" si="32"/>
        <v>0.01075</v>
      </c>
    </row>
    <row r="671" spans="1:5" ht="12.75">
      <c r="A671" s="158" t="s">
        <v>1446</v>
      </c>
      <c r="B671" s="157" t="s">
        <v>681</v>
      </c>
      <c r="C671" s="117" t="str">
        <f t="shared" si="30"/>
        <v>Havasu Lake - San Bernardino</v>
      </c>
      <c r="D671" s="223">
        <f t="shared" si="31"/>
        <v>0.13891666666666666</v>
      </c>
      <c r="E671" s="224">
        <f t="shared" si="32"/>
        <v>0.01134</v>
      </c>
    </row>
    <row r="672" spans="1:5" ht="12.75">
      <c r="A672" s="158" t="s">
        <v>1447</v>
      </c>
      <c r="B672" s="157" t="s">
        <v>677</v>
      </c>
      <c r="C672" s="117" t="str">
        <f t="shared" si="30"/>
        <v>Hawaiian Gardens - Los Angeles</v>
      </c>
      <c r="D672" s="223">
        <f t="shared" si="31"/>
        <v>0.12533333333333332</v>
      </c>
      <c r="E672" s="224">
        <f t="shared" si="32"/>
        <v>0.01168</v>
      </c>
    </row>
    <row r="673" spans="1:5" ht="12.75">
      <c r="A673" s="158" t="s">
        <v>1448</v>
      </c>
      <c r="B673" s="157" t="s">
        <v>677</v>
      </c>
      <c r="C673" s="117" t="str">
        <f t="shared" si="30"/>
        <v>Hawthorne - Los Angeles</v>
      </c>
      <c r="D673" s="223">
        <f t="shared" si="31"/>
        <v>0.12533333333333332</v>
      </c>
      <c r="E673" s="224">
        <f t="shared" si="32"/>
        <v>0.01168</v>
      </c>
    </row>
    <row r="674" spans="1:5" ht="12.75">
      <c r="A674" s="158" t="s">
        <v>1449</v>
      </c>
      <c r="B674" s="157" t="s">
        <v>849</v>
      </c>
      <c r="C674" s="117" t="str">
        <f t="shared" si="30"/>
        <v>Hayfork - Trinity</v>
      </c>
      <c r="D674" s="223">
        <f t="shared" si="31"/>
        <v>0.18466666666666667</v>
      </c>
      <c r="E674" s="224">
        <f t="shared" si="32"/>
        <v>0.010129999999999998</v>
      </c>
    </row>
    <row r="675" spans="1:5" ht="12.75">
      <c r="A675" s="158" t="s">
        <v>1450</v>
      </c>
      <c r="B675" s="157" t="s">
        <v>697</v>
      </c>
      <c r="C675" s="117" t="str">
        <f t="shared" si="30"/>
        <v>Hayward - Alameda</v>
      </c>
      <c r="D675" s="223">
        <f t="shared" si="31"/>
        <v>0.10916666666666666</v>
      </c>
      <c r="E675" s="224">
        <f t="shared" si="32"/>
        <v>0.011890000000000001</v>
      </c>
    </row>
    <row r="676" spans="1:5" ht="12.75">
      <c r="A676" s="158" t="s">
        <v>1451</v>
      </c>
      <c r="B676" s="157" t="s">
        <v>677</v>
      </c>
      <c r="C676" s="117" t="str">
        <f t="shared" si="30"/>
        <v>Hazard - Los Angeles</v>
      </c>
      <c r="D676" s="223">
        <f t="shared" si="31"/>
        <v>0.12533333333333332</v>
      </c>
      <c r="E676" s="224">
        <f t="shared" si="32"/>
        <v>0.01168</v>
      </c>
    </row>
    <row r="677" spans="1:5" ht="12.75">
      <c r="A677" s="158" t="s">
        <v>1452</v>
      </c>
      <c r="B677" s="157" t="s">
        <v>687</v>
      </c>
      <c r="C677" s="117" t="str">
        <f t="shared" si="30"/>
        <v>Healdsburg - Sonoma</v>
      </c>
      <c r="D677" s="223">
        <f t="shared" si="31"/>
        <v>0.10133333333333334</v>
      </c>
      <c r="E677" s="224">
        <f t="shared" si="32"/>
        <v>0.01115</v>
      </c>
    </row>
    <row r="678" spans="1:5" ht="12.75">
      <c r="A678" s="158" t="s">
        <v>1453</v>
      </c>
      <c r="B678" s="157" t="s">
        <v>807</v>
      </c>
      <c r="C678" s="117" t="str">
        <f t="shared" si="30"/>
        <v>Heber - Imperial</v>
      </c>
      <c r="D678" s="223">
        <f t="shared" si="31"/>
        <v>0.29941666666666666</v>
      </c>
      <c r="E678" s="224">
        <f t="shared" si="32"/>
        <v>0.01052</v>
      </c>
    </row>
    <row r="679" spans="1:5" ht="12.75">
      <c r="A679" s="158" t="s">
        <v>1454</v>
      </c>
      <c r="B679" s="157" t="s">
        <v>849</v>
      </c>
      <c r="C679" s="117" t="str">
        <f t="shared" si="30"/>
        <v>Helena - Trinity</v>
      </c>
      <c r="D679" s="223">
        <f t="shared" si="31"/>
        <v>0.18466666666666667</v>
      </c>
      <c r="E679" s="224">
        <f t="shared" si="32"/>
        <v>0.010129999999999998</v>
      </c>
    </row>
    <row r="680" spans="1:5" ht="12.75">
      <c r="A680" s="158" t="s">
        <v>1455</v>
      </c>
      <c r="B680" s="157" t="s">
        <v>681</v>
      </c>
      <c r="C680" s="117" t="str">
        <f t="shared" si="30"/>
        <v>Helendale - San Bernardino</v>
      </c>
      <c r="D680" s="223">
        <f t="shared" si="31"/>
        <v>0.13891666666666666</v>
      </c>
      <c r="E680" s="224">
        <f t="shared" si="32"/>
        <v>0.01134</v>
      </c>
    </row>
    <row r="681" spans="1:5" ht="12.75">
      <c r="A681" s="158" t="s">
        <v>1456</v>
      </c>
      <c r="B681" s="157" t="s">
        <v>783</v>
      </c>
      <c r="C681" s="117" t="str">
        <f t="shared" si="30"/>
        <v>Helm - Fresno</v>
      </c>
      <c r="D681" s="223">
        <f t="shared" si="31"/>
        <v>0.1685</v>
      </c>
      <c r="E681" s="224">
        <f t="shared" si="32"/>
        <v>0.01165</v>
      </c>
    </row>
    <row r="682" spans="1:5" ht="12.75">
      <c r="A682" s="158" t="s">
        <v>1457</v>
      </c>
      <c r="B682" s="157" t="s">
        <v>692</v>
      </c>
      <c r="C682" s="117" t="str">
        <f t="shared" si="30"/>
        <v>Hemet - Riverside</v>
      </c>
      <c r="D682" s="223">
        <f t="shared" si="31"/>
        <v>0.144</v>
      </c>
      <c r="E682" s="224">
        <f t="shared" si="32"/>
        <v>0.01089</v>
      </c>
    </row>
    <row r="683" spans="1:5" ht="12.75">
      <c r="A683" s="158" t="s">
        <v>1458</v>
      </c>
      <c r="B683" s="157" t="s">
        <v>744</v>
      </c>
      <c r="C683" s="117" t="str">
        <f t="shared" si="30"/>
        <v>Herald - Sacramento</v>
      </c>
      <c r="D683" s="223">
        <f t="shared" si="31"/>
        <v>0.12641666666666665</v>
      </c>
      <c r="E683" s="224">
        <f t="shared" si="32"/>
        <v>0.01087</v>
      </c>
    </row>
    <row r="684" spans="1:5" ht="12.75">
      <c r="A684" s="158" t="s">
        <v>1459</v>
      </c>
      <c r="B684" s="157" t="s">
        <v>699</v>
      </c>
      <c r="C684" s="117" t="str">
        <f t="shared" si="30"/>
        <v>Hercules - Contra Costa</v>
      </c>
      <c r="D684" s="223">
        <f t="shared" si="31"/>
        <v>0.10966666666666666</v>
      </c>
      <c r="E684" s="224">
        <f t="shared" si="32"/>
        <v>0.011080000000000001</v>
      </c>
    </row>
    <row r="685" spans="1:5" ht="12.75">
      <c r="A685" s="158" t="s">
        <v>1460</v>
      </c>
      <c r="B685" s="157" t="s">
        <v>847</v>
      </c>
      <c r="C685" s="117" t="str">
        <f t="shared" si="30"/>
        <v>Herlong - Lassen</v>
      </c>
      <c r="D685" s="223">
        <f t="shared" si="31"/>
        <v>0.1388333333333333</v>
      </c>
      <c r="E685" s="224">
        <f t="shared" si="32"/>
        <v>0.01024</v>
      </c>
    </row>
    <row r="686" spans="1:5" ht="12.75">
      <c r="A686" s="158" t="s">
        <v>1461</v>
      </c>
      <c r="B686" s="157" t="s">
        <v>677</v>
      </c>
      <c r="C686" s="117" t="str">
        <f t="shared" si="30"/>
        <v>Hermosa Beach - Los Angeles</v>
      </c>
      <c r="D686" s="223">
        <f t="shared" si="31"/>
        <v>0.12533333333333332</v>
      </c>
      <c r="E686" s="224">
        <f t="shared" si="32"/>
        <v>0.01168</v>
      </c>
    </row>
    <row r="687" spans="1:5" ht="12.75">
      <c r="A687" s="158" t="s">
        <v>1462</v>
      </c>
      <c r="B687" s="157" t="s">
        <v>783</v>
      </c>
      <c r="C687" s="117" t="str">
        <f t="shared" si="30"/>
        <v>Herndon - Fresno</v>
      </c>
      <c r="D687" s="223">
        <f t="shared" si="31"/>
        <v>0.1685</v>
      </c>
      <c r="E687" s="224">
        <f t="shared" si="32"/>
        <v>0.01165</v>
      </c>
    </row>
    <row r="688" spans="1:5" ht="12.75">
      <c r="A688" s="158" t="s">
        <v>1463</v>
      </c>
      <c r="B688" s="157" t="s">
        <v>681</v>
      </c>
      <c r="C688" s="117" t="str">
        <f t="shared" si="30"/>
        <v>Hesperia - San Bernardino</v>
      </c>
      <c r="D688" s="223">
        <f t="shared" si="31"/>
        <v>0.13891666666666666</v>
      </c>
      <c r="E688" s="224">
        <f t="shared" si="32"/>
        <v>0.01134</v>
      </c>
    </row>
    <row r="689" spans="1:5" ht="12.75">
      <c r="A689" s="158" t="s">
        <v>1464</v>
      </c>
      <c r="B689" s="157" t="s">
        <v>697</v>
      </c>
      <c r="C689" s="117" t="str">
        <f t="shared" si="30"/>
        <v>Heyer - Alameda</v>
      </c>
      <c r="D689" s="223">
        <f t="shared" si="31"/>
        <v>0.10916666666666666</v>
      </c>
      <c r="E689" s="224">
        <f t="shared" si="32"/>
        <v>0.011890000000000001</v>
      </c>
    </row>
    <row r="690" spans="1:5" ht="12.75">
      <c r="A690" s="158" t="s">
        <v>1465</v>
      </c>
      <c r="B690" s="157" t="s">
        <v>1162</v>
      </c>
      <c r="C690" s="117" t="str">
        <f t="shared" si="30"/>
        <v>Hickman - Stanislaus</v>
      </c>
      <c r="D690" s="223">
        <f t="shared" si="31"/>
        <v>0.1716666666666667</v>
      </c>
      <c r="E690" s="224">
        <f t="shared" si="32"/>
        <v>0.01093</v>
      </c>
    </row>
    <row r="691" spans="1:5" ht="12.75">
      <c r="A691" s="158" t="s">
        <v>1466</v>
      </c>
      <c r="B691" s="157" t="s">
        <v>677</v>
      </c>
      <c r="C691" s="117" t="str">
        <f t="shared" si="30"/>
        <v>Hidden Hills - Los Angeles</v>
      </c>
      <c r="D691" s="223">
        <f t="shared" si="31"/>
        <v>0.12533333333333332</v>
      </c>
      <c r="E691" s="224">
        <f t="shared" si="32"/>
        <v>0.01168</v>
      </c>
    </row>
    <row r="692" spans="1:5" ht="12.75">
      <c r="A692" s="158" t="s">
        <v>1467</v>
      </c>
      <c r="B692" s="157" t="s">
        <v>692</v>
      </c>
      <c r="C692" s="117" t="str">
        <f t="shared" si="30"/>
        <v>Highgrove - Riverside</v>
      </c>
      <c r="D692" s="223">
        <f t="shared" si="31"/>
        <v>0.144</v>
      </c>
      <c r="E692" s="224">
        <f t="shared" si="32"/>
        <v>0.01089</v>
      </c>
    </row>
    <row r="693" spans="1:5" ht="12.75">
      <c r="A693" s="158" t="s">
        <v>1468</v>
      </c>
      <c r="B693" s="157" t="s">
        <v>681</v>
      </c>
      <c r="C693" s="117" t="str">
        <f t="shared" si="30"/>
        <v>Highland - San Bernardino</v>
      </c>
      <c r="D693" s="223">
        <f t="shared" si="31"/>
        <v>0.13891666666666666</v>
      </c>
      <c r="E693" s="224">
        <f t="shared" si="32"/>
        <v>0.01134</v>
      </c>
    </row>
    <row r="694" spans="1:5" ht="12.75">
      <c r="A694" s="158" t="s">
        <v>1469</v>
      </c>
      <c r="B694" s="157" t="s">
        <v>677</v>
      </c>
      <c r="C694" s="117" t="str">
        <f t="shared" si="30"/>
        <v>Highland Park  - Los Angeles</v>
      </c>
      <c r="D694" s="223">
        <f t="shared" si="31"/>
        <v>0.12533333333333332</v>
      </c>
      <c r="E694" s="224">
        <f t="shared" si="32"/>
        <v>0.01168</v>
      </c>
    </row>
    <row r="695" spans="1:5" ht="12.75">
      <c r="A695" s="158" t="s">
        <v>1470</v>
      </c>
      <c r="B695" s="157" t="s">
        <v>783</v>
      </c>
      <c r="C695" s="117" t="str">
        <f t="shared" si="30"/>
        <v>Highway City  - Fresno</v>
      </c>
      <c r="D695" s="223">
        <f t="shared" si="31"/>
        <v>0.1685</v>
      </c>
      <c r="E695" s="224">
        <f t="shared" si="32"/>
        <v>0.01165</v>
      </c>
    </row>
    <row r="696" spans="1:5" ht="12.75">
      <c r="A696" s="158" t="s">
        <v>1471</v>
      </c>
      <c r="B696" s="157" t="s">
        <v>689</v>
      </c>
      <c r="C696" s="117" t="str">
        <f t="shared" si="30"/>
        <v>Hillcrest  - San Diego</v>
      </c>
      <c r="D696" s="223">
        <f t="shared" si="31"/>
        <v>0.10283333333333333</v>
      </c>
      <c r="E696" s="224">
        <f t="shared" si="32"/>
        <v>0.01076</v>
      </c>
    </row>
    <row r="697" spans="1:5" ht="12.75">
      <c r="A697" s="158" t="s">
        <v>1472</v>
      </c>
      <c r="B697" s="157" t="s">
        <v>778</v>
      </c>
      <c r="C697" s="117" t="str">
        <f t="shared" si="30"/>
        <v>Hillsborough - San Mateo</v>
      </c>
      <c r="D697" s="223">
        <f t="shared" si="31"/>
        <v>0.08433333333333333</v>
      </c>
      <c r="E697" s="224">
        <f t="shared" si="32"/>
        <v>0.01085</v>
      </c>
    </row>
    <row r="698" spans="1:5" ht="12.75">
      <c r="A698" s="158" t="s">
        <v>1473</v>
      </c>
      <c r="B698" s="157" t="s">
        <v>778</v>
      </c>
      <c r="C698" s="117" t="str">
        <f t="shared" si="30"/>
        <v>Hillsdale  - San Mateo</v>
      </c>
      <c r="D698" s="223">
        <f t="shared" si="31"/>
        <v>0.08433333333333333</v>
      </c>
      <c r="E698" s="224">
        <f t="shared" si="32"/>
        <v>0.01085</v>
      </c>
    </row>
    <row r="699" spans="1:5" ht="12.75">
      <c r="A699" s="158" t="s">
        <v>1474</v>
      </c>
      <c r="B699" s="157" t="s">
        <v>780</v>
      </c>
      <c r="C699" s="117" t="str">
        <f t="shared" si="30"/>
        <v>Hilmar - Merced</v>
      </c>
      <c r="D699" s="223">
        <f t="shared" si="31"/>
        <v>0.1885</v>
      </c>
      <c r="E699" s="224">
        <f t="shared" si="32"/>
        <v>0.01061</v>
      </c>
    </row>
    <row r="700" spans="1:5" ht="12.75">
      <c r="A700" s="158" t="s">
        <v>1475</v>
      </c>
      <c r="B700" s="157" t="s">
        <v>1012</v>
      </c>
      <c r="C700" s="117" t="str">
        <f t="shared" si="30"/>
        <v>Hilt - Siskiyou</v>
      </c>
      <c r="D700" s="223">
        <f t="shared" si="31"/>
        <v>0.17858333333333332</v>
      </c>
      <c r="E700" s="224">
        <f t="shared" si="32"/>
        <v>0.01038</v>
      </c>
    </row>
    <row r="701" spans="1:5" ht="12.75">
      <c r="A701" s="158" t="s">
        <v>1476</v>
      </c>
      <c r="B701" s="157" t="s">
        <v>681</v>
      </c>
      <c r="C701" s="117" t="str">
        <f t="shared" si="30"/>
        <v>Hinkley - San Bernardino</v>
      </c>
      <c r="D701" s="223">
        <f t="shared" si="31"/>
        <v>0.13891666666666666</v>
      </c>
      <c r="E701" s="224">
        <f t="shared" si="32"/>
        <v>0.01134</v>
      </c>
    </row>
    <row r="702" spans="1:5" ht="12.75">
      <c r="A702" s="158" t="s">
        <v>1477</v>
      </c>
      <c r="B702" s="157" t="s">
        <v>102</v>
      </c>
      <c r="C702" s="117" t="str">
        <f t="shared" si="30"/>
        <v>Hobergs - Lake</v>
      </c>
      <c r="D702" s="223">
        <f t="shared" si="31"/>
        <v>0.18208333333333332</v>
      </c>
      <c r="E702" s="224">
        <f t="shared" si="32"/>
        <v>0.01068</v>
      </c>
    </row>
    <row r="703" spans="1:5" ht="12.75">
      <c r="A703" s="158" t="s">
        <v>1478</v>
      </c>
      <c r="B703" s="157" t="s">
        <v>1479</v>
      </c>
      <c r="C703" s="117" t="str">
        <f t="shared" si="30"/>
        <v>Hollister - San Benito</v>
      </c>
      <c r="D703" s="223">
        <f t="shared" si="31"/>
        <v>0.1704166666666667</v>
      </c>
      <c r="E703" s="224">
        <f t="shared" si="32"/>
        <v>0.01142</v>
      </c>
    </row>
    <row r="704" spans="1:5" ht="12.75">
      <c r="A704" s="158" t="s">
        <v>1480</v>
      </c>
      <c r="B704" s="157" t="s">
        <v>677</v>
      </c>
      <c r="C704" s="117" t="str">
        <f t="shared" si="30"/>
        <v>Hollywood  - Los Angeles</v>
      </c>
      <c r="D704" s="223">
        <f t="shared" si="31"/>
        <v>0.12533333333333332</v>
      </c>
      <c r="E704" s="224">
        <f t="shared" si="32"/>
        <v>0.01168</v>
      </c>
    </row>
    <row r="705" spans="1:5" ht="12.75">
      <c r="A705" s="158" t="s">
        <v>1481</v>
      </c>
      <c r="B705" s="157" t="s">
        <v>705</v>
      </c>
      <c r="C705" s="117" t="str">
        <f t="shared" si="30"/>
        <v>Holmes - Humboldt</v>
      </c>
      <c r="D705" s="223">
        <f t="shared" si="31"/>
        <v>0.11391666666666665</v>
      </c>
      <c r="E705" s="224">
        <f t="shared" si="32"/>
        <v>0.01055</v>
      </c>
    </row>
    <row r="706" spans="1:5" ht="12.75">
      <c r="A706" s="158" t="s">
        <v>1482</v>
      </c>
      <c r="B706" s="157" t="s">
        <v>675</v>
      </c>
      <c r="C706" s="117" t="str">
        <f t="shared" si="30"/>
        <v>Holt - San Joaquin</v>
      </c>
      <c r="D706" s="223">
        <f t="shared" si="31"/>
        <v>0.17300000000000001</v>
      </c>
      <c r="E706" s="224">
        <f t="shared" si="32"/>
        <v>0.01113</v>
      </c>
    </row>
    <row r="707" spans="1:5" ht="12.75">
      <c r="A707" s="158" t="s">
        <v>1483</v>
      </c>
      <c r="B707" s="157" t="s">
        <v>807</v>
      </c>
      <c r="C707" s="117" t="str">
        <f t="shared" si="30"/>
        <v>Holtville - Imperial</v>
      </c>
      <c r="D707" s="223">
        <f t="shared" si="31"/>
        <v>0.29941666666666666</v>
      </c>
      <c r="E707" s="224">
        <f t="shared" si="32"/>
        <v>0.01052</v>
      </c>
    </row>
    <row r="708" spans="1:5" ht="12.75">
      <c r="A708" s="158" t="s">
        <v>1484</v>
      </c>
      <c r="B708" s="157" t="s">
        <v>712</v>
      </c>
      <c r="C708" s="117" t="str">
        <f t="shared" si="30"/>
        <v>Holy City - Santa Clara</v>
      </c>
      <c r="D708" s="223">
        <f t="shared" si="31"/>
        <v>0.10433333333333333</v>
      </c>
      <c r="E708" s="224">
        <f t="shared" si="32"/>
        <v>0.011810000000000001</v>
      </c>
    </row>
    <row r="709" spans="1:5" ht="12.75">
      <c r="A709" s="158" t="s">
        <v>1485</v>
      </c>
      <c r="B709" s="157" t="s">
        <v>692</v>
      </c>
      <c r="C709" s="117" t="str">
        <f t="shared" si="30"/>
        <v>Homeland - Riverside</v>
      </c>
      <c r="D709" s="223">
        <f t="shared" si="31"/>
        <v>0.144</v>
      </c>
      <c r="E709" s="224">
        <f t="shared" si="32"/>
        <v>0.01089</v>
      </c>
    </row>
    <row r="710" spans="1:5" ht="12.75">
      <c r="A710" s="158" t="s">
        <v>1486</v>
      </c>
      <c r="B710" s="157" t="s">
        <v>772</v>
      </c>
      <c r="C710" s="117" t="str">
        <f t="shared" si="30"/>
        <v>Homestead - Kern</v>
      </c>
      <c r="D710" s="223">
        <f t="shared" si="31"/>
        <v>0.15741666666666668</v>
      </c>
      <c r="E710" s="224">
        <f t="shared" si="32"/>
        <v>0.01114</v>
      </c>
    </row>
    <row r="711" spans="1:5" ht="12.75">
      <c r="A711" s="158" t="s">
        <v>1486</v>
      </c>
      <c r="B711" s="157" t="s">
        <v>692</v>
      </c>
      <c r="C711" s="117" t="str">
        <f aca="true" t="shared" si="33" ref="C711:C774">A711&amp;" - "&amp;B711</f>
        <v>Homestead - Riverside</v>
      </c>
      <c r="D711" s="223">
        <f t="shared" si="31"/>
        <v>0.144</v>
      </c>
      <c r="E711" s="224">
        <f t="shared" si="32"/>
        <v>0.01089</v>
      </c>
    </row>
    <row r="712" spans="1:5" ht="12.75">
      <c r="A712" s="158" t="s">
        <v>1487</v>
      </c>
      <c r="B712" s="157" t="s">
        <v>721</v>
      </c>
      <c r="C712" s="117" t="str">
        <f t="shared" si="33"/>
        <v>Homewood - Placer</v>
      </c>
      <c r="D712" s="223">
        <f aca="true" t="shared" si="34" ref="D712:D775">VLOOKUP(B712,unemployment_rates,2,FALSE)</f>
        <v>0.11291666666666667</v>
      </c>
      <c r="E712" s="224">
        <f aca="true" t="shared" si="35" ref="E712:E775">VLOOKUP(B712,Prop_Tax_Rates,2,FALSE)</f>
        <v>0.010629999999999999</v>
      </c>
    </row>
    <row r="713" spans="1:5" ht="12.75">
      <c r="A713" s="158" t="s">
        <v>1488</v>
      </c>
      <c r="B713" s="157" t="s">
        <v>677</v>
      </c>
      <c r="C713" s="117" t="str">
        <f t="shared" si="33"/>
        <v>Honby - Los Angeles</v>
      </c>
      <c r="D713" s="223">
        <f t="shared" si="34"/>
        <v>0.12533333333333332</v>
      </c>
      <c r="E713" s="224">
        <f t="shared" si="35"/>
        <v>0.01168</v>
      </c>
    </row>
    <row r="714" spans="1:5" ht="12.75">
      <c r="A714" s="158" t="s">
        <v>1489</v>
      </c>
      <c r="B714" s="157" t="s">
        <v>705</v>
      </c>
      <c r="C714" s="117" t="str">
        <f t="shared" si="33"/>
        <v>Honeydew - Humboldt</v>
      </c>
      <c r="D714" s="223">
        <f t="shared" si="34"/>
        <v>0.11391666666666665</v>
      </c>
      <c r="E714" s="224">
        <f t="shared" si="35"/>
        <v>0.01055</v>
      </c>
    </row>
    <row r="715" spans="1:5" ht="12.75">
      <c r="A715" s="158" t="s">
        <v>1490</v>
      </c>
      <c r="B715" s="157" t="s">
        <v>744</v>
      </c>
      <c r="C715" s="117" t="str">
        <f t="shared" si="33"/>
        <v>Hood - Sacramento</v>
      </c>
      <c r="D715" s="223">
        <f t="shared" si="34"/>
        <v>0.12641666666666665</v>
      </c>
      <c r="E715" s="224">
        <f t="shared" si="35"/>
        <v>0.01087</v>
      </c>
    </row>
    <row r="716" spans="1:5" ht="12.75">
      <c r="A716" s="158" t="s">
        <v>1491</v>
      </c>
      <c r="B716" s="157" t="s">
        <v>705</v>
      </c>
      <c r="C716" s="117" t="str">
        <f t="shared" si="33"/>
        <v>Hoopa - Humboldt</v>
      </c>
      <c r="D716" s="223">
        <f t="shared" si="34"/>
        <v>0.11391666666666665</v>
      </c>
      <c r="E716" s="224">
        <f t="shared" si="35"/>
        <v>0.01055</v>
      </c>
    </row>
    <row r="717" spans="1:5" ht="12.75">
      <c r="A717" s="158" t="s">
        <v>1492</v>
      </c>
      <c r="B717" s="157" t="s">
        <v>719</v>
      </c>
      <c r="C717" s="117" t="str">
        <f t="shared" si="33"/>
        <v>Hope Valley  - Alpine</v>
      </c>
      <c r="D717" s="223">
        <f t="shared" si="34"/>
        <v>0.16133333333333333</v>
      </c>
      <c r="E717" s="224">
        <f t="shared" si="35"/>
        <v>0.01</v>
      </c>
    </row>
    <row r="718" spans="1:5" ht="12.75">
      <c r="A718" s="158" t="s">
        <v>1493</v>
      </c>
      <c r="B718" s="157" t="s">
        <v>703</v>
      </c>
      <c r="C718" s="117" t="str">
        <f t="shared" si="33"/>
        <v>Hopland - Mendocino</v>
      </c>
      <c r="D718" s="223">
        <f t="shared" si="34"/>
        <v>0.11325000000000002</v>
      </c>
      <c r="E718" s="224">
        <f t="shared" si="35"/>
        <v>0.01097</v>
      </c>
    </row>
    <row r="719" spans="1:5" ht="12.75">
      <c r="A719" s="158" t="s">
        <v>1494</v>
      </c>
      <c r="B719" s="157" t="s">
        <v>1012</v>
      </c>
      <c r="C719" s="117" t="str">
        <f t="shared" si="33"/>
        <v>Hornbrook - Siskiyou</v>
      </c>
      <c r="D719" s="223">
        <f t="shared" si="34"/>
        <v>0.17858333333333332</v>
      </c>
      <c r="E719" s="224">
        <f t="shared" si="35"/>
        <v>0.01038</v>
      </c>
    </row>
    <row r="720" spans="1:5" ht="12.75">
      <c r="A720" s="158" t="s">
        <v>1495</v>
      </c>
      <c r="B720" s="157" t="s">
        <v>823</v>
      </c>
      <c r="C720" s="117" t="str">
        <f t="shared" si="33"/>
        <v>Hornitos - Mariposa</v>
      </c>
      <c r="D720" s="223">
        <f t="shared" si="34"/>
        <v>0.12466666666666669</v>
      </c>
      <c r="E720" s="224">
        <f t="shared" si="35"/>
        <v>0.01005</v>
      </c>
    </row>
    <row r="721" spans="1:5" ht="12.75">
      <c r="A721" s="158" t="s">
        <v>1496</v>
      </c>
      <c r="B721" s="157" t="s">
        <v>1012</v>
      </c>
      <c r="C721" s="117" t="str">
        <f t="shared" si="33"/>
        <v>Horse Creek - Siskiyou</v>
      </c>
      <c r="D721" s="223">
        <f t="shared" si="34"/>
        <v>0.17858333333333332</v>
      </c>
      <c r="E721" s="224">
        <f t="shared" si="35"/>
        <v>0.01038</v>
      </c>
    </row>
    <row r="722" spans="1:5" ht="12.75">
      <c r="A722" s="158" t="s">
        <v>1497</v>
      </c>
      <c r="B722" s="157" t="s">
        <v>847</v>
      </c>
      <c r="C722" s="117" t="str">
        <f t="shared" si="33"/>
        <v>Horse Lake - Lassen</v>
      </c>
      <c r="D722" s="223">
        <f t="shared" si="34"/>
        <v>0.1388333333333333</v>
      </c>
      <c r="E722" s="224">
        <f t="shared" si="35"/>
        <v>0.01024</v>
      </c>
    </row>
    <row r="723" spans="1:5" ht="12.75">
      <c r="A723" s="158" t="s">
        <v>1498</v>
      </c>
      <c r="B723" s="157" t="s">
        <v>1162</v>
      </c>
      <c r="C723" s="117" t="str">
        <f t="shared" si="33"/>
        <v>Hughson - Stanislaus</v>
      </c>
      <c r="D723" s="223">
        <f t="shared" si="34"/>
        <v>0.1716666666666667</v>
      </c>
      <c r="E723" s="224">
        <f t="shared" si="35"/>
        <v>0.01093</v>
      </c>
    </row>
    <row r="724" spans="1:5" ht="12.75">
      <c r="A724" s="158" t="s">
        <v>1499</v>
      </c>
      <c r="B724" s="157" t="s">
        <v>783</v>
      </c>
      <c r="C724" s="117" t="str">
        <f t="shared" si="33"/>
        <v>Hume - Fresno</v>
      </c>
      <c r="D724" s="223">
        <f t="shared" si="34"/>
        <v>0.1685</v>
      </c>
      <c r="E724" s="224">
        <f t="shared" si="35"/>
        <v>0.01165</v>
      </c>
    </row>
    <row r="725" spans="1:5" ht="12.75">
      <c r="A725" s="158" t="s">
        <v>1500</v>
      </c>
      <c r="B725" s="157" t="s">
        <v>708</v>
      </c>
      <c r="C725" s="117" t="str">
        <f t="shared" si="33"/>
        <v>Huntington - Orange</v>
      </c>
      <c r="D725" s="223">
        <f t="shared" si="34"/>
        <v>0.0915</v>
      </c>
      <c r="E725" s="224">
        <f t="shared" si="35"/>
        <v>0.01054</v>
      </c>
    </row>
    <row r="726" spans="1:5" ht="12.75">
      <c r="A726" s="158" t="s">
        <v>1501</v>
      </c>
      <c r="B726" s="157" t="s">
        <v>708</v>
      </c>
      <c r="C726" s="117" t="str">
        <f t="shared" si="33"/>
        <v>Huntington Beach - Orange</v>
      </c>
      <c r="D726" s="223">
        <f t="shared" si="34"/>
        <v>0.0915</v>
      </c>
      <c r="E726" s="224">
        <f t="shared" si="35"/>
        <v>0.01054</v>
      </c>
    </row>
    <row r="727" spans="1:5" ht="12.75">
      <c r="A727" s="158" t="s">
        <v>1502</v>
      </c>
      <c r="B727" s="157" t="s">
        <v>783</v>
      </c>
      <c r="C727" s="117" t="str">
        <f t="shared" si="33"/>
        <v>Huntington Lake - Fresno</v>
      </c>
      <c r="D727" s="223">
        <f t="shared" si="34"/>
        <v>0.1685</v>
      </c>
      <c r="E727" s="224">
        <f t="shared" si="35"/>
        <v>0.01165</v>
      </c>
    </row>
    <row r="728" spans="1:5" ht="12.75">
      <c r="A728" s="158" t="s">
        <v>1503</v>
      </c>
      <c r="B728" s="157" t="s">
        <v>677</v>
      </c>
      <c r="C728" s="117" t="str">
        <f t="shared" si="33"/>
        <v>Huntington Park - Los Angeles</v>
      </c>
      <c r="D728" s="223">
        <f t="shared" si="34"/>
        <v>0.12533333333333332</v>
      </c>
      <c r="E728" s="224">
        <f t="shared" si="35"/>
        <v>0.01168</v>
      </c>
    </row>
    <row r="729" spans="1:5" ht="12.75">
      <c r="A729" s="158" t="s">
        <v>1504</v>
      </c>
      <c r="B729" s="157" t="s">
        <v>783</v>
      </c>
      <c r="C729" s="117" t="str">
        <f t="shared" si="33"/>
        <v>Huron - Fresno</v>
      </c>
      <c r="D729" s="223">
        <f t="shared" si="34"/>
        <v>0.1685</v>
      </c>
      <c r="E729" s="224">
        <f t="shared" si="35"/>
        <v>0.01165</v>
      </c>
    </row>
    <row r="730" spans="1:5" ht="12.75">
      <c r="A730" s="158" t="s">
        <v>1505</v>
      </c>
      <c r="B730" s="157" t="s">
        <v>849</v>
      </c>
      <c r="C730" s="117" t="str">
        <f t="shared" si="33"/>
        <v>Hyampom - Trinity</v>
      </c>
      <c r="D730" s="223">
        <f t="shared" si="34"/>
        <v>0.18466666666666667</v>
      </c>
      <c r="E730" s="224">
        <f t="shared" si="35"/>
        <v>0.010129999999999998</v>
      </c>
    </row>
    <row r="731" spans="1:5" ht="12.75">
      <c r="A731" s="158" t="s">
        <v>1506</v>
      </c>
      <c r="B731" s="157" t="s">
        <v>677</v>
      </c>
      <c r="C731" s="117" t="str">
        <f t="shared" si="33"/>
        <v>Hyde Park  - Los Angeles</v>
      </c>
      <c r="D731" s="223">
        <f t="shared" si="34"/>
        <v>0.12533333333333332</v>
      </c>
      <c r="E731" s="224">
        <f t="shared" si="35"/>
        <v>0.01168</v>
      </c>
    </row>
    <row r="732" spans="1:5" ht="12.75">
      <c r="A732" s="158" t="s">
        <v>1507</v>
      </c>
      <c r="B732" s="157" t="s">
        <v>705</v>
      </c>
      <c r="C732" s="117" t="str">
        <f t="shared" si="33"/>
        <v>Hydesville - Humboldt</v>
      </c>
      <c r="D732" s="223">
        <f t="shared" si="34"/>
        <v>0.11391666666666665</v>
      </c>
      <c r="E732" s="224">
        <f t="shared" si="35"/>
        <v>0.01055</v>
      </c>
    </row>
    <row r="733" spans="1:5" ht="12.75">
      <c r="A733" s="158" t="s">
        <v>1508</v>
      </c>
      <c r="B733" s="157" t="s">
        <v>1479</v>
      </c>
      <c r="C733" s="117" t="str">
        <f t="shared" si="33"/>
        <v>Idria - San Benito</v>
      </c>
      <c r="D733" s="223">
        <f t="shared" si="34"/>
        <v>0.1704166666666667</v>
      </c>
      <c r="E733" s="224">
        <f t="shared" si="35"/>
        <v>0.01142</v>
      </c>
    </row>
    <row r="734" spans="1:5" ht="12.75">
      <c r="A734" s="158" t="s">
        <v>1509</v>
      </c>
      <c r="B734" s="157" t="s">
        <v>692</v>
      </c>
      <c r="C734" s="117" t="str">
        <f t="shared" si="33"/>
        <v>Idyllwild - Riverside</v>
      </c>
      <c r="D734" s="223">
        <f t="shared" si="34"/>
        <v>0.144</v>
      </c>
      <c r="E734" s="224">
        <f t="shared" si="35"/>
        <v>0.01089</v>
      </c>
    </row>
    <row r="735" spans="1:5" ht="12.75">
      <c r="A735" s="158" t="s">
        <v>1510</v>
      </c>
      <c r="B735" s="157" t="s">
        <v>834</v>
      </c>
      <c r="C735" s="117" t="str">
        <f t="shared" si="33"/>
        <v>Ignacio  - Marin</v>
      </c>
      <c r="D735" s="223">
        <f t="shared" si="34"/>
        <v>0.08033333333333333</v>
      </c>
      <c r="E735" s="224">
        <f t="shared" si="35"/>
        <v>0.01105</v>
      </c>
    </row>
    <row r="736" spans="1:5" ht="12.75">
      <c r="A736" s="158" t="s">
        <v>1511</v>
      </c>
      <c r="B736" s="157" t="s">
        <v>738</v>
      </c>
      <c r="C736" s="117" t="str">
        <f t="shared" si="33"/>
        <v>Igo - Shasta</v>
      </c>
      <c r="D736" s="223">
        <f t="shared" si="34"/>
        <v>0.15616666666666668</v>
      </c>
      <c r="E736" s="224">
        <f t="shared" si="35"/>
        <v>0.01085</v>
      </c>
    </row>
    <row r="737" spans="1:5" ht="12.75">
      <c r="A737" s="158" t="s">
        <v>1512</v>
      </c>
      <c r="B737" s="157" t="s">
        <v>735</v>
      </c>
      <c r="C737" s="117" t="str">
        <f t="shared" si="33"/>
        <v>Imola  - Napa</v>
      </c>
      <c r="D737" s="223">
        <f t="shared" si="34"/>
        <v>0.09708333333333334</v>
      </c>
      <c r="E737" s="224">
        <f t="shared" si="35"/>
        <v>0.01093</v>
      </c>
    </row>
    <row r="738" spans="1:5" ht="12.75">
      <c r="A738" s="158" t="s">
        <v>807</v>
      </c>
      <c r="B738" s="157" t="s">
        <v>807</v>
      </c>
      <c r="C738" s="117" t="str">
        <f t="shared" si="33"/>
        <v>Imperial - Imperial</v>
      </c>
      <c r="D738" s="223">
        <f t="shared" si="34"/>
        <v>0.29941666666666666</v>
      </c>
      <c r="E738" s="224">
        <f t="shared" si="35"/>
        <v>0.01052</v>
      </c>
    </row>
    <row r="739" spans="1:5" ht="12.75">
      <c r="A739" s="158" t="s">
        <v>1513</v>
      </c>
      <c r="B739" s="157" t="s">
        <v>689</v>
      </c>
      <c r="C739" s="117" t="str">
        <f t="shared" si="33"/>
        <v>Imperial Beach - San Diego</v>
      </c>
      <c r="D739" s="223">
        <f t="shared" si="34"/>
        <v>0.10283333333333333</v>
      </c>
      <c r="E739" s="224">
        <f t="shared" si="35"/>
        <v>0.01076</v>
      </c>
    </row>
    <row r="740" spans="1:5" ht="12.75">
      <c r="A740" s="158" t="s">
        <v>1514</v>
      </c>
      <c r="B740" s="157" t="s">
        <v>732</v>
      </c>
      <c r="C740" s="117" t="str">
        <f t="shared" si="33"/>
        <v>Independence - Inyo</v>
      </c>
      <c r="D740" s="223">
        <f t="shared" si="34"/>
        <v>0.10058333333333332</v>
      </c>
      <c r="E740" s="224">
        <f t="shared" si="35"/>
        <v>0.01052</v>
      </c>
    </row>
    <row r="741" spans="1:5" ht="12.75">
      <c r="A741" s="158" t="s">
        <v>1515</v>
      </c>
      <c r="B741" s="157" t="s">
        <v>692</v>
      </c>
      <c r="C741" s="117" t="str">
        <f t="shared" si="33"/>
        <v>Indian Wells - Riverside</v>
      </c>
      <c r="D741" s="223">
        <f t="shared" si="34"/>
        <v>0.144</v>
      </c>
      <c r="E741" s="224">
        <f t="shared" si="35"/>
        <v>0.01089</v>
      </c>
    </row>
    <row r="742" spans="1:5" ht="12.75">
      <c r="A742" s="158" t="s">
        <v>1516</v>
      </c>
      <c r="B742" s="157" t="s">
        <v>692</v>
      </c>
      <c r="C742" s="117" t="str">
        <f t="shared" si="33"/>
        <v>Indio - Riverside</v>
      </c>
      <c r="D742" s="223">
        <f t="shared" si="34"/>
        <v>0.144</v>
      </c>
      <c r="E742" s="224">
        <f t="shared" si="35"/>
        <v>0.01089</v>
      </c>
    </row>
    <row r="743" spans="1:5" ht="12.75">
      <c r="A743" s="158" t="s">
        <v>1517</v>
      </c>
      <c r="B743" s="157" t="s">
        <v>677</v>
      </c>
      <c r="C743" s="117" t="str">
        <f t="shared" si="33"/>
        <v>Industry - Los Angeles</v>
      </c>
      <c r="D743" s="223">
        <f t="shared" si="34"/>
        <v>0.12533333333333332</v>
      </c>
      <c r="E743" s="224">
        <f t="shared" si="35"/>
        <v>0.01168</v>
      </c>
    </row>
    <row r="744" spans="1:5" ht="12.75">
      <c r="A744" s="158" t="s">
        <v>1518</v>
      </c>
      <c r="B744" s="157" t="s">
        <v>677</v>
      </c>
      <c r="C744" s="117" t="str">
        <f t="shared" si="33"/>
        <v>Inglewood - Los Angeles</v>
      </c>
      <c r="D744" s="223">
        <f t="shared" si="34"/>
        <v>0.12533333333333332</v>
      </c>
      <c r="E744" s="224">
        <f t="shared" si="35"/>
        <v>0.01168</v>
      </c>
    </row>
    <row r="745" spans="1:5" ht="12.75">
      <c r="A745" s="158" t="s">
        <v>1519</v>
      </c>
      <c r="B745" s="157" t="s">
        <v>834</v>
      </c>
      <c r="C745" s="117" t="str">
        <f t="shared" si="33"/>
        <v>Inverness - Marin</v>
      </c>
      <c r="D745" s="223">
        <f t="shared" si="34"/>
        <v>0.08033333333333333</v>
      </c>
      <c r="E745" s="224">
        <f t="shared" si="35"/>
        <v>0.01105</v>
      </c>
    </row>
    <row r="746" spans="1:5" ht="12.75">
      <c r="A746" s="158" t="s">
        <v>732</v>
      </c>
      <c r="B746" s="157" t="s">
        <v>732</v>
      </c>
      <c r="C746" s="117" t="str">
        <f t="shared" si="33"/>
        <v>Inyo - Inyo</v>
      </c>
      <c r="D746" s="223">
        <f t="shared" si="34"/>
        <v>0.10058333333333332</v>
      </c>
      <c r="E746" s="224">
        <f t="shared" si="35"/>
        <v>0.01052</v>
      </c>
    </row>
    <row r="747" spans="1:5" ht="12.75">
      <c r="A747" s="158" t="s">
        <v>1520</v>
      </c>
      <c r="B747" s="157" t="s">
        <v>772</v>
      </c>
      <c r="C747" s="117" t="str">
        <f t="shared" si="33"/>
        <v>Inyokern - Kern</v>
      </c>
      <c r="D747" s="223">
        <f t="shared" si="34"/>
        <v>0.15741666666666668</v>
      </c>
      <c r="E747" s="224">
        <f t="shared" si="35"/>
        <v>0.01114</v>
      </c>
    </row>
    <row r="748" spans="1:5" ht="12.75">
      <c r="A748" s="158" t="s">
        <v>1521</v>
      </c>
      <c r="B748" s="157" t="s">
        <v>730</v>
      </c>
      <c r="C748" s="117" t="str">
        <f t="shared" si="33"/>
        <v>Ione - Amador</v>
      </c>
      <c r="D748" s="223">
        <f t="shared" si="34"/>
        <v>0.13091666666666668</v>
      </c>
      <c r="E748" s="224">
        <f t="shared" si="35"/>
        <v>0.01015</v>
      </c>
    </row>
    <row r="749" spans="1:5" ht="12.75">
      <c r="A749" s="158" t="s">
        <v>1522</v>
      </c>
      <c r="B749" s="157" t="s">
        <v>721</v>
      </c>
      <c r="C749" s="117" t="str">
        <f t="shared" si="33"/>
        <v>Iowa Hill - Placer</v>
      </c>
      <c r="D749" s="223">
        <f t="shared" si="34"/>
        <v>0.11291666666666667</v>
      </c>
      <c r="E749" s="224">
        <f t="shared" si="35"/>
        <v>0.010629999999999999</v>
      </c>
    </row>
    <row r="750" spans="1:5" ht="12.75">
      <c r="A750" s="158" t="s">
        <v>1523</v>
      </c>
      <c r="B750" s="157" t="s">
        <v>708</v>
      </c>
      <c r="C750" s="117" t="str">
        <f t="shared" si="33"/>
        <v>Irvine - Orange</v>
      </c>
      <c r="D750" s="223">
        <f t="shared" si="34"/>
        <v>0.0915</v>
      </c>
      <c r="E750" s="224">
        <f t="shared" si="35"/>
        <v>0.01054</v>
      </c>
    </row>
    <row r="751" spans="1:5" ht="12.75">
      <c r="A751" s="158" t="s">
        <v>1524</v>
      </c>
      <c r="B751" s="157" t="s">
        <v>677</v>
      </c>
      <c r="C751" s="117" t="str">
        <f t="shared" si="33"/>
        <v>Irwindale - Los Angeles</v>
      </c>
      <c r="D751" s="223">
        <f t="shared" si="34"/>
        <v>0.12533333333333332</v>
      </c>
      <c r="E751" s="224">
        <f t="shared" si="35"/>
        <v>0.01168</v>
      </c>
    </row>
    <row r="752" spans="1:5" ht="12.75">
      <c r="A752" s="158" t="s">
        <v>1525</v>
      </c>
      <c r="B752" s="157" t="s">
        <v>799</v>
      </c>
      <c r="C752" s="117" t="str">
        <f t="shared" si="33"/>
        <v>Isla Vista - Santa Barbara</v>
      </c>
      <c r="D752" s="223">
        <f t="shared" si="34"/>
        <v>0.09174999999999998</v>
      </c>
      <c r="E752" s="224">
        <f t="shared" si="35"/>
        <v>0.01055</v>
      </c>
    </row>
    <row r="753" spans="1:5" ht="12.75">
      <c r="A753" s="158" t="s">
        <v>1526</v>
      </c>
      <c r="B753" s="157" t="s">
        <v>849</v>
      </c>
      <c r="C753" s="117" t="str">
        <f t="shared" si="33"/>
        <v>Island Mountain - Trinity</v>
      </c>
      <c r="D753" s="223">
        <f t="shared" si="34"/>
        <v>0.18466666666666667</v>
      </c>
      <c r="E753" s="224">
        <f t="shared" si="35"/>
        <v>0.010129999999999998</v>
      </c>
    </row>
    <row r="754" spans="1:5" ht="12.75">
      <c r="A754" s="158" t="s">
        <v>1527</v>
      </c>
      <c r="B754" s="157" t="s">
        <v>744</v>
      </c>
      <c r="C754" s="117" t="str">
        <f t="shared" si="33"/>
        <v>Isleton - Sacramento</v>
      </c>
      <c r="D754" s="223">
        <f t="shared" si="34"/>
        <v>0.12641666666666665</v>
      </c>
      <c r="E754" s="224">
        <f t="shared" si="35"/>
        <v>0.01087</v>
      </c>
    </row>
    <row r="755" spans="1:5" ht="12.75">
      <c r="A755" s="158" t="s">
        <v>1528</v>
      </c>
      <c r="B755" s="157" t="s">
        <v>718</v>
      </c>
      <c r="C755" s="117" t="str">
        <f t="shared" si="33"/>
        <v>Ivanhoe - Tulare</v>
      </c>
      <c r="D755" s="223">
        <f t="shared" si="34"/>
        <v>0.16641666666666666</v>
      </c>
      <c r="E755" s="224">
        <f t="shared" si="35"/>
        <v>0.01088</v>
      </c>
    </row>
    <row r="756" spans="1:5" ht="12.75">
      <c r="A756" s="158" t="s">
        <v>1529</v>
      </c>
      <c r="B756" s="157" t="s">
        <v>681</v>
      </c>
      <c r="C756" s="117" t="str">
        <f t="shared" si="33"/>
        <v>Ivanpah - San Bernardino</v>
      </c>
      <c r="D756" s="223">
        <f t="shared" si="34"/>
        <v>0.13891666666666666</v>
      </c>
      <c r="E756" s="224">
        <f t="shared" si="35"/>
        <v>0.01134</v>
      </c>
    </row>
    <row r="757" spans="1:5" ht="12.75">
      <c r="A757" s="158" t="s">
        <v>1530</v>
      </c>
      <c r="B757" s="157" t="s">
        <v>730</v>
      </c>
      <c r="C757" s="117" t="str">
        <f t="shared" si="33"/>
        <v>Jackson - Amador</v>
      </c>
      <c r="D757" s="223">
        <f t="shared" si="34"/>
        <v>0.13091666666666668</v>
      </c>
      <c r="E757" s="224">
        <f t="shared" si="35"/>
        <v>0.01015</v>
      </c>
    </row>
    <row r="758" spans="1:5" ht="12.75">
      <c r="A758" s="158" t="s">
        <v>1531</v>
      </c>
      <c r="B758" s="157" t="s">
        <v>689</v>
      </c>
      <c r="C758" s="117" t="str">
        <f t="shared" si="33"/>
        <v>Jacumba - San Diego</v>
      </c>
      <c r="D758" s="223">
        <f t="shared" si="34"/>
        <v>0.10283333333333333</v>
      </c>
      <c r="E758" s="224">
        <f t="shared" si="35"/>
        <v>0.01076</v>
      </c>
    </row>
    <row r="759" spans="1:5" ht="12.75">
      <c r="A759" s="158" t="s">
        <v>1532</v>
      </c>
      <c r="B759" s="157" t="s">
        <v>689</v>
      </c>
      <c r="C759" s="117" t="str">
        <f t="shared" si="33"/>
        <v>Jamacha - San Diego</v>
      </c>
      <c r="D759" s="223">
        <f t="shared" si="34"/>
        <v>0.10283333333333333</v>
      </c>
      <c r="E759" s="224">
        <f t="shared" si="35"/>
        <v>0.01076</v>
      </c>
    </row>
    <row r="760" spans="1:5" ht="12.75">
      <c r="A760" s="158" t="s">
        <v>1533</v>
      </c>
      <c r="B760" s="157" t="s">
        <v>856</v>
      </c>
      <c r="C760" s="117" t="str">
        <f t="shared" si="33"/>
        <v>Jamestown - Tuolumne</v>
      </c>
      <c r="D760" s="223">
        <f t="shared" si="34"/>
        <v>0.13766666666666666</v>
      </c>
      <c r="E760" s="224">
        <f t="shared" si="35"/>
        <v>0.01042</v>
      </c>
    </row>
    <row r="761" spans="1:5" ht="12.75">
      <c r="A761" s="158" t="s">
        <v>1534</v>
      </c>
      <c r="B761" s="157" t="s">
        <v>689</v>
      </c>
      <c r="C761" s="117" t="str">
        <f t="shared" si="33"/>
        <v>Jamul - San Diego</v>
      </c>
      <c r="D761" s="223">
        <f t="shared" si="34"/>
        <v>0.10283333333333333</v>
      </c>
      <c r="E761" s="224">
        <f t="shared" si="35"/>
        <v>0.01076</v>
      </c>
    </row>
    <row r="762" spans="1:5" ht="12.75">
      <c r="A762" s="158" t="s">
        <v>1535</v>
      </c>
      <c r="B762" s="157" t="s">
        <v>847</v>
      </c>
      <c r="C762" s="117" t="str">
        <f t="shared" si="33"/>
        <v>Janesville - Lassen</v>
      </c>
      <c r="D762" s="223">
        <f t="shared" si="34"/>
        <v>0.1388333333333333</v>
      </c>
      <c r="E762" s="224">
        <f t="shared" si="35"/>
        <v>0.01024</v>
      </c>
    </row>
    <row r="763" spans="1:5" ht="12.75">
      <c r="A763" s="158" t="s">
        <v>1536</v>
      </c>
      <c r="B763" s="157" t="s">
        <v>687</v>
      </c>
      <c r="C763" s="117" t="str">
        <f t="shared" si="33"/>
        <v>Jenner - Sonoma</v>
      </c>
      <c r="D763" s="223">
        <f t="shared" si="34"/>
        <v>0.10133333333333334</v>
      </c>
      <c r="E763" s="224">
        <f t="shared" si="35"/>
        <v>0.01115</v>
      </c>
    </row>
    <row r="764" spans="1:5" ht="12.75">
      <c r="A764" s="158" t="s">
        <v>1537</v>
      </c>
      <c r="B764" s="157" t="s">
        <v>772</v>
      </c>
      <c r="C764" s="117" t="str">
        <f t="shared" si="33"/>
        <v>Johannesburg - Kern</v>
      </c>
      <c r="D764" s="223">
        <f t="shared" si="34"/>
        <v>0.15741666666666668</v>
      </c>
      <c r="E764" s="224">
        <f t="shared" si="35"/>
        <v>0.01114</v>
      </c>
    </row>
    <row r="765" spans="1:5" ht="12.75">
      <c r="A765" s="158" t="s">
        <v>1538</v>
      </c>
      <c r="B765" s="157" t="s">
        <v>718</v>
      </c>
      <c r="C765" s="117" t="str">
        <f t="shared" si="33"/>
        <v>Johnsondale - Tulare</v>
      </c>
      <c r="D765" s="223">
        <f t="shared" si="34"/>
        <v>0.16641666666666666</v>
      </c>
      <c r="E765" s="224">
        <f t="shared" si="35"/>
        <v>0.01088</v>
      </c>
    </row>
    <row r="766" spans="1:5" ht="12.75">
      <c r="A766" s="158" t="s">
        <v>1539</v>
      </c>
      <c r="B766" s="157" t="s">
        <v>847</v>
      </c>
      <c r="C766" s="117" t="str">
        <f t="shared" si="33"/>
        <v>Johnstonville - Lassen</v>
      </c>
      <c r="D766" s="223">
        <f t="shared" si="34"/>
        <v>0.1388333333333333</v>
      </c>
      <c r="E766" s="224">
        <f t="shared" si="35"/>
        <v>0.01024</v>
      </c>
    </row>
    <row r="767" spans="1:5" ht="12.75">
      <c r="A767" s="158" t="s">
        <v>1540</v>
      </c>
      <c r="B767" s="157" t="s">
        <v>689</v>
      </c>
      <c r="C767" s="117" t="str">
        <f t="shared" si="33"/>
        <v>Johnstown - San Diego</v>
      </c>
      <c r="D767" s="223">
        <f t="shared" si="34"/>
        <v>0.10283333333333333</v>
      </c>
      <c r="E767" s="224">
        <f t="shared" si="35"/>
        <v>0.01076</v>
      </c>
    </row>
    <row r="768" spans="1:5" ht="12.75">
      <c r="A768" s="158" t="s">
        <v>1541</v>
      </c>
      <c r="B768" s="157" t="s">
        <v>764</v>
      </c>
      <c r="C768" s="117" t="str">
        <f t="shared" si="33"/>
        <v>Jolon - Monterey</v>
      </c>
      <c r="D768" s="223">
        <f t="shared" si="34"/>
        <v>0.12916666666666665</v>
      </c>
      <c r="E768" s="224">
        <f t="shared" si="35"/>
        <v>0.01084</v>
      </c>
    </row>
    <row r="769" spans="1:5" ht="12.75">
      <c r="A769" s="158" t="s">
        <v>1542</v>
      </c>
      <c r="B769" s="157" t="s">
        <v>681</v>
      </c>
      <c r="C769" s="117" t="str">
        <f t="shared" si="33"/>
        <v>Joshua Tree - San Bernardino</v>
      </c>
      <c r="D769" s="223">
        <f t="shared" si="34"/>
        <v>0.13891666666666666</v>
      </c>
      <c r="E769" s="224">
        <f t="shared" si="35"/>
        <v>0.01134</v>
      </c>
    </row>
    <row r="770" spans="1:5" ht="12.75">
      <c r="A770" s="158" t="s">
        <v>1543</v>
      </c>
      <c r="B770" s="157" t="s">
        <v>689</v>
      </c>
      <c r="C770" s="117" t="str">
        <f t="shared" si="33"/>
        <v>Julian - San Diego</v>
      </c>
      <c r="D770" s="223">
        <f t="shared" si="34"/>
        <v>0.10283333333333333</v>
      </c>
      <c r="E770" s="224">
        <f t="shared" si="35"/>
        <v>0.01076</v>
      </c>
    </row>
    <row r="771" spans="1:5" ht="12.75">
      <c r="A771" s="158" t="s">
        <v>1544</v>
      </c>
      <c r="B771" s="157" t="s">
        <v>849</v>
      </c>
      <c r="C771" s="117" t="str">
        <f t="shared" si="33"/>
        <v>Junction City - Trinity</v>
      </c>
      <c r="D771" s="223">
        <f t="shared" si="34"/>
        <v>0.18466666666666667</v>
      </c>
      <c r="E771" s="224">
        <f t="shared" si="35"/>
        <v>0.010129999999999998</v>
      </c>
    </row>
    <row r="772" spans="1:5" ht="12.75">
      <c r="A772" s="158" t="s">
        <v>1545</v>
      </c>
      <c r="B772" s="157" t="s">
        <v>839</v>
      </c>
      <c r="C772" s="117" t="str">
        <f t="shared" si="33"/>
        <v>June Lake - Mono</v>
      </c>
      <c r="D772" s="223">
        <f t="shared" si="34"/>
        <v>0.10441666666666664</v>
      </c>
      <c r="E772" s="224">
        <f t="shared" si="35"/>
        <v>0.01073</v>
      </c>
    </row>
    <row r="773" spans="1:5" ht="12.75">
      <c r="A773" s="158" t="s">
        <v>1546</v>
      </c>
      <c r="B773" s="157" t="s">
        <v>847</v>
      </c>
      <c r="C773" s="117" t="str">
        <f t="shared" si="33"/>
        <v>Juniper - Lassen</v>
      </c>
      <c r="D773" s="223">
        <f t="shared" si="34"/>
        <v>0.1388333333333333</v>
      </c>
      <c r="E773" s="224">
        <f t="shared" si="35"/>
        <v>0.01024</v>
      </c>
    </row>
    <row r="774" spans="1:5" ht="12.75">
      <c r="A774" s="158" t="s">
        <v>1547</v>
      </c>
      <c r="B774" s="157" t="s">
        <v>677</v>
      </c>
      <c r="C774" s="117" t="str">
        <f t="shared" si="33"/>
        <v>Kagel Canyon - Los Angeles</v>
      </c>
      <c r="D774" s="223">
        <f t="shared" si="34"/>
        <v>0.12533333333333332</v>
      </c>
      <c r="E774" s="224">
        <f t="shared" si="35"/>
        <v>0.01168</v>
      </c>
    </row>
    <row r="775" spans="1:5" ht="12.75">
      <c r="A775" s="158" t="s">
        <v>1548</v>
      </c>
      <c r="B775" s="157" t="s">
        <v>718</v>
      </c>
      <c r="C775" s="117" t="str">
        <f aca="true" t="shared" si="36" ref="C775:C838">A775&amp;" - "&amp;B775</f>
        <v>Kaweah - Tulare</v>
      </c>
      <c r="D775" s="223">
        <f t="shared" si="34"/>
        <v>0.16641666666666666</v>
      </c>
      <c r="E775" s="224">
        <f t="shared" si="35"/>
        <v>0.01088</v>
      </c>
    </row>
    <row r="776" spans="1:5" ht="12.75">
      <c r="A776" s="158" t="s">
        <v>1549</v>
      </c>
      <c r="B776" s="157" t="s">
        <v>714</v>
      </c>
      <c r="C776" s="117" t="str">
        <f t="shared" si="36"/>
        <v>Keddie - Plumas</v>
      </c>
      <c r="D776" s="223">
        <f aca="true" t="shared" si="37" ref="D776:D839">VLOOKUP(B776,unemployment_rates,2,FALSE)</f>
        <v>0.16258333333333333</v>
      </c>
      <c r="E776" s="224">
        <f aca="true" t="shared" si="38" ref="E776:E839">VLOOKUP(B776,Prop_Tax_Rates,2,FALSE)</f>
        <v>0.01038</v>
      </c>
    </row>
    <row r="777" spans="1:5" ht="12.75">
      <c r="A777" s="158" t="s">
        <v>1550</v>
      </c>
      <c r="B777" s="157" t="s">
        <v>732</v>
      </c>
      <c r="C777" s="117" t="str">
        <f t="shared" si="36"/>
        <v>Keeler - Inyo</v>
      </c>
      <c r="D777" s="223">
        <f t="shared" si="37"/>
        <v>0.10058333333333332</v>
      </c>
      <c r="E777" s="224">
        <f t="shared" si="38"/>
        <v>0.01052</v>
      </c>
    </row>
    <row r="778" spans="1:5" ht="12.75">
      <c r="A778" s="158" t="s">
        <v>1551</v>
      </c>
      <c r="B778" s="157" t="s">
        <v>772</v>
      </c>
      <c r="C778" s="117" t="str">
        <f t="shared" si="36"/>
        <v>Keene - Kern</v>
      </c>
      <c r="D778" s="223">
        <f t="shared" si="37"/>
        <v>0.15741666666666668</v>
      </c>
      <c r="E778" s="224">
        <f t="shared" si="38"/>
        <v>0.01114</v>
      </c>
    </row>
    <row r="779" spans="1:5" ht="12.75">
      <c r="A779" s="158" t="s">
        <v>1552</v>
      </c>
      <c r="B779" s="157" t="s">
        <v>696</v>
      </c>
      <c r="C779" s="117" t="str">
        <f t="shared" si="36"/>
        <v>Kelsey - El Dorado</v>
      </c>
      <c r="D779" s="223">
        <f t="shared" si="37"/>
        <v>0.12433333333333335</v>
      </c>
      <c r="E779" s="224">
        <f t="shared" si="38"/>
        <v>0.01055</v>
      </c>
    </row>
    <row r="780" spans="1:5" ht="12.75">
      <c r="A780" s="158" t="s">
        <v>1553</v>
      </c>
      <c r="B780" s="157" t="s">
        <v>102</v>
      </c>
      <c r="C780" s="117" t="str">
        <f t="shared" si="36"/>
        <v>Kelseyville - Lake</v>
      </c>
      <c r="D780" s="223">
        <f t="shared" si="37"/>
        <v>0.18208333333333332</v>
      </c>
      <c r="E780" s="224">
        <f t="shared" si="38"/>
        <v>0.01068</v>
      </c>
    </row>
    <row r="781" spans="1:5" ht="12.75">
      <c r="A781" s="158" t="s">
        <v>1554</v>
      </c>
      <c r="B781" s="157" t="s">
        <v>681</v>
      </c>
      <c r="C781" s="117" t="str">
        <f t="shared" si="36"/>
        <v>Kelso - San Bernardino</v>
      </c>
      <c r="D781" s="223">
        <f t="shared" si="37"/>
        <v>0.13891666666666666</v>
      </c>
      <c r="E781" s="224">
        <f t="shared" si="38"/>
        <v>0.01134</v>
      </c>
    </row>
    <row r="782" spans="1:5" ht="12.75">
      <c r="A782" s="158" t="s">
        <v>1555</v>
      </c>
      <c r="B782" s="157" t="s">
        <v>699</v>
      </c>
      <c r="C782" s="117" t="str">
        <f t="shared" si="36"/>
        <v>Kensington - Contra Costa</v>
      </c>
      <c r="D782" s="223">
        <f t="shared" si="37"/>
        <v>0.10966666666666666</v>
      </c>
      <c r="E782" s="224">
        <f t="shared" si="38"/>
        <v>0.011080000000000001</v>
      </c>
    </row>
    <row r="783" spans="1:5" ht="12.75">
      <c r="A783" s="158" t="s">
        <v>1556</v>
      </c>
      <c r="B783" s="157" t="s">
        <v>834</v>
      </c>
      <c r="C783" s="117" t="str">
        <f t="shared" si="36"/>
        <v>Kentfield - Marin</v>
      </c>
      <c r="D783" s="223">
        <f t="shared" si="37"/>
        <v>0.08033333333333333</v>
      </c>
      <c r="E783" s="224">
        <f t="shared" si="38"/>
        <v>0.01105</v>
      </c>
    </row>
    <row r="784" spans="1:5" ht="12.75">
      <c r="A784" s="158" t="s">
        <v>1557</v>
      </c>
      <c r="B784" s="157" t="s">
        <v>687</v>
      </c>
      <c r="C784" s="117" t="str">
        <f t="shared" si="36"/>
        <v>Kenwood - Sonoma</v>
      </c>
      <c r="D784" s="223">
        <f t="shared" si="37"/>
        <v>0.10133333333333334</v>
      </c>
      <c r="E784" s="224">
        <f t="shared" si="38"/>
        <v>0.01115</v>
      </c>
    </row>
    <row r="785" spans="1:5" ht="12.75">
      <c r="A785" s="158" t="s">
        <v>1558</v>
      </c>
      <c r="B785" s="157" t="s">
        <v>783</v>
      </c>
      <c r="C785" s="117" t="str">
        <f t="shared" si="36"/>
        <v>Kerman - Fresno</v>
      </c>
      <c r="D785" s="223">
        <f t="shared" si="37"/>
        <v>0.1685</v>
      </c>
      <c r="E785" s="224">
        <f t="shared" si="38"/>
        <v>0.01165</v>
      </c>
    </row>
    <row r="786" spans="1:5" ht="12.75">
      <c r="A786" s="158" t="s">
        <v>1559</v>
      </c>
      <c r="B786" s="157" t="s">
        <v>772</v>
      </c>
      <c r="C786" s="117" t="str">
        <f t="shared" si="36"/>
        <v>Kernville - Kern</v>
      </c>
      <c r="D786" s="223">
        <f t="shared" si="37"/>
        <v>0.15741666666666668</v>
      </c>
      <c r="E786" s="224">
        <f t="shared" si="38"/>
        <v>0.01114</v>
      </c>
    </row>
    <row r="787" spans="1:5" ht="12.75">
      <c r="A787" s="158" t="s">
        <v>1560</v>
      </c>
      <c r="B787" s="157" t="s">
        <v>738</v>
      </c>
      <c r="C787" s="117" t="str">
        <f t="shared" si="36"/>
        <v>Keswick - Shasta</v>
      </c>
      <c r="D787" s="223">
        <f t="shared" si="37"/>
        <v>0.15616666666666668</v>
      </c>
      <c r="E787" s="224">
        <f t="shared" si="38"/>
        <v>0.01085</v>
      </c>
    </row>
    <row r="788" spans="1:5" ht="12.75">
      <c r="A788" s="158" t="s">
        <v>1561</v>
      </c>
      <c r="B788" s="157" t="s">
        <v>760</v>
      </c>
      <c r="C788" s="117" t="str">
        <f t="shared" si="36"/>
        <v>Kettleman City - Kings</v>
      </c>
      <c r="D788" s="223">
        <f t="shared" si="37"/>
        <v>0.16516666666666666</v>
      </c>
      <c r="E788" s="224">
        <f t="shared" si="38"/>
        <v>0.01075</v>
      </c>
    </row>
    <row r="789" spans="1:5" ht="12.75">
      <c r="A789" s="158" t="s">
        <v>1562</v>
      </c>
      <c r="B789" s="157" t="s">
        <v>1162</v>
      </c>
      <c r="C789" s="117" t="str">
        <f t="shared" si="36"/>
        <v>Keyes - Stanislaus</v>
      </c>
      <c r="D789" s="223">
        <f t="shared" si="37"/>
        <v>0.1716666666666667</v>
      </c>
      <c r="E789" s="224">
        <f t="shared" si="38"/>
        <v>0.01093</v>
      </c>
    </row>
    <row r="790" spans="1:5" ht="12.75">
      <c r="A790" s="158" t="s">
        <v>1563</v>
      </c>
      <c r="B790" s="157" t="s">
        <v>764</v>
      </c>
      <c r="C790" s="117" t="str">
        <f t="shared" si="36"/>
        <v>King City - Monterey</v>
      </c>
      <c r="D790" s="223">
        <f t="shared" si="37"/>
        <v>0.12916666666666665</v>
      </c>
      <c r="E790" s="224">
        <f t="shared" si="38"/>
        <v>0.01084</v>
      </c>
    </row>
    <row r="791" spans="1:5" ht="12.75">
      <c r="A791" s="158" t="s">
        <v>1564</v>
      </c>
      <c r="B791" s="157" t="s">
        <v>721</v>
      </c>
      <c r="C791" s="117" t="str">
        <f t="shared" si="36"/>
        <v>Kings Beach - Placer</v>
      </c>
      <c r="D791" s="223">
        <f t="shared" si="37"/>
        <v>0.11291666666666667</v>
      </c>
      <c r="E791" s="224">
        <f t="shared" si="38"/>
        <v>0.010629999999999999</v>
      </c>
    </row>
    <row r="792" spans="1:5" ht="12.75">
      <c r="A792" s="158" t="s">
        <v>1565</v>
      </c>
      <c r="B792" s="157" t="s">
        <v>718</v>
      </c>
      <c r="C792" s="117" t="str">
        <f t="shared" si="36"/>
        <v>Kings Canyon National Park - Tulare</v>
      </c>
      <c r="D792" s="223">
        <f t="shared" si="37"/>
        <v>0.16641666666666666</v>
      </c>
      <c r="E792" s="224">
        <f t="shared" si="38"/>
        <v>0.01088</v>
      </c>
    </row>
    <row r="793" spans="1:5" ht="12.75">
      <c r="A793" s="158" t="s">
        <v>1566</v>
      </c>
      <c r="B793" s="157" t="s">
        <v>783</v>
      </c>
      <c r="C793" s="117" t="str">
        <f t="shared" si="36"/>
        <v>Kingsburg - Fresno</v>
      </c>
      <c r="D793" s="223">
        <f t="shared" si="37"/>
        <v>0.1685</v>
      </c>
      <c r="E793" s="224">
        <f t="shared" si="38"/>
        <v>0.01165</v>
      </c>
    </row>
    <row r="794" spans="1:5" ht="12.75">
      <c r="A794" s="158" t="s">
        <v>1569</v>
      </c>
      <c r="B794" s="157" t="s">
        <v>1012</v>
      </c>
      <c r="C794" s="117" t="str">
        <f t="shared" si="36"/>
        <v>Kinyon - Siskiyou</v>
      </c>
      <c r="D794" s="223">
        <f t="shared" si="37"/>
        <v>0.17858333333333332</v>
      </c>
      <c r="E794" s="224">
        <f t="shared" si="38"/>
        <v>0.01038</v>
      </c>
    </row>
    <row r="795" spans="1:5" ht="12.75">
      <c r="A795" s="158" t="s">
        <v>1570</v>
      </c>
      <c r="B795" s="157" t="s">
        <v>719</v>
      </c>
      <c r="C795" s="117" t="str">
        <f t="shared" si="36"/>
        <v>Kirkwood - Alpine</v>
      </c>
      <c r="D795" s="223">
        <f t="shared" si="37"/>
        <v>0.16133333333333333</v>
      </c>
      <c r="E795" s="224">
        <f t="shared" si="38"/>
        <v>0.01</v>
      </c>
    </row>
    <row r="796" spans="1:5" ht="12.75">
      <c r="A796" s="158" t="s">
        <v>1571</v>
      </c>
      <c r="B796" s="157" t="s">
        <v>730</v>
      </c>
      <c r="C796" s="117" t="str">
        <f t="shared" si="36"/>
        <v>Kit Carson - Amador</v>
      </c>
      <c r="D796" s="223">
        <f t="shared" si="37"/>
        <v>0.13091666666666668</v>
      </c>
      <c r="E796" s="224">
        <f t="shared" si="38"/>
        <v>0.01015</v>
      </c>
    </row>
    <row r="797" spans="1:5" ht="12.75">
      <c r="A797" s="158" t="s">
        <v>1572</v>
      </c>
      <c r="B797" s="157" t="s">
        <v>1953</v>
      </c>
      <c r="C797" s="117" t="str">
        <f t="shared" si="36"/>
        <v>Klamath - Del Norte</v>
      </c>
      <c r="D797" s="223">
        <f t="shared" si="37"/>
        <v>0.13525</v>
      </c>
      <c r="E797" s="224">
        <f t="shared" si="38"/>
        <v>0.01039</v>
      </c>
    </row>
    <row r="798" spans="1:5" ht="12.75">
      <c r="A798" s="158" t="s">
        <v>1573</v>
      </c>
      <c r="B798" s="157" t="s">
        <v>1012</v>
      </c>
      <c r="C798" s="117" t="str">
        <f t="shared" si="36"/>
        <v>Klamath River - Siskiyou</v>
      </c>
      <c r="D798" s="223">
        <f t="shared" si="37"/>
        <v>0.17858333333333332</v>
      </c>
      <c r="E798" s="224">
        <f t="shared" si="38"/>
        <v>0.01038</v>
      </c>
    </row>
    <row r="799" spans="1:5" ht="12.75">
      <c r="A799" s="158" t="s">
        <v>1574</v>
      </c>
      <c r="B799" s="157" t="s">
        <v>705</v>
      </c>
      <c r="C799" s="117" t="str">
        <f t="shared" si="36"/>
        <v>Kneeland - Humboldt</v>
      </c>
      <c r="D799" s="223">
        <f t="shared" si="37"/>
        <v>0.11391666666666665</v>
      </c>
      <c r="E799" s="224">
        <f t="shared" si="38"/>
        <v>0.01055</v>
      </c>
    </row>
    <row r="800" spans="1:5" ht="12.75">
      <c r="A800" s="158" t="s">
        <v>1576</v>
      </c>
      <c r="B800" s="157" t="s">
        <v>1162</v>
      </c>
      <c r="C800" s="117" t="str">
        <f t="shared" si="36"/>
        <v>Knights Ferry - Stanislaus</v>
      </c>
      <c r="D800" s="223">
        <f t="shared" si="37"/>
        <v>0.1716666666666667</v>
      </c>
      <c r="E800" s="224">
        <f t="shared" si="38"/>
        <v>0.01093</v>
      </c>
    </row>
    <row r="801" spans="1:5" ht="12.75">
      <c r="A801" s="158" t="s">
        <v>1577</v>
      </c>
      <c r="B801" s="157" t="s">
        <v>906</v>
      </c>
      <c r="C801" s="117" t="str">
        <f t="shared" si="36"/>
        <v>Knights Landing - Yolo</v>
      </c>
      <c r="D801" s="223">
        <f t="shared" si="37"/>
        <v>0.13033333333333333</v>
      </c>
      <c r="E801" s="224">
        <f t="shared" si="38"/>
        <v>0.01054</v>
      </c>
    </row>
    <row r="802" spans="1:5" ht="12.75">
      <c r="A802" s="158" t="s">
        <v>1375</v>
      </c>
      <c r="B802" s="157" t="s">
        <v>699</v>
      </c>
      <c r="C802" s="117" t="str">
        <f t="shared" si="36"/>
        <v>Knightsen - Contra Costa</v>
      </c>
      <c r="D802" s="223">
        <f t="shared" si="37"/>
        <v>0.10966666666666666</v>
      </c>
      <c r="E802" s="224">
        <f t="shared" si="38"/>
        <v>0.011080000000000001</v>
      </c>
    </row>
    <row r="803" spans="1:5" ht="12.75">
      <c r="A803" s="158" t="s">
        <v>1376</v>
      </c>
      <c r="B803" s="157" t="s">
        <v>705</v>
      </c>
      <c r="C803" s="117" t="str">
        <f t="shared" si="36"/>
        <v>Korbel - Humboldt</v>
      </c>
      <c r="D803" s="223">
        <f t="shared" si="37"/>
        <v>0.11391666666666665</v>
      </c>
      <c r="E803" s="224">
        <f t="shared" si="38"/>
        <v>0.01055</v>
      </c>
    </row>
    <row r="804" spans="1:5" ht="12.75">
      <c r="A804" s="158" t="s">
        <v>1376</v>
      </c>
      <c r="B804" s="157" t="s">
        <v>687</v>
      </c>
      <c r="C804" s="117" t="str">
        <f t="shared" si="36"/>
        <v>Korbel - Sonoma</v>
      </c>
      <c r="D804" s="223">
        <f t="shared" si="37"/>
        <v>0.10133333333333334</v>
      </c>
      <c r="E804" s="224">
        <f t="shared" si="38"/>
        <v>0.01115</v>
      </c>
    </row>
    <row r="805" spans="1:5" ht="12.75">
      <c r="A805" s="158" t="s">
        <v>1377</v>
      </c>
      <c r="B805" s="157" t="s">
        <v>696</v>
      </c>
      <c r="C805" s="117" t="str">
        <f t="shared" si="36"/>
        <v>Kyburz - El Dorado</v>
      </c>
      <c r="D805" s="223">
        <f t="shared" si="37"/>
        <v>0.12433333333333335</v>
      </c>
      <c r="E805" s="224">
        <f t="shared" si="38"/>
        <v>0.01055</v>
      </c>
    </row>
    <row r="806" spans="1:5" ht="12.75">
      <c r="A806" s="158" t="s">
        <v>1378</v>
      </c>
      <c r="B806" s="157" t="s">
        <v>677</v>
      </c>
      <c r="C806" s="117" t="str">
        <f t="shared" si="36"/>
        <v>L.A. Airport  - Los Angeles</v>
      </c>
      <c r="D806" s="223">
        <f t="shared" si="37"/>
        <v>0.12533333333333332</v>
      </c>
      <c r="E806" s="224">
        <f t="shared" si="38"/>
        <v>0.01168</v>
      </c>
    </row>
    <row r="807" spans="1:5" ht="12.75">
      <c r="A807" s="158" t="s">
        <v>1379</v>
      </c>
      <c r="B807" s="157" t="s">
        <v>677</v>
      </c>
      <c r="C807" s="117" t="str">
        <f t="shared" si="36"/>
        <v>La Canada- Flintridge - Los Angeles</v>
      </c>
      <c r="D807" s="223">
        <f t="shared" si="37"/>
        <v>0.12533333333333332</v>
      </c>
      <c r="E807" s="224">
        <f t="shared" si="38"/>
        <v>0.01168</v>
      </c>
    </row>
    <row r="808" spans="1:5" ht="12.75">
      <c r="A808" s="158" t="s">
        <v>207</v>
      </c>
      <c r="B808" s="157" t="s">
        <v>677</v>
      </c>
      <c r="C808" s="117" t="str">
        <f t="shared" si="36"/>
        <v>La Crescenta - Los Angeles</v>
      </c>
      <c r="D808" s="223">
        <f t="shared" si="37"/>
        <v>0.12533333333333332</v>
      </c>
      <c r="E808" s="224">
        <f t="shared" si="38"/>
        <v>0.01168</v>
      </c>
    </row>
    <row r="809" spans="1:5" ht="12.75">
      <c r="A809" s="158" t="s">
        <v>208</v>
      </c>
      <c r="B809" s="157" t="s">
        <v>772</v>
      </c>
      <c r="C809" s="117" t="str">
        <f t="shared" si="36"/>
        <v>La Cresta Village - Kern</v>
      </c>
      <c r="D809" s="223">
        <f t="shared" si="37"/>
        <v>0.15741666666666668</v>
      </c>
      <c r="E809" s="224">
        <f t="shared" si="38"/>
        <v>0.01114</v>
      </c>
    </row>
    <row r="810" spans="1:5" ht="12.75">
      <c r="A810" s="158" t="s">
        <v>209</v>
      </c>
      <c r="B810" s="157" t="s">
        <v>1162</v>
      </c>
      <c r="C810" s="117" t="str">
        <f t="shared" si="36"/>
        <v>La Grange - Stanislaus</v>
      </c>
      <c r="D810" s="223">
        <f t="shared" si="37"/>
        <v>0.1716666666666667</v>
      </c>
      <c r="E810" s="224">
        <f t="shared" si="38"/>
        <v>0.01093</v>
      </c>
    </row>
    <row r="811" spans="1:5" ht="12.75">
      <c r="A811" s="158" t="s">
        <v>210</v>
      </c>
      <c r="B811" s="157" t="s">
        <v>708</v>
      </c>
      <c r="C811" s="117" t="str">
        <f t="shared" si="36"/>
        <v>La Habra - Orange</v>
      </c>
      <c r="D811" s="223">
        <f t="shared" si="37"/>
        <v>0.0915</v>
      </c>
      <c r="E811" s="224">
        <f t="shared" si="38"/>
        <v>0.01054</v>
      </c>
    </row>
    <row r="812" spans="1:5" ht="12.75">
      <c r="A812" s="158" t="s">
        <v>211</v>
      </c>
      <c r="B812" s="157" t="s">
        <v>677</v>
      </c>
      <c r="C812" s="117" t="str">
        <f t="shared" si="36"/>
        <v>La Habra Heights - Los Angeles</v>
      </c>
      <c r="D812" s="223">
        <f t="shared" si="37"/>
        <v>0.12533333333333332</v>
      </c>
      <c r="E812" s="224">
        <f t="shared" si="38"/>
        <v>0.01168</v>
      </c>
    </row>
    <row r="813" spans="1:5" ht="12.75">
      <c r="A813" s="158" t="s">
        <v>212</v>
      </c>
      <c r="B813" s="157" t="s">
        <v>778</v>
      </c>
      <c r="C813" s="117" t="str">
        <f t="shared" si="36"/>
        <v>La Honda - San Mateo</v>
      </c>
      <c r="D813" s="223">
        <f t="shared" si="37"/>
        <v>0.08433333333333333</v>
      </c>
      <c r="E813" s="224">
        <f t="shared" si="38"/>
        <v>0.01085</v>
      </c>
    </row>
    <row r="814" spans="1:5" ht="12.75">
      <c r="A814" s="158" t="s">
        <v>213</v>
      </c>
      <c r="B814" s="157" t="s">
        <v>689</v>
      </c>
      <c r="C814" s="117" t="str">
        <f t="shared" si="36"/>
        <v>La Jolla  - San Diego</v>
      </c>
      <c r="D814" s="223">
        <f t="shared" si="37"/>
        <v>0.10283333333333333</v>
      </c>
      <c r="E814" s="224">
        <f t="shared" si="38"/>
        <v>0.01076</v>
      </c>
    </row>
    <row r="815" spans="1:5" ht="12.75">
      <c r="A815" s="158" t="s">
        <v>214</v>
      </c>
      <c r="B815" s="157" t="s">
        <v>689</v>
      </c>
      <c r="C815" s="117" t="str">
        <f t="shared" si="36"/>
        <v>La Mesa - San Diego</v>
      </c>
      <c r="D815" s="223">
        <f t="shared" si="37"/>
        <v>0.10283333333333333</v>
      </c>
      <c r="E815" s="224">
        <f t="shared" si="38"/>
        <v>0.01076</v>
      </c>
    </row>
    <row r="816" spans="1:5" ht="12.75">
      <c r="A816" s="158" t="s">
        <v>215</v>
      </c>
      <c r="B816" s="157" t="s">
        <v>677</v>
      </c>
      <c r="C816" s="117" t="str">
        <f t="shared" si="36"/>
        <v>La Mirada - Los Angeles</v>
      </c>
      <c r="D816" s="223">
        <f t="shared" si="37"/>
        <v>0.12533333333333332</v>
      </c>
      <c r="E816" s="224">
        <f t="shared" si="38"/>
        <v>0.01168</v>
      </c>
    </row>
    <row r="817" spans="1:5" ht="12.75">
      <c r="A817" s="158" t="s">
        <v>1181</v>
      </c>
      <c r="B817" s="157" t="s">
        <v>708</v>
      </c>
      <c r="C817" s="117" t="str">
        <f t="shared" si="36"/>
        <v>La Palma - Orange</v>
      </c>
      <c r="D817" s="223">
        <f t="shared" si="37"/>
        <v>0.0915</v>
      </c>
      <c r="E817" s="224">
        <f t="shared" si="38"/>
        <v>0.01054</v>
      </c>
    </row>
    <row r="818" spans="1:5" ht="12.75">
      <c r="A818" s="158" t="s">
        <v>1182</v>
      </c>
      <c r="B818" s="157" t="s">
        <v>714</v>
      </c>
      <c r="C818" s="117" t="str">
        <f t="shared" si="36"/>
        <v>La Porte - Plumas</v>
      </c>
      <c r="D818" s="223">
        <f t="shared" si="37"/>
        <v>0.16258333333333333</v>
      </c>
      <c r="E818" s="224">
        <f t="shared" si="38"/>
        <v>0.01038</v>
      </c>
    </row>
    <row r="819" spans="1:5" ht="12.75">
      <c r="A819" s="158" t="s">
        <v>1183</v>
      </c>
      <c r="B819" s="157" t="s">
        <v>677</v>
      </c>
      <c r="C819" s="117" t="str">
        <f t="shared" si="36"/>
        <v>La Puente - Los Angeles</v>
      </c>
      <c r="D819" s="223">
        <f t="shared" si="37"/>
        <v>0.12533333333333332</v>
      </c>
      <c r="E819" s="224">
        <f t="shared" si="38"/>
        <v>0.01168</v>
      </c>
    </row>
    <row r="820" spans="1:5" ht="12.75">
      <c r="A820" s="158" t="s">
        <v>1184</v>
      </c>
      <c r="B820" s="157" t="s">
        <v>692</v>
      </c>
      <c r="C820" s="117" t="str">
        <f t="shared" si="36"/>
        <v>La Quinta - Riverside</v>
      </c>
      <c r="D820" s="223">
        <f t="shared" si="37"/>
        <v>0.144</v>
      </c>
      <c r="E820" s="224">
        <f t="shared" si="38"/>
        <v>0.01089</v>
      </c>
    </row>
    <row r="821" spans="1:5" ht="12.75">
      <c r="A821" s="158" t="s">
        <v>1185</v>
      </c>
      <c r="B821" s="157" t="s">
        <v>751</v>
      </c>
      <c r="C821" s="117" t="str">
        <f t="shared" si="36"/>
        <v>La Selva Beach - Santa Cruz</v>
      </c>
      <c r="D821" s="223">
        <f t="shared" si="37"/>
        <v>0.12516666666666665</v>
      </c>
      <c r="E821" s="224">
        <f t="shared" si="38"/>
        <v>0.01093</v>
      </c>
    </row>
    <row r="822" spans="1:5" ht="12.75">
      <c r="A822" s="158" t="s">
        <v>1186</v>
      </c>
      <c r="B822" s="157" t="s">
        <v>677</v>
      </c>
      <c r="C822" s="117" t="str">
        <f t="shared" si="36"/>
        <v>La Verne - Los Angeles</v>
      </c>
      <c r="D822" s="223">
        <f t="shared" si="37"/>
        <v>0.12533333333333332</v>
      </c>
      <c r="E822" s="224">
        <f t="shared" si="38"/>
        <v>0.01168</v>
      </c>
    </row>
    <row r="823" spans="1:5" ht="12.75">
      <c r="A823" s="158" t="s">
        <v>1187</v>
      </c>
      <c r="B823" s="157" t="s">
        <v>677</v>
      </c>
      <c r="C823" s="117" t="str">
        <f t="shared" si="36"/>
        <v>La Vina - Los Angeles</v>
      </c>
      <c r="D823" s="223">
        <f t="shared" si="37"/>
        <v>0.12533333333333332</v>
      </c>
      <c r="E823" s="224">
        <f t="shared" si="38"/>
        <v>0.01168</v>
      </c>
    </row>
    <row r="824" spans="1:5" ht="12.75">
      <c r="A824" s="158" t="s">
        <v>1188</v>
      </c>
      <c r="B824" s="157" t="s">
        <v>778</v>
      </c>
      <c r="C824" s="117" t="str">
        <f t="shared" si="36"/>
        <v>Ladera - San Mateo</v>
      </c>
      <c r="D824" s="223">
        <f t="shared" si="37"/>
        <v>0.08433333333333333</v>
      </c>
      <c r="E824" s="224">
        <f t="shared" si="38"/>
        <v>0.01085</v>
      </c>
    </row>
    <row r="825" spans="1:5" ht="12.75">
      <c r="A825" s="158" t="s">
        <v>1189</v>
      </c>
      <c r="B825" s="157" t="s">
        <v>677</v>
      </c>
      <c r="C825" s="117" t="str">
        <f t="shared" si="36"/>
        <v>Ladera Heights - Los Angeles</v>
      </c>
      <c r="D825" s="223">
        <f t="shared" si="37"/>
        <v>0.12533333333333332</v>
      </c>
      <c r="E825" s="224">
        <f t="shared" si="38"/>
        <v>0.01168</v>
      </c>
    </row>
    <row r="826" spans="1:5" ht="12.75">
      <c r="A826" s="158" t="s">
        <v>1190</v>
      </c>
      <c r="B826" s="157" t="s">
        <v>708</v>
      </c>
      <c r="C826" s="117" t="str">
        <f t="shared" si="36"/>
        <v>Ladera Ranch - Orange</v>
      </c>
      <c r="D826" s="223">
        <f t="shared" si="37"/>
        <v>0.0915</v>
      </c>
      <c r="E826" s="224">
        <f t="shared" si="38"/>
        <v>0.01054</v>
      </c>
    </row>
    <row r="827" spans="1:5" ht="12.75">
      <c r="A827" s="158" t="s">
        <v>1191</v>
      </c>
      <c r="B827" s="157" t="s">
        <v>699</v>
      </c>
      <c r="C827" s="117" t="str">
        <f t="shared" si="36"/>
        <v>Lafayette - Contra Costa</v>
      </c>
      <c r="D827" s="223">
        <f t="shared" si="37"/>
        <v>0.10966666666666666</v>
      </c>
      <c r="E827" s="224">
        <f t="shared" si="38"/>
        <v>0.011080000000000001</v>
      </c>
    </row>
    <row r="828" spans="1:5" ht="12.75">
      <c r="A828" s="158" t="s">
        <v>1192</v>
      </c>
      <c r="B828" s="157" t="s">
        <v>708</v>
      </c>
      <c r="C828" s="117" t="str">
        <f t="shared" si="36"/>
        <v>Laguna Beach - Orange</v>
      </c>
      <c r="D828" s="223">
        <f t="shared" si="37"/>
        <v>0.0915</v>
      </c>
      <c r="E828" s="224">
        <f t="shared" si="38"/>
        <v>0.01054</v>
      </c>
    </row>
    <row r="829" spans="1:5" ht="12.75">
      <c r="A829" s="158" t="s">
        <v>1193</v>
      </c>
      <c r="B829" s="157" t="s">
        <v>708</v>
      </c>
      <c r="C829" s="117" t="str">
        <f t="shared" si="36"/>
        <v>Laguna Hills - Orange</v>
      </c>
      <c r="D829" s="223">
        <f t="shared" si="37"/>
        <v>0.0915</v>
      </c>
      <c r="E829" s="224">
        <f t="shared" si="38"/>
        <v>0.01054</v>
      </c>
    </row>
    <row r="830" spans="1:5" ht="12.75">
      <c r="A830" s="158" t="s">
        <v>1194</v>
      </c>
      <c r="B830" s="157" t="s">
        <v>708</v>
      </c>
      <c r="C830" s="117" t="str">
        <f t="shared" si="36"/>
        <v>Laguna Niguel - Orange</v>
      </c>
      <c r="D830" s="223">
        <f t="shared" si="37"/>
        <v>0.0915</v>
      </c>
      <c r="E830" s="224">
        <f t="shared" si="38"/>
        <v>0.01054</v>
      </c>
    </row>
    <row r="831" spans="1:5" ht="12.75">
      <c r="A831" s="158" t="s">
        <v>1195</v>
      </c>
      <c r="B831" s="157" t="s">
        <v>708</v>
      </c>
      <c r="C831" s="117" t="str">
        <f t="shared" si="36"/>
        <v>Laguna Woods - Orange</v>
      </c>
      <c r="D831" s="223">
        <f t="shared" si="37"/>
        <v>0.0915</v>
      </c>
      <c r="E831" s="224">
        <f t="shared" si="38"/>
        <v>0.01054</v>
      </c>
    </row>
    <row r="832" spans="1:5" ht="12.75">
      <c r="A832" s="158" t="s">
        <v>1196</v>
      </c>
      <c r="B832" s="157" t="s">
        <v>834</v>
      </c>
      <c r="C832" s="117" t="str">
        <f t="shared" si="36"/>
        <v>Lagunitas - Marin</v>
      </c>
      <c r="D832" s="223">
        <f t="shared" si="37"/>
        <v>0.08033333333333333</v>
      </c>
      <c r="E832" s="224">
        <f t="shared" si="38"/>
        <v>0.01105</v>
      </c>
    </row>
    <row r="833" spans="1:5" ht="12.75">
      <c r="A833" s="158" t="s">
        <v>1197</v>
      </c>
      <c r="B833" s="157" t="s">
        <v>719</v>
      </c>
      <c r="C833" s="117" t="str">
        <f t="shared" si="36"/>
        <v>Lake Alpine - Alpine</v>
      </c>
      <c r="D833" s="223">
        <f t="shared" si="37"/>
        <v>0.16133333333333333</v>
      </c>
      <c r="E833" s="224">
        <f t="shared" si="38"/>
        <v>0.01</v>
      </c>
    </row>
    <row r="834" spans="1:5" ht="12.75">
      <c r="A834" s="158" t="s">
        <v>1198</v>
      </c>
      <c r="B834" s="157" t="s">
        <v>681</v>
      </c>
      <c r="C834" s="117" t="str">
        <f t="shared" si="36"/>
        <v>Lake Arrowhead - San Bernardino</v>
      </c>
      <c r="D834" s="223">
        <f t="shared" si="37"/>
        <v>0.13891666666666666</v>
      </c>
      <c r="E834" s="224">
        <f t="shared" si="38"/>
        <v>0.01134</v>
      </c>
    </row>
    <row r="835" spans="1:5" ht="12.75">
      <c r="A835" s="158" t="s">
        <v>1199</v>
      </c>
      <c r="B835" s="157" t="s">
        <v>683</v>
      </c>
      <c r="C835" s="117" t="str">
        <f t="shared" si="36"/>
        <v>Lake City - Modoc</v>
      </c>
      <c r="D835" s="223">
        <f t="shared" si="37"/>
        <v>0.14341666666666666</v>
      </c>
      <c r="E835" s="224">
        <f t="shared" si="38"/>
        <v>0.01</v>
      </c>
    </row>
    <row r="836" spans="1:5" ht="12.75">
      <c r="A836" s="158" t="s">
        <v>1199</v>
      </c>
      <c r="B836" s="157" t="s">
        <v>1156</v>
      </c>
      <c r="C836" s="117" t="str">
        <f t="shared" si="36"/>
        <v>Lake City - Nevada</v>
      </c>
      <c r="D836" s="223">
        <f t="shared" si="37"/>
        <v>0.11266666666666668</v>
      </c>
      <c r="E836" s="224">
        <f t="shared" si="38"/>
        <v>0.010329999999999999</v>
      </c>
    </row>
    <row r="837" spans="1:5" ht="12.75">
      <c r="A837" s="158" t="s">
        <v>1200</v>
      </c>
      <c r="B837" s="157" t="s">
        <v>692</v>
      </c>
      <c r="C837" s="117" t="str">
        <f t="shared" si="36"/>
        <v>Lake Elsinore - Riverside</v>
      </c>
      <c r="D837" s="223">
        <f t="shared" si="37"/>
        <v>0.144</v>
      </c>
      <c r="E837" s="224">
        <f t="shared" si="38"/>
        <v>0.01089</v>
      </c>
    </row>
    <row r="838" spans="1:5" ht="12.75">
      <c r="A838" s="158" t="s">
        <v>1201</v>
      </c>
      <c r="B838" s="157" t="s">
        <v>708</v>
      </c>
      <c r="C838" s="117" t="str">
        <f t="shared" si="36"/>
        <v>Lake Forest - Orange</v>
      </c>
      <c r="D838" s="223">
        <f t="shared" si="37"/>
        <v>0.0915</v>
      </c>
      <c r="E838" s="224">
        <f t="shared" si="38"/>
        <v>0.01054</v>
      </c>
    </row>
    <row r="839" spans="1:5" ht="12.75">
      <c r="A839" s="158" t="s">
        <v>1202</v>
      </c>
      <c r="B839" s="157" t="s">
        <v>677</v>
      </c>
      <c r="C839" s="117" t="str">
        <f aca="true" t="shared" si="39" ref="C839:C902">A839&amp;" - "&amp;B839</f>
        <v>Lake Hughes - Los Angeles</v>
      </c>
      <c r="D839" s="223">
        <f t="shared" si="37"/>
        <v>0.12533333333333332</v>
      </c>
      <c r="E839" s="224">
        <f t="shared" si="38"/>
        <v>0.01168</v>
      </c>
    </row>
    <row r="840" spans="1:5" ht="12.75">
      <c r="A840" s="158" t="s">
        <v>1203</v>
      </c>
      <c r="B840" s="157" t="s">
        <v>772</v>
      </c>
      <c r="C840" s="117" t="str">
        <f t="shared" si="39"/>
        <v>Lake Isabella - Kern</v>
      </c>
      <c r="D840" s="223">
        <f aca="true" t="shared" si="40" ref="D840:D903">VLOOKUP(B840,unemployment_rates,2,FALSE)</f>
        <v>0.15741666666666668</v>
      </c>
      <c r="E840" s="224">
        <f aca="true" t="shared" si="41" ref="E840:E903">VLOOKUP(B840,Prop_Tax_Rates,2,FALSE)</f>
        <v>0.01114</v>
      </c>
    </row>
    <row r="841" spans="1:5" ht="12.75">
      <c r="A841" s="158" t="s">
        <v>1204</v>
      </c>
      <c r="B841" s="157" t="s">
        <v>677</v>
      </c>
      <c r="C841" s="117" t="str">
        <f t="shared" si="39"/>
        <v>Lake Los Angeles - Los Angeles</v>
      </c>
      <c r="D841" s="223">
        <f t="shared" si="40"/>
        <v>0.12533333333333332</v>
      </c>
      <c r="E841" s="224">
        <f t="shared" si="41"/>
        <v>0.01168</v>
      </c>
    </row>
    <row r="842" spans="1:5" ht="12.75">
      <c r="A842" s="158" t="s">
        <v>1205</v>
      </c>
      <c r="B842" s="157" t="s">
        <v>839</v>
      </c>
      <c r="C842" s="117" t="str">
        <f t="shared" si="39"/>
        <v>Lake Mary - Mono</v>
      </c>
      <c r="D842" s="223">
        <f t="shared" si="40"/>
        <v>0.10441666666666664</v>
      </c>
      <c r="E842" s="224">
        <f t="shared" si="41"/>
        <v>0.01073</v>
      </c>
    </row>
    <row r="843" spans="1:5" ht="12.75">
      <c r="A843" s="158" t="s">
        <v>1206</v>
      </c>
      <c r="B843" s="157" t="s">
        <v>689</v>
      </c>
      <c r="C843" s="117" t="str">
        <f t="shared" si="39"/>
        <v>Lake San Marcos - San Diego</v>
      </c>
      <c r="D843" s="223">
        <f t="shared" si="40"/>
        <v>0.10283333333333333</v>
      </c>
      <c r="E843" s="224">
        <f t="shared" si="41"/>
        <v>0.01076</v>
      </c>
    </row>
    <row r="844" spans="1:5" ht="12.75">
      <c r="A844" s="158" t="s">
        <v>1207</v>
      </c>
      <c r="B844" s="157" t="s">
        <v>1012</v>
      </c>
      <c r="C844" s="117" t="str">
        <f t="shared" si="39"/>
        <v>Lake Shastina - Siskiyou</v>
      </c>
      <c r="D844" s="223">
        <f t="shared" si="40"/>
        <v>0.17858333333333332</v>
      </c>
      <c r="E844" s="224">
        <f t="shared" si="41"/>
        <v>0.01038</v>
      </c>
    </row>
    <row r="845" spans="1:5" ht="12.75">
      <c r="A845" s="158" t="s">
        <v>1208</v>
      </c>
      <c r="B845" s="157" t="s">
        <v>1017</v>
      </c>
      <c r="C845" s="117" t="str">
        <f t="shared" si="39"/>
        <v>Lake Sherwood - Ventura</v>
      </c>
      <c r="D845" s="223">
        <f t="shared" si="40"/>
        <v>0.10525000000000001</v>
      </c>
      <c r="E845" s="224">
        <f t="shared" si="41"/>
        <v>0.010820000000000001</v>
      </c>
    </row>
    <row r="846" spans="1:5" ht="12.75">
      <c r="A846" s="158" t="s">
        <v>1209</v>
      </c>
      <c r="B846" s="157" t="s">
        <v>738</v>
      </c>
      <c r="C846" s="117" t="str">
        <f t="shared" si="39"/>
        <v>Lakehead - Shasta</v>
      </c>
      <c r="D846" s="223">
        <f t="shared" si="40"/>
        <v>0.15616666666666668</v>
      </c>
      <c r="E846" s="224">
        <f t="shared" si="41"/>
        <v>0.01085</v>
      </c>
    </row>
    <row r="847" spans="1:5" ht="12.75">
      <c r="A847" s="158" t="s">
        <v>1210</v>
      </c>
      <c r="B847" s="157" t="s">
        <v>102</v>
      </c>
      <c r="C847" s="117" t="str">
        <f t="shared" si="39"/>
        <v>Lakeport - Lake</v>
      </c>
      <c r="D847" s="223">
        <f t="shared" si="40"/>
        <v>0.18208333333333332</v>
      </c>
      <c r="E847" s="224">
        <f t="shared" si="41"/>
        <v>0.01068</v>
      </c>
    </row>
    <row r="848" spans="1:5" ht="12.75">
      <c r="A848" s="158" t="s">
        <v>1211</v>
      </c>
      <c r="B848" s="157" t="s">
        <v>783</v>
      </c>
      <c r="C848" s="117" t="str">
        <f t="shared" si="39"/>
        <v>Lakeshore - Fresno</v>
      </c>
      <c r="D848" s="223">
        <f t="shared" si="40"/>
        <v>0.1685</v>
      </c>
      <c r="E848" s="224">
        <f t="shared" si="41"/>
        <v>0.01165</v>
      </c>
    </row>
    <row r="849" spans="1:5" ht="12.75">
      <c r="A849" s="158" t="s">
        <v>1212</v>
      </c>
      <c r="B849" s="157" t="s">
        <v>689</v>
      </c>
      <c r="C849" s="117" t="str">
        <f t="shared" si="39"/>
        <v>Lakeside - San Diego</v>
      </c>
      <c r="D849" s="223">
        <f t="shared" si="40"/>
        <v>0.10283333333333333</v>
      </c>
      <c r="E849" s="224">
        <f t="shared" si="41"/>
        <v>0.01076</v>
      </c>
    </row>
    <row r="850" spans="1:5" ht="12.75">
      <c r="A850" s="158" t="s">
        <v>1213</v>
      </c>
      <c r="B850" s="157" t="s">
        <v>692</v>
      </c>
      <c r="C850" s="117" t="str">
        <f t="shared" si="39"/>
        <v>Lakeview - Riverside</v>
      </c>
      <c r="D850" s="223">
        <f t="shared" si="40"/>
        <v>0.144</v>
      </c>
      <c r="E850" s="224">
        <f t="shared" si="41"/>
        <v>0.01089</v>
      </c>
    </row>
    <row r="851" spans="1:5" ht="12.75">
      <c r="A851" s="158" t="s">
        <v>1214</v>
      </c>
      <c r="B851" s="157" t="s">
        <v>677</v>
      </c>
      <c r="C851" s="117" t="str">
        <f t="shared" si="39"/>
        <v>Lakeview Terrace  - Los Angeles</v>
      </c>
      <c r="D851" s="223">
        <f t="shared" si="40"/>
        <v>0.12533333333333332</v>
      </c>
      <c r="E851" s="224">
        <f t="shared" si="41"/>
        <v>0.01168</v>
      </c>
    </row>
    <row r="852" spans="1:5" ht="12.75">
      <c r="A852" s="158" t="s">
        <v>1215</v>
      </c>
      <c r="B852" s="157" t="s">
        <v>677</v>
      </c>
      <c r="C852" s="117" t="str">
        <f t="shared" si="39"/>
        <v>Lakewood - Los Angeles</v>
      </c>
      <c r="D852" s="223">
        <f t="shared" si="40"/>
        <v>0.12533333333333332</v>
      </c>
      <c r="E852" s="224">
        <f t="shared" si="41"/>
        <v>0.01168</v>
      </c>
    </row>
    <row r="853" spans="1:5" ht="12.75">
      <c r="A853" s="158" t="s">
        <v>1216</v>
      </c>
      <c r="B853" s="157" t="s">
        <v>772</v>
      </c>
      <c r="C853" s="117" t="str">
        <f t="shared" si="39"/>
        <v>Lamont - Kern</v>
      </c>
      <c r="D853" s="223">
        <f t="shared" si="40"/>
        <v>0.15741666666666668</v>
      </c>
      <c r="E853" s="224">
        <f t="shared" si="41"/>
        <v>0.01114</v>
      </c>
    </row>
    <row r="854" spans="1:5" ht="12.75">
      <c r="A854" s="158" t="s">
        <v>1217</v>
      </c>
      <c r="B854" s="157" t="s">
        <v>677</v>
      </c>
      <c r="C854" s="117" t="str">
        <f t="shared" si="39"/>
        <v>Lancaster - Los Angeles</v>
      </c>
      <c r="D854" s="223">
        <f t="shared" si="40"/>
        <v>0.12533333333333332</v>
      </c>
      <c r="E854" s="224">
        <f t="shared" si="41"/>
        <v>0.01168</v>
      </c>
    </row>
    <row r="855" spans="1:5" ht="12.75">
      <c r="A855" s="158" t="s">
        <v>1218</v>
      </c>
      <c r="B855" s="157" t="s">
        <v>681</v>
      </c>
      <c r="C855" s="117" t="str">
        <f t="shared" si="39"/>
        <v>Landers - San Bernardino</v>
      </c>
      <c r="D855" s="223">
        <f t="shared" si="40"/>
        <v>0.13891666666666666</v>
      </c>
      <c r="E855" s="224">
        <f t="shared" si="41"/>
        <v>0.01134</v>
      </c>
    </row>
    <row r="856" spans="1:5" ht="12.75">
      <c r="A856" s="158" t="s">
        <v>1219</v>
      </c>
      <c r="B856" s="157" t="s">
        <v>697</v>
      </c>
      <c r="C856" s="117" t="str">
        <f t="shared" si="39"/>
        <v>Landscape - Alameda</v>
      </c>
      <c r="D856" s="223">
        <f t="shared" si="40"/>
        <v>0.10916666666666666</v>
      </c>
      <c r="E856" s="224">
        <f t="shared" si="41"/>
        <v>0.011890000000000001</v>
      </c>
    </row>
    <row r="857" spans="1:5" ht="12.75">
      <c r="A857" s="158" t="s">
        <v>1220</v>
      </c>
      <c r="B857" s="157" t="s">
        <v>677</v>
      </c>
      <c r="C857" s="117" t="str">
        <f t="shared" si="39"/>
        <v>Lang - Los Angeles</v>
      </c>
      <c r="D857" s="223">
        <f t="shared" si="40"/>
        <v>0.12533333333333332</v>
      </c>
      <c r="E857" s="224">
        <f t="shared" si="41"/>
        <v>0.01168</v>
      </c>
    </row>
    <row r="858" spans="1:5" ht="12.75">
      <c r="A858" s="158" t="s">
        <v>1221</v>
      </c>
      <c r="B858" s="157" t="s">
        <v>687</v>
      </c>
      <c r="C858" s="117" t="str">
        <f t="shared" si="39"/>
        <v>Larkfield - Sonoma</v>
      </c>
      <c r="D858" s="223">
        <f t="shared" si="40"/>
        <v>0.10133333333333334</v>
      </c>
      <c r="E858" s="224">
        <f t="shared" si="41"/>
        <v>0.01115</v>
      </c>
    </row>
    <row r="859" spans="1:5" ht="12.75">
      <c r="A859" s="158" t="s">
        <v>1222</v>
      </c>
      <c r="B859" s="157" t="s">
        <v>834</v>
      </c>
      <c r="C859" s="117" t="str">
        <f t="shared" si="39"/>
        <v>Larkspur - Marin</v>
      </c>
      <c r="D859" s="223">
        <f t="shared" si="40"/>
        <v>0.08033333333333333</v>
      </c>
      <c r="E859" s="224">
        <f t="shared" si="41"/>
        <v>0.01105</v>
      </c>
    </row>
    <row r="860" spans="1:5" ht="12.75">
      <c r="A860" s="158" t="s">
        <v>1223</v>
      </c>
      <c r="B860" s="157" t="s">
        <v>837</v>
      </c>
      <c r="C860" s="117" t="str">
        <f t="shared" si="39"/>
        <v>Larwin Plaza - Solano</v>
      </c>
      <c r="D860" s="223">
        <f t="shared" si="40"/>
        <v>0.11916666666666666</v>
      </c>
      <c r="E860" s="224">
        <f t="shared" si="41"/>
        <v>0.01121</v>
      </c>
    </row>
    <row r="861" spans="1:5" ht="12.75">
      <c r="A861" s="158" t="s">
        <v>1224</v>
      </c>
      <c r="B861" s="157" t="s">
        <v>675</v>
      </c>
      <c r="C861" s="117" t="str">
        <f t="shared" si="39"/>
        <v>Lathrop - San Joaquin</v>
      </c>
      <c r="D861" s="223">
        <f t="shared" si="40"/>
        <v>0.17300000000000001</v>
      </c>
      <c r="E861" s="224">
        <f t="shared" si="41"/>
        <v>0.01113</v>
      </c>
    </row>
    <row r="862" spans="1:5" ht="12.75">
      <c r="A862" s="158" t="s">
        <v>1225</v>
      </c>
      <c r="B862" s="157" t="s">
        <v>783</v>
      </c>
      <c r="C862" s="117" t="str">
        <f t="shared" si="39"/>
        <v>Laton - Fresno</v>
      </c>
      <c r="D862" s="223">
        <f t="shared" si="40"/>
        <v>0.1685</v>
      </c>
      <c r="E862" s="224">
        <f t="shared" si="41"/>
        <v>0.01165</v>
      </c>
    </row>
    <row r="863" spans="1:5" ht="12.75">
      <c r="A863" s="158" t="s">
        <v>1226</v>
      </c>
      <c r="B863" s="157" t="s">
        <v>677</v>
      </c>
      <c r="C863" s="117" t="str">
        <f t="shared" si="39"/>
        <v>Lawndale - Los Angeles</v>
      </c>
      <c r="D863" s="223">
        <f t="shared" si="40"/>
        <v>0.12533333333333332</v>
      </c>
      <c r="E863" s="224">
        <f t="shared" si="41"/>
        <v>0.01168</v>
      </c>
    </row>
    <row r="864" spans="1:5" ht="12.75">
      <c r="A864" s="158" t="s">
        <v>1227</v>
      </c>
      <c r="B864" s="157" t="s">
        <v>732</v>
      </c>
      <c r="C864" s="117" t="str">
        <f t="shared" si="39"/>
        <v>Laws - Inyo</v>
      </c>
      <c r="D864" s="223">
        <f t="shared" si="40"/>
        <v>0.10058333333333332</v>
      </c>
      <c r="E864" s="224">
        <f t="shared" si="41"/>
        <v>0.01052</v>
      </c>
    </row>
    <row r="865" spans="1:5" ht="12.75">
      <c r="A865" s="158" t="s">
        <v>1228</v>
      </c>
      <c r="B865" s="157" t="s">
        <v>703</v>
      </c>
      <c r="C865" s="117" t="str">
        <f t="shared" si="39"/>
        <v>Laytonville - Mendocino</v>
      </c>
      <c r="D865" s="223">
        <f t="shared" si="40"/>
        <v>0.11325000000000002</v>
      </c>
      <c r="E865" s="224">
        <f t="shared" si="41"/>
        <v>0.01097</v>
      </c>
    </row>
    <row r="866" spans="1:5" ht="12.75">
      <c r="A866" s="158" t="s">
        <v>1229</v>
      </c>
      <c r="B866" s="157" t="s">
        <v>780</v>
      </c>
      <c r="C866" s="117" t="str">
        <f t="shared" si="39"/>
        <v>Le Grand  - Merced</v>
      </c>
      <c r="D866" s="223">
        <f t="shared" si="40"/>
        <v>0.1885</v>
      </c>
      <c r="E866" s="224">
        <f t="shared" si="41"/>
        <v>0.01061</v>
      </c>
    </row>
    <row r="867" spans="1:5" ht="12.75">
      <c r="A867" s="158" t="s">
        <v>1230</v>
      </c>
      <c r="B867" s="157" t="s">
        <v>772</v>
      </c>
      <c r="C867" s="117" t="str">
        <f t="shared" si="39"/>
        <v>Lebec - Kern</v>
      </c>
      <c r="D867" s="223">
        <f t="shared" si="40"/>
        <v>0.15741666666666668</v>
      </c>
      <c r="E867" s="224">
        <f t="shared" si="41"/>
        <v>0.01114</v>
      </c>
    </row>
    <row r="868" spans="1:5" ht="12.75">
      <c r="A868" s="158" t="s">
        <v>1231</v>
      </c>
      <c r="B868" s="157" t="s">
        <v>839</v>
      </c>
      <c r="C868" s="117" t="str">
        <f t="shared" si="39"/>
        <v>Lee Vining - Mono</v>
      </c>
      <c r="D868" s="223">
        <f t="shared" si="40"/>
        <v>0.10441666666666664</v>
      </c>
      <c r="E868" s="224">
        <f t="shared" si="41"/>
        <v>0.01073</v>
      </c>
    </row>
    <row r="869" spans="1:5" ht="12.75">
      <c r="A869" s="158" t="s">
        <v>1232</v>
      </c>
      <c r="B869" s="157" t="s">
        <v>703</v>
      </c>
      <c r="C869" s="117" t="str">
        <f t="shared" si="39"/>
        <v>Leggett - Mendocino</v>
      </c>
      <c r="D869" s="223">
        <f t="shared" si="40"/>
        <v>0.11325000000000002</v>
      </c>
      <c r="E869" s="224">
        <f t="shared" si="41"/>
        <v>0.01097</v>
      </c>
    </row>
    <row r="870" spans="1:5" ht="12.75">
      <c r="A870" s="158" t="s">
        <v>1233</v>
      </c>
      <c r="B870" s="157" t="s">
        <v>708</v>
      </c>
      <c r="C870" s="117" t="str">
        <f t="shared" si="39"/>
        <v>Leisure World  - Orange</v>
      </c>
      <c r="D870" s="223">
        <f t="shared" si="40"/>
        <v>0.0915</v>
      </c>
      <c r="E870" s="224">
        <f t="shared" si="41"/>
        <v>0.01054</v>
      </c>
    </row>
    <row r="871" spans="1:5" ht="12.75">
      <c r="A871" s="158" t="s">
        <v>1234</v>
      </c>
      <c r="B871" s="157" t="s">
        <v>708</v>
      </c>
      <c r="C871" s="117" t="str">
        <f t="shared" si="39"/>
        <v>Leisure World - Orange</v>
      </c>
      <c r="D871" s="223">
        <f t="shared" si="40"/>
        <v>0.0915</v>
      </c>
      <c r="E871" s="224">
        <f t="shared" si="41"/>
        <v>0.01054</v>
      </c>
    </row>
    <row r="872" spans="1:5" ht="12.75">
      <c r="A872" s="158" t="s">
        <v>1235</v>
      </c>
      <c r="B872" s="157" t="s">
        <v>689</v>
      </c>
      <c r="C872" s="117" t="str">
        <f t="shared" si="39"/>
        <v>Lemon Grove - San Diego</v>
      </c>
      <c r="D872" s="223">
        <f t="shared" si="40"/>
        <v>0.10283333333333333</v>
      </c>
      <c r="E872" s="224">
        <f t="shared" si="41"/>
        <v>0.01076</v>
      </c>
    </row>
    <row r="873" spans="1:5" ht="12.75">
      <c r="A873" s="158" t="s">
        <v>1236</v>
      </c>
      <c r="B873" s="157" t="s">
        <v>718</v>
      </c>
      <c r="C873" s="117" t="str">
        <f t="shared" si="39"/>
        <v>Lemoncove - Tulare</v>
      </c>
      <c r="D873" s="223">
        <f t="shared" si="40"/>
        <v>0.16641666666666666</v>
      </c>
      <c r="E873" s="224">
        <f t="shared" si="41"/>
        <v>0.01088</v>
      </c>
    </row>
    <row r="874" spans="1:5" ht="12.75">
      <c r="A874" s="158" t="s">
        <v>1237</v>
      </c>
      <c r="B874" s="157" t="s">
        <v>760</v>
      </c>
      <c r="C874" s="117" t="str">
        <f t="shared" si="39"/>
        <v>Lemoore - Kings</v>
      </c>
      <c r="D874" s="223">
        <f t="shared" si="40"/>
        <v>0.16516666666666666</v>
      </c>
      <c r="E874" s="224">
        <f t="shared" si="41"/>
        <v>0.01075</v>
      </c>
    </row>
    <row r="875" spans="1:5" ht="12.75">
      <c r="A875" s="158" t="s">
        <v>1238</v>
      </c>
      <c r="B875" s="157" t="s">
        <v>677</v>
      </c>
      <c r="C875" s="117" t="str">
        <f t="shared" si="39"/>
        <v>Lennox - Los Angeles</v>
      </c>
      <c r="D875" s="223">
        <f t="shared" si="40"/>
        <v>0.12533333333333332</v>
      </c>
      <c r="E875" s="224">
        <f t="shared" si="41"/>
        <v>0.01168</v>
      </c>
    </row>
    <row r="876" spans="1:5" ht="12.75">
      <c r="A876" s="158" t="s">
        <v>1239</v>
      </c>
      <c r="B876" s="157" t="s">
        <v>681</v>
      </c>
      <c r="C876" s="117" t="str">
        <f t="shared" si="39"/>
        <v>Lenwood - San Bernardino</v>
      </c>
      <c r="D876" s="223">
        <f t="shared" si="40"/>
        <v>0.13891666666666666</v>
      </c>
      <c r="E876" s="224">
        <f t="shared" si="41"/>
        <v>0.01134</v>
      </c>
    </row>
    <row r="877" spans="1:5" ht="12.75">
      <c r="A877" s="158" t="s">
        <v>1240</v>
      </c>
      <c r="B877" s="157" t="s">
        <v>677</v>
      </c>
      <c r="C877" s="117" t="str">
        <f t="shared" si="39"/>
        <v>Leona Valley - Los Angeles</v>
      </c>
      <c r="D877" s="223">
        <f t="shared" si="40"/>
        <v>0.12533333333333332</v>
      </c>
      <c r="E877" s="224">
        <f t="shared" si="41"/>
        <v>0.01168</v>
      </c>
    </row>
    <row r="878" spans="1:5" ht="12.75">
      <c r="A878" s="158" t="s">
        <v>1241</v>
      </c>
      <c r="B878" s="157" t="s">
        <v>689</v>
      </c>
      <c r="C878" s="117" t="str">
        <f t="shared" si="39"/>
        <v>Leucadia  - San Diego</v>
      </c>
      <c r="D878" s="223">
        <f t="shared" si="40"/>
        <v>0.10283333333333333</v>
      </c>
      <c r="E878" s="224">
        <f t="shared" si="41"/>
        <v>0.01076</v>
      </c>
    </row>
    <row r="879" spans="1:5" ht="12.75">
      <c r="A879" s="158" t="s">
        <v>1242</v>
      </c>
      <c r="B879" s="157" t="s">
        <v>849</v>
      </c>
      <c r="C879" s="117" t="str">
        <f t="shared" si="39"/>
        <v>Lewiston - Trinity</v>
      </c>
      <c r="D879" s="223">
        <f t="shared" si="40"/>
        <v>0.18466666666666667</v>
      </c>
      <c r="E879" s="224">
        <f t="shared" si="41"/>
        <v>0.010129999999999998</v>
      </c>
    </row>
    <row r="880" spans="1:5" ht="12.75">
      <c r="A880" s="158" t="s">
        <v>1243</v>
      </c>
      <c r="B880" s="157" t="s">
        <v>837</v>
      </c>
      <c r="C880" s="117" t="str">
        <f t="shared" si="39"/>
        <v>Liberty Farms - Solano</v>
      </c>
      <c r="D880" s="223">
        <f t="shared" si="40"/>
        <v>0.11916666666666666</v>
      </c>
      <c r="E880" s="224">
        <f t="shared" si="41"/>
        <v>0.01121</v>
      </c>
    </row>
    <row r="881" spans="1:5" ht="12.75">
      <c r="A881" s="158" t="s">
        <v>1244</v>
      </c>
      <c r="B881" s="157" t="s">
        <v>683</v>
      </c>
      <c r="C881" s="117" t="str">
        <f t="shared" si="39"/>
        <v>Likely - Modoc</v>
      </c>
      <c r="D881" s="223">
        <f t="shared" si="40"/>
        <v>0.14341666666666666</v>
      </c>
      <c r="E881" s="224">
        <f t="shared" si="41"/>
        <v>0.01</v>
      </c>
    </row>
    <row r="882" spans="1:5" ht="12.75">
      <c r="A882" s="158" t="s">
        <v>1245</v>
      </c>
      <c r="B882" s="157" t="s">
        <v>721</v>
      </c>
      <c r="C882" s="117" t="str">
        <f t="shared" si="39"/>
        <v>Lincoln - Placer</v>
      </c>
      <c r="D882" s="223">
        <f t="shared" si="40"/>
        <v>0.11291666666666667</v>
      </c>
      <c r="E882" s="224">
        <f t="shared" si="41"/>
        <v>0.010629999999999999</v>
      </c>
    </row>
    <row r="883" spans="1:5" ht="12.75">
      <c r="A883" s="158" t="s">
        <v>1246</v>
      </c>
      <c r="B883" s="157" t="s">
        <v>689</v>
      </c>
      <c r="C883" s="117" t="str">
        <f t="shared" si="39"/>
        <v>Lincoln Acres - San Diego</v>
      </c>
      <c r="D883" s="223">
        <f t="shared" si="40"/>
        <v>0.10283333333333333</v>
      </c>
      <c r="E883" s="224">
        <f t="shared" si="41"/>
        <v>0.01076</v>
      </c>
    </row>
    <row r="884" spans="1:5" ht="12.75">
      <c r="A884" s="158" t="s">
        <v>1247</v>
      </c>
      <c r="B884" s="157" t="s">
        <v>677</v>
      </c>
      <c r="C884" s="117" t="str">
        <f t="shared" si="39"/>
        <v>Lincoln Heights  - Los Angeles</v>
      </c>
      <c r="D884" s="223">
        <f t="shared" si="40"/>
        <v>0.12533333333333332</v>
      </c>
      <c r="E884" s="224">
        <f t="shared" si="41"/>
        <v>0.01168</v>
      </c>
    </row>
    <row r="885" spans="1:5" ht="12.75">
      <c r="A885" s="158" t="s">
        <v>1248</v>
      </c>
      <c r="B885" s="157" t="s">
        <v>675</v>
      </c>
      <c r="C885" s="117" t="str">
        <f t="shared" si="39"/>
        <v>Lincoln Village - San Joaquin</v>
      </c>
      <c r="D885" s="223">
        <f t="shared" si="40"/>
        <v>0.17300000000000001</v>
      </c>
      <c r="E885" s="224">
        <f t="shared" si="41"/>
        <v>0.01113</v>
      </c>
    </row>
    <row r="886" spans="1:5" ht="12.75">
      <c r="A886" s="158" t="s">
        <v>1249</v>
      </c>
      <c r="B886" s="157" t="s">
        <v>820</v>
      </c>
      <c r="C886" s="117" t="str">
        <f t="shared" si="39"/>
        <v>Linda - Yuba</v>
      </c>
      <c r="D886" s="223">
        <f t="shared" si="40"/>
        <v>0.1881666666666667</v>
      </c>
      <c r="E886" s="224">
        <f t="shared" si="41"/>
        <v>0.01102</v>
      </c>
    </row>
    <row r="887" spans="1:5" ht="12.75">
      <c r="A887" s="158" t="s">
        <v>1250</v>
      </c>
      <c r="B887" s="157" t="s">
        <v>675</v>
      </c>
      <c r="C887" s="117" t="str">
        <f t="shared" si="39"/>
        <v>Linden - San Joaquin</v>
      </c>
      <c r="D887" s="223">
        <f t="shared" si="40"/>
        <v>0.17300000000000001</v>
      </c>
      <c r="E887" s="224">
        <f t="shared" si="41"/>
        <v>0.01113</v>
      </c>
    </row>
    <row r="888" spans="1:5" ht="12.75">
      <c r="A888" s="158" t="s">
        <v>1251</v>
      </c>
      <c r="B888" s="157" t="s">
        <v>718</v>
      </c>
      <c r="C888" s="117" t="str">
        <f t="shared" si="39"/>
        <v>Lindsay - Tulare</v>
      </c>
      <c r="D888" s="223">
        <f t="shared" si="40"/>
        <v>0.16641666666666666</v>
      </c>
      <c r="E888" s="224">
        <f t="shared" si="41"/>
        <v>0.01088</v>
      </c>
    </row>
    <row r="889" spans="1:5" ht="12.75">
      <c r="A889" s="158" t="s">
        <v>1252</v>
      </c>
      <c r="B889" s="157" t="s">
        <v>718</v>
      </c>
      <c r="C889" s="117" t="str">
        <f t="shared" si="39"/>
        <v>Linnell - Tulare</v>
      </c>
      <c r="D889" s="223">
        <f t="shared" si="40"/>
        <v>0.16641666666666666</v>
      </c>
      <c r="E889" s="224">
        <f t="shared" si="41"/>
        <v>0.01088</v>
      </c>
    </row>
    <row r="890" spans="1:5" ht="12.75">
      <c r="A890" s="158" t="s">
        <v>1253</v>
      </c>
      <c r="B890" s="157" t="s">
        <v>847</v>
      </c>
      <c r="C890" s="117" t="str">
        <f t="shared" si="39"/>
        <v>Litchfield - Lassen</v>
      </c>
      <c r="D890" s="223">
        <f t="shared" si="40"/>
        <v>0.1388333333333333</v>
      </c>
      <c r="E890" s="224">
        <f t="shared" si="41"/>
        <v>0.01024</v>
      </c>
    </row>
    <row r="891" spans="1:5" ht="12.75">
      <c r="A891" s="158" t="s">
        <v>1254</v>
      </c>
      <c r="B891" s="157" t="s">
        <v>732</v>
      </c>
      <c r="C891" s="117" t="str">
        <f t="shared" si="39"/>
        <v>Little Lake - Inyo</v>
      </c>
      <c r="D891" s="223">
        <f t="shared" si="40"/>
        <v>0.10058333333333332</v>
      </c>
      <c r="E891" s="224">
        <f t="shared" si="41"/>
        <v>0.01052</v>
      </c>
    </row>
    <row r="892" spans="1:5" ht="12.75">
      <c r="A892" s="158" t="s">
        <v>1255</v>
      </c>
      <c r="B892" s="157" t="s">
        <v>696</v>
      </c>
      <c r="C892" s="117" t="str">
        <f t="shared" si="39"/>
        <v>Little Norway - El Dorado</v>
      </c>
      <c r="D892" s="223">
        <f t="shared" si="40"/>
        <v>0.12433333333333335</v>
      </c>
      <c r="E892" s="224">
        <f t="shared" si="41"/>
        <v>0.01055</v>
      </c>
    </row>
    <row r="893" spans="1:5" ht="12.75">
      <c r="A893" s="158" t="s">
        <v>1256</v>
      </c>
      <c r="B893" s="157" t="s">
        <v>847</v>
      </c>
      <c r="C893" s="117" t="str">
        <f t="shared" si="39"/>
        <v>Little Valley - Lassen</v>
      </c>
      <c r="D893" s="223">
        <f t="shared" si="40"/>
        <v>0.1388333333333333</v>
      </c>
      <c r="E893" s="224">
        <f t="shared" si="41"/>
        <v>0.01024</v>
      </c>
    </row>
    <row r="894" spans="1:5" ht="12.75">
      <c r="A894" s="158" t="s">
        <v>1257</v>
      </c>
      <c r="B894" s="157" t="s">
        <v>703</v>
      </c>
      <c r="C894" s="117" t="str">
        <f t="shared" si="39"/>
        <v>Littleriver - Mendocino</v>
      </c>
      <c r="D894" s="223">
        <f t="shared" si="40"/>
        <v>0.11325000000000002</v>
      </c>
      <c r="E894" s="224">
        <f t="shared" si="41"/>
        <v>0.01097</v>
      </c>
    </row>
    <row r="895" spans="1:5" ht="12.75">
      <c r="A895" s="158" t="s">
        <v>1258</v>
      </c>
      <c r="B895" s="157" t="s">
        <v>677</v>
      </c>
      <c r="C895" s="117" t="str">
        <f t="shared" si="39"/>
        <v>Littlerock  - Los Angeles</v>
      </c>
      <c r="D895" s="223">
        <f t="shared" si="40"/>
        <v>0.12533333333333332</v>
      </c>
      <c r="E895" s="224">
        <f t="shared" si="41"/>
        <v>0.01168</v>
      </c>
    </row>
    <row r="896" spans="1:5" ht="12.75">
      <c r="A896" s="158" t="s">
        <v>1259</v>
      </c>
      <c r="B896" s="157" t="s">
        <v>2046</v>
      </c>
      <c r="C896" s="117" t="str">
        <f t="shared" si="39"/>
        <v>Live Oak - Sutter</v>
      </c>
      <c r="D896" s="223">
        <f t="shared" si="40"/>
        <v>0.19824999999999998</v>
      </c>
      <c r="E896" s="224">
        <f t="shared" si="41"/>
        <v>0.010700000000000001</v>
      </c>
    </row>
    <row r="897" spans="1:5" ht="12.75">
      <c r="A897" s="158" t="s">
        <v>1260</v>
      </c>
      <c r="B897" s="157" t="s">
        <v>697</v>
      </c>
      <c r="C897" s="117" t="str">
        <f t="shared" si="39"/>
        <v>Livermore - Alameda</v>
      </c>
      <c r="D897" s="223">
        <f t="shared" si="40"/>
        <v>0.10916666666666666</v>
      </c>
      <c r="E897" s="224">
        <f t="shared" si="41"/>
        <v>0.011890000000000001</v>
      </c>
    </row>
    <row r="898" spans="1:5" ht="12.75">
      <c r="A898" s="158" t="s">
        <v>1261</v>
      </c>
      <c r="B898" s="157" t="s">
        <v>780</v>
      </c>
      <c r="C898" s="117" t="str">
        <f t="shared" si="39"/>
        <v>Livingston - Merced</v>
      </c>
      <c r="D898" s="223">
        <f t="shared" si="40"/>
        <v>0.1885</v>
      </c>
      <c r="E898" s="224">
        <f t="shared" si="41"/>
        <v>0.01061</v>
      </c>
    </row>
    <row r="899" spans="1:5" ht="12.75">
      <c r="A899" s="158" t="s">
        <v>1262</v>
      </c>
      <c r="B899" s="157" t="s">
        <v>677</v>
      </c>
      <c r="C899" s="117" t="str">
        <f t="shared" si="39"/>
        <v>Llano - Los Angeles</v>
      </c>
      <c r="D899" s="223">
        <f t="shared" si="40"/>
        <v>0.12533333333333332</v>
      </c>
      <c r="E899" s="224">
        <f t="shared" si="41"/>
        <v>0.01168</v>
      </c>
    </row>
    <row r="900" spans="1:5" ht="12.75">
      <c r="A900" s="158" t="s">
        <v>1263</v>
      </c>
      <c r="B900" s="157" t="s">
        <v>102</v>
      </c>
      <c r="C900" s="117" t="str">
        <f t="shared" si="39"/>
        <v>Loch Lomond - Lake</v>
      </c>
      <c r="D900" s="223">
        <f t="shared" si="40"/>
        <v>0.18208333333333332</v>
      </c>
      <c r="E900" s="224">
        <f t="shared" si="41"/>
        <v>0.01068</v>
      </c>
    </row>
    <row r="901" spans="1:5" ht="12.75">
      <c r="A901" s="158" t="s">
        <v>1264</v>
      </c>
      <c r="B901" s="157" t="s">
        <v>744</v>
      </c>
      <c r="C901" s="117" t="str">
        <f t="shared" si="39"/>
        <v>Locke - Sacramento</v>
      </c>
      <c r="D901" s="223">
        <f t="shared" si="40"/>
        <v>0.12641666666666665</v>
      </c>
      <c r="E901" s="224">
        <f t="shared" si="41"/>
        <v>0.01087</v>
      </c>
    </row>
    <row r="902" spans="1:5" ht="12.75">
      <c r="A902" s="158" t="s">
        <v>1265</v>
      </c>
      <c r="B902" s="157" t="s">
        <v>675</v>
      </c>
      <c r="C902" s="117" t="str">
        <f t="shared" si="39"/>
        <v>Lockeford - San Joaquin</v>
      </c>
      <c r="D902" s="223">
        <f t="shared" si="40"/>
        <v>0.17300000000000001</v>
      </c>
      <c r="E902" s="224">
        <f t="shared" si="41"/>
        <v>0.01113</v>
      </c>
    </row>
    <row r="903" spans="1:5" ht="12.75">
      <c r="A903" s="158" t="s">
        <v>1266</v>
      </c>
      <c r="B903" s="157" t="s">
        <v>751</v>
      </c>
      <c r="C903" s="117" t="str">
        <f aca="true" t="shared" si="42" ref="C903:C966">A903&amp;" - "&amp;B903</f>
        <v>Lockheed - Santa Cruz</v>
      </c>
      <c r="D903" s="223">
        <f t="shared" si="40"/>
        <v>0.12516666666666665</v>
      </c>
      <c r="E903" s="224">
        <f t="shared" si="41"/>
        <v>0.01093</v>
      </c>
    </row>
    <row r="904" spans="1:5" ht="12.75">
      <c r="A904" s="158" t="s">
        <v>1267</v>
      </c>
      <c r="B904" s="157" t="s">
        <v>764</v>
      </c>
      <c r="C904" s="117" t="str">
        <f t="shared" si="42"/>
        <v>Lockwood - Monterey</v>
      </c>
      <c r="D904" s="223">
        <f aca="true" t="shared" si="43" ref="D904:D967">VLOOKUP(B904,unemployment_rates,2,FALSE)</f>
        <v>0.12916666666666665</v>
      </c>
      <c r="E904" s="224">
        <f aca="true" t="shared" si="44" ref="E904:E967">VLOOKUP(B904,Prop_Tax_Rates,2,FALSE)</f>
        <v>0.01084</v>
      </c>
    </row>
    <row r="905" spans="1:5" ht="12.75">
      <c r="A905" s="158" t="s">
        <v>1268</v>
      </c>
      <c r="B905" s="157" t="s">
        <v>675</v>
      </c>
      <c r="C905" s="117" t="str">
        <f t="shared" si="42"/>
        <v>Lodi - San Joaquin</v>
      </c>
      <c r="D905" s="223">
        <f t="shared" si="43"/>
        <v>0.17300000000000001</v>
      </c>
      <c r="E905" s="224">
        <f t="shared" si="44"/>
        <v>0.01113</v>
      </c>
    </row>
    <row r="906" spans="1:5" ht="12.75">
      <c r="A906" s="158" t="s">
        <v>1269</v>
      </c>
      <c r="B906" s="157" t="s">
        <v>705</v>
      </c>
      <c r="C906" s="117" t="str">
        <f t="shared" si="42"/>
        <v>Loleta - Humboldt</v>
      </c>
      <c r="D906" s="223">
        <f t="shared" si="43"/>
        <v>0.11391666666666665</v>
      </c>
      <c r="E906" s="224">
        <f t="shared" si="44"/>
        <v>0.01055</v>
      </c>
    </row>
    <row r="907" spans="1:5" ht="12.75">
      <c r="A907" s="158" t="s">
        <v>1270</v>
      </c>
      <c r="B907" s="157" t="s">
        <v>681</v>
      </c>
      <c r="C907" s="117" t="str">
        <f t="shared" si="42"/>
        <v>Loma Linda - San Bernardino</v>
      </c>
      <c r="D907" s="223">
        <f t="shared" si="43"/>
        <v>0.13891666666666666</v>
      </c>
      <c r="E907" s="224">
        <f t="shared" si="44"/>
        <v>0.01134</v>
      </c>
    </row>
    <row r="908" spans="1:5" ht="12.75">
      <c r="A908" s="158" t="s">
        <v>1271</v>
      </c>
      <c r="B908" s="157" t="s">
        <v>778</v>
      </c>
      <c r="C908" s="117" t="str">
        <f t="shared" si="42"/>
        <v>Loma Mar - San Mateo</v>
      </c>
      <c r="D908" s="223">
        <f t="shared" si="43"/>
        <v>0.08433333333333333</v>
      </c>
      <c r="E908" s="224">
        <f t="shared" si="44"/>
        <v>0.01085</v>
      </c>
    </row>
    <row r="909" spans="1:5" ht="12.75">
      <c r="A909" s="158" t="s">
        <v>1272</v>
      </c>
      <c r="B909" s="157" t="s">
        <v>820</v>
      </c>
      <c r="C909" s="117" t="str">
        <f t="shared" si="42"/>
        <v>Loma Rica - Yuba</v>
      </c>
      <c r="D909" s="223">
        <f t="shared" si="43"/>
        <v>0.1881666666666667</v>
      </c>
      <c r="E909" s="224">
        <f t="shared" si="44"/>
        <v>0.01102</v>
      </c>
    </row>
    <row r="910" spans="1:5" ht="12.75">
      <c r="A910" s="158" t="s">
        <v>1273</v>
      </c>
      <c r="B910" s="157" t="s">
        <v>677</v>
      </c>
      <c r="C910" s="117" t="str">
        <f t="shared" si="42"/>
        <v>Lomita - Los Angeles</v>
      </c>
      <c r="D910" s="223">
        <f t="shared" si="43"/>
        <v>0.12533333333333332</v>
      </c>
      <c r="E910" s="224">
        <f t="shared" si="44"/>
        <v>0.01168</v>
      </c>
    </row>
    <row r="911" spans="1:5" ht="12.75">
      <c r="A911" s="158" t="s">
        <v>1274</v>
      </c>
      <c r="B911" s="157" t="s">
        <v>799</v>
      </c>
      <c r="C911" s="117" t="str">
        <f t="shared" si="42"/>
        <v>Lompoc - Santa Barbara</v>
      </c>
      <c r="D911" s="223">
        <f t="shared" si="43"/>
        <v>0.09174999999999998</v>
      </c>
      <c r="E911" s="224">
        <f t="shared" si="44"/>
        <v>0.01055</v>
      </c>
    </row>
    <row r="912" spans="1:5" ht="12.75">
      <c r="A912" s="158" t="s">
        <v>1275</v>
      </c>
      <c r="B912" s="157" t="s">
        <v>718</v>
      </c>
      <c r="C912" s="117" t="str">
        <f t="shared" si="42"/>
        <v>London - Tulare</v>
      </c>
      <c r="D912" s="223">
        <f t="shared" si="43"/>
        <v>0.16641666666666666</v>
      </c>
      <c r="E912" s="224">
        <f t="shared" si="44"/>
        <v>0.01088</v>
      </c>
    </row>
    <row r="913" spans="1:5" ht="12.75">
      <c r="A913" s="158" t="s">
        <v>1276</v>
      </c>
      <c r="B913" s="157" t="s">
        <v>732</v>
      </c>
      <c r="C913" s="117" t="str">
        <f t="shared" si="42"/>
        <v>Lone Pine - Inyo</v>
      </c>
      <c r="D913" s="223">
        <f t="shared" si="43"/>
        <v>0.10058333333333332</v>
      </c>
      <c r="E913" s="224">
        <f t="shared" si="44"/>
        <v>0.01052</v>
      </c>
    </row>
    <row r="914" spans="1:5" ht="12.75">
      <c r="A914" s="158" t="s">
        <v>1277</v>
      </c>
      <c r="B914" s="157" t="s">
        <v>856</v>
      </c>
      <c r="C914" s="117" t="str">
        <f t="shared" si="42"/>
        <v>Long Barn - Tuolumne</v>
      </c>
      <c r="D914" s="223">
        <f t="shared" si="43"/>
        <v>0.13766666666666666</v>
      </c>
      <c r="E914" s="224">
        <f t="shared" si="44"/>
        <v>0.01042</v>
      </c>
    </row>
    <row r="915" spans="1:5" ht="12.75">
      <c r="A915" s="158" t="s">
        <v>1278</v>
      </c>
      <c r="B915" s="157" t="s">
        <v>677</v>
      </c>
      <c r="C915" s="117" t="str">
        <f t="shared" si="42"/>
        <v>Long Beach - Los Angeles</v>
      </c>
      <c r="D915" s="223">
        <f t="shared" si="43"/>
        <v>0.12533333333333332</v>
      </c>
      <c r="E915" s="224">
        <f t="shared" si="44"/>
        <v>0.01168</v>
      </c>
    </row>
    <row r="916" spans="1:5" ht="12.75">
      <c r="A916" s="158" t="s">
        <v>1279</v>
      </c>
      <c r="B916" s="157" t="s">
        <v>677</v>
      </c>
      <c r="C916" s="117" t="str">
        <f t="shared" si="42"/>
        <v>Longview - Los Angeles</v>
      </c>
      <c r="D916" s="223">
        <f t="shared" si="43"/>
        <v>0.12533333333333332</v>
      </c>
      <c r="E916" s="224">
        <f t="shared" si="44"/>
        <v>0.01168</v>
      </c>
    </row>
    <row r="917" spans="1:5" ht="12.75">
      <c r="A917" s="158" t="s">
        <v>1280</v>
      </c>
      <c r="B917" s="157" t="s">
        <v>683</v>
      </c>
      <c r="C917" s="117" t="str">
        <f t="shared" si="42"/>
        <v>Lookout - Modoc</v>
      </c>
      <c r="D917" s="223">
        <f t="shared" si="43"/>
        <v>0.14341666666666666</v>
      </c>
      <c r="E917" s="224">
        <f t="shared" si="44"/>
        <v>0.01</v>
      </c>
    </row>
    <row r="918" spans="1:5" ht="12.75">
      <c r="A918" s="158" t="s">
        <v>1281</v>
      </c>
      <c r="B918" s="157" t="s">
        <v>721</v>
      </c>
      <c r="C918" s="117" t="str">
        <f t="shared" si="42"/>
        <v>Loomis - Placer</v>
      </c>
      <c r="D918" s="223">
        <f t="shared" si="43"/>
        <v>0.11291666666666667</v>
      </c>
      <c r="E918" s="224">
        <f t="shared" si="44"/>
        <v>0.010629999999999999</v>
      </c>
    </row>
    <row r="919" spans="1:5" ht="12.75">
      <c r="A919" s="158" t="s">
        <v>1282</v>
      </c>
      <c r="B919" s="157" t="s">
        <v>712</v>
      </c>
      <c r="C919" s="117" t="str">
        <f t="shared" si="42"/>
        <v>Lorre Estates - Santa Clara</v>
      </c>
      <c r="D919" s="223">
        <f t="shared" si="43"/>
        <v>0.10433333333333333</v>
      </c>
      <c r="E919" s="224">
        <f t="shared" si="44"/>
        <v>0.011810000000000001</v>
      </c>
    </row>
    <row r="920" spans="1:5" ht="12.75">
      <c r="A920" s="158" t="s">
        <v>1283</v>
      </c>
      <c r="B920" s="157" t="s">
        <v>708</v>
      </c>
      <c r="C920" s="117" t="str">
        <f t="shared" si="42"/>
        <v>Los Alamitos - Orange</v>
      </c>
      <c r="D920" s="223">
        <f t="shared" si="43"/>
        <v>0.0915</v>
      </c>
      <c r="E920" s="224">
        <f t="shared" si="44"/>
        <v>0.01054</v>
      </c>
    </row>
    <row r="921" spans="1:5" ht="12.75">
      <c r="A921" s="158" t="s">
        <v>1284</v>
      </c>
      <c r="B921" s="157" t="s">
        <v>799</v>
      </c>
      <c r="C921" s="117" t="str">
        <f t="shared" si="42"/>
        <v>Los Alamos - Santa Barbara</v>
      </c>
      <c r="D921" s="223">
        <f t="shared" si="43"/>
        <v>0.09174999999999998</v>
      </c>
      <c r="E921" s="224">
        <f t="shared" si="44"/>
        <v>0.01055</v>
      </c>
    </row>
    <row r="922" spans="1:5" ht="12.75">
      <c r="A922" s="158" t="s">
        <v>1285</v>
      </c>
      <c r="B922" s="157" t="s">
        <v>712</v>
      </c>
      <c r="C922" s="117" t="str">
        <f t="shared" si="42"/>
        <v>Los Altos - Santa Clara</v>
      </c>
      <c r="D922" s="223">
        <f t="shared" si="43"/>
        <v>0.10433333333333333</v>
      </c>
      <c r="E922" s="224">
        <f t="shared" si="44"/>
        <v>0.011810000000000001</v>
      </c>
    </row>
    <row r="923" spans="1:5" ht="12.75">
      <c r="A923" s="158" t="s">
        <v>1286</v>
      </c>
      <c r="B923" s="157" t="s">
        <v>712</v>
      </c>
      <c r="C923" s="117" t="str">
        <f t="shared" si="42"/>
        <v>Los Altos Hills - Santa Clara</v>
      </c>
      <c r="D923" s="223">
        <f t="shared" si="43"/>
        <v>0.10433333333333333</v>
      </c>
      <c r="E923" s="224">
        <f t="shared" si="44"/>
        <v>0.011810000000000001</v>
      </c>
    </row>
    <row r="924" spans="1:5" ht="12.75">
      <c r="A924" s="158" t="s">
        <v>677</v>
      </c>
      <c r="B924" s="157" t="s">
        <v>677</v>
      </c>
      <c r="C924" s="117" t="str">
        <f t="shared" si="42"/>
        <v>Los Angeles - Los Angeles</v>
      </c>
      <c r="D924" s="223">
        <f t="shared" si="43"/>
        <v>0.12533333333333332</v>
      </c>
      <c r="E924" s="224">
        <f t="shared" si="44"/>
        <v>0.01168</v>
      </c>
    </row>
    <row r="925" spans="1:5" ht="12.75">
      <c r="A925" s="158" t="s">
        <v>1287</v>
      </c>
      <c r="B925" s="157" t="s">
        <v>780</v>
      </c>
      <c r="C925" s="117" t="str">
        <f t="shared" si="42"/>
        <v>Los Banos - Merced</v>
      </c>
      <c r="D925" s="223">
        <f t="shared" si="43"/>
        <v>0.1885</v>
      </c>
      <c r="E925" s="224">
        <f t="shared" si="44"/>
        <v>0.01061</v>
      </c>
    </row>
    <row r="926" spans="1:5" ht="12.75">
      <c r="A926" s="158" t="s">
        <v>1288</v>
      </c>
      <c r="B926" s="157" t="s">
        <v>712</v>
      </c>
      <c r="C926" s="117" t="str">
        <f t="shared" si="42"/>
        <v>Los Gatos - Santa Clara</v>
      </c>
      <c r="D926" s="223">
        <f t="shared" si="43"/>
        <v>0.10433333333333333</v>
      </c>
      <c r="E926" s="224">
        <f t="shared" si="44"/>
        <v>0.011810000000000001</v>
      </c>
    </row>
    <row r="927" spans="1:5" ht="12.75">
      <c r="A927" s="158" t="s">
        <v>1289</v>
      </c>
      <c r="B927" s="157" t="s">
        <v>1934</v>
      </c>
      <c r="C927" s="117" t="str">
        <f t="shared" si="42"/>
        <v>Los Molinos - Tehama</v>
      </c>
      <c r="D927" s="223">
        <f t="shared" si="43"/>
        <v>0.15649999999999997</v>
      </c>
      <c r="E927" s="224">
        <f t="shared" si="44"/>
        <v>0.01022</v>
      </c>
    </row>
    <row r="928" spans="1:5" ht="12.75">
      <c r="A928" s="158" t="s">
        <v>1290</v>
      </c>
      <c r="B928" s="157" t="s">
        <v>677</v>
      </c>
      <c r="C928" s="117" t="str">
        <f t="shared" si="42"/>
        <v>Los Nietos - Los Angeles</v>
      </c>
      <c r="D928" s="223">
        <f t="shared" si="43"/>
        <v>0.12533333333333332</v>
      </c>
      <c r="E928" s="224">
        <f t="shared" si="44"/>
        <v>0.01168</v>
      </c>
    </row>
    <row r="929" spans="1:5" ht="12.75">
      <c r="A929" s="158" t="s">
        <v>1291</v>
      </c>
      <c r="B929" s="157" t="s">
        <v>799</v>
      </c>
      <c r="C929" s="117" t="str">
        <f t="shared" si="42"/>
        <v>Los Olivos - Santa Barbara</v>
      </c>
      <c r="D929" s="223">
        <f t="shared" si="43"/>
        <v>0.09174999999999998</v>
      </c>
      <c r="E929" s="224">
        <f t="shared" si="44"/>
        <v>0.01055</v>
      </c>
    </row>
    <row r="930" spans="1:5" ht="12.75">
      <c r="A930" s="158" t="s">
        <v>1622</v>
      </c>
      <c r="B930" s="157" t="s">
        <v>679</v>
      </c>
      <c r="C930" s="117" t="str">
        <f t="shared" si="42"/>
        <v>Los Osos - San Luis Obispo</v>
      </c>
      <c r="D930" s="223">
        <f t="shared" si="43"/>
        <v>0.099</v>
      </c>
      <c r="E930" s="224">
        <f t="shared" si="44"/>
        <v>0.01039</v>
      </c>
    </row>
    <row r="931" spans="1:5" ht="12.75">
      <c r="A931" s="158" t="s">
        <v>1623</v>
      </c>
      <c r="B931" s="157" t="s">
        <v>679</v>
      </c>
      <c r="C931" s="117" t="str">
        <f t="shared" si="42"/>
        <v>Los Padres - San Luis Obispo</v>
      </c>
      <c r="D931" s="223">
        <f t="shared" si="43"/>
        <v>0.099</v>
      </c>
      <c r="E931" s="224">
        <f t="shared" si="44"/>
        <v>0.01039</v>
      </c>
    </row>
    <row r="932" spans="1:5" ht="12.75">
      <c r="A932" s="158" t="s">
        <v>1624</v>
      </c>
      <c r="B932" s="157" t="s">
        <v>681</v>
      </c>
      <c r="C932" s="117" t="str">
        <f t="shared" si="42"/>
        <v>Los Serranos  - San Bernardino</v>
      </c>
      <c r="D932" s="223">
        <f t="shared" si="43"/>
        <v>0.13891666666666666</v>
      </c>
      <c r="E932" s="224">
        <f t="shared" si="44"/>
        <v>0.01134</v>
      </c>
    </row>
    <row r="933" spans="1:5" ht="12.75">
      <c r="A933" s="158" t="s">
        <v>1625</v>
      </c>
      <c r="B933" s="157" t="s">
        <v>772</v>
      </c>
      <c r="C933" s="117" t="str">
        <f t="shared" si="42"/>
        <v>Lost Hills - Kern</v>
      </c>
      <c r="D933" s="223">
        <f t="shared" si="43"/>
        <v>0.15741666666666668</v>
      </c>
      <c r="E933" s="224">
        <f t="shared" si="44"/>
        <v>0.01114</v>
      </c>
    </row>
    <row r="934" spans="1:5" ht="12.75">
      <c r="A934" s="158" t="s">
        <v>1626</v>
      </c>
      <c r="B934" s="157" t="s">
        <v>692</v>
      </c>
      <c r="C934" s="117" t="str">
        <f t="shared" si="42"/>
        <v>Lost Lake - Riverside</v>
      </c>
      <c r="D934" s="223">
        <f t="shared" si="43"/>
        <v>0.144</v>
      </c>
      <c r="E934" s="224">
        <f t="shared" si="44"/>
        <v>0.01089</v>
      </c>
    </row>
    <row r="935" spans="1:5" ht="12.75">
      <c r="A935" s="158" t="s">
        <v>1627</v>
      </c>
      <c r="B935" s="157" t="s">
        <v>696</v>
      </c>
      <c r="C935" s="117" t="str">
        <f t="shared" si="42"/>
        <v>Lotus - El Dorado</v>
      </c>
      <c r="D935" s="223">
        <f t="shared" si="43"/>
        <v>0.12433333333333335</v>
      </c>
      <c r="E935" s="224">
        <f t="shared" si="44"/>
        <v>0.01055</v>
      </c>
    </row>
    <row r="936" spans="1:5" ht="12.75">
      <c r="A936" s="158" t="s">
        <v>1628</v>
      </c>
      <c r="B936" s="157" t="s">
        <v>102</v>
      </c>
      <c r="C936" s="117" t="str">
        <f t="shared" si="42"/>
        <v>Lower Lake - Lake</v>
      </c>
      <c r="D936" s="223">
        <f t="shared" si="43"/>
        <v>0.18208333333333332</v>
      </c>
      <c r="E936" s="224">
        <f t="shared" si="44"/>
        <v>0.01068</v>
      </c>
    </row>
    <row r="937" spans="1:5" ht="12.75">
      <c r="A937" s="158" t="s">
        <v>1629</v>
      </c>
      <c r="B937" s="157" t="s">
        <v>710</v>
      </c>
      <c r="C937" s="117" t="str">
        <f t="shared" si="42"/>
        <v>Loyalton - Sierra</v>
      </c>
      <c r="D937" s="223">
        <f t="shared" si="43"/>
        <v>0.16016666666666665</v>
      </c>
      <c r="E937" s="224">
        <f t="shared" si="44"/>
        <v>0.010329999999999999</v>
      </c>
    </row>
    <row r="938" spans="1:5" ht="12.75">
      <c r="A938" s="158" t="s">
        <v>1630</v>
      </c>
      <c r="B938" s="157" t="s">
        <v>102</v>
      </c>
      <c r="C938" s="117" t="str">
        <f t="shared" si="42"/>
        <v>Lucerne - Lake</v>
      </c>
      <c r="D938" s="223">
        <f t="shared" si="43"/>
        <v>0.18208333333333332</v>
      </c>
      <c r="E938" s="224">
        <f t="shared" si="44"/>
        <v>0.01068</v>
      </c>
    </row>
    <row r="939" spans="1:5" ht="12.75">
      <c r="A939" s="158" t="s">
        <v>1631</v>
      </c>
      <c r="B939" s="157" t="s">
        <v>681</v>
      </c>
      <c r="C939" s="117" t="str">
        <f t="shared" si="42"/>
        <v>Lucerne Valley - San Bernardino</v>
      </c>
      <c r="D939" s="223">
        <f t="shared" si="43"/>
        <v>0.13891666666666666</v>
      </c>
      <c r="E939" s="224">
        <f t="shared" si="44"/>
        <v>0.01134</v>
      </c>
    </row>
    <row r="940" spans="1:5" ht="12.75">
      <c r="A940" s="158" t="s">
        <v>1632</v>
      </c>
      <c r="B940" s="157" t="s">
        <v>764</v>
      </c>
      <c r="C940" s="117" t="str">
        <f t="shared" si="42"/>
        <v>Lucia - Monterey</v>
      </c>
      <c r="D940" s="223">
        <f t="shared" si="43"/>
        <v>0.12916666666666665</v>
      </c>
      <c r="E940" s="224">
        <f t="shared" si="44"/>
        <v>0.01084</v>
      </c>
    </row>
    <row r="941" spans="1:5" ht="12.75">
      <c r="A941" s="158" t="s">
        <v>1633</v>
      </c>
      <c r="B941" s="157" t="s">
        <v>681</v>
      </c>
      <c r="C941" s="117" t="str">
        <f t="shared" si="42"/>
        <v>Ludlow - San Bernardino</v>
      </c>
      <c r="D941" s="223">
        <f t="shared" si="43"/>
        <v>0.13891666666666666</v>
      </c>
      <c r="E941" s="224">
        <f t="shared" si="44"/>
        <v>0.01134</v>
      </c>
    </row>
    <row r="942" spans="1:5" ht="12.75">
      <c r="A942" s="158" t="s">
        <v>1634</v>
      </c>
      <c r="B942" s="157" t="s">
        <v>677</v>
      </c>
      <c r="C942" s="117" t="str">
        <f t="shared" si="42"/>
        <v>Lugo - Los Angeles</v>
      </c>
      <c r="D942" s="223">
        <f t="shared" si="43"/>
        <v>0.12533333333333332</v>
      </c>
      <c r="E942" s="224">
        <f t="shared" si="44"/>
        <v>0.01168</v>
      </c>
    </row>
    <row r="943" spans="1:5" ht="12.75">
      <c r="A943" s="158" t="s">
        <v>1635</v>
      </c>
      <c r="B943" s="157" t="s">
        <v>677</v>
      </c>
      <c r="C943" s="117" t="str">
        <f t="shared" si="42"/>
        <v>Lynwood - Los Angeles</v>
      </c>
      <c r="D943" s="223">
        <f t="shared" si="43"/>
        <v>0.12533333333333332</v>
      </c>
      <c r="E943" s="224">
        <f t="shared" si="44"/>
        <v>0.01168</v>
      </c>
    </row>
    <row r="944" spans="1:5" ht="12.75">
      <c r="A944" s="158" t="s">
        <v>1636</v>
      </c>
      <c r="B944" s="157" t="s">
        <v>681</v>
      </c>
      <c r="C944" s="117" t="str">
        <f t="shared" si="42"/>
        <v>Lytle Creek - San Bernardino</v>
      </c>
      <c r="D944" s="223">
        <f t="shared" si="43"/>
        <v>0.13891666666666666</v>
      </c>
      <c r="E944" s="224">
        <f t="shared" si="44"/>
        <v>0.01134</v>
      </c>
    </row>
    <row r="945" spans="1:5" ht="12.75">
      <c r="A945" s="158" t="s">
        <v>1637</v>
      </c>
      <c r="B945" s="157" t="s">
        <v>1012</v>
      </c>
      <c r="C945" s="117" t="str">
        <f t="shared" si="42"/>
        <v>Macdoel - Siskiyou</v>
      </c>
      <c r="D945" s="223">
        <f t="shared" si="43"/>
        <v>0.17858333333333332</v>
      </c>
      <c r="E945" s="224">
        <f t="shared" si="44"/>
        <v>0.01038</v>
      </c>
    </row>
    <row r="946" spans="1:5" ht="12.75">
      <c r="A946" s="158" t="s">
        <v>1638</v>
      </c>
      <c r="B946" s="157" t="s">
        <v>677</v>
      </c>
      <c r="C946" s="117" t="str">
        <f t="shared" si="42"/>
        <v>Maclay - Los Angeles</v>
      </c>
      <c r="D946" s="223">
        <f t="shared" si="43"/>
        <v>0.12533333333333332</v>
      </c>
      <c r="E946" s="224">
        <f t="shared" si="44"/>
        <v>0.01168</v>
      </c>
    </row>
    <row r="947" spans="1:5" ht="12.75">
      <c r="A947" s="158" t="s">
        <v>1639</v>
      </c>
      <c r="B947" s="157" t="s">
        <v>849</v>
      </c>
      <c r="C947" s="117" t="str">
        <f t="shared" si="42"/>
        <v>Mad River - Trinity</v>
      </c>
      <c r="D947" s="223">
        <f t="shared" si="43"/>
        <v>0.18466666666666667</v>
      </c>
      <c r="E947" s="224">
        <f t="shared" si="44"/>
        <v>0.010129999999999998</v>
      </c>
    </row>
    <row r="948" spans="1:5" ht="12.75">
      <c r="A948" s="158" t="s">
        <v>1640</v>
      </c>
      <c r="B948" s="157" t="s">
        <v>847</v>
      </c>
      <c r="C948" s="117" t="str">
        <f t="shared" si="42"/>
        <v>Madeline - Lassen</v>
      </c>
      <c r="D948" s="223">
        <f t="shared" si="43"/>
        <v>0.1388333333333333</v>
      </c>
      <c r="E948" s="224">
        <f t="shared" si="44"/>
        <v>0.01024</v>
      </c>
    </row>
    <row r="949" spans="1:5" ht="12.75">
      <c r="A949" s="158" t="s">
        <v>694</v>
      </c>
      <c r="B949" s="157" t="s">
        <v>694</v>
      </c>
      <c r="C949" s="117" t="str">
        <f t="shared" si="42"/>
        <v>Madera - Madera</v>
      </c>
      <c r="D949" s="223">
        <f t="shared" si="43"/>
        <v>0.15525</v>
      </c>
      <c r="E949" s="224">
        <f t="shared" si="44"/>
        <v>0.01118</v>
      </c>
    </row>
    <row r="950" spans="1:5" ht="12.75">
      <c r="A950" s="158" t="s">
        <v>1641</v>
      </c>
      <c r="B950" s="157" t="s">
        <v>906</v>
      </c>
      <c r="C950" s="117" t="str">
        <f t="shared" si="42"/>
        <v>Madison - Yolo</v>
      </c>
      <c r="D950" s="223">
        <f t="shared" si="43"/>
        <v>0.13033333333333333</v>
      </c>
      <c r="E950" s="224">
        <f t="shared" si="44"/>
        <v>0.01054</v>
      </c>
    </row>
    <row r="951" spans="1:5" ht="12.75">
      <c r="A951" s="158" t="s">
        <v>1642</v>
      </c>
      <c r="B951" s="157" t="s">
        <v>803</v>
      </c>
      <c r="C951" s="117" t="str">
        <f t="shared" si="42"/>
        <v>Magalia - Butte</v>
      </c>
      <c r="D951" s="223">
        <f t="shared" si="43"/>
        <v>0.13741666666666666</v>
      </c>
      <c r="E951" s="224">
        <f t="shared" si="44"/>
        <v>0.01064</v>
      </c>
    </row>
    <row r="952" spans="1:5" ht="12.75">
      <c r="A952" s="158" t="s">
        <v>1643</v>
      </c>
      <c r="B952" s="157" t="s">
        <v>783</v>
      </c>
      <c r="C952" s="117" t="str">
        <f t="shared" si="42"/>
        <v>Malaga - Fresno</v>
      </c>
      <c r="D952" s="223">
        <f t="shared" si="43"/>
        <v>0.1685</v>
      </c>
      <c r="E952" s="224">
        <f t="shared" si="44"/>
        <v>0.01165</v>
      </c>
    </row>
    <row r="953" spans="1:5" ht="12.75">
      <c r="A953" s="158" t="s">
        <v>1644</v>
      </c>
      <c r="B953" s="157" t="s">
        <v>677</v>
      </c>
      <c r="C953" s="117" t="str">
        <f t="shared" si="42"/>
        <v>Malibu - Los Angeles</v>
      </c>
      <c r="D953" s="223">
        <f t="shared" si="43"/>
        <v>0.12533333333333332</v>
      </c>
      <c r="E953" s="224">
        <f t="shared" si="44"/>
        <v>0.01168</v>
      </c>
    </row>
    <row r="954" spans="1:5" ht="12.75">
      <c r="A954" s="158" t="s">
        <v>1645</v>
      </c>
      <c r="B954" s="157" t="s">
        <v>839</v>
      </c>
      <c r="C954" s="117" t="str">
        <f t="shared" si="42"/>
        <v>Mammoth Lakes - Mono</v>
      </c>
      <c r="D954" s="223">
        <f t="shared" si="43"/>
        <v>0.10441666666666664</v>
      </c>
      <c r="E954" s="224">
        <f t="shared" si="44"/>
        <v>0.01073</v>
      </c>
    </row>
    <row r="955" spans="1:5" ht="12.75">
      <c r="A955" s="158" t="s">
        <v>1646</v>
      </c>
      <c r="B955" s="157" t="s">
        <v>677</v>
      </c>
      <c r="C955" s="117" t="str">
        <f t="shared" si="42"/>
        <v>Manhattan Beach - Los Angeles</v>
      </c>
      <c r="D955" s="223">
        <f t="shared" si="43"/>
        <v>0.12533333333333332</v>
      </c>
      <c r="E955" s="224">
        <f t="shared" si="44"/>
        <v>0.01168</v>
      </c>
    </row>
    <row r="956" spans="1:5" ht="12.75">
      <c r="A956" s="158" t="s">
        <v>1647</v>
      </c>
      <c r="B956" s="157" t="s">
        <v>675</v>
      </c>
      <c r="C956" s="117" t="str">
        <f t="shared" si="42"/>
        <v>Manteca - San Joaquin</v>
      </c>
      <c r="D956" s="223">
        <f t="shared" si="43"/>
        <v>0.17300000000000001</v>
      </c>
      <c r="E956" s="224">
        <f t="shared" si="44"/>
        <v>0.01113</v>
      </c>
    </row>
    <row r="957" spans="1:5" ht="12.75">
      <c r="A957" s="158" t="s">
        <v>1648</v>
      </c>
      <c r="B957" s="157" t="s">
        <v>1934</v>
      </c>
      <c r="C957" s="117" t="str">
        <f t="shared" si="42"/>
        <v>Manton - Tehama</v>
      </c>
      <c r="D957" s="223">
        <f t="shared" si="43"/>
        <v>0.15649999999999997</v>
      </c>
      <c r="E957" s="224">
        <f t="shared" si="44"/>
        <v>0.01022</v>
      </c>
    </row>
    <row r="958" spans="1:5" ht="12.75">
      <c r="A958" s="158" t="s">
        <v>1649</v>
      </c>
      <c r="B958" s="157" t="s">
        <v>738</v>
      </c>
      <c r="C958" s="117" t="str">
        <f t="shared" si="42"/>
        <v>Manzanita Lake - Shasta</v>
      </c>
      <c r="D958" s="223">
        <f t="shared" si="43"/>
        <v>0.15616666666666668</v>
      </c>
      <c r="E958" s="224">
        <f t="shared" si="44"/>
        <v>0.01085</v>
      </c>
    </row>
    <row r="959" spans="1:5" ht="12.75">
      <c r="A959" s="158" t="s">
        <v>1650</v>
      </c>
      <c r="B959" s="157" t="s">
        <v>677</v>
      </c>
      <c r="C959" s="117" t="str">
        <f t="shared" si="42"/>
        <v>Mar Vista - Los Angeles</v>
      </c>
      <c r="D959" s="223">
        <f t="shared" si="43"/>
        <v>0.12533333333333332</v>
      </c>
      <c r="E959" s="224">
        <f t="shared" si="44"/>
        <v>0.01168</v>
      </c>
    </row>
    <row r="960" spans="1:5" ht="12.75">
      <c r="A960" s="158" t="s">
        <v>1651</v>
      </c>
      <c r="B960" s="157" t="s">
        <v>677</v>
      </c>
      <c r="C960" s="117" t="str">
        <f t="shared" si="42"/>
        <v>Marcelina - Los Angeles</v>
      </c>
      <c r="D960" s="223">
        <f t="shared" si="43"/>
        <v>0.12533333333333332</v>
      </c>
      <c r="E960" s="224">
        <f t="shared" si="44"/>
        <v>0.01168</v>
      </c>
    </row>
    <row r="961" spans="1:5" ht="12.75">
      <c r="A961" s="158" t="s">
        <v>1652</v>
      </c>
      <c r="B961" s="157" t="s">
        <v>692</v>
      </c>
      <c r="C961" s="117" t="str">
        <f t="shared" si="42"/>
        <v>March A.F.B. - Riverside</v>
      </c>
      <c r="D961" s="223">
        <f t="shared" si="43"/>
        <v>0.144</v>
      </c>
      <c r="E961" s="224">
        <f t="shared" si="44"/>
        <v>0.01089</v>
      </c>
    </row>
    <row r="962" spans="1:5" ht="12.75">
      <c r="A962" s="158" t="s">
        <v>1653</v>
      </c>
      <c r="B962" s="157" t="s">
        <v>837</v>
      </c>
      <c r="C962" s="117" t="str">
        <f t="shared" si="42"/>
        <v>Mare Island  - Solano</v>
      </c>
      <c r="D962" s="223">
        <f t="shared" si="43"/>
        <v>0.11916666666666666</v>
      </c>
      <c r="E962" s="224">
        <f t="shared" si="44"/>
        <v>0.01121</v>
      </c>
    </row>
    <row r="963" spans="1:5" ht="12.75">
      <c r="A963" s="158" t="s">
        <v>1654</v>
      </c>
      <c r="B963" s="157" t="s">
        <v>772</v>
      </c>
      <c r="C963" s="117" t="str">
        <f t="shared" si="42"/>
        <v>Maricopa - Kern</v>
      </c>
      <c r="D963" s="223">
        <f t="shared" si="43"/>
        <v>0.15741666666666668</v>
      </c>
      <c r="E963" s="224">
        <f t="shared" si="44"/>
        <v>0.01114</v>
      </c>
    </row>
    <row r="964" spans="1:5" ht="12.75">
      <c r="A964" s="158" t="s">
        <v>1655</v>
      </c>
      <c r="B964" s="157" t="s">
        <v>834</v>
      </c>
      <c r="C964" s="117" t="str">
        <f t="shared" si="42"/>
        <v>Marin City - Marin</v>
      </c>
      <c r="D964" s="223">
        <f t="shared" si="43"/>
        <v>0.08033333333333333</v>
      </c>
      <c r="E964" s="224">
        <f t="shared" si="44"/>
        <v>0.01105</v>
      </c>
    </row>
    <row r="965" spans="1:5" ht="12.75">
      <c r="A965" s="158" t="s">
        <v>1656</v>
      </c>
      <c r="B965" s="157" t="s">
        <v>764</v>
      </c>
      <c r="C965" s="117" t="str">
        <f t="shared" si="42"/>
        <v>Marina - Monterey</v>
      </c>
      <c r="D965" s="223">
        <f t="shared" si="43"/>
        <v>0.12916666666666665</v>
      </c>
      <c r="E965" s="224">
        <f t="shared" si="44"/>
        <v>0.01084</v>
      </c>
    </row>
    <row r="966" spans="1:5" ht="12.75">
      <c r="A966" s="158" t="s">
        <v>1657</v>
      </c>
      <c r="B966" s="157" t="s">
        <v>677</v>
      </c>
      <c r="C966" s="117" t="str">
        <f t="shared" si="42"/>
        <v>Marina Del Rey - Los Angeles</v>
      </c>
      <c r="D966" s="223">
        <f t="shared" si="43"/>
        <v>0.12533333333333332</v>
      </c>
      <c r="E966" s="224">
        <f t="shared" si="44"/>
        <v>0.01168</v>
      </c>
    </row>
    <row r="967" spans="1:5" ht="12.75">
      <c r="A967" s="158" t="s">
        <v>1658</v>
      </c>
      <c r="B967" s="157" t="s">
        <v>681</v>
      </c>
      <c r="C967" s="117" t="str">
        <f aca="true" t="shared" si="45" ref="C967:C1030">A967&amp;" - "&amp;B967</f>
        <v>Marine Corps  - San Bernardino</v>
      </c>
      <c r="D967" s="223">
        <f t="shared" si="43"/>
        <v>0.13891666666666666</v>
      </c>
      <c r="E967" s="224">
        <f t="shared" si="44"/>
        <v>0.01134</v>
      </c>
    </row>
    <row r="968" spans="1:5" ht="12.75">
      <c r="A968" s="158" t="s">
        <v>1659</v>
      </c>
      <c r="B968" s="157" t="s">
        <v>708</v>
      </c>
      <c r="C968" s="117" t="str">
        <f t="shared" si="45"/>
        <v>Mariner - Orange</v>
      </c>
      <c r="D968" s="223">
        <f aca="true" t="shared" si="46" ref="D968:D1031">VLOOKUP(B968,unemployment_rates,2,FALSE)</f>
        <v>0.0915</v>
      </c>
      <c r="E968" s="224">
        <f aca="true" t="shared" si="47" ref="E968:E1031">VLOOKUP(B968,Prop_Tax_Rates,2,FALSE)</f>
        <v>0.01054</v>
      </c>
    </row>
    <row r="969" spans="1:5" ht="12.75">
      <c r="A969" s="158" t="s">
        <v>823</v>
      </c>
      <c r="B969" s="157" t="s">
        <v>823</v>
      </c>
      <c r="C969" s="117" t="str">
        <f t="shared" si="45"/>
        <v>Mariposa - Mariposa</v>
      </c>
      <c r="D969" s="223">
        <f t="shared" si="46"/>
        <v>0.12466666666666669</v>
      </c>
      <c r="E969" s="224">
        <f t="shared" si="47"/>
        <v>0.01005</v>
      </c>
    </row>
    <row r="970" spans="1:5" ht="12.75">
      <c r="A970" s="158" t="s">
        <v>1660</v>
      </c>
      <c r="B970" s="157" t="s">
        <v>719</v>
      </c>
      <c r="C970" s="117" t="str">
        <f t="shared" si="45"/>
        <v>Markleeville - Alpine</v>
      </c>
      <c r="D970" s="223">
        <f t="shared" si="46"/>
        <v>0.16133333333333333</v>
      </c>
      <c r="E970" s="224">
        <f t="shared" si="47"/>
        <v>0.01</v>
      </c>
    </row>
    <row r="971" spans="1:5" ht="12.75">
      <c r="A971" s="158" t="s">
        <v>1661</v>
      </c>
      <c r="B971" s="157" t="s">
        <v>778</v>
      </c>
      <c r="C971" s="117" t="str">
        <f t="shared" si="45"/>
        <v>Marsh Manor - San Mateo</v>
      </c>
      <c r="D971" s="223">
        <f t="shared" si="46"/>
        <v>0.08433333333333333</v>
      </c>
      <c r="E971" s="224">
        <f t="shared" si="47"/>
        <v>0.01085</v>
      </c>
    </row>
    <row r="972" spans="1:5" ht="12.75">
      <c r="A972" s="158" t="s">
        <v>1662</v>
      </c>
      <c r="B972" s="157" t="s">
        <v>834</v>
      </c>
      <c r="C972" s="117" t="str">
        <f t="shared" si="45"/>
        <v>Marshall - Marin</v>
      </c>
      <c r="D972" s="223">
        <f t="shared" si="46"/>
        <v>0.08033333333333333</v>
      </c>
      <c r="E972" s="224">
        <f t="shared" si="47"/>
        <v>0.01105</v>
      </c>
    </row>
    <row r="973" spans="1:5" ht="12.75">
      <c r="A973" s="158" t="s">
        <v>1663</v>
      </c>
      <c r="B973" s="157" t="s">
        <v>730</v>
      </c>
      <c r="C973" s="117" t="str">
        <f t="shared" si="45"/>
        <v>Martell - Amador</v>
      </c>
      <c r="D973" s="223">
        <f t="shared" si="46"/>
        <v>0.13091666666666668</v>
      </c>
      <c r="E973" s="224">
        <f t="shared" si="47"/>
        <v>0.01015</v>
      </c>
    </row>
    <row r="974" spans="1:5" ht="12.75">
      <c r="A974" s="158" t="s">
        <v>1664</v>
      </c>
      <c r="B974" s="157" t="s">
        <v>699</v>
      </c>
      <c r="C974" s="117" t="str">
        <f t="shared" si="45"/>
        <v>Martinez - Contra Costa</v>
      </c>
      <c r="D974" s="223">
        <f t="shared" si="46"/>
        <v>0.10966666666666666</v>
      </c>
      <c r="E974" s="224">
        <f t="shared" si="47"/>
        <v>0.011080000000000001</v>
      </c>
    </row>
    <row r="975" spans="1:5" ht="12.75">
      <c r="A975" s="158" t="s">
        <v>1665</v>
      </c>
      <c r="B975" s="157" t="s">
        <v>820</v>
      </c>
      <c r="C975" s="117" t="str">
        <f t="shared" si="45"/>
        <v>Marysville - Yuba</v>
      </c>
      <c r="D975" s="223">
        <f t="shared" si="46"/>
        <v>0.1881666666666667</v>
      </c>
      <c r="E975" s="224">
        <f t="shared" si="47"/>
        <v>0.01102</v>
      </c>
    </row>
    <row r="976" spans="1:5" ht="12.75">
      <c r="A976" s="158" t="s">
        <v>1666</v>
      </c>
      <c r="B976" s="157" t="s">
        <v>744</v>
      </c>
      <c r="C976" s="117" t="str">
        <f t="shared" si="45"/>
        <v>Mather  - Sacramento</v>
      </c>
      <c r="D976" s="223">
        <f t="shared" si="46"/>
        <v>0.12641666666666665</v>
      </c>
      <c r="E976" s="224">
        <f t="shared" si="47"/>
        <v>0.01087</v>
      </c>
    </row>
    <row r="977" spans="1:5" ht="12.75">
      <c r="A977" s="158" t="s">
        <v>1667</v>
      </c>
      <c r="B977" s="157" t="s">
        <v>856</v>
      </c>
      <c r="C977" s="117" t="str">
        <f t="shared" si="45"/>
        <v>Mather - Tuolumne</v>
      </c>
      <c r="D977" s="223">
        <f t="shared" si="46"/>
        <v>0.13766666666666666</v>
      </c>
      <c r="E977" s="224">
        <f t="shared" si="47"/>
        <v>0.01042</v>
      </c>
    </row>
    <row r="978" spans="1:5" ht="12.75">
      <c r="A978" s="158" t="s">
        <v>1668</v>
      </c>
      <c r="B978" s="157" t="s">
        <v>753</v>
      </c>
      <c r="C978" s="117" t="str">
        <f t="shared" si="45"/>
        <v>Maxwell - Colusa</v>
      </c>
      <c r="D978" s="223">
        <f t="shared" si="46"/>
        <v>0.20800000000000002</v>
      </c>
      <c r="E978" s="224">
        <f t="shared" si="47"/>
        <v>0.01027</v>
      </c>
    </row>
    <row r="979" spans="1:5" ht="12.75">
      <c r="A979" s="158" t="s">
        <v>1669</v>
      </c>
      <c r="B979" s="157" t="s">
        <v>677</v>
      </c>
      <c r="C979" s="117" t="str">
        <f t="shared" si="45"/>
        <v>Maywood - Los Angeles</v>
      </c>
      <c r="D979" s="223">
        <f t="shared" si="46"/>
        <v>0.12533333333333332</v>
      </c>
      <c r="E979" s="224">
        <f t="shared" si="47"/>
        <v>0.01168</v>
      </c>
    </row>
    <row r="980" spans="1:5" ht="12.75">
      <c r="A980" s="158" t="s">
        <v>1670</v>
      </c>
      <c r="B980" s="157" t="s">
        <v>738</v>
      </c>
      <c r="C980" s="117" t="str">
        <f t="shared" si="45"/>
        <v>McArthur - Shasta</v>
      </c>
      <c r="D980" s="223">
        <f t="shared" si="46"/>
        <v>0.15616666666666668</v>
      </c>
      <c r="E980" s="224">
        <f t="shared" si="47"/>
        <v>0.01085</v>
      </c>
    </row>
    <row r="981" spans="1:5" ht="12.75">
      <c r="A981" s="158" t="s">
        <v>1671</v>
      </c>
      <c r="B981" s="157" t="s">
        <v>744</v>
      </c>
      <c r="C981" s="117" t="str">
        <f t="shared" si="45"/>
        <v>McClellan  - Sacramento</v>
      </c>
      <c r="D981" s="223">
        <f t="shared" si="46"/>
        <v>0.12641666666666665</v>
      </c>
      <c r="E981" s="224">
        <f t="shared" si="47"/>
        <v>0.01087</v>
      </c>
    </row>
    <row r="982" spans="1:5" ht="12.75">
      <c r="A982" s="158" t="s">
        <v>1672</v>
      </c>
      <c r="B982" s="157" t="s">
        <v>1012</v>
      </c>
      <c r="C982" s="117" t="str">
        <f t="shared" si="45"/>
        <v>McCloud - Siskiyou</v>
      </c>
      <c r="D982" s="223">
        <f t="shared" si="46"/>
        <v>0.17858333333333332</v>
      </c>
      <c r="E982" s="224">
        <f t="shared" si="47"/>
        <v>0.01038</v>
      </c>
    </row>
    <row r="983" spans="1:5" ht="12.75">
      <c r="A983" s="158" t="s">
        <v>1673</v>
      </c>
      <c r="B983" s="157" t="s">
        <v>772</v>
      </c>
      <c r="C983" s="117" t="str">
        <f t="shared" si="45"/>
        <v>McFarland - Kern</v>
      </c>
      <c r="D983" s="223">
        <f t="shared" si="46"/>
        <v>0.15741666666666668</v>
      </c>
      <c r="E983" s="224">
        <f t="shared" si="47"/>
        <v>0.01114</v>
      </c>
    </row>
    <row r="984" spans="1:5" ht="12.75">
      <c r="A984" s="158" t="s">
        <v>1674</v>
      </c>
      <c r="B984" s="157" t="s">
        <v>705</v>
      </c>
      <c r="C984" s="117" t="str">
        <f t="shared" si="45"/>
        <v>McKinleyville - Humboldt</v>
      </c>
      <c r="D984" s="223">
        <f t="shared" si="46"/>
        <v>0.11391666666666665</v>
      </c>
      <c r="E984" s="224">
        <f t="shared" si="47"/>
        <v>0.01055</v>
      </c>
    </row>
    <row r="985" spans="1:5" ht="12.75">
      <c r="A985" s="158" t="s">
        <v>1675</v>
      </c>
      <c r="B985" s="157" t="s">
        <v>772</v>
      </c>
      <c r="C985" s="117" t="str">
        <f t="shared" si="45"/>
        <v>McKittrick - Kern</v>
      </c>
      <c r="D985" s="223">
        <f t="shared" si="46"/>
        <v>0.15741666666666668</v>
      </c>
      <c r="E985" s="224">
        <f t="shared" si="47"/>
        <v>0.01114</v>
      </c>
    </row>
    <row r="986" spans="1:5" ht="12.75">
      <c r="A986" s="158" t="s">
        <v>1676</v>
      </c>
      <c r="B986" s="157" t="s">
        <v>692</v>
      </c>
      <c r="C986" s="117" t="str">
        <f t="shared" si="45"/>
        <v>Mead Valley - Riverside</v>
      </c>
      <c r="D986" s="223">
        <f t="shared" si="46"/>
        <v>0.144</v>
      </c>
      <c r="E986" s="224">
        <f t="shared" si="47"/>
        <v>0.01089</v>
      </c>
    </row>
    <row r="987" spans="1:5" ht="12.75">
      <c r="A987" s="158" t="s">
        <v>1677</v>
      </c>
      <c r="B987" s="157" t="s">
        <v>714</v>
      </c>
      <c r="C987" s="117" t="str">
        <f t="shared" si="45"/>
        <v>Meadow Valley - Plumas</v>
      </c>
      <c r="D987" s="223">
        <f t="shared" si="46"/>
        <v>0.16258333333333333</v>
      </c>
      <c r="E987" s="224">
        <f t="shared" si="47"/>
        <v>0.01038</v>
      </c>
    </row>
    <row r="988" spans="1:5" ht="12.75">
      <c r="A988" s="158" t="s">
        <v>1678</v>
      </c>
      <c r="B988" s="157" t="s">
        <v>721</v>
      </c>
      <c r="C988" s="117" t="str">
        <f t="shared" si="45"/>
        <v>Meadow Vista - Placer</v>
      </c>
      <c r="D988" s="223">
        <f t="shared" si="46"/>
        <v>0.11291666666666667</v>
      </c>
      <c r="E988" s="224">
        <f t="shared" si="47"/>
        <v>0.010629999999999999</v>
      </c>
    </row>
    <row r="989" spans="1:5" ht="12.75">
      <c r="A989" s="158" t="s">
        <v>1679</v>
      </c>
      <c r="B989" s="157" t="s">
        <v>692</v>
      </c>
      <c r="C989" s="117" t="str">
        <f t="shared" si="45"/>
        <v>Meadowbrook - Riverside</v>
      </c>
      <c r="D989" s="223">
        <f t="shared" si="46"/>
        <v>0.144</v>
      </c>
      <c r="E989" s="224">
        <f t="shared" si="47"/>
        <v>0.01089</v>
      </c>
    </row>
    <row r="990" spans="1:5" ht="12.75">
      <c r="A990" s="158" t="s">
        <v>1680</v>
      </c>
      <c r="B990" s="157" t="s">
        <v>692</v>
      </c>
      <c r="C990" s="117" t="str">
        <f t="shared" si="45"/>
        <v>Mecca - Riverside</v>
      </c>
      <c r="D990" s="223">
        <f t="shared" si="46"/>
        <v>0.144</v>
      </c>
      <c r="E990" s="224">
        <f t="shared" si="47"/>
        <v>0.01089</v>
      </c>
    </row>
    <row r="991" spans="1:5" ht="12.75">
      <c r="A991" s="158" t="s">
        <v>1681</v>
      </c>
      <c r="B991" s="157" t="s">
        <v>696</v>
      </c>
      <c r="C991" s="117" t="str">
        <f t="shared" si="45"/>
        <v>Meeks Bay - El Dorado</v>
      </c>
      <c r="D991" s="223">
        <f t="shared" si="46"/>
        <v>0.12433333333333335</v>
      </c>
      <c r="E991" s="224">
        <f t="shared" si="47"/>
        <v>0.01055</v>
      </c>
    </row>
    <row r="992" spans="1:5" ht="12.75">
      <c r="A992" s="158" t="s">
        <v>1682</v>
      </c>
      <c r="B992" s="157" t="s">
        <v>1017</v>
      </c>
      <c r="C992" s="117" t="str">
        <f t="shared" si="45"/>
        <v>Meiners Oaks - Ventura</v>
      </c>
      <c r="D992" s="223">
        <f t="shared" si="46"/>
        <v>0.10525000000000001</v>
      </c>
      <c r="E992" s="224">
        <f t="shared" si="47"/>
        <v>0.010820000000000001</v>
      </c>
    </row>
    <row r="993" spans="1:5" ht="12.75">
      <c r="A993" s="158" t="s">
        <v>703</v>
      </c>
      <c r="B993" s="157" t="s">
        <v>703</v>
      </c>
      <c r="C993" s="117" t="str">
        <f t="shared" si="45"/>
        <v>Mendocino - Mendocino</v>
      </c>
      <c r="D993" s="223">
        <f t="shared" si="46"/>
        <v>0.11325000000000002</v>
      </c>
      <c r="E993" s="224">
        <f t="shared" si="47"/>
        <v>0.01097</v>
      </c>
    </row>
    <row r="994" spans="1:5" ht="12.75">
      <c r="A994" s="158" t="s">
        <v>1683</v>
      </c>
      <c r="B994" s="157" t="s">
        <v>783</v>
      </c>
      <c r="C994" s="117" t="str">
        <f t="shared" si="45"/>
        <v>Mendota - Fresno</v>
      </c>
      <c r="D994" s="223">
        <f t="shared" si="46"/>
        <v>0.1685</v>
      </c>
      <c r="E994" s="224">
        <f t="shared" si="47"/>
        <v>0.01165</v>
      </c>
    </row>
    <row r="995" spans="1:5" ht="12.75">
      <c r="A995" s="158" t="s">
        <v>1684</v>
      </c>
      <c r="B995" s="157" t="s">
        <v>692</v>
      </c>
      <c r="C995" s="117" t="str">
        <f t="shared" si="45"/>
        <v>Menifee - Riverside</v>
      </c>
      <c r="D995" s="223">
        <f t="shared" si="46"/>
        <v>0.144</v>
      </c>
      <c r="E995" s="224">
        <f t="shared" si="47"/>
        <v>0.01089</v>
      </c>
    </row>
    <row r="996" spans="1:5" ht="12.75">
      <c r="A996" s="158" t="s">
        <v>1685</v>
      </c>
      <c r="B996" s="157" t="s">
        <v>778</v>
      </c>
      <c r="C996" s="117" t="str">
        <f t="shared" si="45"/>
        <v>Menlo Park - San Mateo</v>
      </c>
      <c r="D996" s="223">
        <f t="shared" si="46"/>
        <v>0.08433333333333333</v>
      </c>
      <c r="E996" s="224">
        <f t="shared" si="47"/>
        <v>0.01085</v>
      </c>
    </row>
    <row r="997" spans="1:5" ht="12.75">
      <c r="A997" s="158" t="s">
        <v>1686</v>
      </c>
      <c r="B997" s="157" t="s">
        <v>681</v>
      </c>
      <c r="C997" s="117" t="str">
        <f t="shared" si="45"/>
        <v>Mentone - San Bernardino</v>
      </c>
      <c r="D997" s="223">
        <f t="shared" si="46"/>
        <v>0.13891666666666666</v>
      </c>
      <c r="E997" s="224">
        <f t="shared" si="47"/>
        <v>0.01134</v>
      </c>
    </row>
    <row r="998" spans="1:5" ht="12.75">
      <c r="A998" s="158" t="s">
        <v>780</v>
      </c>
      <c r="B998" s="157" t="s">
        <v>780</v>
      </c>
      <c r="C998" s="117" t="str">
        <f t="shared" si="45"/>
        <v>Merced - Merced</v>
      </c>
      <c r="D998" s="223">
        <f t="shared" si="46"/>
        <v>0.1885</v>
      </c>
      <c r="E998" s="224">
        <f t="shared" si="47"/>
        <v>0.01061</v>
      </c>
    </row>
    <row r="999" spans="1:5" ht="12.75">
      <c r="A999" s="158" t="s">
        <v>1687</v>
      </c>
      <c r="B999" s="157" t="s">
        <v>2046</v>
      </c>
      <c r="C999" s="117" t="str">
        <f t="shared" si="45"/>
        <v>Meridian - Sutter</v>
      </c>
      <c r="D999" s="223">
        <f t="shared" si="46"/>
        <v>0.19824999999999998</v>
      </c>
      <c r="E999" s="224">
        <f t="shared" si="47"/>
        <v>0.010700000000000001</v>
      </c>
    </row>
    <row r="1000" spans="1:5" ht="12.75">
      <c r="A1000" s="158" t="s">
        <v>1688</v>
      </c>
      <c r="B1000" s="157" t="s">
        <v>772</v>
      </c>
      <c r="C1000" s="117" t="str">
        <f t="shared" si="45"/>
        <v>Mettler - Kern</v>
      </c>
      <c r="D1000" s="223">
        <f t="shared" si="46"/>
        <v>0.15741666666666668</v>
      </c>
      <c r="E1000" s="224">
        <f t="shared" si="47"/>
        <v>0.01114</v>
      </c>
    </row>
    <row r="1001" spans="1:5" ht="12.75">
      <c r="A1001" s="158" t="s">
        <v>1689</v>
      </c>
      <c r="B1001" s="157" t="s">
        <v>696</v>
      </c>
      <c r="C1001" s="117" t="str">
        <f t="shared" si="45"/>
        <v>Meyers - El Dorado</v>
      </c>
      <c r="D1001" s="223">
        <f t="shared" si="46"/>
        <v>0.12433333333333335</v>
      </c>
      <c r="E1001" s="224">
        <f t="shared" si="47"/>
        <v>0.01055</v>
      </c>
    </row>
    <row r="1002" spans="1:5" ht="14.25" customHeight="1">
      <c r="A1002" s="158" t="s">
        <v>1690</v>
      </c>
      <c r="B1002" s="157" t="s">
        <v>102</v>
      </c>
      <c r="C1002" s="117" t="str">
        <f t="shared" si="45"/>
        <v>Middletown - Lake</v>
      </c>
      <c r="D1002" s="223">
        <f t="shared" si="46"/>
        <v>0.18208333333333332</v>
      </c>
      <c r="E1002" s="224">
        <f t="shared" si="47"/>
        <v>0.01068</v>
      </c>
    </row>
    <row r="1003" spans="1:5" ht="12.75">
      <c r="A1003" s="158" t="s">
        <v>1691</v>
      </c>
      <c r="B1003" s="157" t="s">
        <v>692</v>
      </c>
      <c r="C1003" s="117" t="str">
        <f t="shared" si="45"/>
        <v>Midland - Riverside</v>
      </c>
      <c r="D1003" s="223">
        <f t="shared" si="46"/>
        <v>0.144</v>
      </c>
      <c r="E1003" s="224">
        <f t="shared" si="47"/>
        <v>0.01089</v>
      </c>
    </row>
    <row r="1004" spans="1:5" ht="12.75">
      <c r="A1004" s="158" t="s">
        <v>1692</v>
      </c>
      <c r="B1004" s="157" t="s">
        <v>823</v>
      </c>
      <c r="C1004" s="117" t="str">
        <f t="shared" si="45"/>
        <v>Midpines - Mariposa</v>
      </c>
      <c r="D1004" s="223">
        <f t="shared" si="46"/>
        <v>0.12466666666666669</v>
      </c>
      <c r="E1004" s="224">
        <f t="shared" si="47"/>
        <v>0.01005</v>
      </c>
    </row>
    <row r="1005" spans="1:5" ht="12.75">
      <c r="A1005" s="158" t="s">
        <v>1693</v>
      </c>
      <c r="B1005" s="157" t="s">
        <v>708</v>
      </c>
      <c r="C1005" s="117" t="str">
        <f t="shared" si="45"/>
        <v>Midway City - Orange</v>
      </c>
      <c r="D1005" s="223">
        <f t="shared" si="46"/>
        <v>0.0915</v>
      </c>
      <c r="E1005" s="224">
        <f t="shared" si="47"/>
        <v>0.01054</v>
      </c>
    </row>
    <row r="1006" spans="1:5" ht="12.75">
      <c r="A1006" s="158" t="s">
        <v>1694</v>
      </c>
      <c r="B1006" s="157" t="s">
        <v>847</v>
      </c>
      <c r="C1006" s="117" t="str">
        <f t="shared" si="45"/>
        <v>Milford - Lassen</v>
      </c>
      <c r="D1006" s="223">
        <f t="shared" si="46"/>
        <v>0.1388333333333333</v>
      </c>
      <c r="E1006" s="224">
        <f t="shared" si="47"/>
        <v>0.01024</v>
      </c>
    </row>
    <row r="1007" spans="1:5" ht="16.5" customHeight="1">
      <c r="A1007" s="158" t="s">
        <v>1695</v>
      </c>
      <c r="B1007" s="157" t="s">
        <v>1934</v>
      </c>
      <c r="C1007" s="117" t="str">
        <f t="shared" si="45"/>
        <v>Mill Creek - Tehama</v>
      </c>
      <c r="D1007" s="223">
        <f t="shared" si="46"/>
        <v>0.15649999999999997</v>
      </c>
      <c r="E1007" s="224">
        <f t="shared" si="47"/>
        <v>0.01022</v>
      </c>
    </row>
    <row r="1008" spans="1:5" ht="12.75">
      <c r="A1008" s="158" t="s">
        <v>1704</v>
      </c>
      <c r="B1008" s="157" t="s">
        <v>834</v>
      </c>
      <c r="C1008" s="117" t="str">
        <f t="shared" si="45"/>
        <v>Mill Valley - Marin</v>
      </c>
      <c r="D1008" s="223">
        <f t="shared" si="46"/>
        <v>0.08033333333333333</v>
      </c>
      <c r="E1008" s="224">
        <f t="shared" si="47"/>
        <v>0.01105</v>
      </c>
    </row>
    <row r="1009" spans="1:5" ht="12.75">
      <c r="A1009" s="158" t="s">
        <v>1705</v>
      </c>
      <c r="B1009" s="157" t="s">
        <v>778</v>
      </c>
      <c r="C1009" s="117" t="str">
        <f t="shared" si="45"/>
        <v>Millbrae - San Mateo</v>
      </c>
      <c r="D1009" s="223">
        <f t="shared" si="46"/>
        <v>0.08433333333333333</v>
      </c>
      <c r="E1009" s="224">
        <f t="shared" si="47"/>
        <v>0.01085</v>
      </c>
    </row>
    <row r="1010" spans="1:5" ht="12.75">
      <c r="A1010" s="158" t="s">
        <v>1706</v>
      </c>
      <c r="B1010" s="157" t="s">
        <v>738</v>
      </c>
      <c r="C1010" s="117" t="str">
        <f t="shared" si="45"/>
        <v>Millville - Shasta</v>
      </c>
      <c r="D1010" s="223">
        <f t="shared" si="46"/>
        <v>0.15616666666666668</v>
      </c>
      <c r="E1010" s="224">
        <f t="shared" si="47"/>
        <v>0.01085</v>
      </c>
    </row>
    <row r="1011" spans="1:5" ht="12.75">
      <c r="A1011" s="158" t="s">
        <v>1707</v>
      </c>
      <c r="B1011" s="157" t="s">
        <v>712</v>
      </c>
      <c r="C1011" s="117" t="str">
        <f t="shared" si="45"/>
        <v>Milpitas - Santa Clara</v>
      </c>
      <c r="D1011" s="223">
        <f t="shared" si="46"/>
        <v>0.10433333333333333</v>
      </c>
      <c r="E1011" s="224">
        <f t="shared" si="47"/>
        <v>0.011810000000000001</v>
      </c>
    </row>
    <row r="1012" spans="1:5" ht="12.75">
      <c r="A1012" s="158" t="s">
        <v>1708</v>
      </c>
      <c r="B1012" s="157" t="s">
        <v>1934</v>
      </c>
      <c r="C1012" s="117" t="str">
        <f t="shared" si="45"/>
        <v>Mineral - Tehama</v>
      </c>
      <c r="D1012" s="223">
        <f t="shared" si="46"/>
        <v>0.15649999999999997</v>
      </c>
      <c r="E1012" s="224">
        <f t="shared" si="47"/>
        <v>0.01022</v>
      </c>
    </row>
    <row r="1013" spans="1:5" ht="12.75">
      <c r="A1013" s="158" t="s">
        <v>1709</v>
      </c>
      <c r="B1013" s="157" t="s">
        <v>718</v>
      </c>
      <c r="C1013" s="117" t="str">
        <f t="shared" si="45"/>
        <v>Mineral King - Tulare</v>
      </c>
      <c r="D1013" s="223">
        <f t="shared" si="46"/>
        <v>0.16641666666666666</v>
      </c>
      <c r="E1013" s="224">
        <f t="shared" si="47"/>
        <v>0.01088</v>
      </c>
    </row>
    <row r="1014" spans="1:5" ht="12.75">
      <c r="A1014" s="158" t="s">
        <v>1710</v>
      </c>
      <c r="B1014" s="157" t="s">
        <v>677</v>
      </c>
      <c r="C1014" s="117" t="str">
        <f t="shared" si="45"/>
        <v>Mint Canyon - Los Angeles</v>
      </c>
      <c r="D1014" s="223">
        <f t="shared" si="46"/>
        <v>0.12533333333333332</v>
      </c>
      <c r="E1014" s="224">
        <f t="shared" si="47"/>
        <v>0.01168</v>
      </c>
    </row>
    <row r="1015" spans="1:5" ht="12.75">
      <c r="A1015" s="158" t="s">
        <v>1711</v>
      </c>
      <c r="B1015" s="157" t="s">
        <v>692</v>
      </c>
      <c r="C1015" s="117" t="str">
        <f t="shared" si="45"/>
        <v>Mira Loma - Riverside</v>
      </c>
      <c r="D1015" s="223">
        <f t="shared" si="46"/>
        <v>0.144</v>
      </c>
      <c r="E1015" s="224">
        <f t="shared" si="47"/>
        <v>0.01089</v>
      </c>
    </row>
    <row r="1016" spans="1:5" ht="12.75">
      <c r="A1016" s="158" t="s">
        <v>1712</v>
      </c>
      <c r="B1016" s="157" t="s">
        <v>699</v>
      </c>
      <c r="C1016" s="117" t="str">
        <f t="shared" si="45"/>
        <v>Mira Vista - Contra Costa</v>
      </c>
      <c r="D1016" s="223">
        <f t="shared" si="46"/>
        <v>0.10966666666666666</v>
      </c>
      <c r="E1016" s="224">
        <f t="shared" si="47"/>
        <v>0.011080000000000001</v>
      </c>
    </row>
    <row r="1017" spans="1:5" ht="12.75">
      <c r="A1017" s="158" t="s">
        <v>1713</v>
      </c>
      <c r="B1017" s="157" t="s">
        <v>772</v>
      </c>
      <c r="C1017" s="117" t="str">
        <f t="shared" si="45"/>
        <v>Miracle Hot Springs - Kern</v>
      </c>
      <c r="D1017" s="223">
        <f t="shared" si="46"/>
        <v>0.15741666666666668</v>
      </c>
      <c r="E1017" s="224">
        <f t="shared" si="47"/>
        <v>0.01114</v>
      </c>
    </row>
    <row r="1018" spans="1:5" ht="12.75">
      <c r="A1018" s="158" t="s">
        <v>1715</v>
      </c>
      <c r="B1018" s="157" t="s">
        <v>689</v>
      </c>
      <c r="C1018" s="117" t="str">
        <f t="shared" si="45"/>
        <v>Miramar  - San Diego</v>
      </c>
      <c r="D1018" s="223">
        <f t="shared" si="46"/>
        <v>0.10283333333333333</v>
      </c>
      <c r="E1018" s="224">
        <f t="shared" si="47"/>
        <v>0.01076</v>
      </c>
    </row>
    <row r="1019" spans="1:5" ht="12.75">
      <c r="A1019" s="158" t="s">
        <v>1716</v>
      </c>
      <c r="B1019" s="157" t="s">
        <v>783</v>
      </c>
      <c r="C1019" s="117" t="str">
        <f t="shared" si="45"/>
        <v>Miramonte - Fresno</v>
      </c>
      <c r="D1019" s="223">
        <f t="shared" si="46"/>
        <v>0.1685</v>
      </c>
      <c r="E1019" s="224">
        <f t="shared" si="47"/>
        <v>0.01165</v>
      </c>
    </row>
    <row r="1020" spans="1:5" ht="12.75">
      <c r="A1020" s="158" t="s">
        <v>1717</v>
      </c>
      <c r="B1020" s="157" t="s">
        <v>705</v>
      </c>
      <c r="C1020" s="117" t="str">
        <f t="shared" si="45"/>
        <v>Miranda - Humboldt</v>
      </c>
      <c r="D1020" s="223">
        <f t="shared" si="46"/>
        <v>0.11391666666666665</v>
      </c>
      <c r="E1020" s="224">
        <f t="shared" si="47"/>
        <v>0.01055</v>
      </c>
    </row>
    <row r="1021" spans="1:5" ht="12.75">
      <c r="A1021" s="158" t="s">
        <v>1718</v>
      </c>
      <c r="B1021" s="157" t="s">
        <v>677</v>
      </c>
      <c r="C1021" s="117" t="str">
        <f t="shared" si="45"/>
        <v>Mission Hills  - Los Angeles</v>
      </c>
      <c r="D1021" s="223">
        <f t="shared" si="46"/>
        <v>0.12533333333333332</v>
      </c>
      <c r="E1021" s="224">
        <f t="shared" si="47"/>
        <v>0.01168</v>
      </c>
    </row>
    <row r="1022" spans="1:5" ht="12.75">
      <c r="A1022" s="158" t="s">
        <v>1719</v>
      </c>
      <c r="B1022" s="157" t="s">
        <v>708</v>
      </c>
      <c r="C1022" s="117" t="str">
        <f t="shared" si="45"/>
        <v>Mission Viejo - Orange</v>
      </c>
      <c r="D1022" s="223">
        <f t="shared" si="46"/>
        <v>0.0915</v>
      </c>
      <c r="E1022" s="224">
        <f t="shared" si="47"/>
        <v>0.01054</v>
      </c>
    </row>
    <row r="1023" spans="1:5" ht="12.75">
      <c r="A1023" s="158" t="s">
        <v>1720</v>
      </c>
      <c r="B1023" s="157" t="s">
        <v>856</v>
      </c>
      <c r="C1023" s="117" t="str">
        <f t="shared" si="45"/>
        <v>Mi-Wuk Village - Tuolumne</v>
      </c>
      <c r="D1023" s="223">
        <f t="shared" si="46"/>
        <v>0.13766666666666666</v>
      </c>
      <c r="E1023" s="224">
        <f t="shared" si="47"/>
        <v>0.01042</v>
      </c>
    </row>
    <row r="1024" spans="1:5" ht="12.75">
      <c r="A1024" s="158" t="s">
        <v>1721</v>
      </c>
      <c r="B1024" s="157" t="s">
        <v>856</v>
      </c>
      <c r="C1024" s="117" t="str">
        <f t="shared" si="45"/>
        <v>Moccasin - Tuolumne</v>
      </c>
      <c r="D1024" s="223">
        <f t="shared" si="46"/>
        <v>0.13766666666666666</v>
      </c>
      <c r="E1024" s="224">
        <f t="shared" si="47"/>
        <v>0.01042</v>
      </c>
    </row>
    <row r="1025" spans="1:5" ht="12.75">
      <c r="A1025" s="158" t="s">
        <v>1722</v>
      </c>
      <c r="B1025" s="157" t="s">
        <v>1162</v>
      </c>
      <c r="C1025" s="117" t="str">
        <f t="shared" si="45"/>
        <v>Modesto - Stanislaus</v>
      </c>
      <c r="D1025" s="223">
        <f t="shared" si="46"/>
        <v>0.1716666666666667</v>
      </c>
      <c r="E1025" s="224">
        <f t="shared" si="47"/>
        <v>0.01093</v>
      </c>
    </row>
    <row r="1026" spans="1:5" ht="12.75">
      <c r="A1026" s="158" t="s">
        <v>1723</v>
      </c>
      <c r="B1026" s="157" t="s">
        <v>712</v>
      </c>
      <c r="C1026" s="117" t="str">
        <f t="shared" si="45"/>
        <v>Moffett Field - Santa Clara</v>
      </c>
      <c r="D1026" s="223">
        <f t="shared" si="46"/>
        <v>0.10433333333333333</v>
      </c>
      <c r="E1026" s="224">
        <f t="shared" si="47"/>
        <v>0.011810000000000001</v>
      </c>
    </row>
    <row r="1027" spans="1:5" ht="12.75">
      <c r="A1027" s="158" t="s">
        <v>1724</v>
      </c>
      <c r="B1027" s="157" t="s">
        <v>772</v>
      </c>
      <c r="C1027" s="117" t="str">
        <f t="shared" si="45"/>
        <v>Mojave - Kern</v>
      </c>
      <c r="D1027" s="223">
        <f t="shared" si="46"/>
        <v>0.15741666666666668</v>
      </c>
      <c r="E1027" s="224">
        <f t="shared" si="47"/>
        <v>0.01114</v>
      </c>
    </row>
    <row r="1028" spans="1:5" ht="12.75">
      <c r="A1028" s="158" t="s">
        <v>1725</v>
      </c>
      <c r="B1028" s="157" t="s">
        <v>725</v>
      </c>
      <c r="C1028" s="117" t="str">
        <f t="shared" si="45"/>
        <v>Mokelumne Hill - Calaveras</v>
      </c>
      <c r="D1028" s="223">
        <f t="shared" si="46"/>
        <v>0.1545833333333333</v>
      </c>
      <c r="E1028" s="224">
        <f t="shared" si="47"/>
        <v>0.01075</v>
      </c>
    </row>
    <row r="1029" spans="1:5" ht="12.75">
      <c r="A1029" s="158" t="s">
        <v>1726</v>
      </c>
      <c r="B1029" s="157" t="s">
        <v>708</v>
      </c>
      <c r="C1029" s="117" t="str">
        <f t="shared" si="45"/>
        <v>Monarch Beach  - Orange</v>
      </c>
      <c r="D1029" s="223">
        <f t="shared" si="46"/>
        <v>0.0915</v>
      </c>
      <c r="E1029" s="224">
        <f t="shared" si="47"/>
        <v>0.01054</v>
      </c>
    </row>
    <row r="1030" spans="1:5" ht="12.75">
      <c r="A1030" s="158" t="s">
        <v>1727</v>
      </c>
      <c r="B1030" s="157" t="s">
        <v>677</v>
      </c>
      <c r="C1030" s="117" t="str">
        <f t="shared" si="45"/>
        <v>Moneta - Los Angeles</v>
      </c>
      <c r="D1030" s="223">
        <f t="shared" si="46"/>
        <v>0.12533333333333332</v>
      </c>
      <c r="E1030" s="224">
        <f t="shared" si="47"/>
        <v>0.01168</v>
      </c>
    </row>
    <row r="1031" spans="1:5" ht="12.75">
      <c r="A1031" s="158" t="s">
        <v>1728</v>
      </c>
      <c r="B1031" s="157" t="s">
        <v>783</v>
      </c>
      <c r="C1031" s="117" t="str">
        <f aca="true" t="shared" si="48" ref="C1031:C1094">A1031&amp;" - "&amp;B1031</f>
        <v>Mono Hot Springs - Fresno</v>
      </c>
      <c r="D1031" s="223">
        <f t="shared" si="46"/>
        <v>0.1685</v>
      </c>
      <c r="E1031" s="224">
        <f t="shared" si="47"/>
        <v>0.01165</v>
      </c>
    </row>
    <row r="1032" spans="1:5" ht="12.75">
      <c r="A1032" s="158" t="s">
        <v>1729</v>
      </c>
      <c r="B1032" s="157" t="s">
        <v>839</v>
      </c>
      <c r="C1032" s="117" t="str">
        <f t="shared" si="48"/>
        <v>Mono Lake - Mono</v>
      </c>
      <c r="D1032" s="223">
        <f aca="true" t="shared" si="49" ref="D1032:D1095">VLOOKUP(B1032,unemployment_rates,2,FALSE)</f>
        <v>0.10441666666666664</v>
      </c>
      <c r="E1032" s="224">
        <f aca="true" t="shared" si="50" ref="E1032:E1095">VLOOKUP(B1032,Prop_Tax_Rates,2,FALSE)</f>
        <v>0.01073</v>
      </c>
    </row>
    <row r="1033" spans="1:5" ht="12.75">
      <c r="A1033" s="158" t="s">
        <v>1730</v>
      </c>
      <c r="B1033" s="157" t="s">
        <v>772</v>
      </c>
      <c r="C1033" s="117" t="str">
        <f t="shared" si="48"/>
        <v>Monolith - Kern</v>
      </c>
      <c r="D1033" s="223">
        <f t="shared" si="49"/>
        <v>0.15741666666666668</v>
      </c>
      <c r="E1033" s="224">
        <f t="shared" si="50"/>
        <v>0.01114</v>
      </c>
    </row>
    <row r="1034" spans="1:5" ht="12.75">
      <c r="A1034" s="158" t="s">
        <v>1731</v>
      </c>
      <c r="B1034" s="157" t="s">
        <v>677</v>
      </c>
      <c r="C1034" s="117" t="str">
        <f t="shared" si="48"/>
        <v>Monrovia - Los Angeles</v>
      </c>
      <c r="D1034" s="223">
        <f t="shared" si="49"/>
        <v>0.12533333333333332</v>
      </c>
      <c r="E1034" s="224">
        <f t="shared" si="50"/>
        <v>0.01168</v>
      </c>
    </row>
    <row r="1035" spans="1:5" ht="12.75">
      <c r="A1035" s="158" t="s">
        <v>1732</v>
      </c>
      <c r="B1035" s="157" t="s">
        <v>712</v>
      </c>
      <c r="C1035" s="117" t="str">
        <f t="shared" si="48"/>
        <v>Monta Vista - Santa Clara</v>
      </c>
      <c r="D1035" s="223">
        <f t="shared" si="49"/>
        <v>0.10433333333333333</v>
      </c>
      <c r="E1035" s="224">
        <f t="shared" si="50"/>
        <v>0.011810000000000001</v>
      </c>
    </row>
    <row r="1036" spans="1:5" ht="12.75">
      <c r="A1036" s="158" t="s">
        <v>1733</v>
      </c>
      <c r="B1036" s="157" t="s">
        <v>1012</v>
      </c>
      <c r="C1036" s="117" t="str">
        <f t="shared" si="48"/>
        <v>Montague - Siskiyou</v>
      </c>
      <c r="D1036" s="223">
        <f t="shared" si="49"/>
        <v>0.17858333333333332</v>
      </c>
      <c r="E1036" s="224">
        <f t="shared" si="50"/>
        <v>0.01038</v>
      </c>
    </row>
    <row r="1037" spans="1:5" ht="12.75">
      <c r="A1037" s="158" t="s">
        <v>1734</v>
      </c>
      <c r="B1037" s="157" t="s">
        <v>1017</v>
      </c>
      <c r="C1037" s="117" t="str">
        <f t="shared" si="48"/>
        <v>Montalvo  - Ventura</v>
      </c>
      <c r="D1037" s="223">
        <f t="shared" si="49"/>
        <v>0.10525000000000001</v>
      </c>
      <c r="E1037" s="224">
        <f t="shared" si="50"/>
        <v>0.010820000000000001</v>
      </c>
    </row>
    <row r="1038" spans="1:5" ht="12.75">
      <c r="A1038" s="158" t="s">
        <v>1735</v>
      </c>
      <c r="B1038" s="157" t="s">
        <v>778</v>
      </c>
      <c r="C1038" s="117" t="str">
        <f t="shared" si="48"/>
        <v>Montara - San Mateo</v>
      </c>
      <c r="D1038" s="223">
        <f t="shared" si="49"/>
        <v>0.08433333333333333</v>
      </c>
      <c r="E1038" s="224">
        <f t="shared" si="50"/>
        <v>0.01085</v>
      </c>
    </row>
    <row r="1039" spans="1:5" ht="12.75">
      <c r="A1039" s="158" t="s">
        <v>1736</v>
      </c>
      <c r="B1039" s="157" t="s">
        <v>681</v>
      </c>
      <c r="C1039" s="117" t="str">
        <f t="shared" si="48"/>
        <v>Montclair - San Bernardino</v>
      </c>
      <c r="D1039" s="223">
        <f t="shared" si="49"/>
        <v>0.13891666666666666</v>
      </c>
      <c r="E1039" s="224">
        <f t="shared" si="50"/>
        <v>0.01134</v>
      </c>
    </row>
    <row r="1040" spans="1:5" ht="12.75">
      <c r="A1040" s="158" t="s">
        <v>1737</v>
      </c>
      <c r="B1040" s="157" t="s">
        <v>687</v>
      </c>
      <c r="C1040" s="117" t="str">
        <f t="shared" si="48"/>
        <v>Monte Rio - Sonoma</v>
      </c>
      <c r="D1040" s="223">
        <f t="shared" si="49"/>
        <v>0.10133333333333334</v>
      </c>
      <c r="E1040" s="224">
        <f t="shared" si="50"/>
        <v>0.01115</v>
      </c>
    </row>
    <row r="1041" spans="1:5" ht="12.75">
      <c r="A1041" s="158" t="s">
        <v>1738</v>
      </c>
      <c r="B1041" s="157" t="s">
        <v>712</v>
      </c>
      <c r="C1041" s="117" t="str">
        <f t="shared" si="48"/>
        <v>Monte Sereno - Santa Clara</v>
      </c>
      <c r="D1041" s="223">
        <f t="shared" si="49"/>
        <v>0.10433333333333333</v>
      </c>
      <c r="E1041" s="224">
        <f t="shared" si="50"/>
        <v>0.011810000000000001</v>
      </c>
    </row>
    <row r="1042" spans="1:5" ht="12.75">
      <c r="A1042" s="158" t="s">
        <v>1739</v>
      </c>
      <c r="B1042" s="157" t="s">
        <v>677</v>
      </c>
      <c r="C1042" s="117" t="str">
        <f t="shared" si="48"/>
        <v>Montebello - Los Angeles</v>
      </c>
      <c r="D1042" s="223">
        <f t="shared" si="49"/>
        <v>0.12533333333333332</v>
      </c>
      <c r="E1042" s="224">
        <f t="shared" si="50"/>
        <v>0.01168</v>
      </c>
    </row>
    <row r="1043" spans="1:5" ht="12.75">
      <c r="A1043" s="158" t="s">
        <v>1740</v>
      </c>
      <c r="B1043" s="157" t="s">
        <v>799</v>
      </c>
      <c r="C1043" s="117" t="str">
        <f t="shared" si="48"/>
        <v>Montecito - Santa Barbara</v>
      </c>
      <c r="D1043" s="223">
        <f t="shared" si="49"/>
        <v>0.09174999999999998</v>
      </c>
      <c r="E1043" s="224">
        <f t="shared" si="50"/>
        <v>0.01055</v>
      </c>
    </row>
    <row r="1044" spans="1:5" ht="12.75">
      <c r="A1044" s="158" t="s">
        <v>764</v>
      </c>
      <c r="B1044" s="157" t="s">
        <v>764</v>
      </c>
      <c r="C1044" s="117" t="str">
        <f t="shared" si="48"/>
        <v>Monterey - Monterey</v>
      </c>
      <c r="D1044" s="223">
        <f t="shared" si="49"/>
        <v>0.12916666666666665</v>
      </c>
      <c r="E1044" s="224">
        <f t="shared" si="50"/>
        <v>0.01084</v>
      </c>
    </row>
    <row r="1045" spans="1:5" ht="12.75">
      <c r="A1045" s="158" t="s">
        <v>1741</v>
      </c>
      <c r="B1045" s="157" t="s">
        <v>751</v>
      </c>
      <c r="C1045" s="117" t="str">
        <f t="shared" si="48"/>
        <v>Monterey Bay Academy - Santa Cruz</v>
      </c>
      <c r="D1045" s="223">
        <f t="shared" si="49"/>
        <v>0.12516666666666665</v>
      </c>
      <c r="E1045" s="224">
        <f t="shared" si="50"/>
        <v>0.01093</v>
      </c>
    </row>
    <row r="1046" spans="1:5" ht="12.75">
      <c r="A1046" s="158" t="s">
        <v>1742</v>
      </c>
      <c r="B1046" s="157" t="s">
        <v>677</v>
      </c>
      <c r="C1046" s="117" t="str">
        <f t="shared" si="48"/>
        <v>Monterey Park - Los Angeles</v>
      </c>
      <c r="D1046" s="223">
        <f t="shared" si="49"/>
        <v>0.12533333333333332</v>
      </c>
      <c r="E1046" s="224">
        <f t="shared" si="50"/>
        <v>0.01168</v>
      </c>
    </row>
    <row r="1047" spans="1:5" ht="12.75">
      <c r="A1047" s="158" t="s">
        <v>1743</v>
      </c>
      <c r="B1047" s="157" t="s">
        <v>738</v>
      </c>
      <c r="C1047" s="117" t="str">
        <f t="shared" si="48"/>
        <v>Montgomery Creek - Shasta</v>
      </c>
      <c r="D1047" s="223">
        <f t="shared" si="49"/>
        <v>0.15616666666666668</v>
      </c>
      <c r="E1047" s="224">
        <f t="shared" si="50"/>
        <v>0.01085</v>
      </c>
    </row>
    <row r="1048" spans="1:5" ht="12.75">
      <c r="A1048" s="158" t="s">
        <v>1744</v>
      </c>
      <c r="B1048" s="157" t="s">
        <v>677</v>
      </c>
      <c r="C1048" s="117" t="str">
        <f t="shared" si="48"/>
        <v>Montrose - Los Angeles</v>
      </c>
      <c r="D1048" s="223">
        <f t="shared" si="49"/>
        <v>0.12533333333333332</v>
      </c>
      <c r="E1048" s="224">
        <f t="shared" si="50"/>
        <v>0.01168</v>
      </c>
    </row>
    <row r="1049" spans="1:5" ht="12.75">
      <c r="A1049" s="158" t="s">
        <v>1745</v>
      </c>
      <c r="B1049" s="157" t="s">
        <v>718</v>
      </c>
      <c r="C1049" s="117" t="str">
        <f t="shared" si="48"/>
        <v>Mooney - Tulare</v>
      </c>
      <c r="D1049" s="223">
        <f t="shared" si="49"/>
        <v>0.16641666666666666</v>
      </c>
      <c r="E1049" s="224">
        <f t="shared" si="50"/>
        <v>0.01088</v>
      </c>
    </row>
    <row r="1050" spans="1:5" ht="12.75">
      <c r="A1050" s="158" t="s">
        <v>1746</v>
      </c>
      <c r="B1050" s="157" t="s">
        <v>681</v>
      </c>
      <c r="C1050" s="117" t="str">
        <f t="shared" si="48"/>
        <v>Moonridge - San Bernardino</v>
      </c>
      <c r="D1050" s="223">
        <f t="shared" si="49"/>
        <v>0.13891666666666666</v>
      </c>
      <c r="E1050" s="224">
        <f t="shared" si="50"/>
        <v>0.01134</v>
      </c>
    </row>
    <row r="1051" spans="1:5" ht="12.75">
      <c r="A1051" s="158" t="s">
        <v>1747</v>
      </c>
      <c r="B1051" s="157" t="s">
        <v>1017</v>
      </c>
      <c r="C1051" s="117" t="str">
        <f t="shared" si="48"/>
        <v>Moorpark - Ventura</v>
      </c>
      <c r="D1051" s="223">
        <f t="shared" si="49"/>
        <v>0.10525000000000001</v>
      </c>
      <c r="E1051" s="224">
        <f t="shared" si="50"/>
        <v>0.010820000000000001</v>
      </c>
    </row>
    <row r="1052" spans="1:5" ht="12.75">
      <c r="A1052" s="158" t="s">
        <v>1748</v>
      </c>
      <c r="B1052" s="157" t="s">
        <v>699</v>
      </c>
      <c r="C1052" s="117" t="str">
        <f t="shared" si="48"/>
        <v>Moraga - Contra Costa</v>
      </c>
      <c r="D1052" s="223">
        <f t="shared" si="49"/>
        <v>0.10966666666666666</v>
      </c>
      <c r="E1052" s="224">
        <f t="shared" si="50"/>
        <v>0.011080000000000001</v>
      </c>
    </row>
    <row r="1053" spans="1:5" ht="12.75">
      <c r="A1053" s="158" t="s">
        <v>1749</v>
      </c>
      <c r="B1053" s="157" t="s">
        <v>692</v>
      </c>
      <c r="C1053" s="117" t="str">
        <f t="shared" si="48"/>
        <v>Moreno Valley - Riverside</v>
      </c>
      <c r="D1053" s="223">
        <f t="shared" si="49"/>
        <v>0.144</v>
      </c>
      <c r="E1053" s="224">
        <f t="shared" si="50"/>
        <v>0.01089</v>
      </c>
    </row>
    <row r="1054" spans="1:5" ht="12.75">
      <c r="A1054" s="158" t="s">
        <v>1750</v>
      </c>
      <c r="B1054" s="157" t="s">
        <v>712</v>
      </c>
      <c r="C1054" s="117" t="str">
        <f t="shared" si="48"/>
        <v>Morgan Hill - Santa Clara</v>
      </c>
      <c r="D1054" s="223">
        <f t="shared" si="49"/>
        <v>0.10433333333333333</v>
      </c>
      <c r="E1054" s="224">
        <f t="shared" si="50"/>
        <v>0.011810000000000001</v>
      </c>
    </row>
    <row r="1055" spans="1:5" ht="12.75">
      <c r="A1055" s="158" t="s">
        <v>1751</v>
      </c>
      <c r="B1055" s="157" t="s">
        <v>681</v>
      </c>
      <c r="C1055" s="117" t="str">
        <f t="shared" si="48"/>
        <v>Morongo Valley - San Bernardino</v>
      </c>
      <c r="D1055" s="223">
        <f t="shared" si="49"/>
        <v>0.13891666666666666</v>
      </c>
      <c r="E1055" s="224">
        <f t="shared" si="50"/>
        <v>0.01134</v>
      </c>
    </row>
    <row r="1056" spans="1:5" ht="12.75">
      <c r="A1056" s="158" t="s">
        <v>1752</v>
      </c>
      <c r="B1056" s="157" t="s">
        <v>679</v>
      </c>
      <c r="C1056" s="117" t="str">
        <f t="shared" si="48"/>
        <v>Morro Bay - San Luis Obispo</v>
      </c>
      <c r="D1056" s="223">
        <f t="shared" si="49"/>
        <v>0.099</v>
      </c>
      <c r="E1056" s="224">
        <f t="shared" si="50"/>
        <v>0.01039</v>
      </c>
    </row>
    <row r="1057" spans="1:5" ht="12.75">
      <c r="A1057" s="158" t="s">
        <v>1753</v>
      </c>
      <c r="B1057" s="157" t="s">
        <v>679</v>
      </c>
      <c r="C1057" s="117" t="str">
        <f t="shared" si="48"/>
        <v>Morro Plaza - San Luis Obispo</v>
      </c>
      <c r="D1057" s="223">
        <f t="shared" si="49"/>
        <v>0.099</v>
      </c>
      <c r="E1057" s="224">
        <f t="shared" si="50"/>
        <v>0.01039</v>
      </c>
    </row>
    <row r="1058" spans="1:5" ht="12.75">
      <c r="A1058" s="158" t="s">
        <v>1754</v>
      </c>
      <c r="B1058" s="157" t="s">
        <v>778</v>
      </c>
      <c r="C1058" s="117" t="str">
        <f t="shared" si="48"/>
        <v>Moss Beach - San Mateo</v>
      </c>
      <c r="D1058" s="223">
        <f t="shared" si="49"/>
        <v>0.08433333333333333</v>
      </c>
      <c r="E1058" s="224">
        <f t="shared" si="50"/>
        <v>0.01085</v>
      </c>
    </row>
    <row r="1059" spans="1:5" ht="12.75">
      <c r="A1059" s="158" t="s">
        <v>1755</v>
      </c>
      <c r="B1059" s="157" t="s">
        <v>764</v>
      </c>
      <c r="C1059" s="117" t="str">
        <f t="shared" si="48"/>
        <v>Moss Landing - Monterey</v>
      </c>
      <c r="D1059" s="223">
        <f t="shared" si="49"/>
        <v>0.12916666666666665</v>
      </c>
      <c r="E1059" s="224">
        <f t="shared" si="50"/>
        <v>0.01084</v>
      </c>
    </row>
    <row r="1060" spans="1:5" ht="12.75">
      <c r="A1060" s="158" t="s">
        <v>1756</v>
      </c>
      <c r="B1060" s="157" t="s">
        <v>712</v>
      </c>
      <c r="C1060" s="117" t="str">
        <f t="shared" si="48"/>
        <v>Mount Hamilton - Santa Clara</v>
      </c>
      <c r="D1060" s="223">
        <f t="shared" si="49"/>
        <v>0.10433333333333333</v>
      </c>
      <c r="E1060" s="224">
        <f t="shared" si="50"/>
        <v>0.011810000000000001</v>
      </c>
    </row>
    <row r="1061" spans="1:5" ht="12.75">
      <c r="A1061" s="158" t="s">
        <v>1757</v>
      </c>
      <c r="B1061" s="157" t="s">
        <v>1012</v>
      </c>
      <c r="C1061" s="117" t="str">
        <f t="shared" si="48"/>
        <v>Mount Hebron - Siskiyou</v>
      </c>
      <c r="D1061" s="223">
        <f t="shared" si="49"/>
        <v>0.17858333333333332</v>
      </c>
      <c r="E1061" s="224">
        <f t="shared" si="50"/>
        <v>0.01038</v>
      </c>
    </row>
    <row r="1062" spans="1:5" ht="12.75">
      <c r="A1062" s="158" t="s">
        <v>1758</v>
      </c>
      <c r="B1062" s="157" t="s">
        <v>751</v>
      </c>
      <c r="C1062" s="117" t="str">
        <f t="shared" si="48"/>
        <v>Mount Hermon - Santa Cruz</v>
      </c>
      <c r="D1062" s="223">
        <f t="shared" si="49"/>
        <v>0.12516666666666665</v>
      </c>
      <c r="E1062" s="224">
        <f t="shared" si="50"/>
        <v>0.01093</v>
      </c>
    </row>
    <row r="1063" spans="1:5" ht="12.75">
      <c r="A1063" s="158" t="s">
        <v>1759</v>
      </c>
      <c r="B1063" s="157" t="s">
        <v>689</v>
      </c>
      <c r="C1063" s="117" t="str">
        <f t="shared" si="48"/>
        <v>Mount Laguna - San Diego</v>
      </c>
      <c r="D1063" s="223">
        <f t="shared" si="49"/>
        <v>0.10283333333333333</v>
      </c>
      <c r="E1063" s="224">
        <f t="shared" si="50"/>
        <v>0.01076</v>
      </c>
    </row>
    <row r="1064" spans="1:5" ht="12.75">
      <c r="A1064" s="158" t="s">
        <v>1760</v>
      </c>
      <c r="B1064" s="157" t="s">
        <v>1012</v>
      </c>
      <c r="C1064" s="117" t="str">
        <f t="shared" si="48"/>
        <v>Mount Shasta - Siskiyou</v>
      </c>
      <c r="D1064" s="223">
        <f t="shared" si="49"/>
        <v>0.17858333333333332</v>
      </c>
      <c r="E1064" s="224">
        <f t="shared" si="50"/>
        <v>0.01038</v>
      </c>
    </row>
    <row r="1065" spans="1:5" ht="12.75">
      <c r="A1065" s="158" t="s">
        <v>1761</v>
      </c>
      <c r="B1065" s="157" t="s">
        <v>677</v>
      </c>
      <c r="C1065" s="117" t="str">
        <f t="shared" si="48"/>
        <v>Mount Wilson - Los Angeles</v>
      </c>
      <c r="D1065" s="223">
        <f t="shared" si="49"/>
        <v>0.12533333333333332</v>
      </c>
      <c r="E1065" s="224">
        <f t="shared" si="50"/>
        <v>0.01168</v>
      </c>
    </row>
    <row r="1066" spans="1:5" ht="12.75">
      <c r="A1066" s="158" t="s">
        <v>1762</v>
      </c>
      <c r="B1066" s="157" t="s">
        <v>692</v>
      </c>
      <c r="C1066" s="117" t="str">
        <f t="shared" si="48"/>
        <v>Mountain Center - Riverside</v>
      </c>
      <c r="D1066" s="223">
        <f t="shared" si="49"/>
        <v>0.144</v>
      </c>
      <c r="E1066" s="224">
        <f t="shared" si="50"/>
        <v>0.01089</v>
      </c>
    </row>
    <row r="1067" spans="1:5" ht="12.75">
      <c r="A1067" s="158" t="s">
        <v>1763</v>
      </c>
      <c r="B1067" s="157" t="s">
        <v>772</v>
      </c>
      <c r="C1067" s="117" t="str">
        <f t="shared" si="48"/>
        <v>Mountain Mesa - Kern</v>
      </c>
      <c r="D1067" s="223">
        <f t="shared" si="49"/>
        <v>0.15741666666666668</v>
      </c>
      <c r="E1067" s="224">
        <f t="shared" si="50"/>
        <v>0.01114</v>
      </c>
    </row>
    <row r="1068" spans="1:5" ht="12.75">
      <c r="A1068" s="158" t="s">
        <v>1764</v>
      </c>
      <c r="B1068" s="157" t="s">
        <v>681</v>
      </c>
      <c r="C1068" s="117" t="str">
        <f t="shared" si="48"/>
        <v>Mountain Pass - San Bernardino</v>
      </c>
      <c r="D1068" s="223">
        <f t="shared" si="49"/>
        <v>0.13891666666666666</v>
      </c>
      <c r="E1068" s="224">
        <f t="shared" si="50"/>
        <v>0.01134</v>
      </c>
    </row>
    <row r="1069" spans="1:5" ht="12.75">
      <c r="A1069" s="158" t="s">
        <v>1765</v>
      </c>
      <c r="B1069" s="157" t="s">
        <v>725</v>
      </c>
      <c r="C1069" s="117" t="str">
        <f t="shared" si="48"/>
        <v>Mountain Ranch - Calaveras</v>
      </c>
      <c r="D1069" s="223">
        <f t="shared" si="49"/>
        <v>0.1545833333333333</v>
      </c>
      <c r="E1069" s="224">
        <f t="shared" si="50"/>
        <v>0.01075</v>
      </c>
    </row>
    <row r="1070" spans="1:5" ht="12.75">
      <c r="A1070" s="158" t="s">
        <v>1766</v>
      </c>
      <c r="B1070" s="157" t="s">
        <v>712</v>
      </c>
      <c r="C1070" s="117" t="str">
        <f t="shared" si="48"/>
        <v>Mountain View - Santa Clara</v>
      </c>
      <c r="D1070" s="223">
        <f t="shared" si="49"/>
        <v>0.10433333333333333</v>
      </c>
      <c r="E1070" s="224">
        <f t="shared" si="50"/>
        <v>0.011810000000000001</v>
      </c>
    </row>
    <row r="1071" spans="1:5" ht="12.75">
      <c r="A1071" s="158" t="s">
        <v>1767</v>
      </c>
      <c r="B1071" s="157" t="s">
        <v>696</v>
      </c>
      <c r="C1071" s="117" t="str">
        <f t="shared" si="48"/>
        <v>Mt. Aukum - El Dorado</v>
      </c>
      <c r="D1071" s="223">
        <f t="shared" si="49"/>
        <v>0.12433333333333335</v>
      </c>
      <c r="E1071" s="224">
        <f t="shared" si="50"/>
        <v>0.01055</v>
      </c>
    </row>
    <row r="1072" spans="1:5" ht="12.75">
      <c r="A1072" s="158" t="s">
        <v>1768</v>
      </c>
      <c r="B1072" s="157" t="s">
        <v>681</v>
      </c>
      <c r="C1072" s="117" t="str">
        <f t="shared" si="48"/>
        <v>Mt. Baldy - San Bernardino</v>
      </c>
      <c r="D1072" s="223">
        <f t="shared" si="49"/>
        <v>0.13891666666666666</v>
      </c>
      <c r="E1072" s="224">
        <f t="shared" si="50"/>
        <v>0.01134</v>
      </c>
    </row>
    <row r="1073" spans="1:5" ht="12.75">
      <c r="A1073" s="158" t="s">
        <v>1769</v>
      </c>
      <c r="B1073" s="157" t="s">
        <v>725</v>
      </c>
      <c r="C1073" s="117" t="str">
        <f t="shared" si="48"/>
        <v>Murphys - Calaveras</v>
      </c>
      <c r="D1073" s="223">
        <f t="shared" si="49"/>
        <v>0.1545833333333333</v>
      </c>
      <c r="E1073" s="224">
        <f t="shared" si="50"/>
        <v>0.01075</v>
      </c>
    </row>
    <row r="1074" spans="1:5" ht="12.75">
      <c r="A1074" s="158" t="s">
        <v>1770</v>
      </c>
      <c r="B1074" s="157" t="s">
        <v>692</v>
      </c>
      <c r="C1074" s="117" t="str">
        <f t="shared" si="48"/>
        <v>Murrieta - Riverside</v>
      </c>
      <c r="D1074" s="223">
        <f t="shared" si="49"/>
        <v>0.144</v>
      </c>
      <c r="E1074" s="224">
        <f t="shared" si="50"/>
        <v>0.01089</v>
      </c>
    </row>
    <row r="1075" spans="1:5" ht="12.75">
      <c r="A1075" s="158" t="s">
        <v>1771</v>
      </c>
      <c r="B1075" s="157" t="s">
        <v>681</v>
      </c>
      <c r="C1075" s="117" t="str">
        <f t="shared" si="48"/>
        <v>Muscoy - San Bernardino</v>
      </c>
      <c r="D1075" s="223">
        <f t="shared" si="49"/>
        <v>0.13891666666666666</v>
      </c>
      <c r="E1075" s="224">
        <f t="shared" si="50"/>
        <v>0.01134</v>
      </c>
    </row>
    <row r="1076" spans="1:5" ht="12.75">
      <c r="A1076" s="158" t="s">
        <v>1772</v>
      </c>
      <c r="B1076" s="157" t="s">
        <v>705</v>
      </c>
      <c r="C1076" s="117" t="str">
        <f t="shared" si="48"/>
        <v>Myers Flat - Humboldt</v>
      </c>
      <c r="D1076" s="223">
        <f t="shared" si="49"/>
        <v>0.11391666666666665</v>
      </c>
      <c r="E1076" s="224">
        <f t="shared" si="50"/>
        <v>0.01055</v>
      </c>
    </row>
    <row r="1077" spans="1:5" ht="12.75">
      <c r="A1077" s="158" t="s">
        <v>735</v>
      </c>
      <c r="B1077" s="157" t="s">
        <v>735</v>
      </c>
      <c r="C1077" s="117" t="str">
        <f t="shared" si="48"/>
        <v>Napa - Napa</v>
      </c>
      <c r="D1077" s="223">
        <f t="shared" si="49"/>
        <v>0.09708333333333334</v>
      </c>
      <c r="E1077" s="224">
        <f t="shared" si="50"/>
        <v>0.01093</v>
      </c>
    </row>
    <row r="1078" spans="1:5" ht="12.75">
      <c r="A1078" s="158" t="s">
        <v>1773</v>
      </c>
      <c r="B1078" s="157" t="s">
        <v>677</v>
      </c>
      <c r="C1078" s="117" t="str">
        <f t="shared" si="48"/>
        <v>Naples - Los Angeles</v>
      </c>
      <c r="D1078" s="223">
        <f t="shared" si="49"/>
        <v>0.12533333333333332</v>
      </c>
      <c r="E1078" s="224">
        <f t="shared" si="50"/>
        <v>0.01168</v>
      </c>
    </row>
    <row r="1079" spans="1:5" ht="12.75">
      <c r="A1079" s="158" t="s">
        <v>1774</v>
      </c>
      <c r="B1079" s="157" t="s">
        <v>696</v>
      </c>
      <c r="C1079" s="117" t="str">
        <f t="shared" si="48"/>
        <v>Nashville - El Dorado</v>
      </c>
      <c r="D1079" s="223">
        <f t="shared" si="49"/>
        <v>0.12433333333333335</v>
      </c>
      <c r="E1079" s="224">
        <f t="shared" si="50"/>
        <v>0.01055</v>
      </c>
    </row>
    <row r="1080" spans="1:5" ht="12.75">
      <c r="A1080" s="158" t="s">
        <v>1775</v>
      </c>
      <c r="B1080" s="157" t="s">
        <v>689</v>
      </c>
      <c r="C1080" s="117" t="str">
        <f t="shared" si="48"/>
        <v>National City - San Diego</v>
      </c>
      <c r="D1080" s="223">
        <f t="shared" si="49"/>
        <v>0.10283333333333333</v>
      </c>
      <c r="E1080" s="224">
        <f t="shared" si="50"/>
        <v>0.01076</v>
      </c>
    </row>
    <row r="1081" spans="1:5" ht="12.75">
      <c r="A1081" s="158" t="s">
        <v>1776</v>
      </c>
      <c r="B1081" s="157" t="s">
        <v>689</v>
      </c>
      <c r="C1081" s="117" t="str">
        <f t="shared" si="48"/>
        <v>Naval  - San Diego</v>
      </c>
      <c r="D1081" s="223">
        <f t="shared" si="49"/>
        <v>0.10283333333333333</v>
      </c>
      <c r="E1081" s="224">
        <f t="shared" si="50"/>
        <v>0.01076</v>
      </c>
    </row>
    <row r="1082" spans="1:5" ht="12.75">
      <c r="A1082" s="158" t="s">
        <v>1776</v>
      </c>
      <c r="B1082" s="157" t="s">
        <v>1017</v>
      </c>
      <c r="C1082" s="117" t="str">
        <f t="shared" si="48"/>
        <v>Naval  - Ventura</v>
      </c>
      <c r="D1082" s="223">
        <f t="shared" si="49"/>
        <v>0.10525000000000001</v>
      </c>
      <c r="E1082" s="224">
        <f t="shared" si="50"/>
        <v>0.010820000000000001</v>
      </c>
    </row>
    <row r="1083" spans="1:5" ht="12.75">
      <c r="A1083" s="158" t="s">
        <v>1777</v>
      </c>
      <c r="B1083" s="157" t="s">
        <v>760</v>
      </c>
      <c r="C1083" s="117" t="str">
        <f t="shared" si="48"/>
        <v>Naval Air Station  - Kings</v>
      </c>
      <c r="D1083" s="223">
        <f t="shared" si="49"/>
        <v>0.16516666666666666</v>
      </c>
      <c r="E1083" s="224">
        <f t="shared" si="50"/>
        <v>0.01075</v>
      </c>
    </row>
    <row r="1084" spans="1:5" ht="12.75">
      <c r="A1084" s="158" t="s">
        <v>1777</v>
      </c>
      <c r="B1084" s="157" t="s">
        <v>689</v>
      </c>
      <c r="C1084" s="117" t="str">
        <f t="shared" si="48"/>
        <v>Naval Air Station  - San Diego</v>
      </c>
      <c r="D1084" s="223">
        <f t="shared" si="49"/>
        <v>0.10283333333333333</v>
      </c>
      <c r="E1084" s="224">
        <f t="shared" si="50"/>
        <v>0.01076</v>
      </c>
    </row>
    <row r="1085" spans="1:5" ht="12.75">
      <c r="A1085" s="158" t="s">
        <v>1778</v>
      </c>
      <c r="B1085" s="157" t="s">
        <v>697</v>
      </c>
      <c r="C1085" s="117" t="str">
        <f t="shared" si="48"/>
        <v>Naval Air Station - Alameda</v>
      </c>
      <c r="D1085" s="223">
        <f t="shared" si="49"/>
        <v>0.10916666666666666</v>
      </c>
      <c r="E1085" s="224">
        <f t="shared" si="50"/>
        <v>0.011890000000000001</v>
      </c>
    </row>
    <row r="1086" spans="1:5" ht="12.75">
      <c r="A1086" s="158" t="s">
        <v>1779</v>
      </c>
      <c r="B1086" s="157" t="s">
        <v>697</v>
      </c>
      <c r="C1086" s="117" t="str">
        <f t="shared" si="48"/>
        <v>Naval Hospital  - Alameda</v>
      </c>
      <c r="D1086" s="223">
        <f t="shared" si="49"/>
        <v>0.10916666666666666</v>
      </c>
      <c r="E1086" s="224">
        <f t="shared" si="50"/>
        <v>0.011890000000000001</v>
      </c>
    </row>
    <row r="1087" spans="1:5" ht="12.75">
      <c r="A1087" s="158" t="s">
        <v>1779</v>
      </c>
      <c r="B1087" s="157" t="s">
        <v>689</v>
      </c>
      <c r="C1087" s="117" t="str">
        <f t="shared" si="48"/>
        <v>Naval Hospital  - San Diego</v>
      </c>
      <c r="D1087" s="223">
        <f t="shared" si="49"/>
        <v>0.10283333333333333</v>
      </c>
      <c r="E1087" s="224">
        <f t="shared" si="50"/>
        <v>0.01076</v>
      </c>
    </row>
    <row r="1088" spans="1:5" ht="12.75">
      <c r="A1088" s="158" t="s">
        <v>1780</v>
      </c>
      <c r="B1088" s="157" t="s">
        <v>697</v>
      </c>
      <c r="C1088" s="117" t="str">
        <f t="shared" si="48"/>
        <v>Naval Supply Center  - Alameda</v>
      </c>
      <c r="D1088" s="223">
        <f t="shared" si="49"/>
        <v>0.10916666666666666</v>
      </c>
      <c r="E1088" s="224">
        <f t="shared" si="50"/>
        <v>0.011890000000000001</v>
      </c>
    </row>
    <row r="1089" spans="1:5" ht="12.75">
      <c r="A1089" s="158" t="s">
        <v>1781</v>
      </c>
      <c r="B1089" s="157" t="s">
        <v>689</v>
      </c>
      <c r="C1089" s="117" t="str">
        <f t="shared" si="48"/>
        <v>Naval Training Center  - San Diego</v>
      </c>
      <c r="D1089" s="223">
        <f t="shared" si="49"/>
        <v>0.10283333333333333</v>
      </c>
      <c r="E1089" s="224">
        <f t="shared" si="50"/>
        <v>0.01076</v>
      </c>
    </row>
    <row r="1090" spans="1:5" ht="12.75">
      <c r="A1090" s="158" t="s">
        <v>1782</v>
      </c>
      <c r="B1090" s="157" t="s">
        <v>703</v>
      </c>
      <c r="C1090" s="117" t="str">
        <f t="shared" si="48"/>
        <v>Navarro - Mendocino</v>
      </c>
      <c r="D1090" s="223">
        <f t="shared" si="49"/>
        <v>0.11325000000000002</v>
      </c>
      <c r="E1090" s="224">
        <f t="shared" si="50"/>
        <v>0.01097</v>
      </c>
    </row>
    <row r="1091" spans="1:5" ht="12.75">
      <c r="A1091" s="158" t="s">
        <v>1783</v>
      </c>
      <c r="B1091" s="157" t="s">
        <v>681</v>
      </c>
      <c r="C1091" s="117" t="str">
        <f t="shared" si="48"/>
        <v>Needles - San Bernardino</v>
      </c>
      <c r="D1091" s="223">
        <f t="shared" si="49"/>
        <v>0.13891666666666666</v>
      </c>
      <c r="E1091" s="224">
        <f t="shared" si="50"/>
        <v>0.01134</v>
      </c>
    </row>
    <row r="1092" spans="1:5" ht="12.75">
      <c r="A1092" s="158" t="s">
        <v>1784</v>
      </c>
      <c r="B1092" s="157" t="s">
        <v>803</v>
      </c>
      <c r="C1092" s="117" t="str">
        <f t="shared" si="48"/>
        <v>Nelson - Butte</v>
      </c>
      <c r="D1092" s="223">
        <f t="shared" si="49"/>
        <v>0.13741666666666666</v>
      </c>
      <c r="E1092" s="224">
        <f t="shared" si="50"/>
        <v>0.01064</v>
      </c>
    </row>
    <row r="1093" spans="1:5" ht="12.75">
      <c r="A1093" s="158" t="s">
        <v>1785</v>
      </c>
      <c r="B1093" s="157" t="s">
        <v>1156</v>
      </c>
      <c r="C1093" s="117" t="str">
        <f t="shared" si="48"/>
        <v>Nevada City - Nevada</v>
      </c>
      <c r="D1093" s="223">
        <f t="shared" si="49"/>
        <v>0.11266666666666668</v>
      </c>
      <c r="E1093" s="224">
        <f t="shared" si="50"/>
        <v>0.010329999999999999</v>
      </c>
    </row>
    <row r="1094" spans="1:5" ht="12.75">
      <c r="A1094" s="158" t="s">
        <v>1786</v>
      </c>
      <c r="B1094" s="157" t="s">
        <v>712</v>
      </c>
      <c r="C1094" s="117" t="str">
        <f t="shared" si="48"/>
        <v>New Almaden - Santa Clara</v>
      </c>
      <c r="D1094" s="223">
        <f t="shared" si="49"/>
        <v>0.10433333333333333</v>
      </c>
      <c r="E1094" s="224">
        <f t="shared" si="50"/>
        <v>0.011810000000000001</v>
      </c>
    </row>
    <row r="1095" spans="1:5" ht="12.75">
      <c r="A1095" s="158" t="s">
        <v>1787</v>
      </c>
      <c r="B1095" s="157" t="s">
        <v>799</v>
      </c>
      <c r="C1095" s="117" t="str">
        <f aca="true" t="shared" si="51" ref="C1095:C1158">A1095&amp;" - "&amp;B1095</f>
        <v>New Cuyama - Santa Barbara</v>
      </c>
      <c r="D1095" s="223">
        <f t="shared" si="49"/>
        <v>0.09174999999999998</v>
      </c>
      <c r="E1095" s="224">
        <f t="shared" si="50"/>
        <v>0.01055</v>
      </c>
    </row>
    <row r="1096" spans="1:5" ht="12.75">
      <c r="A1096" s="158" t="s">
        <v>1788</v>
      </c>
      <c r="B1096" s="157" t="s">
        <v>1479</v>
      </c>
      <c r="C1096" s="117" t="str">
        <f t="shared" si="51"/>
        <v>New Idria - San Benito</v>
      </c>
      <c r="D1096" s="223">
        <f aca="true" t="shared" si="52" ref="D1096:D1159">VLOOKUP(B1096,unemployment_rates,2,FALSE)</f>
        <v>0.1704166666666667</v>
      </c>
      <c r="E1096" s="224">
        <f aca="true" t="shared" si="53" ref="E1096:E1159">VLOOKUP(B1096,Prop_Tax_Rates,2,FALSE)</f>
        <v>0.01142</v>
      </c>
    </row>
    <row r="1097" spans="1:5" ht="12.75">
      <c r="A1097" s="158" t="s">
        <v>1789</v>
      </c>
      <c r="B1097" s="157" t="s">
        <v>697</v>
      </c>
      <c r="C1097" s="117" t="str">
        <f t="shared" si="51"/>
        <v>Newark - Alameda</v>
      </c>
      <c r="D1097" s="223">
        <f t="shared" si="52"/>
        <v>0.10916666666666666</v>
      </c>
      <c r="E1097" s="224">
        <f t="shared" si="53"/>
        <v>0.011890000000000001</v>
      </c>
    </row>
    <row r="1098" spans="1:5" ht="12.75">
      <c r="A1098" s="158" t="s">
        <v>1790</v>
      </c>
      <c r="B1098" s="157" t="s">
        <v>681</v>
      </c>
      <c r="C1098" s="117" t="str">
        <f t="shared" si="51"/>
        <v>Newberry - San Bernardino</v>
      </c>
      <c r="D1098" s="223">
        <f t="shared" si="52"/>
        <v>0.13891666666666666</v>
      </c>
      <c r="E1098" s="224">
        <f t="shared" si="53"/>
        <v>0.01134</v>
      </c>
    </row>
    <row r="1099" spans="1:5" ht="12.75">
      <c r="A1099" s="158" t="s">
        <v>1791</v>
      </c>
      <c r="B1099" s="157" t="s">
        <v>681</v>
      </c>
      <c r="C1099" s="117" t="str">
        <f t="shared" si="51"/>
        <v>Newberry Springs - San Bernardino</v>
      </c>
      <c r="D1099" s="223">
        <f t="shared" si="52"/>
        <v>0.13891666666666666</v>
      </c>
      <c r="E1099" s="224">
        <f t="shared" si="53"/>
        <v>0.01134</v>
      </c>
    </row>
    <row r="1100" spans="1:5" ht="12.75">
      <c r="A1100" s="158" t="s">
        <v>1792</v>
      </c>
      <c r="B1100" s="157" t="s">
        <v>1017</v>
      </c>
      <c r="C1100" s="117" t="str">
        <f t="shared" si="51"/>
        <v>Newbury Park  - Ventura</v>
      </c>
      <c r="D1100" s="223">
        <f t="shared" si="52"/>
        <v>0.10525000000000001</v>
      </c>
      <c r="E1100" s="224">
        <f t="shared" si="53"/>
        <v>0.010820000000000001</v>
      </c>
    </row>
    <row r="1101" spans="1:5" ht="12.75">
      <c r="A1101" s="158" t="s">
        <v>1793</v>
      </c>
      <c r="B1101" s="157" t="s">
        <v>721</v>
      </c>
      <c r="C1101" s="117" t="str">
        <f t="shared" si="51"/>
        <v>Newcastle - Placer</v>
      </c>
      <c r="D1101" s="223">
        <f t="shared" si="52"/>
        <v>0.11291666666666667</v>
      </c>
      <c r="E1101" s="224">
        <f t="shared" si="53"/>
        <v>0.010629999999999999</v>
      </c>
    </row>
    <row r="1102" spans="1:5" ht="12.75">
      <c r="A1102" s="158" t="s">
        <v>1794</v>
      </c>
      <c r="B1102" s="157" t="s">
        <v>677</v>
      </c>
      <c r="C1102" s="117" t="str">
        <f t="shared" si="51"/>
        <v>Newhall  - Los Angeles</v>
      </c>
      <c r="D1102" s="223">
        <f t="shared" si="52"/>
        <v>0.12533333333333332</v>
      </c>
      <c r="E1102" s="224">
        <f t="shared" si="53"/>
        <v>0.01168</v>
      </c>
    </row>
    <row r="1103" spans="1:5" ht="12.75">
      <c r="A1103" s="158" t="s">
        <v>1795</v>
      </c>
      <c r="B1103" s="157" t="s">
        <v>1162</v>
      </c>
      <c r="C1103" s="117" t="str">
        <f t="shared" si="51"/>
        <v>Newman - Stanislaus</v>
      </c>
      <c r="D1103" s="223">
        <f t="shared" si="52"/>
        <v>0.1716666666666667</v>
      </c>
      <c r="E1103" s="224">
        <f t="shared" si="53"/>
        <v>0.01093</v>
      </c>
    </row>
    <row r="1104" spans="1:5" ht="12.75">
      <c r="A1104" s="158" t="s">
        <v>1796</v>
      </c>
      <c r="B1104" s="157" t="s">
        <v>708</v>
      </c>
      <c r="C1104" s="117" t="str">
        <f t="shared" si="51"/>
        <v>Newport Beach - Orange</v>
      </c>
      <c r="D1104" s="223">
        <f t="shared" si="52"/>
        <v>0.0915</v>
      </c>
      <c r="E1104" s="224">
        <f t="shared" si="53"/>
        <v>0.01054</v>
      </c>
    </row>
    <row r="1105" spans="1:5" ht="12.75">
      <c r="A1105" s="158" t="s">
        <v>1797</v>
      </c>
      <c r="B1105" s="157" t="s">
        <v>834</v>
      </c>
      <c r="C1105" s="117" t="str">
        <f t="shared" si="51"/>
        <v>Nicasio - Marin</v>
      </c>
      <c r="D1105" s="223">
        <f t="shared" si="52"/>
        <v>0.08033333333333333</v>
      </c>
      <c r="E1105" s="224">
        <f t="shared" si="53"/>
        <v>0.01105</v>
      </c>
    </row>
    <row r="1106" spans="1:5" ht="12.75">
      <c r="A1106" s="158" t="s">
        <v>1798</v>
      </c>
      <c r="B1106" s="157" t="s">
        <v>102</v>
      </c>
      <c r="C1106" s="117" t="str">
        <f t="shared" si="51"/>
        <v>Nice - Lake</v>
      </c>
      <c r="D1106" s="223">
        <f t="shared" si="52"/>
        <v>0.18208333333333332</v>
      </c>
      <c r="E1106" s="224">
        <f t="shared" si="53"/>
        <v>0.01068</v>
      </c>
    </row>
    <row r="1107" spans="1:5" ht="12.75">
      <c r="A1107" s="158" t="s">
        <v>1799</v>
      </c>
      <c r="B1107" s="157" t="s">
        <v>2046</v>
      </c>
      <c r="C1107" s="117" t="str">
        <f t="shared" si="51"/>
        <v>Nicolaus - Sutter</v>
      </c>
      <c r="D1107" s="223">
        <f t="shared" si="52"/>
        <v>0.19824999999999998</v>
      </c>
      <c r="E1107" s="224">
        <f t="shared" si="53"/>
        <v>0.010700000000000001</v>
      </c>
    </row>
    <row r="1108" spans="1:5" ht="12.75">
      <c r="A1108" s="158" t="s">
        <v>1832</v>
      </c>
      <c r="B1108" s="157" t="s">
        <v>807</v>
      </c>
      <c r="C1108" s="117" t="str">
        <f t="shared" si="51"/>
        <v>Niland - Imperial</v>
      </c>
      <c r="D1108" s="223">
        <f t="shared" si="52"/>
        <v>0.29941666666666666</v>
      </c>
      <c r="E1108" s="224">
        <f t="shared" si="53"/>
        <v>0.01052</v>
      </c>
    </row>
    <row r="1109" spans="1:5" ht="12.75">
      <c r="A1109" s="158" t="s">
        <v>1833</v>
      </c>
      <c r="B1109" s="157" t="s">
        <v>679</v>
      </c>
      <c r="C1109" s="117" t="str">
        <f t="shared" si="51"/>
        <v>Nipomo - San Luis Obispo</v>
      </c>
      <c r="D1109" s="223">
        <f t="shared" si="52"/>
        <v>0.099</v>
      </c>
      <c r="E1109" s="224">
        <f t="shared" si="53"/>
        <v>0.01039</v>
      </c>
    </row>
    <row r="1110" spans="1:5" ht="12.75">
      <c r="A1110" s="158" t="s">
        <v>1834</v>
      </c>
      <c r="B1110" s="157" t="s">
        <v>681</v>
      </c>
      <c r="C1110" s="117" t="str">
        <f t="shared" si="51"/>
        <v>Nipton - San Bernardino</v>
      </c>
      <c r="D1110" s="223">
        <f t="shared" si="52"/>
        <v>0.13891666666666666</v>
      </c>
      <c r="E1110" s="224">
        <f t="shared" si="53"/>
        <v>0.01134</v>
      </c>
    </row>
    <row r="1111" spans="1:5" ht="12.75">
      <c r="A1111" s="158" t="s">
        <v>1835</v>
      </c>
      <c r="B1111" s="157" t="s">
        <v>692</v>
      </c>
      <c r="C1111" s="117" t="str">
        <f t="shared" si="51"/>
        <v>Norco - Riverside</v>
      </c>
      <c r="D1111" s="223">
        <f t="shared" si="52"/>
        <v>0.144</v>
      </c>
      <c r="E1111" s="224">
        <f t="shared" si="53"/>
        <v>0.01089</v>
      </c>
    </row>
    <row r="1112" spans="1:5" ht="12.75">
      <c r="A1112" s="158" t="s">
        <v>1836</v>
      </c>
      <c r="B1112" s="157" t="s">
        <v>1156</v>
      </c>
      <c r="C1112" s="117" t="str">
        <f t="shared" si="51"/>
        <v>Norden - Nevada</v>
      </c>
      <c r="D1112" s="223">
        <f t="shared" si="52"/>
        <v>0.11266666666666668</v>
      </c>
      <c r="E1112" s="224">
        <f t="shared" si="53"/>
        <v>0.010329999999999999</v>
      </c>
    </row>
    <row r="1113" spans="1:5" ht="12.75">
      <c r="A1113" s="158" t="s">
        <v>1837</v>
      </c>
      <c r="B1113" s="157" t="s">
        <v>772</v>
      </c>
      <c r="C1113" s="117" t="str">
        <f t="shared" si="51"/>
        <v>North Edwards - Kern</v>
      </c>
      <c r="D1113" s="223">
        <f t="shared" si="52"/>
        <v>0.15741666666666668</v>
      </c>
      <c r="E1113" s="224">
        <f t="shared" si="53"/>
        <v>0.01114</v>
      </c>
    </row>
    <row r="1114" spans="1:5" ht="12.75">
      <c r="A1114" s="158" t="s">
        <v>1838</v>
      </c>
      <c r="B1114" s="157" t="s">
        <v>694</v>
      </c>
      <c r="C1114" s="117" t="str">
        <f t="shared" si="51"/>
        <v>North Fork - Madera</v>
      </c>
      <c r="D1114" s="223">
        <f t="shared" si="52"/>
        <v>0.15525</v>
      </c>
      <c r="E1114" s="224">
        <f t="shared" si="53"/>
        <v>0.01118</v>
      </c>
    </row>
    <row r="1115" spans="1:5" ht="12.75">
      <c r="A1115" s="158" t="s">
        <v>1839</v>
      </c>
      <c r="B1115" s="157" t="s">
        <v>677</v>
      </c>
      <c r="C1115" s="117" t="str">
        <f t="shared" si="51"/>
        <v>North Gardena - Los Angeles</v>
      </c>
      <c r="D1115" s="223">
        <f t="shared" si="52"/>
        <v>0.12533333333333332</v>
      </c>
      <c r="E1115" s="224">
        <f t="shared" si="53"/>
        <v>0.01168</v>
      </c>
    </row>
    <row r="1116" spans="1:5" ht="12.75">
      <c r="A1116" s="158" t="s">
        <v>1840</v>
      </c>
      <c r="B1116" s="157" t="s">
        <v>744</v>
      </c>
      <c r="C1116" s="117" t="str">
        <f t="shared" si="51"/>
        <v>North Highlands - Sacramento</v>
      </c>
      <c r="D1116" s="223">
        <f t="shared" si="52"/>
        <v>0.12641666666666665</v>
      </c>
      <c r="E1116" s="224">
        <f t="shared" si="53"/>
        <v>0.01087</v>
      </c>
    </row>
    <row r="1117" spans="1:5" ht="12.75">
      <c r="A1117" s="158" t="s">
        <v>1841</v>
      </c>
      <c r="B1117" s="157" t="s">
        <v>677</v>
      </c>
      <c r="C1117" s="117" t="str">
        <f t="shared" si="51"/>
        <v>North Hills  - Los Angeles</v>
      </c>
      <c r="D1117" s="223">
        <f t="shared" si="52"/>
        <v>0.12533333333333332</v>
      </c>
      <c r="E1117" s="224">
        <f t="shared" si="53"/>
        <v>0.01168</v>
      </c>
    </row>
    <row r="1118" spans="1:5" ht="12.75">
      <c r="A1118" s="158" t="s">
        <v>1842</v>
      </c>
      <c r="B1118" s="157" t="s">
        <v>677</v>
      </c>
      <c r="C1118" s="117" t="str">
        <f t="shared" si="51"/>
        <v>North Hollywood  - Los Angeles</v>
      </c>
      <c r="D1118" s="223">
        <f t="shared" si="52"/>
        <v>0.12533333333333332</v>
      </c>
      <c r="E1118" s="224">
        <f t="shared" si="53"/>
        <v>0.01168</v>
      </c>
    </row>
    <row r="1119" spans="1:5" ht="12.75">
      <c r="A1119" s="158" t="s">
        <v>1843</v>
      </c>
      <c r="B1119" s="157" t="s">
        <v>692</v>
      </c>
      <c r="C1119" s="117" t="str">
        <f t="shared" si="51"/>
        <v>North Palm Springs - Riverside</v>
      </c>
      <c r="D1119" s="223">
        <f t="shared" si="52"/>
        <v>0.144</v>
      </c>
      <c r="E1119" s="224">
        <f t="shared" si="53"/>
        <v>0.01089</v>
      </c>
    </row>
    <row r="1120" spans="1:5" ht="12.75">
      <c r="A1120" s="158" t="s">
        <v>1844</v>
      </c>
      <c r="B1120" s="157" t="s">
        <v>1156</v>
      </c>
      <c r="C1120" s="117" t="str">
        <f t="shared" si="51"/>
        <v>North San Juan - Nevada</v>
      </c>
      <c r="D1120" s="223">
        <f t="shared" si="52"/>
        <v>0.11266666666666668</v>
      </c>
      <c r="E1120" s="224">
        <f t="shared" si="53"/>
        <v>0.010329999999999999</v>
      </c>
    </row>
    <row r="1121" spans="1:5" ht="12.75">
      <c r="A1121" s="158" t="s">
        <v>1845</v>
      </c>
      <c r="B1121" s="157" t="s">
        <v>692</v>
      </c>
      <c r="C1121" s="117" t="str">
        <f t="shared" si="51"/>
        <v>North Shore - Riverside</v>
      </c>
      <c r="D1121" s="223">
        <f t="shared" si="52"/>
        <v>0.144</v>
      </c>
      <c r="E1121" s="224">
        <f t="shared" si="53"/>
        <v>0.01089</v>
      </c>
    </row>
    <row r="1122" spans="1:5" ht="12.75">
      <c r="A1122" s="158" t="s">
        <v>1846</v>
      </c>
      <c r="B1122" s="157" t="s">
        <v>677</v>
      </c>
      <c r="C1122" s="117" t="str">
        <f t="shared" si="51"/>
        <v>Northridge  - Los Angeles</v>
      </c>
      <c r="D1122" s="223">
        <f t="shared" si="52"/>
        <v>0.12533333333333332</v>
      </c>
      <c r="E1122" s="224">
        <f t="shared" si="53"/>
        <v>0.01168</v>
      </c>
    </row>
    <row r="1123" spans="1:5" ht="12.75">
      <c r="A1123" s="158" t="s">
        <v>1847</v>
      </c>
      <c r="B1123" s="157" t="s">
        <v>681</v>
      </c>
      <c r="C1123" s="117" t="str">
        <f t="shared" si="51"/>
        <v>Norton A.F.B. - San Bernardino</v>
      </c>
      <c r="D1123" s="223">
        <f t="shared" si="52"/>
        <v>0.13891666666666666</v>
      </c>
      <c r="E1123" s="224">
        <f t="shared" si="53"/>
        <v>0.01134</v>
      </c>
    </row>
    <row r="1124" spans="1:5" ht="12.75">
      <c r="A1124" s="158" t="s">
        <v>1848</v>
      </c>
      <c r="B1124" s="157" t="s">
        <v>677</v>
      </c>
      <c r="C1124" s="117" t="str">
        <f t="shared" si="51"/>
        <v>Norwalk - Los Angeles</v>
      </c>
      <c r="D1124" s="223">
        <f t="shared" si="52"/>
        <v>0.12533333333333332</v>
      </c>
      <c r="E1124" s="224">
        <f t="shared" si="53"/>
        <v>0.01168</v>
      </c>
    </row>
    <row r="1125" spans="1:5" ht="12.75">
      <c r="A1125" s="158" t="s">
        <v>1849</v>
      </c>
      <c r="B1125" s="157" t="s">
        <v>834</v>
      </c>
      <c r="C1125" s="117" t="str">
        <f t="shared" si="51"/>
        <v>Novato - Marin</v>
      </c>
      <c r="D1125" s="223">
        <f t="shared" si="52"/>
        <v>0.08033333333333333</v>
      </c>
      <c r="E1125" s="224">
        <f t="shared" si="53"/>
        <v>0.01105</v>
      </c>
    </row>
    <row r="1126" spans="1:5" ht="12.75">
      <c r="A1126" s="158" t="s">
        <v>1850</v>
      </c>
      <c r="B1126" s="157" t="s">
        <v>847</v>
      </c>
      <c r="C1126" s="117" t="str">
        <f t="shared" si="51"/>
        <v>Nubieber - Lassen</v>
      </c>
      <c r="D1126" s="223">
        <f t="shared" si="52"/>
        <v>0.1388333333333333</v>
      </c>
      <c r="E1126" s="224">
        <f t="shared" si="53"/>
        <v>0.01024</v>
      </c>
    </row>
    <row r="1127" spans="1:5" ht="12.75">
      <c r="A1127" s="158" t="s">
        <v>1851</v>
      </c>
      <c r="B1127" s="157" t="s">
        <v>692</v>
      </c>
      <c r="C1127" s="117" t="str">
        <f t="shared" si="51"/>
        <v>Nuevo - Riverside</v>
      </c>
      <c r="D1127" s="223">
        <f t="shared" si="52"/>
        <v>0.144</v>
      </c>
      <c r="E1127" s="224">
        <f t="shared" si="53"/>
        <v>0.01089</v>
      </c>
    </row>
    <row r="1128" spans="1:5" ht="12.75">
      <c r="A1128" s="158" t="s">
        <v>1852</v>
      </c>
      <c r="B1128" s="157" t="s">
        <v>1017</v>
      </c>
      <c r="C1128" s="117" t="str">
        <f t="shared" si="51"/>
        <v>Nyeland Acres - Ventura</v>
      </c>
      <c r="D1128" s="223">
        <f t="shared" si="52"/>
        <v>0.10525000000000001</v>
      </c>
      <c r="E1128" s="224">
        <f t="shared" si="53"/>
        <v>0.010820000000000001</v>
      </c>
    </row>
    <row r="1129" spans="1:5" ht="12.75">
      <c r="A1129" s="158" t="s">
        <v>1853</v>
      </c>
      <c r="B1129" s="157" t="s">
        <v>1017</v>
      </c>
      <c r="C1129" s="117" t="str">
        <f t="shared" si="51"/>
        <v>Oak Park - Ventura</v>
      </c>
      <c r="D1129" s="223">
        <f t="shared" si="52"/>
        <v>0.10525000000000001</v>
      </c>
      <c r="E1129" s="224">
        <f t="shared" si="53"/>
        <v>0.010820000000000001</v>
      </c>
    </row>
    <row r="1130" spans="1:5" ht="12.75">
      <c r="A1130" s="158" t="s">
        <v>1854</v>
      </c>
      <c r="B1130" s="157" t="s">
        <v>738</v>
      </c>
      <c r="C1130" s="117" t="str">
        <f t="shared" si="51"/>
        <v>Oak Run - Shasta</v>
      </c>
      <c r="D1130" s="223">
        <f t="shared" si="52"/>
        <v>0.15616666666666668</v>
      </c>
      <c r="E1130" s="224">
        <f t="shared" si="53"/>
        <v>0.01085</v>
      </c>
    </row>
    <row r="1131" spans="1:5" ht="12.75">
      <c r="A1131" s="158" t="s">
        <v>1855</v>
      </c>
      <c r="B1131" s="157" t="s">
        <v>1017</v>
      </c>
      <c r="C1131" s="117" t="str">
        <f t="shared" si="51"/>
        <v>Oak View - Ventura</v>
      </c>
      <c r="D1131" s="223">
        <f t="shared" si="52"/>
        <v>0.10525000000000001</v>
      </c>
      <c r="E1131" s="224">
        <f t="shared" si="53"/>
        <v>0.010820000000000001</v>
      </c>
    </row>
    <row r="1132" spans="1:5" ht="12.75">
      <c r="A1132" s="158" t="s">
        <v>1856</v>
      </c>
      <c r="B1132" s="157" t="s">
        <v>1162</v>
      </c>
      <c r="C1132" s="117" t="str">
        <f t="shared" si="51"/>
        <v>Oakdale - Stanislaus</v>
      </c>
      <c r="D1132" s="223">
        <f t="shared" si="52"/>
        <v>0.1716666666666667</v>
      </c>
      <c r="E1132" s="224">
        <f t="shared" si="53"/>
        <v>0.01093</v>
      </c>
    </row>
    <row r="1133" spans="1:5" ht="12.75">
      <c r="A1133" s="158" t="s">
        <v>1857</v>
      </c>
      <c r="B1133" s="157" t="s">
        <v>694</v>
      </c>
      <c r="C1133" s="117" t="str">
        <f t="shared" si="51"/>
        <v>Oakhurst - Madera</v>
      </c>
      <c r="D1133" s="223">
        <f t="shared" si="52"/>
        <v>0.15525</v>
      </c>
      <c r="E1133" s="224">
        <f t="shared" si="53"/>
        <v>0.01118</v>
      </c>
    </row>
    <row r="1134" spans="1:5" ht="12.75">
      <c r="A1134" s="156" t="s">
        <v>1858</v>
      </c>
      <c r="B1134" s="157" t="s">
        <v>697</v>
      </c>
      <c r="C1134" s="117" t="str">
        <f t="shared" si="51"/>
        <v>Oakland - Alameda</v>
      </c>
      <c r="D1134" s="223">
        <f t="shared" si="52"/>
        <v>0.10916666666666666</v>
      </c>
      <c r="E1134" s="224">
        <f t="shared" si="53"/>
        <v>0.011890000000000001</v>
      </c>
    </row>
    <row r="1135" spans="1:5" ht="12.75">
      <c r="A1135" s="158" t="s">
        <v>1859</v>
      </c>
      <c r="B1135" s="157" t="s">
        <v>699</v>
      </c>
      <c r="C1135" s="117" t="str">
        <f t="shared" si="51"/>
        <v>Oakley - Contra Costa</v>
      </c>
      <c r="D1135" s="223">
        <f t="shared" si="52"/>
        <v>0.10966666666666666</v>
      </c>
      <c r="E1135" s="224">
        <f t="shared" si="53"/>
        <v>0.011080000000000001</v>
      </c>
    </row>
    <row r="1136" spans="1:5" ht="12.75">
      <c r="A1136" s="158" t="s">
        <v>1860</v>
      </c>
      <c r="B1136" s="157" t="s">
        <v>735</v>
      </c>
      <c r="C1136" s="117" t="str">
        <f t="shared" si="51"/>
        <v>Oakville - Napa</v>
      </c>
      <c r="D1136" s="223">
        <f t="shared" si="52"/>
        <v>0.09708333333333334</v>
      </c>
      <c r="E1136" s="224">
        <f t="shared" si="53"/>
        <v>0.01093</v>
      </c>
    </row>
    <row r="1137" spans="1:5" ht="12.75">
      <c r="A1137" s="158" t="s">
        <v>1861</v>
      </c>
      <c r="B1137" s="157" t="s">
        <v>692</v>
      </c>
      <c r="C1137" s="117" t="str">
        <f t="shared" si="51"/>
        <v>Oasis - Riverside</v>
      </c>
      <c r="D1137" s="223">
        <f t="shared" si="52"/>
        <v>0.144</v>
      </c>
      <c r="E1137" s="224">
        <f t="shared" si="53"/>
        <v>0.01089</v>
      </c>
    </row>
    <row r="1138" spans="1:5" ht="12.75">
      <c r="A1138" s="158" t="s">
        <v>1862</v>
      </c>
      <c r="B1138" s="157" t="s">
        <v>677</v>
      </c>
      <c r="C1138" s="117" t="str">
        <f t="shared" si="51"/>
        <v>Oban - Los Angeles</v>
      </c>
      <c r="D1138" s="223">
        <f t="shared" si="52"/>
        <v>0.12533333333333332</v>
      </c>
      <c r="E1138" s="224">
        <f t="shared" si="53"/>
        <v>0.01168</v>
      </c>
    </row>
    <row r="1139" spans="1:5" ht="12.75">
      <c r="A1139" s="158" t="s">
        <v>1863</v>
      </c>
      <c r="B1139" s="157" t="s">
        <v>738</v>
      </c>
      <c r="C1139" s="117" t="str">
        <f t="shared" si="51"/>
        <v>O'Brien - Shasta</v>
      </c>
      <c r="D1139" s="223">
        <f t="shared" si="52"/>
        <v>0.15616666666666668</v>
      </c>
      <c r="E1139" s="224">
        <f t="shared" si="53"/>
        <v>0.01085</v>
      </c>
    </row>
    <row r="1140" spans="1:5" ht="12.75">
      <c r="A1140" s="158" t="s">
        <v>1864</v>
      </c>
      <c r="B1140" s="157" t="s">
        <v>687</v>
      </c>
      <c r="C1140" s="117" t="str">
        <f t="shared" si="51"/>
        <v>Occidental - Sonoma</v>
      </c>
      <c r="D1140" s="223">
        <f t="shared" si="52"/>
        <v>0.10133333333333334</v>
      </c>
      <c r="E1140" s="224">
        <f t="shared" si="53"/>
        <v>0.01115</v>
      </c>
    </row>
    <row r="1141" spans="1:5" ht="12.75">
      <c r="A1141" s="158" t="s">
        <v>1865</v>
      </c>
      <c r="B1141" s="157" t="s">
        <v>679</v>
      </c>
      <c r="C1141" s="117" t="str">
        <f t="shared" si="51"/>
        <v>Oceano - San Luis Obispo</v>
      </c>
      <c r="D1141" s="223">
        <f t="shared" si="52"/>
        <v>0.099</v>
      </c>
      <c r="E1141" s="224">
        <f t="shared" si="53"/>
        <v>0.01039</v>
      </c>
    </row>
    <row r="1142" spans="1:5" ht="12.75">
      <c r="A1142" s="158" t="s">
        <v>1866</v>
      </c>
      <c r="B1142" s="157" t="s">
        <v>689</v>
      </c>
      <c r="C1142" s="117" t="str">
        <f t="shared" si="51"/>
        <v>Oceanside - San Diego</v>
      </c>
      <c r="D1142" s="223">
        <f t="shared" si="52"/>
        <v>0.10283333333333333</v>
      </c>
      <c r="E1142" s="224">
        <f t="shared" si="53"/>
        <v>0.01076</v>
      </c>
    </row>
    <row r="1143" spans="1:5" ht="12.75">
      <c r="A1143" s="158" t="s">
        <v>1867</v>
      </c>
      <c r="B1143" s="157" t="s">
        <v>807</v>
      </c>
      <c r="C1143" s="117" t="str">
        <f t="shared" si="51"/>
        <v>Ocotillo - Imperial</v>
      </c>
      <c r="D1143" s="223">
        <f t="shared" si="52"/>
        <v>0.29941666666666666</v>
      </c>
      <c r="E1143" s="224">
        <f t="shared" si="53"/>
        <v>0.01052</v>
      </c>
    </row>
    <row r="1144" spans="1:5" ht="12.75">
      <c r="A1144" s="158" t="s">
        <v>1868</v>
      </c>
      <c r="B1144" s="157" t="s">
        <v>689</v>
      </c>
      <c r="C1144" s="117" t="str">
        <f t="shared" si="51"/>
        <v>Ocotillo Wells - San Diego</v>
      </c>
      <c r="D1144" s="223">
        <f t="shared" si="52"/>
        <v>0.10283333333333333</v>
      </c>
      <c r="E1144" s="224">
        <f t="shared" si="53"/>
        <v>0.01076</v>
      </c>
    </row>
    <row r="1145" spans="1:5" ht="12.75">
      <c r="A1145" s="158" t="s">
        <v>1869</v>
      </c>
      <c r="B1145" s="157" t="s">
        <v>772</v>
      </c>
      <c r="C1145" s="117" t="str">
        <f t="shared" si="51"/>
        <v>Oildale - Kern</v>
      </c>
      <c r="D1145" s="223">
        <f t="shared" si="52"/>
        <v>0.15741666666666668</v>
      </c>
      <c r="E1145" s="224">
        <f t="shared" si="53"/>
        <v>0.01114</v>
      </c>
    </row>
    <row r="1146" spans="1:5" ht="12.75">
      <c r="A1146" s="158" t="s">
        <v>1870</v>
      </c>
      <c r="B1146" s="157" t="s">
        <v>1017</v>
      </c>
      <c r="C1146" s="117" t="str">
        <f t="shared" si="51"/>
        <v>Ojai - Ventura</v>
      </c>
      <c r="D1146" s="223">
        <f t="shared" si="52"/>
        <v>0.10525000000000001</v>
      </c>
      <c r="E1146" s="224">
        <f t="shared" si="53"/>
        <v>0.010820000000000001</v>
      </c>
    </row>
    <row r="1147" spans="1:5" ht="12.75">
      <c r="A1147" s="158" t="s">
        <v>1871</v>
      </c>
      <c r="B1147" s="157" t="s">
        <v>732</v>
      </c>
      <c r="C1147" s="117" t="str">
        <f t="shared" si="51"/>
        <v>Olancha - Inyo</v>
      </c>
      <c r="D1147" s="223">
        <f t="shared" si="52"/>
        <v>0.10058333333333332</v>
      </c>
      <c r="E1147" s="224">
        <f t="shared" si="53"/>
        <v>0.01052</v>
      </c>
    </row>
    <row r="1148" spans="1:5" ht="12.75">
      <c r="A1148" s="158" t="s">
        <v>1872</v>
      </c>
      <c r="B1148" s="157" t="s">
        <v>738</v>
      </c>
      <c r="C1148" s="117" t="str">
        <f t="shared" si="51"/>
        <v>Old Station - Shasta</v>
      </c>
      <c r="D1148" s="223">
        <f t="shared" si="52"/>
        <v>0.15616666666666668</v>
      </c>
      <c r="E1148" s="224">
        <f t="shared" si="53"/>
        <v>0.01085</v>
      </c>
    </row>
    <row r="1149" spans="1:5" ht="12.75">
      <c r="A1149" s="158" t="s">
        <v>1873</v>
      </c>
      <c r="B1149" s="157" t="s">
        <v>834</v>
      </c>
      <c r="C1149" s="117" t="str">
        <f t="shared" si="51"/>
        <v>Olema - Marin</v>
      </c>
      <c r="D1149" s="223">
        <f t="shared" si="52"/>
        <v>0.08033333333333333</v>
      </c>
      <c r="E1149" s="224">
        <f t="shared" si="53"/>
        <v>0.01105</v>
      </c>
    </row>
    <row r="1150" spans="1:5" ht="12.75">
      <c r="A1150" s="158" t="s">
        <v>1874</v>
      </c>
      <c r="B1150" s="157" t="s">
        <v>738</v>
      </c>
      <c r="C1150" s="117" t="str">
        <f t="shared" si="51"/>
        <v>Olinda - Shasta</v>
      </c>
      <c r="D1150" s="223">
        <f t="shared" si="52"/>
        <v>0.15616666666666668</v>
      </c>
      <c r="E1150" s="224">
        <f t="shared" si="53"/>
        <v>0.01085</v>
      </c>
    </row>
    <row r="1151" spans="1:5" ht="12.75">
      <c r="A1151" s="158" t="s">
        <v>1875</v>
      </c>
      <c r="B1151" s="157" t="s">
        <v>677</v>
      </c>
      <c r="C1151" s="117" t="str">
        <f t="shared" si="51"/>
        <v>Olive View  - Los Angeles</v>
      </c>
      <c r="D1151" s="223">
        <f t="shared" si="52"/>
        <v>0.12533333333333332</v>
      </c>
      <c r="E1151" s="224">
        <f t="shared" si="53"/>
        <v>0.01168</v>
      </c>
    </row>
    <row r="1152" spans="1:5" ht="12.75">
      <c r="A1152" s="158" t="s">
        <v>1876</v>
      </c>
      <c r="B1152" s="157" t="s">
        <v>820</v>
      </c>
      <c r="C1152" s="117" t="str">
        <f t="shared" si="51"/>
        <v>Olivehurst - Yuba</v>
      </c>
      <c r="D1152" s="223">
        <f t="shared" si="52"/>
        <v>0.1881666666666667</v>
      </c>
      <c r="E1152" s="224">
        <f t="shared" si="53"/>
        <v>0.01102</v>
      </c>
    </row>
    <row r="1153" spans="1:5" ht="12.75">
      <c r="A1153" s="158" t="s">
        <v>1877</v>
      </c>
      <c r="B1153" s="157" t="s">
        <v>689</v>
      </c>
      <c r="C1153" s="117" t="str">
        <f t="shared" si="51"/>
        <v>Olivenhain  - San Diego</v>
      </c>
      <c r="D1153" s="223">
        <f t="shared" si="52"/>
        <v>0.10283333333333333</v>
      </c>
      <c r="E1153" s="224">
        <f t="shared" si="53"/>
        <v>0.01076</v>
      </c>
    </row>
    <row r="1154" spans="1:5" ht="12.75">
      <c r="A1154" s="158" t="s">
        <v>1878</v>
      </c>
      <c r="B1154" s="157" t="s">
        <v>721</v>
      </c>
      <c r="C1154" s="117" t="str">
        <f t="shared" si="51"/>
        <v>Olympic Valley - Placer</v>
      </c>
      <c r="D1154" s="223">
        <f t="shared" si="52"/>
        <v>0.11291666666666667</v>
      </c>
      <c r="E1154" s="224">
        <f t="shared" si="53"/>
        <v>0.010629999999999999</v>
      </c>
    </row>
    <row r="1155" spans="1:5" ht="12.75">
      <c r="A1155" s="158" t="s">
        <v>1879</v>
      </c>
      <c r="B1155" s="157" t="s">
        <v>696</v>
      </c>
      <c r="C1155" s="117" t="str">
        <f t="shared" si="51"/>
        <v>Omo Ranch - El Dorado</v>
      </c>
      <c r="D1155" s="223">
        <f t="shared" si="52"/>
        <v>0.12433333333333335</v>
      </c>
      <c r="E1155" s="224">
        <f t="shared" si="53"/>
        <v>0.01055</v>
      </c>
    </row>
    <row r="1156" spans="1:5" ht="12.75">
      <c r="A1156" s="158" t="s">
        <v>1880</v>
      </c>
      <c r="B1156" s="157" t="s">
        <v>694</v>
      </c>
      <c r="C1156" s="117" t="str">
        <f t="shared" si="51"/>
        <v>O'Neals - Madera</v>
      </c>
      <c r="D1156" s="223">
        <f t="shared" si="52"/>
        <v>0.15525</v>
      </c>
      <c r="E1156" s="224">
        <f t="shared" si="53"/>
        <v>0.01118</v>
      </c>
    </row>
    <row r="1157" spans="1:5" ht="12.75">
      <c r="A1157" s="158" t="s">
        <v>1881</v>
      </c>
      <c r="B1157" s="157" t="s">
        <v>738</v>
      </c>
      <c r="C1157" s="117" t="str">
        <f t="shared" si="51"/>
        <v>Ono - Shasta</v>
      </c>
      <c r="D1157" s="223">
        <f t="shared" si="52"/>
        <v>0.15616666666666668</v>
      </c>
      <c r="E1157" s="224">
        <f t="shared" si="53"/>
        <v>0.01085</v>
      </c>
    </row>
    <row r="1158" spans="1:5" ht="12.75">
      <c r="A1158" s="158" t="s">
        <v>1882</v>
      </c>
      <c r="B1158" s="157" t="s">
        <v>681</v>
      </c>
      <c r="C1158" s="117" t="str">
        <f t="shared" si="51"/>
        <v>Ontario - San Bernardino</v>
      </c>
      <c r="D1158" s="223">
        <f t="shared" si="52"/>
        <v>0.13891666666666666</v>
      </c>
      <c r="E1158" s="224">
        <f t="shared" si="53"/>
        <v>0.01134</v>
      </c>
    </row>
    <row r="1159" spans="1:5" ht="12.75">
      <c r="A1159" s="158" t="s">
        <v>1883</v>
      </c>
      <c r="B1159" s="157" t="s">
        <v>772</v>
      </c>
      <c r="C1159" s="117" t="str">
        <f aca="true" t="shared" si="54" ref="C1159:C1222">A1159&amp;" - "&amp;B1159</f>
        <v>Onyx - Kern</v>
      </c>
      <c r="D1159" s="223">
        <f t="shared" si="52"/>
        <v>0.15741666666666668</v>
      </c>
      <c r="E1159" s="224">
        <f t="shared" si="53"/>
        <v>0.01114</v>
      </c>
    </row>
    <row r="1160" spans="1:5" ht="12.75">
      <c r="A1160" s="158" t="s">
        <v>1884</v>
      </c>
      <c r="B1160" s="157" t="s">
        <v>751</v>
      </c>
      <c r="C1160" s="117" t="str">
        <f t="shared" si="54"/>
        <v>Opal Cliffs - Santa Cruz</v>
      </c>
      <c r="D1160" s="223">
        <f aca="true" t="shared" si="55" ref="D1160:D1223">VLOOKUP(B1160,unemployment_rates,2,FALSE)</f>
        <v>0.12516666666666665</v>
      </c>
      <c r="E1160" s="224">
        <f aca="true" t="shared" si="56" ref="E1160:E1223">VLOOKUP(B1160,Prop_Tax_Rates,2,FALSE)</f>
        <v>0.01093</v>
      </c>
    </row>
    <row r="1161" spans="1:5" ht="12.75">
      <c r="A1161" s="158" t="s">
        <v>708</v>
      </c>
      <c r="B1161" s="157" t="s">
        <v>708</v>
      </c>
      <c r="C1161" s="117" t="str">
        <f t="shared" si="54"/>
        <v>Orange - Orange</v>
      </c>
      <c r="D1161" s="223">
        <f t="shared" si="55"/>
        <v>0.0915</v>
      </c>
      <c r="E1161" s="224">
        <f t="shared" si="56"/>
        <v>0.01054</v>
      </c>
    </row>
    <row r="1162" spans="1:5" ht="12.75">
      <c r="A1162" s="158" t="s">
        <v>1885</v>
      </c>
      <c r="B1162" s="157" t="s">
        <v>783</v>
      </c>
      <c r="C1162" s="117" t="str">
        <f t="shared" si="54"/>
        <v>Orange Cove - Fresno</v>
      </c>
      <c r="D1162" s="223">
        <f t="shared" si="55"/>
        <v>0.1685</v>
      </c>
      <c r="E1162" s="224">
        <f t="shared" si="56"/>
        <v>0.01165</v>
      </c>
    </row>
    <row r="1163" spans="1:5" ht="12.75">
      <c r="A1163" s="158" t="s">
        <v>1886</v>
      </c>
      <c r="B1163" s="157" t="s">
        <v>744</v>
      </c>
      <c r="C1163" s="117" t="str">
        <f t="shared" si="54"/>
        <v>Orangevale - Sacramento</v>
      </c>
      <c r="D1163" s="223">
        <f t="shared" si="55"/>
        <v>0.12641666666666665</v>
      </c>
      <c r="E1163" s="224">
        <f t="shared" si="56"/>
        <v>0.01087</v>
      </c>
    </row>
    <row r="1164" spans="1:5" ht="12.75">
      <c r="A1164" s="158" t="s">
        <v>1887</v>
      </c>
      <c r="B1164" s="157" t="s">
        <v>799</v>
      </c>
      <c r="C1164" s="117" t="str">
        <f t="shared" si="54"/>
        <v>Orcutt - Santa Barbara</v>
      </c>
      <c r="D1164" s="223">
        <f t="shared" si="55"/>
        <v>0.09174999999999998</v>
      </c>
      <c r="E1164" s="224">
        <f t="shared" si="56"/>
        <v>0.01055</v>
      </c>
    </row>
    <row r="1165" spans="1:5" ht="12.75">
      <c r="A1165" s="158" t="s">
        <v>1888</v>
      </c>
      <c r="B1165" s="157" t="s">
        <v>770</v>
      </c>
      <c r="C1165" s="117" t="str">
        <f t="shared" si="54"/>
        <v>Ordbend - Glenn</v>
      </c>
      <c r="D1165" s="223">
        <f t="shared" si="55"/>
        <v>0.16558333333333333</v>
      </c>
      <c r="E1165" s="224">
        <f t="shared" si="56"/>
        <v>0.0105</v>
      </c>
    </row>
    <row r="1166" spans="1:5" ht="12.75">
      <c r="A1166" s="158" t="s">
        <v>1889</v>
      </c>
      <c r="B1166" s="157" t="s">
        <v>820</v>
      </c>
      <c r="C1166" s="117" t="str">
        <f t="shared" si="54"/>
        <v>Oregon House - Yuba</v>
      </c>
      <c r="D1166" s="223">
        <f t="shared" si="55"/>
        <v>0.1881666666666667</v>
      </c>
      <c r="E1166" s="224">
        <f t="shared" si="56"/>
        <v>0.01102</v>
      </c>
    </row>
    <row r="1167" spans="1:5" ht="12.75">
      <c r="A1167" s="158" t="s">
        <v>1890</v>
      </c>
      <c r="B1167" s="157" t="s">
        <v>705</v>
      </c>
      <c r="C1167" s="117" t="str">
        <f t="shared" si="54"/>
        <v>Orick - Humboldt</v>
      </c>
      <c r="D1167" s="223">
        <f t="shared" si="55"/>
        <v>0.11391666666666665</v>
      </c>
      <c r="E1167" s="224">
        <f t="shared" si="56"/>
        <v>0.01055</v>
      </c>
    </row>
    <row r="1168" spans="1:5" ht="12.75">
      <c r="A1168" s="158" t="s">
        <v>1891</v>
      </c>
      <c r="B1168" s="157" t="s">
        <v>699</v>
      </c>
      <c r="C1168" s="117" t="str">
        <f t="shared" si="54"/>
        <v>Orinda - Contra Costa</v>
      </c>
      <c r="D1168" s="223">
        <f t="shared" si="55"/>
        <v>0.10966666666666666</v>
      </c>
      <c r="E1168" s="224">
        <f t="shared" si="56"/>
        <v>0.011080000000000001</v>
      </c>
    </row>
    <row r="1169" spans="1:5" ht="12.75">
      <c r="A1169" s="158" t="s">
        <v>1892</v>
      </c>
      <c r="B1169" s="157" t="s">
        <v>770</v>
      </c>
      <c r="C1169" s="117" t="str">
        <f t="shared" si="54"/>
        <v>Orland - Glenn</v>
      </c>
      <c r="D1169" s="223">
        <f t="shared" si="55"/>
        <v>0.16558333333333333</v>
      </c>
      <c r="E1169" s="224">
        <f t="shared" si="56"/>
        <v>0.0105</v>
      </c>
    </row>
    <row r="1170" spans="1:5" ht="12.75">
      <c r="A1170" s="158" t="s">
        <v>1893</v>
      </c>
      <c r="B1170" s="157" t="s">
        <v>705</v>
      </c>
      <c r="C1170" s="117" t="str">
        <f t="shared" si="54"/>
        <v>Orleans - Humboldt</v>
      </c>
      <c r="D1170" s="223">
        <f t="shared" si="55"/>
        <v>0.11391666666666665</v>
      </c>
      <c r="E1170" s="224">
        <f t="shared" si="56"/>
        <v>0.01055</v>
      </c>
    </row>
    <row r="1171" spans="1:5" ht="12.75">
      <c r="A1171" s="158" t="s">
        <v>1894</v>
      </c>
      <c r="B1171" s="157" t="s">
        <v>681</v>
      </c>
      <c r="C1171" s="117" t="str">
        <f t="shared" si="54"/>
        <v>Oro Grande - San Bernardino</v>
      </c>
      <c r="D1171" s="223">
        <f t="shared" si="55"/>
        <v>0.13891666666666666</v>
      </c>
      <c r="E1171" s="224">
        <f t="shared" si="56"/>
        <v>0.01134</v>
      </c>
    </row>
    <row r="1172" spans="1:5" ht="12.75">
      <c r="A1172" s="158" t="s">
        <v>1895</v>
      </c>
      <c r="B1172" s="157" t="s">
        <v>718</v>
      </c>
      <c r="C1172" s="117" t="str">
        <f t="shared" si="54"/>
        <v>Orosi - Tulare</v>
      </c>
      <c r="D1172" s="223">
        <f t="shared" si="55"/>
        <v>0.16641666666666666</v>
      </c>
      <c r="E1172" s="224">
        <f t="shared" si="56"/>
        <v>0.01088</v>
      </c>
    </row>
    <row r="1173" spans="1:5" ht="12.75">
      <c r="A1173" s="158" t="s">
        <v>1896</v>
      </c>
      <c r="B1173" s="157" t="s">
        <v>803</v>
      </c>
      <c r="C1173" s="117" t="str">
        <f t="shared" si="54"/>
        <v>Oroville - Butte</v>
      </c>
      <c r="D1173" s="223">
        <f t="shared" si="55"/>
        <v>0.13741666666666666</v>
      </c>
      <c r="E1173" s="224">
        <f t="shared" si="56"/>
        <v>0.01064</v>
      </c>
    </row>
    <row r="1174" spans="1:5" ht="12.75">
      <c r="A1174" s="158" t="s">
        <v>1897</v>
      </c>
      <c r="B1174" s="157" t="s">
        <v>689</v>
      </c>
      <c r="C1174" s="117" t="str">
        <f t="shared" si="54"/>
        <v>Otay  - San Diego</v>
      </c>
      <c r="D1174" s="223">
        <f t="shared" si="55"/>
        <v>0.10283333333333333</v>
      </c>
      <c r="E1174" s="224">
        <f t="shared" si="56"/>
        <v>0.01076</v>
      </c>
    </row>
    <row r="1175" spans="1:5" ht="12.75">
      <c r="A1175" s="158" t="s">
        <v>1898</v>
      </c>
      <c r="B1175" s="157" t="s">
        <v>1017</v>
      </c>
      <c r="C1175" s="117" t="str">
        <f t="shared" si="54"/>
        <v>Oxnard - Ventura</v>
      </c>
      <c r="D1175" s="223">
        <f t="shared" si="55"/>
        <v>0.10525000000000001</v>
      </c>
      <c r="E1175" s="224">
        <f t="shared" si="56"/>
        <v>0.010820000000000001</v>
      </c>
    </row>
    <row r="1176" spans="1:5" ht="12.75">
      <c r="A1176" s="158" t="s">
        <v>1899</v>
      </c>
      <c r="B1176" s="157" t="s">
        <v>699</v>
      </c>
      <c r="C1176" s="117" t="str">
        <f t="shared" si="54"/>
        <v>Pacheco - Contra Costa</v>
      </c>
      <c r="D1176" s="223">
        <f t="shared" si="55"/>
        <v>0.10966666666666666</v>
      </c>
      <c r="E1176" s="224">
        <f t="shared" si="56"/>
        <v>0.011080000000000001</v>
      </c>
    </row>
    <row r="1177" spans="1:5" ht="12.75">
      <c r="A1177" s="158" t="s">
        <v>1900</v>
      </c>
      <c r="B1177" s="157" t="s">
        <v>764</v>
      </c>
      <c r="C1177" s="117" t="str">
        <f t="shared" si="54"/>
        <v>Pacific Grove - Monterey</v>
      </c>
      <c r="D1177" s="223">
        <f t="shared" si="55"/>
        <v>0.12916666666666665</v>
      </c>
      <c r="E1177" s="224">
        <f t="shared" si="56"/>
        <v>0.01084</v>
      </c>
    </row>
    <row r="1178" spans="1:5" ht="12.75">
      <c r="A1178" s="158" t="s">
        <v>1901</v>
      </c>
      <c r="B1178" s="157" t="s">
        <v>696</v>
      </c>
      <c r="C1178" s="117" t="str">
        <f t="shared" si="54"/>
        <v>Pacific House - El Dorado</v>
      </c>
      <c r="D1178" s="223">
        <f t="shared" si="55"/>
        <v>0.12433333333333335</v>
      </c>
      <c r="E1178" s="224">
        <f t="shared" si="56"/>
        <v>0.01055</v>
      </c>
    </row>
    <row r="1179" spans="1:5" ht="12.75">
      <c r="A1179" s="158" t="s">
        <v>1902</v>
      </c>
      <c r="B1179" s="157" t="s">
        <v>677</v>
      </c>
      <c r="C1179" s="117" t="str">
        <f t="shared" si="54"/>
        <v>Pacific Palisades - Los Angeles</v>
      </c>
      <c r="D1179" s="223">
        <f t="shared" si="55"/>
        <v>0.12533333333333332</v>
      </c>
      <c r="E1179" s="224">
        <f t="shared" si="56"/>
        <v>0.01168</v>
      </c>
    </row>
    <row r="1180" spans="1:5" ht="12.75">
      <c r="A1180" s="158" t="s">
        <v>1903</v>
      </c>
      <c r="B1180" s="157" t="s">
        <v>778</v>
      </c>
      <c r="C1180" s="117" t="str">
        <f t="shared" si="54"/>
        <v>Pacifica - San Mateo</v>
      </c>
      <c r="D1180" s="223">
        <f t="shared" si="55"/>
        <v>0.08433333333333333</v>
      </c>
      <c r="E1180" s="224">
        <f t="shared" si="56"/>
        <v>0.01085</v>
      </c>
    </row>
    <row r="1181" spans="1:5" ht="12.75">
      <c r="A1181" s="158" t="s">
        <v>1904</v>
      </c>
      <c r="B1181" s="157" t="s">
        <v>677</v>
      </c>
      <c r="C1181" s="117" t="str">
        <f t="shared" si="54"/>
        <v>Pacoima  - Los Angeles</v>
      </c>
      <c r="D1181" s="223">
        <f t="shared" si="55"/>
        <v>0.12533333333333332</v>
      </c>
      <c r="E1181" s="224">
        <f t="shared" si="56"/>
        <v>0.01168</v>
      </c>
    </row>
    <row r="1182" spans="1:5" ht="12.75">
      <c r="A1182" s="158" t="s">
        <v>1905</v>
      </c>
      <c r="B1182" s="157" t="s">
        <v>1479</v>
      </c>
      <c r="C1182" s="117" t="str">
        <f t="shared" si="54"/>
        <v>Paicines - San Benito</v>
      </c>
      <c r="D1182" s="223">
        <f t="shared" si="55"/>
        <v>0.1704166666666667</v>
      </c>
      <c r="E1182" s="224">
        <f t="shared" si="56"/>
        <v>0.01142</v>
      </c>
    </row>
    <row r="1183" spans="1:5" ht="12.75">
      <c r="A1183" s="158" t="s">
        <v>1906</v>
      </c>
      <c r="B1183" s="157" t="s">
        <v>764</v>
      </c>
      <c r="C1183" s="117" t="str">
        <f t="shared" si="54"/>
        <v>Pajaro - Monterey</v>
      </c>
      <c r="D1183" s="223">
        <f t="shared" si="55"/>
        <v>0.12916666666666665</v>
      </c>
      <c r="E1183" s="224">
        <f t="shared" si="56"/>
        <v>0.01084</v>
      </c>
    </row>
    <row r="1184" spans="1:5" ht="12.75">
      <c r="A1184" s="158" t="s">
        <v>1907</v>
      </c>
      <c r="B1184" s="157" t="s">
        <v>689</v>
      </c>
      <c r="C1184" s="117" t="str">
        <f t="shared" si="54"/>
        <v>Pala - San Diego</v>
      </c>
      <c r="D1184" s="223">
        <f t="shared" si="55"/>
        <v>0.10283333333333333</v>
      </c>
      <c r="E1184" s="224">
        <f t="shared" si="56"/>
        <v>0.01076</v>
      </c>
    </row>
    <row r="1185" spans="1:5" ht="12.75">
      <c r="A1185" s="158" t="s">
        <v>1908</v>
      </c>
      <c r="B1185" s="157" t="s">
        <v>803</v>
      </c>
      <c r="C1185" s="117" t="str">
        <f t="shared" si="54"/>
        <v>Palermo - Butte</v>
      </c>
      <c r="D1185" s="223">
        <f t="shared" si="55"/>
        <v>0.13741666666666666</v>
      </c>
      <c r="E1185" s="224">
        <f t="shared" si="56"/>
        <v>0.01064</v>
      </c>
    </row>
    <row r="1186" spans="1:5" ht="12.75">
      <c r="A1186" s="158" t="s">
        <v>1909</v>
      </c>
      <c r="B1186" s="157" t="s">
        <v>677</v>
      </c>
      <c r="C1186" s="117" t="str">
        <f t="shared" si="54"/>
        <v>Pallett - Los Angeles</v>
      </c>
      <c r="D1186" s="223">
        <f t="shared" si="55"/>
        <v>0.12533333333333332</v>
      </c>
      <c r="E1186" s="224">
        <f t="shared" si="56"/>
        <v>0.01168</v>
      </c>
    </row>
    <row r="1187" spans="1:5" ht="12.75">
      <c r="A1187" s="158" t="s">
        <v>1910</v>
      </c>
      <c r="B1187" s="157" t="s">
        <v>689</v>
      </c>
      <c r="C1187" s="117" t="str">
        <f t="shared" si="54"/>
        <v>Palm City  - San Diego</v>
      </c>
      <c r="D1187" s="223">
        <f t="shared" si="55"/>
        <v>0.10283333333333333</v>
      </c>
      <c r="E1187" s="224">
        <f t="shared" si="56"/>
        <v>0.01076</v>
      </c>
    </row>
    <row r="1188" spans="1:5" ht="12.75">
      <c r="A1188" s="158" t="s">
        <v>1911</v>
      </c>
      <c r="B1188" s="157" t="s">
        <v>692</v>
      </c>
      <c r="C1188" s="117" t="str">
        <f t="shared" si="54"/>
        <v>Palm City - Riverside</v>
      </c>
      <c r="D1188" s="223">
        <f t="shared" si="55"/>
        <v>0.144</v>
      </c>
      <c r="E1188" s="224">
        <f t="shared" si="56"/>
        <v>0.01089</v>
      </c>
    </row>
    <row r="1189" spans="1:5" ht="12.75">
      <c r="A1189" s="158" t="s">
        <v>1912</v>
      </c>
      <c r="B1189" s="157" t="s">
        <v>692</v>
      </c>
      <c r="C1189" s="117" t="str">
        <f t="shared" si="54"/>
        <v>Palm Desert - Riverside</v>
      </c>
      <c r="D1189" s="223">
        <f t="shared" si="55"/>
        <v>0.144</v>
      </c>
      <c r="E1189" s="224">
        <f t="shared" si="56"/>
        <v>0.01089</v>
      </c>
    </row>
    <row r="1190" spans="1:5" ht="12.75">
      <c r="A1190" s="158" t="s">
        <v>1913</v>
      </c>
      <c r="B1190" s="157" t="s">
        <v>692</v>
      </c>
      <c r="C1190" s="117" t="str">
        <f t="shared" si="54"/>
        <v>Palm Springs - Riverside</v>
      </c>
      <c r="D1190" s="223">
        <f t="shared" si="55"/>
        <v>0.144</v>
      </c>
      <c r="E1190" s="224">
        <f t="shared" si="56"/>
        <v>0.01089</v>
      </c>
    </row>
    <row r="1191" spans="1:5" ht="12.75">
      <c r="A1191" s="158" t="s">
        <v>1914</v>
      </c>
      <c r="B1191" s="157" t="s">
        <v>677</v>
      </c>
      <c r="C1191" s="117" t="str">
        <f t="shared" si="54"/>
        <v>Palmdale - Los Angeles</v>
      </c>
      <c r="D1191" s="223">
        <f t="shared" si="55"/>
        <v>0.12533333333333332</v>
      </c>
      <c r="E1191" s="224">
        <f t="shared" si="56"/>
        <v>0.01168</v>
      </c>
    </row>
    <row r="1192" spans="1:5" ht="12.75">
      <c r="A1192" s="158" t="s">
        <v>1586</v>
      </c>
      <c r="B1192" s="157" t="s">
        <v>712</v>
      </c>
      <c r="C1192" s="117" t="str">
        <f t="shared" si="54"/>
        <v>Palo Alto - Santa Clara</v>
      </c>
      <c r="D1192" s="223">
        <f t="shared" si="55"/>
        <v>0.10433333333333333</v>
      </c>
      <c r="E1192" s="224">
        <f t="shared" si="56"/>
        <v>0.011810000000000001</v>
      </c>
    </row>
    <row r="1193" spans="1:5" ht="12.75">
      <c r="A1193" s="158" t="s">
        <v>1915</v>
      </c>
      <c r="B1193" s="157" t="s">
        <v>738</v>
      </c>
      <c r="C1193" s="117" t="str">
        <f t="shared" si="54"/>
        <v>Palo Cedro - Shasta</v>
      </c>
      <c r="D1193" s="223">
        <f t="shared" si="55"/>
        <v>0.15616666666666668</v>
      </c>
      <c r="E1193" s="224">
        <f t="shared" si="56"/>
        <v>0.01085</v>
      </c>
    </row>
    <row r="1194" spans="1:5" ht="12.75">
      <c r="A1194" s="158" t="s">
        <v>1916</v>
      </c>
      <c r="B1194" s="157" t="s">
        <v>807</v>
      </c>
      <c r="C1194" s="117" t="str">
        <f t="shared" si="54"/>
        <v>Palo Verde - Imperial</v>
      </c>
      <c r="D1194" s="223">
        <f t="shared" si="55"/>
        <v>0.29941666666666666</v>
      </c>
      <c r="E1194" s="224">
        <f t="shared" si="56"/>
        <v>0.01052</v>
      </c>
    </row>
    <row r="1195" spans="1:5" ht="12.75">
      <c r="A1195" s="158" t="s">
        <v>1917</v>
      </c>
      <c r="B1195" s="157" t="s">
        <v>689</v>
      </c>
      <c r="C1195" s="117" t="str">
        <f t="shared" si="54"/>
        <v>Palomar Mountain - San Diego</v>
      </c>
      <c r="D1195" s="223">
        <f t="shared" si="55"/>
        <v>0.10283333333333333</v>
      </c>
      <c r="E1195" s="224">
        <f t="shared" si="56"/>
        <v>0.01076</v>
      </c>
    </row>
    <row r="1196" spans="1:5" ht="12.75">
      <c r="A1196" s="158" t="s">
        <v>1918</v>
      </c>
      <c r="B1196" s="157" t="s">
        <v>677</v>
      </c>
      <c r="C1196" s="117" t="str">
        <f t="shared" si="54"/>
        <v>Palos Verdes Estates - Los Angeles</v>
      </c>
      <c r="D1196" s="223">
        <f t="shared" si="55"/>
        <v>0.12533333333333332</v>
      </c>
      <c r="E1196" s="224">
        <f t="shared" si="56"/>
        <v>0.01168</v>
      </c>
    </row>
    <row r="1197" spans="1:5" ht="12.75">
      <c r="A1197" s="158" t="s">
        <v>216</v>
      </c>
      <c r="B1197" s="157" t="s">
        <v>677</v>
      </c>
      <c r="C1197" s="117" t="str">
        <f t="shared" si="54"/>
        <v>Palos Verdes/Peninsula - Los Angeles</v>
      </c>
      <c r="D1197" s="223">
        <f t="shared" si="55"/>
        <v>0.12533333333333332</v>
      </c>
      <c r="E1197" s="224">
        <f t="shared" si="56"/>
        <v>0.01168</v>
      </c>
    </row>
    <row r="1198" spans="1:5" ht="12.75">
      <c r="A1198" s="158" t="s">
        <v>217</v>
      </c>
      <c r="B1198" s="157" t="s">
        <v>677</v>
      </c>
      <c r="C1198" s="117" t="str">
        <f t="shared" si="54"/>
        <v>Panorama City  - Los Angeles</v>
      </c>
      <c r="D1198" s="223">
        <f t="shared" si="55"/>
        <v>0.12533333333333332</v>
      </c>
      <c r="E1198" s="224">
        <f t="shared" si="56"/>
        <v>0.01168</v>
      </c>
    </row>
    <row r="1199" spans="1:5" ht="12.75">
      <c r="A1199" s="158" t="s">
        <v>218</v>
      </c>
      <c r="B1199" s="157" t="s">
        <v>803</v>
      </c>
      <c r="C1199" s="117" t="str">
        <f t="shared" si="54"/>
        <v>Paradise - Butte</v>
      </c>
      <c r="D1199" s="223">
        <f t="shared" si="55"/>
        <v>0.13741666666666666</v>
      </c>
      <c r="E1199" s="224">
        <f t="shared" si="56"/>
        <v>0.01064</v>
      </c>
    </row>
    <row r="1200" spans="1:5" ht="12.75">
      <c r="A1200" s="158" t="s">
        <v>219</v>
      </c>
      <c r="B1200" s="157" t="s">
        <v>677</v>
      </c>
      <c r="C1200" s="117" t="str">
        <f t="shared" si="54"/>
        <v>Paramount - Los Angeles</v>
      </c>
      <c r="D1200" s="223">
        <f t="shared" si="55"/>
        <v>0.12533333333333332</v>
      </c>
      <c r="E1200" s="224">
        <f t="shared" si="56"/>
        <v>0.01168</v>
      </c>
    </row>
    <row r="1201" spans="1:5" ht="12.75">
      <c r="A1201" s="158" t="s">
        <v>220</v>
      </c>
      <c r="B1201" s="157" t="s">
        <v>681</v>
      </c>
      <c r="C1201" s="117" t="str">
        <f t="shared" si="54"/>
        <v>Parker Dam - San Bernardino</v>
      </c>
      <c r="D1201" s="223">
        <f t="shared" si="55"/>
        <v>0.13891666666666666</v>
      </c>
      <c r="E1201" s="224">
        <f t="shared" si="56"/>
        <v>0.01134</v>
      </c>
    </row>
    <row r="1202" spans="1:5" ht="12.75">
      <c r="A1202" s="158" t="s">
        <v>221</v>
      </c>
      <c r="B1202" s="157" t="s">
        <v>764</v>
      </c>
      <c r="C1202" s="117" t="str">
        <f t="shared" si="54"/>
        <v>Parkfield - Monterey</v>
      </c>
      <c r="D1202" s="223">
        <f t="shared" si="55"/>
        <v>0.12916666666666665</v>
      </c>
      <c r="E1202" s="224">
        <f t="shared" si="56"/>
        <v>0.01084</v>
      </c>
    </row>
    <row r="1203" spans="1:5" ht="12.75">
      <c r="A1203" s="158" t="s">
        <v>222</v>
      </c>
      <c r="B1203" s="157" t="s">
        <v>783</v>
      </c>
      <c r="C1203" s="117" t="str">
        <f t="shared" si="54"/>
        <v>Parlier - Fresno</v>
      </c>
      <c r="D1203" s="223">
        <f t="shared" si="55"/>
        <v>0.1685</v>
      </c>
      <c r="E1203" s="224">
        <f t="shared" si="56"/>
        <v>0.01165</v>
      </c>
    </row>
    <row r="1204" spans="1:5" ht="12.75">
      <c r="A1204" s="158" t="s">
        <v>223</v>
      </c>
      <c r="B1204" s="157" t="s">
        <v>677</v>
      </c>
      <c r="C1204" s="117" t="str">
        <f t="shared" si="54"/>
        <v>Pasadena - Los Angeles</v>
      </c>
      <c r="D1204" s="223">
        <f t="shared" si="55"/>
        <v>0.12533333333333332</v>
      </c>
      <c r="E1204" s="224">
        <f t="shared" si="56"/>
        <v>0.01168</v>
      </c>
    </row>
    <row r="1205" spans="1:5" ht="12.75">
      <c r="A1205" s="158" t="s">
        <v>224</v>
      </c>
      <c r="B1205" s="157" t="s">
        <v>1934</v>
      </c>
      <c r="C1205" s="117" t="str">
        <f t="shared" si="54"/>
        <v>Paskenta - Tehama</v>
      </c>
      <c r="D1205" s="223">
        <f t="shared" si="55"/>
        <v>0.15649999999999997</v>
      </c>
      <c r="E1205" s="224">
        <f t="shared" si="56"/>
        <v>0.01022</v>
      </c>
    </row>
    <row r="1206" spans="1:5" ht="12.75">
      <c r="A1206" s="158" t="s">
        <v>225</v>
      </c>
      <c r="B1206" s="157" t="s">
        <v>679</v>
      </c>
      <c r="C1206" s="117" t="str">
        <f t="shared" si="54"/>
        <v>Paso Robles - San Luis Obispo</v>
      </c>
      <c r="D1206" s="223">
        <f t="shared" si="55"/>
        <v>0.099</v>
      </c>
      <c r="E1206" s="224">
        <f t="shared" si="56"/>
        <v>0.01039</v>
      </c>
    </row>
    <row r="1207" spans="1:5" ht="12.75">
      <c r="A1207" s="158" t="s">
        <v>226</v>
      </c>
      <c r="B1207" s="157" t="s">
        <v>1162</v>
      </c>
      <c r="C1207" s="117" t="str">
        <f t="shared" si="54"/>
        <v>Patterson - Stanislaus</v>
      </c>
      <c r="D1207" s="223">
        <f t="shared" si="55"/>
        <v>0.1716666666666667</v>
      </c>
      <c r="E1207" s="224">
        <f t="shared" si="56"/>
        <v>0.01093</v>
      </c>
    </row>
    <row r="1208" spans="1:5" ht="12.75">
      <c r="A1208" s="158" t="s">
        <v>227</v>
      </c>
      <c r="B1208" s="157" t="s">
        <v>681</v>
      </c>
      <c r="C1208" s="117" t="str">
        <f t="shared" si="54"/>
        <v>Patton - San Bernardino</v>
      </c>
      <c r="D1208" s="223">
        <f t="shared" si="55"/>
        <v>0.13891666666666666</v>
      </c>
      <c r="E1208" s="224">
        <f t="shared" si="56"/>
        <v>0.01134</v>
      </c>
    </row>
    <row r="1209" spans="1:5" ht="12.75">
      <c r="A1209" s="158" t="s">
        <v>228</v>
      </c>
      <c r="B1209" s="157" t="s">
        <v>689</v>
      </c>
      <c r="C1209" s="117" t="str">
        <f t="shared" si="54"/>
        <v>Pauma Valley - San Diego</v>
      </c>
      <c r="D1209" s="223">
        <f t="shared" si="55"/>
        <v>0.10283333333333333</v>
      </c>
      <c r="E1209" s="224">
        <f t="shared" si="56"/>
        <v>0.01076</v>
      </c>
    </row>
    <row r="1210" spans="1:5" ht="12.75">
      <c r="A1210" s="158" t="s">
        <v>229</v>
      </c>
      <c r="B1210" s="157" t="s">
        <v>1934</v>
      </c>
      <c r="C1210" s="117" t="str">
        <f t="shared" si="54"/>
        <v>Paynes Creek - Tehama</v>
      </c>
      <c r="D1210" s="223">
        <f t="shared" si="55"/>
        <v>0.15649999999999997</v>
      </c>
      <c r="E1210" s="224">
        <f t="shared" si="56"/>
        <v>0.01022</v>
      </c>
    </row>
    <row r="1211" spans="1:5" ht="12.75">
      <c r="A1211" s="158" t="s">
        <v>230</v>
      </c>
      <c r="B1211" s="157" t="s">
        <v>677</v>
      </c>
      <c r="C1211" s="117" t="str">
        <f t="shared" si="54"/>
        <v>Pearblossom - Los Angeles</v>
      </c>
      <c r="D1211" s="223">
        <f t="shared" si="55"/>
        <v>0.12533333333333332</v>
      </c>
      <c r="E1211" s="224">
        <f t="shared" si="56"/>
        <v>0.01168</v>
      </c>
    </row>
    <row r="1212" spans="1:5" ht="12.75">
      <c r="A1212" s="158" t="s">
        <v>231</v>
      </c>
      <c r="B1212" s="157" t="s">
        <v>677</v>
      </c>
      <c r="C1212" s="117" t="str">
        <f t="shared" si="54"/>
        <v>Pearland - Los Angeles</v>
      </c>
      <c r="D1212" s="223">
        <f t="shared" si="55"/>
        <v>0.12533333333333332</v>
      </c>
      <c r="E1212" s="224">
        <f t="shared" si="56"/>
        <v>0.01168</v>
      </c>
    </row>
    <row r="1213" spans="1:5" ht="12.75">
      <c r="A1213" s="158" t="s">
        <v>232</v>
      </c>
      <c r="B1213" s="157" t="s">
        <v>764</v>
      </c>
      <c r="C1213" s="117" t="str">
        <f t="shared" si="54"/>
        <v>Pebble Beach - Monterey</v>
      </c>
      <c r="D1213" s="223">
        <f t="shared" si="55"/>
        <v>0.12916666666666665</v>
      </c>
      <c r="E1213" s="224">
        <f t="shared" si="56"/>
        <v>0.01084</v>
      </c>
    </row>
    <row r="1214" spans="1:5" ht="12.75">
      <c r="A1214" s="158" t="s">
        <v>233</v>
      </c>
      <c r="B1214" s="157" t="s">
        <v>692</v>
      </c>
      <c r="C1214" s="117" t="str">
        <f t="shared" si="54"/>
        <v>Pedley - Riverside</v>
      </c>
      <c r="D1214" s="223">
        <f t="shared" si="55"/>
        <v>0.144</v>
      </c>
      <c r="E1214" s="224">
        <f t="shared" si="56"/>
        <v>0.01089</v>
      </c>
    </row>
    <row r="1215" spans="1:5" ht="12.75">
      <c r="A1215" s="158" t="s">
        <v>234</v>
      </c>
      <c r="B1215" s="157" t="s">
        <v>714</v>
      </c>
      <c r="C1215" s="117" t="str">
        <f t="shared" si="54"/>
        <v>Peninsula Village - Plumas</v>
      </c>
      <c r="D1215" s="223">
        <f t="shared" si="55"/>
        <v>0.16258333333333333</v>
      </c>
      <c r="E1215" s="224">
        <f t="shared" si="56"/>
        <v>0.01038</v>
      </c>
    </row>
    <row r="1216" spans="1:5" ht="12.75">
      <c r="A1216" s="158" t="s">
        <v>235</v>
      </c>
      <c r="B1216" s="157" t="s">
        <v>1156</v>
      </c>
      <c r="C1216" s="117" t="str">
        <f t="shared" si="54"/>
        <v>Penn Valley - Nevada</v>
      </c>
      <c r="D1216" s="223">
        <f t="shared" si="55"/>
        <v>0.11266666666666668</v>
      </c>
      <c r="E1216" s="224">
        <f t="shared" si="56"/>
        <v>0.010329999999999999</v>
      </c>
    </row>
    <row r="1217" spans="1:5" ht="12.75">
      <c r="A1217" s="158" t="s">
        <v>236</v>
      </c>
      <c r="B1217" s="157" t="s">
        <v>687</v>
      </c>
      <c r="C1217" s="117" t="str">
        <f t="shared" si="54"/>
        <v>Penngrove - Sonoma</v>
      </c>
      <c r="D1217" s="223">
        <f t="shared" si="55"/>
        <v>0.10133333333333334</v>
      </c>
      <c r="E1217" s="224">
        <f t="shared" si="56"/>
        <v>0.01115</v>
      </c>
    </row>
    <row r="1218" spans="1:5" ht="12.75">
      <c r="A1218" s="158" t="s">
        <v>237</v>
      </c>
      <c r="B1218" s="157" t="s">
        <v>721</v>
      </c>
      <c r="C1218" s="117" t="str">
        <f t="shared" si="54"/>
        <v>Penryn - Placer</v>
      </c>
      <c r="D1218" s="223">
        <f t="shared" si="55"/>
        <v>0.11291666666666667</v>
      </c>
      <c r="E1218" s="224">
        <f t="shared" si="56"/>
        <v>0.010629999999999999</v>
      </c>
    </row>
    <row r="1219" spans="1:5" ht="12.75">
      <c r="A1219" s="158" t="s">
        <v>238</v>
      </c>
      <c r="B1219" s="157" t="s">
        <v>705</v>
      </c>
      <c r="C1219" s="117" t="str">
        <f t="shared" si="54"/>
        <v>Pepperwood - Humboldt</v>
      </c>
      <c r="D1219" s="223">
        <f t="shared" si="55"/>
        <v>0.11391666666666665</v>
      </c>
      <c r="E1219" s="224">
        <f t="shared" si="56"/>
        <v>0.01055</v>
      </c>
    </row>
    <row r="1220" spans="1:5" ht="12.75">
      <c r="A1220" s="158" t="s">
        <v>239</v>
      </c>
      <c r="B1220" s="157" t="s">
        <v>712</v>
      </c>
      <c r="C1220" s="117" t="str">
        <f t="shared" si="54"/>
        <v>Permanente - Santa Clara</v>
      </c>
      <c r="D1220" s="223">
        <f t="shared" si="55"/>
        <v>0.10433333333333333</v>
      </c>
      <c r="E1220" s="224">
        <f t="shared" si="56"/>
        <v>0.011810000000000001</v>
      </c>
    </row>
    <row r="1221" spans="1:5" ht="12.75">
      <c r="A1221" s="158" t="s">
        <v>240</v>
      </c>
      <c r="B1221" s="157" t="s">
        <v>692</v>
      </c>
      <c r="C1221" s="117" t="str">
        <f t="shared" si="54"/>
        <v>Perris - Riverside</v>
      </c>
      <c r="D1221" s="223">
        <f t="shared" si="55"/>
        <v>0.144</v>
      </c>
      <c r="E1221" s="224">
        <f t="shared" si="56"/>
        <v>0.01089</v>
      </c>
    </row>
    <row r="1222" spans="1:5" ht="12.75">
      <c r="A1222" s="158" t="s">
        <v>241</v>
      </c>
      <c r="B1222" s="157" t="s">
        <v>677</v>
      </c>
      <c r="C1222" s="117" t="str">
        <f t="shared" si="54"/>
        <v>Perry  - Los Angeles</v>
      </c>
      <c r="D1222" s="223">
        <f t="shared" si="55"/>
        <v>0.12533333333333332</v>
      </c>
      <c r="E1222" s="224">
        <f t="shared" si="56"/>
        <v>0.01168</v>
      </c>
    </row>
    <row r="1223" spans="1:5" ht="12.75">
      <c r="A1223" s="158" t="s">
        <v>242</v>
      </c>
      <c r="B1223" s="157" t="s">
        <v>778</v>
      </c>
      <c r="C1223" s="117" t="str">
        <f aca="true" t="shared" si="57" ref="C1223:C1286">A1223&amp;" - "&amp;B1223</f>
        <v>Pescadero - San Mateo</v>
      </c>
      <c r="D1223" s="223">
        <f t="shared" si="55"/>
        <v>0.08433333333333333</v>
      </c>
      <c r="E1223" s="224">
        <f t="shared" si="56"/>
        <v>0.01085</v>
      </c>
    </row>
    <row r="1224" spans="1:5" ht="12.75">
      <c r="A1224" s="158" t="s">
        <v>243</v>
      </c>
      <c r="B1224" s="157" t="s">
        <v>687</v>
      </c>
      <c r="C1224" s="117" t="str">
        <f t="shared" si="57"/>
        <v>Petaluma - Sonoma</v>
      </c>
      <c r="D1224" s="223">
        <f aca="true" t="shared" si="58" ref="D1224:D1287">VLOOKUP(B1224,unemployment_rates,2,FALSE)</f>
        <v>0.10133333333333334</v>
      </c>
      <c r="E1224" s="224">
        <f aca="true" t="shared" si="59" ref="E1224:E1287">VLOOKUP(B1224,Prop_Tax_Rates,2,FALSE)</f>
        <v>0.01115</v>
      </c>
    </row>
    <row r="1225" spans="1:5" ht="12.75">
      <c r="A1225" s="158" t="s">
        <v>244</v>
      </c>
      <c r="B1225" s="157" t="s">
        <v>705</v>
      </c>
      <c r="C1225" s="117" t="str">
        <f t="shared" si="57"/>
        <v>Petrolia - Humboldt</v>
      </c>
      <c r="D1225" s="223">
        <f t="shared" si="58"/>
        <v>0.11391666666666665</v>
      </c>
      <c r="E1225" s="224">
        <f t="shared" si="59"/>
        <v>0.01055</v>
      </c>
    </row>
    <row r="1226" spans="1:5" ht="12.75">
      <c r="A1226" s="158" t="s">
        <v>245</v>
      </c>
      <c r="B1226" s="157" t="s">
        <v>681</v>
      </c>
      <c r="C1226" s="117" t="str">
        <f t="shared" si="57"/>
        <v>Phelan - San Bernardino</v>
      </c>
      <c r="D1226" s="223">
        <f t="shared" si="58"/>
        <v>0.13891666666666666</v>
      </c>
      <c r="E1226" s="224">
        <f t="shared" si="59"/>
        <v>0.01134</v>
      </c>
    </row>
    <row r="1227" spans="1:5" ht="12.75">
      <c r="A1227" s="158" t="s">
        <v>246</v>
      </c>
      <c r="B1227" s="157" t="s">
        <v>705</v>
      </c>
      <c r="C1227" s="117" t="str">
        <f t="shared" si="57"/>
        <v>Phillipsville - Humboldt</v>
      </c>
      <c r="D1227" s="223">
        <f t="shared" si="58"/>
        <v>0.11391666666666665</v>
      </c>
      <c r="E1227" s="224">
        <f t="shared" si="59"/>
        <v>0.01055</v>
      </c>
    </row>
    <row r="1228" spans="1:5" ht="12.75">
      <c r="A1228" s="158" t="s">
        <v>247</v>
      </c>
      <c r="B1228" s="157" t="s">
        <v>703</v>
      </c>
      <c r="C1228" s="117" t="str">
        <f t="shared" si="57"/>
        <v>Philo - Mendocino</v>
      </c>
      <c r="D1228" s="223">
        <f t="shared" si="58"/>
        <v>0.11325000000000002</v>
      </c>
      <c r="E1228" s="224">
        <f t="shared" si="59"/>
        <v>0.01097</v>
      </c>
    </row>
    <row r="1229" spans="1:5" ht="12.75">
      <c r="A1229" s="158" t="s">
        <v>248</v>
      </c>
      <c r="B1229" s="157" t="s">
        <v>677</v>
      </c>
      <c r="C1229" s="117" t="str">
        <f t="shared" si="57"/>
        <v>Pico Rivera - Los Angeles</v>
      </c>
      <c r="D1229" s="223">
        <f t="shared" si="58"/>
        <v>0.12533333333333332</v>
      </c>
      <c r="E1229" s="224">
        <f t="shared" si="59"/>
        <v>0.01168</v>
      </c>
    </row>
    <row r="1230" spans="1:5" ht="12.75">
      <c r="A1230" s="158" t="s">
        <v>249</v>
      </c>
      <c r="B1230" s="157" t="s">
        <v>697</v>
      </c>
      <c r="C1230" s="117" t="str">
        <f t="shared" si="57"/>
        <v>Piedmont - Alameda</v>
      </c>
      <c r="D1230" s="223">
        <f t="shared" si="58"/>
        <v>0.10916666666666666</v>
      </c>
      <c r="E1230" s="224">
        <f t="shared" si="59"/>
        <v>0.011890000000000001</v>
      </c>
    </row>
    <row r="1231" spans="1:5" ht="12.75">
      <c r="A1231" s="158" t="s">
        <v>250</v>
      </c>
      <c r="B1231" s="157" t="s">
        <v>783</v>
      </c>
      <c r="C1231" s="117" t="str">
        <f t="shared" si="57"/>
        <v>Piedra - Fresno</v>
      </c>
      <c r="D1231" s="223">
        <f t="shared" si="58"/>
        <v>0.1685</v>
      </c>
      <c r="E1231" s="224">
        <f t="shared" si="59"/>
        <v>0.01165</v>
      </c>
    </row>
    <row r="1232" spans="1:5" ht="12.75">
      <c r="A1232" s="158" t="s">
        <v>251</v>
      </c>
      <c r="B1232" s="157" t="s">
        <v>703</v>
      </c>
      <c r="C1232" s="117" t="str">
        <f t="shared" si="57"/>
        <v>Piercy - Mendocino</v>
      </c>
      <c r="D1232" s="223">
        <f t="shared" si="58"/>
        <v>0.11325000000000002</v>
      </c>
      <c r="E1232" s="224">
        <f t="shared" si="59"/>
        <v>0.01097</v>
      </c>
    </row>
    <row r="1233" spans="1:5" ht="12.75">
      <c r="A1233" s="158" t="s">
        <v>252</v>
      </c>
      <c r="B1233" s="157" t="s">
        <v>696</v>
      </c>
      <c r="C1233" s="117" t="str">
        <f t="shared" si="57"/>
        <v>Pilot Hill - El Dorado</v>
      </c>
      <c r="D1233" s="223">
        <f t="shared" si="58"/>
        <v>0.12433333333333335</v>
      </c>
      <c r="E1233" s="224">
        <f t="shared" si="59"/>
        <v>0.01055</v>
      </c>
    </row>
    <row r="1234" spans="1:5" ht="12.75">
      <c r="A1234" s="158" t="s">
        <v>253</v>
      </c>
      <c r="B1234" s="157" t="s">
        <v>730</v>
      </c>
      <c r="C1234" s="117" t="str">
        <f t="shared" si="57"/>
        <v>Pine Grove - Amador</v>
      </c>
      <c r="D1234" s="223">
        <f t="shared" si="58"/>
        <v>0.13091666666666668</v>
      </c>
      <c r="E1234" s="224">
        <f t="shared" si="59"/>
        <v>0.01015</v>
      </c>
    </row>
    <row r="1235" spans="1:5" ht="12.75">
      <c r="A1235" s="158" t="s">
        <v>254</v>
      </c>
      <c r="B1235" s="157" t="s">
        <v>689</v>
      </c>
      <c r="C1235" s="117" t="str">
        <f t="shared" si="57"/>
        <v>Pine Valley - San Diego</v>
      </c>
      <c r="D1235" s="223">
        <f t="shared" si="58"/>
        <v>0.10283333333333333</v>
      </c>
      <c r="E1235" s="224">
        <f t="shared" si="59"/>
        <v>0.01076</v>
      </c>
    </row>
    <row r="1236" spans="1:5" ht="12.75">
      <c r="A1236" s="158" t="s">
        <v>255</v>
      </c>
      <c r="B1236" s="157" t="s">
        <v>856</v>
      </c>
      <c r="C1236" s="117" t="str">
        <f t="shared" si="57"/>
        <v>Pinecrest - Tuolumne</v>
      </c>
      <c r="D1236" s="223">
        <f t="shared" si="58"/>
        <v>0.13766666666666666</v>
      </c>
      <c r="E1236" s="224">
        <f t="shared" si="59"/>
        <v>0.01042</v>
      </c>
    </row>
    <row r="1237" spans="1:5" ht="12.75">
      <c r="A1237" s="158" t="s">
        <v>256</v>
      </c>
      <c r="B1237" s="157" t="s">
        <v>783</v>
      </c>
      <c r="C1237" s="117" t="str">
        <f t="shared" si="57"/>
        <v>Pinedale  - Fresno</v>
      </c>
      <c r="D1237" s="223">
        <f t="shared" si="58"/>
        <v>0.1685</v>
      </c>
      <c r="E1237" s="224">
        <f t="shared" si="59"/>
        <v>0.01165</v>
      </c>
    </row>
    <row r="1238" spans="1:5" ht="12.75">
      <c r="A1238" s="158" t="s">
        <v>257</v>
      </c>
      <c r="B1238" s="157" t="s">
        <v>677</v>
      </c>
      <c r="C1238" s="117" t="str">
        <f t="shared" si="57"/>
        <v>Pinetree - Los Angeles</v>
      </c>
      <c r="D1238" s="223">
        <f t="shared" si="58"/>
        <v>0.12533333333333332</v>
      </c>
      <c r="E1238" s="224">
        <f t="shared" si="59"/>
        <v>0.01168</v>
      </c>
    </row>
    <row r="1239" spans="1:5" ht="12.75">
      <c r="A1239" s="158" t="s">
        <v>258</v>
      </c>
      <c r="B1239" s="157" t="s">
        <v>699</v>
      </c>
      <c r="C1239" s="117" t="str">
        <f t="shared" si="57"/>
        <v>Pinole - Contra Costa</v>
      </c>
      <c r="D1239" s="223">
        <f t="shared" si="58"/>
        <v>0.10966666666666666</v>
      </c>
      <c r="E1239" s="224">
        <f t="shared" si="59"/>
        <v>0.011080000000000001</v>
      </c>
    </row>
    <row r="1240" spans="1:5" ht="12.75">
      <c r="A1240" s="158" t="s">
        <v>259</v>
      </c>
      <c r="B1240" s="157" t="s">
        <v>681</v>
      </c>
      <c r="C1240" s="117" t="str">
        <f t="shared" si="57"/>
        <v>Pinon Hills - San Bernardino</v>
      </c>
      <c r="D1240" s="223">
        <f t="shared" si="58"/>
        <v>0.13891666666666666</v>
      </c>
      <c r="E1240" s="224">
        <f t="shared" si="59"/>
        <v>0.01134</v>
      </c>
    </row>
    <row r="1241" spans="1:5" ht="12.75">
      <c r="A1241" s="158" t="s">
        <v>260</v>
      </c>
      <c r="B1241" s="157" t="s">
        <v>730</v>
      </c>
      <c r="C1241" s="117" t="str">
        <f t="shared" si="57"/>
        <v>Pioneer - Amador</v>
      </c>
      <c r="D1241" s="223">
        <f t="shared" si="58"/>
        <v>0.13091666666666668</v>
      </c>
      <c r="E1241" s="224">
        <f t="shared" si="59"/>
        <v>0.01015</v>
      </c>
    </row>
    <row r="1242" spans="1:5" ht="12.75">
      <c r="A1242" s="158" t="s">
        <v>261</v>
      </c>
      <c r="B1242" s="157" t="s">
        <v>681</v>
      </c>
      <c r="C1242" s="117" t="str">
        <f t="shared" si="57"/>
        <v>Pioneertown - San Bernardino</v>
      </c>
      <c r="D1242" s="223">
        <f t="shared" si="58"/>
        <v>0.13891666666666666</v>
      </c>
      <c r="E1242" s="224">
        <f t="shared" si="59"/>
        <v>0.01134</v>
      </c>
    </row>
    <row r="1243" spans="1:5" ht="12.75">
      <c r="A1243" s="158" t="s">
        <v>262</v>
      </c>
      <c r="B1243" s="157" t="s">
        <v>1017</v>
      </c>
      <c r="C1243" s="117" t="str">
        <f t="shared" si="57"/>
        <v>Piru - Ventura</v>
      </c>
      <c r="D1243" s="223">
        <f t="shared" si="58"/>
        <v>0.10525000000000001</v>
      </c>
      <c r="E1243" s="224">
        <f t="shared" si="59"/>
        <v>0.010820000000000001</v>
      </c>
    </row>
    <row r="1244" spans="1:5" ht="12.75">
      <c r="A1244" s="158" t="s">
        <v>263</v>
      </c>
      <c r="B1244" s="157" t="s">
        <v>679</v>
      </c>
      <c r="C1244" s="117" t="str">
        <f t="shared" si="57"/>
        <v>Pismo Beach - San Luis Obispo</v>
      </c>
      <c r="D1244" s="223">
        <f t="shared" si="58"/>
        <v>0.099</v>
      </c>
      <c r="E1244" s="224">
        <f t="shared" si="59"/>
        <v>0.01039</v>
      </c>
    </row>
    <row r="1245" spans="1:5" ht="12.75">
      <c r="A1245" s="158" t="s">
        <v>264</v>
      </c>
      <c r="B1245" s="157" t="s">
        <v>699</v>
      </c>
      <c r="C1245" s="117" t="str">
        <f t="shared" si="57"/>
        <v>Pittsburg - Contra Costa</v>
      </c>
      <c r="D1245" s="223">
        <f t="shared" si="58"/>
        <v>0.10966666666666666</v>
      </c>
      <c r="E1245" s="224">
        <f t="shared" si="59"/>
        <v>0.011080000000000001</v>
      </c>
    </row>
    <row r="1246" spans="1:5" ht="12.75">
      <c r="A1246" s="158" t="s">
        <v>265</v>
      </c>
      <c r="B1246" s="157" t="s">
        <v>718</v>
      </c>
      <c r="C1246" s="117" t="str">
        <f t="shared" si="57"/>
        <v>Pixley - Tulare</v>
      </c>
      <c r="D1246" s="223">
        <f t="shared" si="58"/>
        <v>0.16641666666666666</v>
      </c>
      <c r="E1246" s="224">
        <f t="shared" si="59"/>
        <v>0.01088</v>
      </c>
    </row>
    <row r="1247" spans="1:5" ht="12.75">
      <c r="A1247" s="158" t="s">
        <v>266</v>
      </c>
      <c r="B1247" s="157" t="s">
        <v>708</v>
      </c>
      <c r="C1247" s="117" t="str">
        <f t="shared" si="57"/>
        <v>Placentia - Orange</v>
      </c>
      <c r="D1247" s="223">
        <f t="shared" si="58"/>
        <v>0.0915</v>
      </c>
      <c r="E1247" s="224">
        <f t="shared" si="59"/>
        <v>0.01054</v>
      </c>
    </row>
    <row r="1248" spans="1:5" ht="12.75">
      <c r="A1248" s="158" t="s">
        <v>267</v>
      </c>
      <c r="B1248" s="157" t="s">
        <v>696</v>
      </c>
      <c r="C1248" s="117" t="str">
        <f t="shared" si="57"/>
        <v>Placerville - El Dorado</v>
      </c>
      <c r="D1248" s="223">
        <f t="shared" si="58"/>
        <v>0.12433333333333335</v>
      </c>
      <c r="E1248" s="224">
        <f t="shared" si="59"/>
        <v>0.01055</v>
      </c>
    </row>
    <row r="1249" spans="1:5" ht="12.75">
      <c r="A1249" s="158" t="s">
        <v>268</v>
      </c>
      <c r="B1249" s="157" t="s">
        <v>718</v>
      </c>
      <c r="C1249" s="117" t="str">
        <f t="shared" si="57"/>
        <v>Plainview - Tulare</v>
      </c>
      <c r="D1249" s="223">
        <f t="shared" si="58"/>
        <v>0.16641666666666666</v>
      </c>
      <c r="E1249" s="224">
        <f t="shared" si="59"/>
        <v>0.01088</v>
      </c>
    </row>
    <row r="1250" spans="1:5" ht="12.75">
      <c r="A1250" s="158" t="s">
        <v>269</v>
      </c>
      <c r="B1250" s="157" t="s">
        <v>780</v>
      </c>
      <c r="C1250" s="117" t="str">
        <f t="shared" si="57"/>
        <v>Planada - Merced</v>
      </c>
      <c r="D1250" s="223">
        <f t="shared" si="58"/>
        <v>0.1885</v>
      </c>
      <c r="E1250" s="224">
        <f t="shared" si="59"/>
        <v>0.01061</v>
      </c>
    </row>
    <row r="1251" spans="1:5" ht="12.75">
      <c r="A1251" s="158" t="s">
        <v>270</v>
      </c>
      <c r="B1251" s="157" t="s">
        <v>807</v>
      </c>
      <c r="C1251" s="117" t="str">
        <f t="shared" si="57"/>
        <v>Plaster City - Imperial</v>
      </c>
      <c r="D1251" s="223">
        <f t="shared" si="58"/>
        <v>0.29941666666666666</v>
      </c>
      <c r="E1251" s="224">
        <f t="shared" si="59"/>
        <v>0.01052</v>
      </c>
    </row>
    <row r="1252" spans="1:5" ht="12.75">
      <c r="A1252" s="158" t="s">
        <v>271</v>
      </c>
      <c r="B1252" s="157" t="s">
        <v>738</v>
      </c>
      <c r="C1252" s="117" t="str">
        <f t="shared" si="57"/>
        <v>Platina - Shasta</v>
      </c>
      <c r="D1252" s="223">
        <f t="shared" si="58"/>
        <v>0.15616666666666668</v>
      </c>
      <c r="E1252" s="224">
        <f t="shared" si="59"/>
        <v>0.01085</v>
      </c>
    </row>
    <row r="1253" spans="1:5" ht="12.75">
      <c r="A1253" s="158" t="s">
        <v>272</v>
      </c>
      <c r="B1253" s="157" t="s">
        <v>677</v>
      </c>
      <c r="C1253" s="117" t="str">
        <f t="shared" si="57"/>
        <v>Playa Del Rey - Los Angeles</v>
      </c>
      <c r="D1253" s="223">
        <f t="shared" si="58"/>
        <v>0.12533333333333332</v>
      </c>
      <c r="E1253" s="224">
        <f t="shared" si="59"/>
        <v>0.01168</v>
      </c>
    </row>
    <row r="1254" spans="1:5" ht="12.75">
      <c r="A1254" s="158" t="s">
        <v>273</v>
      </c>
      <c r="B1254" s="157" t="s">
        <v>2046</v>
      </c>
      <c r="C1254" s="117" t="str">
        <f t="shared" si="57"/>
        <v>Pleasant Grove - Sutter</v>
      </c>
      <c r="D1254" s="223">
        <f t="shared" si="58"/>
        <v>0.19824999999999998</v>
      </c>
      <c r="E1254" s="224">
        <f t="shared" si="59"/>
        <v>0.010700000000000001</v>
      </c>
    </row>
    <row r="1255" spans="1:5" ht="12.75">
      <c r="A1255" s="158" t="s">
        <v>274</v>
      </c>
      <c r="B1255" s="157" t="s">
        <v>699</v>
      </c>
      <c r="C1255" s="117" t="str">
        <f t="shared" si="57"/>
        <v>Pleasant Hill - Contra Costa</v>
      </c>
      <c r="D1255" s="223">
        <f t="shared" si="58"/>
        <v>0.10966666666666666</v>
      </c>
      <c r="E1255" s="224">
        <f t="shared" si="59"/>
        <v>0.011080000000000001</v>
      </c>
    </row>
    <row r="1256" spans="1:5" ht="12.75">
      <c r="A1256" s="158" t="s">
        <v>275</v>
      </c>
      <c r="B1256" s="157" t="s">
        <v>697</v>
      </c>
      <c r="C1256" s="117" t="str">
        <f t="shared" si="57"/>
        <v>Pleasanton - Alameda</v>
      </c>
      <c r="D1256" s="223">
        <f t="shared" si="58"/>
        <v>0.10916666666666666</v>
      </c>
      <c r="E1256" s="224">
        <f t="shared" si="59"/>
        <v>0.011890000000000001</v>
      </c>
    </row>
    <row r="1257" spans="1:5" ht="12.75">
      <c r="A1257" s="158" t="s">
        <v>276</v>
      </c>
      <c r="B1257" s="157" t="s">
        <v>730</v>
      </c>
      <c r="C1257" s="117" t="str">
        <f t="shared" si="57"/>
        <v>Plymouth - Amador</v>
      </c>
      <c r="D1257" s="223">
        <f t="shared" si="58"/>
        <v>0.13091666666666668</v>
      </c>
      <c r="E1257" s="224">
        <f t="shared" si="59"/>
        <v>0.01015</v>
      </c>
    </row>
    <row r="1258" spans="1:5" ht="12.75">
      <c r="A1258" s="158" t="s">
        <v>277</v>
      </c>
      <c r="B1258" s="157" t="s">
        <v>703</v>
      </c>
      <c r="C1258" s="117" t="str">
        <f t="shared" si="57"/>
        <v>Point Arena - Mendocino</v>
      </c>
      <c r="D1258" s="223">
        <f t="shared" si="58"/>
        <v>0.11325000000000002</v>
      </c>
      <c r="E1258" s="224">
        <f t="shared" si="59"/>
        <v>0.01097</v>
      </c>
    </row>
    <row r="1259" spans="1:5" ht="12.75">
      <c r="A1259" s="158" t="s">
        <v>278</v>
      </c>
      <c r="B1259" s="157" t="s">
        <v>1017</v>
      </c>
      <c r="C1259" s="117" t="str">
        <f t="shared" si="57"/>
        <v>Point Mugu - Ventura</v>
      </c>
      <c r="D1259" s="223">
        <f t="shared" si="58"/>
        <v>0.10525000000000001</v>
      </c>
      <c r="E1259" s="224">
        <f t="shared" si="59"/>
        <v>0.010820000000000001</v>
      </c>
    </row>
    <row r="1260" spans="1:5" ht="12.75">
      <c r="A1260" s="158" t="s">
        <v>279</v>
      </c>
      <c r="B1260" s="157" t="s">
        <v>699</v>
      </c>
      <c r="C1260" s="117" t="str">
        <f t="shared" si="57"/>
        <v>Point Pittsburg  - Contra Costa</v>
      </c>
      <c r="D1260" s="223">
        <f t="shared" si="58"/>
        <v>0.10966666666666666</v>
      </c>
      <c r="E1260" s="224">
        <f t="shared" si="59"/>
        <v>0.011080000000000001</v>
      </c>
    </row>
    <row r="1261" spans="1:5" ht="12.75">
      <c r="A1261" s="158" t="s">
        <v>280</v>
      </c>
      <c r="B1261" s="157" t="s">
        <v>834</v>
      </c>
      <c r="C1261" s="117" t="str">
        <f t="shared" si="57"/>
        <v>Point Reyes Station - Marin</v>
      </c>
      <c r="D1261" s="223">
        <f t="shared" si="58"/>
        <v>0.08033333333333333</v>
      </c>
      <c r="E1261" s="224">
        <f t="shared" si="59"/>
        <v>0.01105</v>
      </c>
    </row>
    <row r="1262" spans="1:5" ht="12.75">
      <c r="A1262" s="158" t="s">
        <v>281</v>
      </c>
      <c r="B1262" s="157" t="s">
        <v>696</v>
      </c>
      <c r="C1262" s="117" t="str">
        <f t="shared" si="57"/>
        <v>Pollock Pines - El Dorado</v>
      </c>
      <c r="D1262" s="223">
        <f t="shared" si="58"/>
        <v>0.12433333333333335</v>
      </c>
      <c r="E1262" s="224">
        <f t="shared" si="59"/>
        <v>0.01055</v>
      </c>
    </row>
    <row r="1263" spans="1:5" ht="12.75">
      <c r="A1263" s="158" t="s">
        <v>282</v>
      </c>
      <c r="B1263" s="157" t="s">
        <v>677</v>
      </c>
      <c r="C1263" s="117" t="str">
        <f t="shared" si="57"/>
        <v>Pomona - Los Angeles</v>
      </c>
      <c r="D1263" s="223">
        <f t="shared" si="58"/>
        <v>0.12533333333333332</v>
      </c>
      <c r="E1263" s="224">
        <f t="shared" si="59"/>
        <v>0.01168</v>
      </c>
    </row>
    <row r="1264" spans="1:5" ht="12.75">
      <c r="A1264" s="158" t="s">
        <v>283</v>
      </c>
      <c r="B1264" s="157" t="s">
        <v>772</v>
      </c>
      <c r="C1264" s="117" t="str">
        <f t="shared" si="57"/>
        <v>Pond - Kern</v>
      </c>
      <c r="D1264" s="223">
        <f t="shared" si="58"/>
        <v>0.15741666666666668</v>
      </c>
      <c r="E1264" s="224">
        <f t="shared" si="59"/>
        <v>0.01114</v>
      </c>
    </row>
    <row r="1265" spans="1:5" ht="12.75">
      <c r="A1265" s="158" t="s">
        <v>284</v>
      </c>
      <c r="B1265" s="157" t="s">
        <v>1012</v>
      </c>
      <c r="C1265" s="117" t="str">
        <f t="shared" si="57"/>
        <v>Pondosa - Siskiyou</v>
      </c>
      <c r="D1265" s="223">
        <f t="shared" si="58"/>
        <v>0.17858333333333332</v>
      </c>
      <c r="E1265" s="224">
        <f t="shared" si="59"/>
        <v>0.01038</v>
      </c>
    </row>
    <row r="1266" spans="1:5" ht="12.75">
      <c r="A1266" s="158" t="s">
        <v>285</v>
      </c>
      <c r="B1266" s="157" t="s">
        <v>735</v>
      </c>
      <c r="C1266" s="117" t="str">
        <f t="shared" si="57"/>
        <v>Pope Valley - Napa</v>
      </c>
      <c r="D1266" s="223">
        <f t="shared" si="58"/>
        <v>0.09708333333333334</v>
      </c>
      <c r="E1266" s="224">
        <f t="shared" si="59"/>
        <v>0.01093</v>
      </c>
    </row>
    <row r="1267" spans="1:5" ht="12.75">
      <c r="A1267" s="158" t="s">
        <v>286</v>
      </c>
      <c r="B1267" s="157" t="s">
        <v>718</v>
      </c>
      <c r="C1267" s="117" t="str">
        <f t="shared" si="57"/>
        <v>Poplar - Tulare</v>
      </c>
      <c r="D1267" s="223">
        <f t="shared" si="58"/>
        <v>0.16641666666666666</v>
      </c>
      <c r="E1267" s="224">
        <f t="shared" si="59"/>
        <v>0.01088</v>
      </c>
    </row>
    <row r="1268" spans="1:5" ht="12.75">
      <c r="A1268" s="158" t="s">
        <v>287</v>
      </c>
      <c r="B1268" s="157" t="s">
        <v>699</v>
      </c>
      <c r="C1268" s="117" t="str">
        <f t="shared" si="57"/>
        <v>Port Costa - Contra Costa</v>
      </c>
      <c r="D1268" s="223">
        <f t="shared" si="58"/>
        <v>0.10966666666666666</v>
      </c>
      <c r="E1268" s="224">
        <f t="shared" si="59"/>
        <v>0.011080000000000001</v>
      </c>
    </row>
    <row r="1269" spans="1:5" ht="12.75">
      <c r="A1269" s="158" t="s">
        <v>288</v>
      </c>
      <c r="B1269" s="157" t="s">
        <v>1017</v>
      </c>
      <c r="C1269" s="117" t="str">
        <f t="shared" si="57"/>
        <v>Port Hueneme - Ventura</v>
      </c>
      <c r="D1269" s="223">
        <f t="shared" si="58"/>
        <v>0.10525000000000001</v>
      </c>
      <c r="E1269" s="224">
        <f t="shared" si="59"/>
        <v>0.010820000000000001</v>
      </c>
    </row>
    <row r="1270" spans="1:5" ht="12.75">
      <c r="A1270" s="158" t="s">
        <v>289</v>
      </c>
      <c r="B1270" s="157" t="s">
        <v>677</v>
      </c>
      <c r="C1270" s="117" t="str">
        <f t="shared" si="57"/>
        <v>Porter Ranch  - Los Angeles</v>
      </c>
      <c r="D1270" s="223">
        <f t="shared" si="58"/>
        <v>0.12533333333333332</v>
      </c>
      <c r="E1270" s="224">
        <f t="shared" si="59"/>
        <v>0.01168</v>
      </c>
    </row>
    <row r="1271" spans="1:5" ht="12.75">
      <c r="A1271" s="158" t="s">
        <v>290</v>
      </c>
      <c r="B1271" s="157" t="s">
        <v>718</v>
      </c>
      <c r="C1271" s="117" t="str">
        <f t="shared" si="57"/>
        <v>Porterville - Tulare</v>
      </c>
      <c r="D1271" s="223">
        <f t="shared" si="58"/>
        <v>0.16641666666666666</v>
      </c>
      <c r="E1271" s="224">
        <f t="shared" si="59"/>
        <v>0.01088</v>
      </c>
    </row>
    <row r="1272" spans="1:5" ht="12.75">
      <c r="A1272" s="158" t="s">
        <v>291</v>
      </c>
      <c r="B1272" s="157" t="s">
        <v>714</v>
      </c>
      <c r="C1272" s="117" t="str">
        <f t="shared" si="57"/>
        <v>Portola - Plumas</v>
      </c>
      <c r="D1272" s="223">
        <f t="shared" si="58"/>
        <v>0.16258333333333333</v>
      </c>
      <c r="E1272" s="224">
        <f t="shared" si="59"/>
        <v>0.01038</v>
      </c>
    </row>
    <row r="1273" spans="1:5" ht="12.75">
      <c r="A1273" s="158" t="s">
        <v>292</v>
      </c>
      <c r="B1273" s="157" t="s">
        <v>778</v>
      </c>
      <c r="C1273" s="117" t="str">
        <f t="shared" si="57"/>
        <v>Portola Valley - San Mateo</v>
      </c>
      <c r="D1273" s="223">
        <f t="shared" si="58"/>
        <v>0.08433333333333333</v>
      </c>
      <c r="E1273" s="224">
        <f t="shared" si="59"/>
        <v>0.01085</v>
      </c>
    </row>
    <row r="1274" spans="1:5" ht="12.75">
      <c r="A1274" s="158" t="s">
        <v>293</v>
      </c>
      <c r="B1274" s="157" t="s">
        <v>677</v>
      </c>
      <c r="C1274" s="117" t="str">
        <f t="shared" si="57"/>
        <v>Portuguese Bend - Los Angeles</v>
      </c>
      <c r="D1274" s="223">
        <f t="shared" si="58"/>
        <v>0.12533333333333332</v>
      </c>
      <c r="E1274" s="224">
        <f t="shared" si="59"/>
        <v>0.01168</v>
      </c>
    </row>
    <row r="1275" spans="1:5" ht="12.75">
      <c r="A1275" s="158" t="s">
        <v>294</v>
      </c>
      <c r="B1275" s="157" t="s">
        <v>718</v>
      </c>
      <c r="C1275" s="117" t="str">
        <f t="shared" si="57"/>
        <v>Posey - Tulare</v>
      </c>
      <c r="D1275" s="223">
        <f t="shared" si="58"/>
        <v>0.16641666666666666</v>
      </c>
      <c r="E1275" s="224">
        <f t="shared" si="59"/>
        <v>0.01088</v>
      </c>
    </row>
    <row r="1276" spans="1:5" ht="12.75">
      <c r="A1276" s="158" t="s">
        <v>295</v>
      </c>
      <c r="B1276" s="157" t="s">
        <v>689</v>
      </c>
      <c r="C1276" s="117" t="str">
        <f t="shared" si="57"/>
        <v>Potrero - San Diego</v>
      </c>
      <c r="D1276" s="223">
        <f t="shared" si="58"/>
        <v>0.10283333333333333</v>
      </c>
      <c r="E1276" s="224">
        <f t="shared" si="59"/>
        <v>0.01076</v>
      </c>
    </row>
    <row r="1277" spans="1:5" ht="12.75">
      <c r="A1277" s="158" t="s">
        <v>296</v>
      </c>
      <c r="B1277" s="157" t="s">
        <v>703</v>
      </c>
      <c r="C1277" s="117" t="str">
        <f t="shared" si="57"/>
        <v>Potter Valley - Mendocino</v>
      </c>
      <c r="D1277" s="223">
        <f t="shared" si="58"/>
        <v>0.11325000000000002</v>
      </c>
      <c r="E1277" s="224">
        <f t="shared" si="59"/>
        <v>0.01097</v>
      </c>
    </row>
    <row r="1278" spans="1:5" ht="12.75">
      <c r="A1278" s="158" t="s">
        <v>297</v>
      </c>
      <c r="B1278" s="157" t="s">
        <v>689</v>
      </c>
      <c r="C1278" s="117" t="str">
        <f t="shared" si="57"/>
        <v>Poway - San Diego</v>
      </c>
      <c r="D1278" s="223">
        <f t="shared" si="58"/>
        <v>0.10283333333333333</v>
      </c>
      <c r="E1278" s="224">
        <f t="shared" si="59"/>
        <v>0.01076</v>
      </c>
    </row>
    <row r="1279" spans="1:5" ht="12.75">
      <c r="A1279" s="158" t="s">
        <v>299</v>
      </c>
      <c r="B1279" s="157" t="s">
        <v>783</v>
      </c>
      <c r="C1279" s="117" t="str">
        <f t="shared" si="57"/>
        <v>Prather - Fresno</v>
      </c>
      <c r="D1279" s="223">
        <f t="shared" si="58"/>
        <v>0.1685</v>
      </c>
      <c r="E1279" s="224">
        <f t="shared" si="59"/>
        <v>0.01165</v>
      </c>
    </row>
    <row r="1280" spans="1:5" ht="12.75">
      <c r="A1280" s="158" t="s">
        <v>300</v>
      </c>
      <c r="B1280" s="157" t="s">
        <v>301</v>
      </c>
      <c r="C1280" s="117" t="str">
        <f t="shared" si="57"/>
        <v>Presidio  - San Francisco</v>
      </c>
      <c r="D1280" s="223">
        <f t="shared" si="58"/>
        <v>0.09141666666666667</v>
      </c>
      <c r="E1280" s="224">
        <f t="shared" si="59"/>
        <v>0.0116</v>
      </c>
    </row>
    <row r="1281" spans="1:5" ht="12.75">
      <c r="A1281" s="158" t="s">
        <v>302</v>
      </c>
      <c r="B1281" s="157" t="s">
        <v>764</v>
      </c>
      <c r="C1281" s="117" t="str">
        <f t="shared" si="57"/>
        <v>Presidio of Monterey  - Monterey</v>
      </c>
      <c r="D1281" s="223">
        <f t="shared" si="58"/>
        <v>0.12916666666666665</v>
      </c>
      <c r="E1281" s="224">
        <f t="shared" si="59"/>
        <v>0.01084</v>
      </c>
    </row>
    <row r="1282" spans="1:5" ht="12.75">
      <c r="A1282" s="158" t="s">
        <v>303</v>
      </c>
      <c r="B1282" s="157" t="s">
        <v>764</v>
      </c>
      <c r="C1282" s="117" t="str">
        <f t="shared" si="57"/>
        <v>Priest Valley - Monterey</v>
      </c>
      <c r="D1282" s="223">
        <f t="shared" si="58"/>
        <v>0.12916666666666665</v>
      </c>
      <c r="E1282" s="224">
        <f t="shared" si="59"/>
        <v>0.01084</v>
      </c>
    </row>
    <row r="1283" spans="1:5" ht="12.75">
      <c r="A1283" s="158" t="s">
        <v>304</v>
      </c>
      <c r="B1283" s="157" t="s">
        <v>753</v>
      </c>
      <c r="C1283" s="117" t="str">
        <f t="shared" si="57"/>
        <v>Princeton - Colusa</v>
      </c>
      <c r="D1283" s="223">
        <f t="shared" si="58"/>
        <v>0.20800000000000002</v>
      </c>
      <c r="E1283" s="224">
        <f t="shared" si="59"/>
        <v>0.01027</v>
      </c>
    </row>
    <row r="1284" spans="1:5" ht="12.75">
      <c r="A1284" s="158" t="s">
        <v>305</v>
      </c>
      <c r="B1284" s="157" t="s">
        <v>1934</v>
      </c>
      <c r="C1284" s="117" t="str">
        <f t="shared" si="57"/>
        <v>Proberta - Tehama</v>
      </c>
      <c r="D1284" s="223">
        <f t="shared" si="58"/>
        <v>0.15649999999999997</v>
      </c>
      <c r="E1284" s="224">
        <f t="shared" si="59"/>
        <v>0.01022</v>
      </c>
    </row>
    <row r="1285" spans="1:5" ht="12.75">
      <c r="A1285" s="158" t="s">
        <v>306</v>
      </c>
      <c r="B1285" s="157" t="s">
        <v>738</v>
      </c>
      <c r="C1285" s="117" t="str">
        <f t="shared" si="57"/>
        <v>Project City - Shasta</v>
      </c>
      <c r="D1285" s="223">
        <f t="shared" si="58"/>
        <v>0.15616666666666668</v>
      </c>
      <c r="E1285" s="224">
        <f t="shared" si="59"/>
        <v>0.01085</v>
      </c>
    </row>
    <row r="1286" spans="1:5" ht="12.75">
      <c r="A1286" s="158" t="s">
        <v>307</v>
      </c>
      <c r="B1286" s="157" t="s">
        <v>764</v>
      </c>
      <c r="C1286" s="117" t="str">
        <f t="shared" si="57"/>
        <v>Prunedale - Monterey</v>
      </c>
      <c r="D1286" s="223">
        <f t="shared" si="58"/>
        <v>0.12916666666666665</v>
      </c>
      <c r="E1286" s="224">
        <f t="shared" si="59"/>
        <v>0.01084</v>
      </c>
    </row>
    <row r="1287" spans="1:5" ht="12.75">
      <c r="A1287" s="158" t="s">
        <v>308</v>
      </c>
      <c r="B1287" s="157" t="s">
        <v>677</v>
      </c>
      <c r="C1287" s="117" t="str">
        <f aca="true" t="shared" si="60" ref="C1287:C1350">A1287&amp;" - "&amp;B1287</f>
        <v>Pt. Dume - Los Angeles</v>
      </c>
      <c r="D1287" s="223">
        <f t="shared" si="58"/>
        <v>0.12533333333333332</v>
      </c>
      <c r="E1287" s="224">
        <f t="shared" si="59"/>
        <v>0.01168</v>
      </c>
    </row>
    <row r="1288" spans="1:5" ht="12.75">
      <c r="A1288" s="158" t="s">
        <v>309</v>
      </c>
      <c r="B1288" s="157" t="s">
        <v>803</v>
      </c>
      <c r="C1288" s="117" t="str">
        <f t="shared" si="60"/>
        <v>Pulga - Butte</v>
      </c>
      <c r="D1288" s="223">
        <f aca="true" t="shared" si="61" ref="D1288:D1351">VLOOKUP(B1288,unemployment_rates,2,FALSE)</f>
        <v>0.13741666666666666</v>
      </c>
      <c r="E1288" s="224">
        <f aca="true" t="shared" si="62" ref="E1288:E1351">VLOOKUP(B1288,Prop_Tax_Rates,2,FALSE)</f>
        <v>0.01064</v>
      </c>
    </row>
    <row r="1289" spans="1:5" ht="12.75">
      <c r="A1289" s="158" t="s">
        <v>310</v>
      </c>
      <c r="B1289" s="157" t="s">
        <v>772</v>
      </c>
      <c r="C1289" s="117" t="str">
        <f t="shared" si="60"/>
        <v>Pumpkin Center - Kern</v>
      </c>
      <c r="D1289" s="223">
        <f t="shared" si="61"/>
        <v>0.15741666666666668</v>
      </c>
      <c r="E1289" s="224">
        <f t="shared" si="62"/>
        <v>0.01114</v>
      </c>
    </row>
    <row r="1290" spans="1:5" ht="12.75">
      <c r="A1290" s="158" t="s">
        <v>311</v>
      </c>
      <c r="B1290" s="157" t="s">
        <v>692</v>
      </c>
      <c r="C1290" s="117" t="str">
        <f t="shared" si="60"/>
        <v>Quail Valley - Riverside</v>
      </c>
      <c r="D1290" s="223">
        <f t="shared" si="61"/>
        <v>0.144</v>
      </c>
      <c r="E1290" s="224">
        <f t="shared" si="62"/>
        <v>0.01089</v>
      </c>
    </row>
    <row r="1291" spans="1:5" ht="12.75">
      <c r="A1291" s="158" t="s">
        <v>312</v>
      </c>
      <c r="B1291" s="157" t="s">
        <v>677</v>
      </c>
      <c r="C1291" s="117" t="str">
        <f t="shared" si="60"/>
        <v>Quartz Hill - Los Angeles</v>
      </c>
      <c r="D1291" s="223">
        <f t="shared" si="61"/>
        <v>0.12533333333333332</v>
      </c>
      <c r="E1291" s="224">
        <f t="shared" si="62"/>
        <v>0.01168</v>
      </c>
    </row>
    <row r="1292" spans="1:5" ht="12.75">
      <c r="A1292" s="158" t="s">
        <v>313</v>
      </c>
      <c r="B1292" s="157" t="s">
        <v>714</v>
      </c>
      <c r="C1292" s="117" t="str">
        <f t="shared" si="60"/>
        <v>Quincy - Plumas</v>
      </c>
      <c r="D1292" s="223">
        <f t="shared" si="61"/>
        <v>0.16258333333333333</v>
      </c>
      <c r="E1292" s="224">
        <f t="shared" si="62"/>
        <v>0.01038</v>
      </c>
    </row>
    <row r="1293" spans="1:5" ht="12.75">
      <c r="A1293" s="158" t="s">
        <v>314</v>
      </c>
      <c r="B1293" s="157" t="s">
        <v>820</v>
      </c>
      <c r="C1293" s="117" t="str">
        <f t="shared" si="60"/>
        <v>Rackerby - Yuba</v>
      </c>
      <c r="D1293" s="223">
        <f t="shared" si="61"/>
        <v>0.1881666666666667</v>
      </c>
      <c r="E1293" s="224">
        <f t="shared" si="62"/>
        <v>0.01102</v>
      </c>
    </row>
    <row r="1294" spans="1:5" ht="12.75">
      <c r="A1294" s="158" t="s">
        <v>315</v>
      </c>
      <c r="B1294" s="157" t="s">
        <v>725</v>
      </c>
      <c r="C1294" s="117" t="str">
        <f t="shared" si="60"/>
        <v>Rail Road Flat - Calaveras</v>
      </c>
      <c r="D1294" s="223">
        <f t="shared" si="61"/>
        <v>0.1545833333333333</v>
      </c>
      <c r="E1294" s="224">
        <f t="shared" si="62"/>
        <v>0.01075</v>
      </c>
    </row>
    <row r="1295" spans="1:5" ht="12.75">
      <c r="A1295" s="158" t="s">
        <v>316</v>
      </c>
      <c r="B1295" s="157" t="s">
        <v>689</v>
      </c>
      <c r="C1295" s="117" t="str">
        <f t="shared" si="60"/>
        <v>Rainbow - San Diego</v>
      </c>
      <c r="D1295" s="223">
        <f t="shared" si="61"/>
        <v>0.10283333333333333</v>
      </c>
      <c r="E1295" s="224">
        <f t="shared" si="62"/>
        <v>0.01076</v>
      </c>
    </row>
    <row r="1296" spans="1:5" ht="12.75">
      <c r="A1296" s="158" t="s">
        <v>317</v>
      </c>
      <c r="B1296" s="157" t="s">
        <v>783</v>
      </c>
      <c r="C1296" s="117" t="str">
        <f t="shared" si="60"/>
        <v>Raisin City - Fresno</v>
      </c>
      <c r="D1296" s="223">
        <f t="shared" si="61"/>
        <v>0.1685</v>
      </c>
      <c r="E1296" s="224">
        <f t="shared" si="62"/>
        <v>0.01165</v>
      </c>
    </row>
    <row r="1297" spans="1:5" ht="12.75">
      <c r="A1297" s="158" t="s">
        <v>318</v>
      </c>
      <c r="B1297" s="157" t="s">
        <v>689</v>
      </c>
      <c r="C1297" s="117" t="str">
        <f t="shared" si="60"/>
        <v>Ramona - San Diego</v>
      </c>
      <c r="D1297" s="223">
        <f t="shared" si="61"/>
        <v>0.10283333333333333</v>
      </c>
      <c r="E1297" s="224">
        <f t="shared" si="62"/>
        <v>0.01076</v>
      </c>
    </row>
    <row r="1298" spans="1:5" ht="12.75">
      <c r="A1298" s="158" t="s">
        <v>319</v>
      </c>
      <c r="B1298" s="157" t="s">
        <v>689</v>
      </c>
      <c r="C1298" s="117" t="str">
        <f t="shared" si="60"/>
        <v>Ranchita - San Diego</v>
      </c>
      <c r="D1298" s="223">
        <f t="shared" si="61"/>
        <v>0.10283333333333333</v>
      </c>
      <c r="E1298" s="224">
        <f t="shared" si="62"/>
        <v>0.01076</v>
      </c>
    </row>
    <row r="1299" spans="1:5" ht="12.75">
      <c r="A1299" s="158" t="s">
        <v>320</v>
      </c>
      <c r="B1299" s="157" t="s">
        <v>689</v>
      </c>
      <c r="C1299" s="117" t="str">
        <f t="shared" si="60"/>
        <v>Rancho Bernardo  - San Diego</v>
      </c>
      <c r="D1299" s="223">
        <f t="shared" si="61"/>
        <v>0.10283333333333333</v>
      </c>
      <c r="E1299" s="224">
        <f t="shared" si="62"/>
        <v>0.01076</v>
      </c>
    </row>
    <row r="1300" spans="1:5" ht="12.75">
      <c r="A1300" s="158" t="s">
        <v>321</v>
      </c>
      <c r="B1300" s="157" t="s">
        <v>692</v>
      </c>
      <c r="C1300" s="117" t="str">
        <f t="shared" si="60"/>
        <v>Rancho California - Riverside</v>
      </c>
      <c r="D1300" s="223">
        <f t="shared" si="61"/>
        <v>0.144</v>
      </c>
      <c r="E1300" s="224">
        <f t="shared" si="62"/>
        <v>0.01089</v>
      </c>
    </row>
    <row r="1301" spans="1:5" ht="12.75">
      <c r="A1301" s="158" t="s">
        <v>322</v>
      </c>
      <c r="B1301" s="157" t="s">
        <v>744</v>
      </c>
      <c r="C1301" s="117" t="str">
        <f t="shared" si="60"/>
        <v>Rancho Cordova - Sacramento</v>
      </c>
      <c r="D1301" s="223">
        <f t="shared" si="61"/>
        <v>0.12641666666666665</v>
      </c>
      <c r="E1301" s="224">
        <f t="shared" si="62"/>
        <v>0.01087</v>
      </c>
    </row>
    <row r="1302" spans="1:5" ht="12.75">
      <c r="A1302" s="158" t="s">
        <v>323</v>
      </c>
      <c r="B1302" s="157" t="s">
        <v>681</v>
      </c>
      <c r="C1302" s="117" t="str">
        <f t="shared" si="60"/>
        <v>Rancho Cucamonga - San Bernardino</v>
      </c>
      <c r="D1302" s="223">
        <f t="shared" si="61"/>
        <v>0.13891666666666666</v>
      </c>
      <c r="E1302" s="224">
        <f t="shared" si="62"/>
        <v>0.01134</v>
      </c>
    </row>
    <row r="1303" spans="1:5" ht="12.75">
      <c r="A1303" s="158" t="s">
        <v>324</v>
      </c>
      <c r="B1303" s="157" t="s">
        <v>677</v>
      </c>
      <c r="C1303" s="117" t="str">
        <f t="shared" si="60"/>
        <v>Rancho Dominguez - Los Angeles</v>
      </c>
      <c r="D1303" s="223">
        <f t="shared" si="61"/>
        <v>0.12533333333333332</v>
      </c>
      <c r="E1303" s="224">
        <f t="shared" si="62"/>
        <v>0.01168</v>
      </c>
    </row>
    <row r="1304" spans="1:5" ht="12.75">
      <c r="A1304" s="158" t="s">
        <v>325</v>
      </c>
      <c r="B1304" s="157" t="s">
        <v>692</v>
      </c>
      <c r="C1304" s="117" t="str">
        <f t="shared" si="60"/>
        <v>Rancho Mirage - Riverside</v>
      </c>
      <c r="D1304" s="223">
        <f t="shared" si="61"/>
        <v>0.144</v>
      </c>
      <c r="E1304" s="224">
        <f t="shared" si="62"/>
        <v>0.01089</v>
      </c>
    </row>
    <row r="1305" spans="1:5" ht="12.75">
      <c r="A1305" s="158" t="s">
        <v>326</v>
      </c>
      <c r="B1305" s="157" t="s">
        <v>744</v>
      </c>
      <c r="C1305" s="117" t="str">
        <f t="shared" si="60"/>
        <v>Rancho Murieta - Sacramento</v>
      </c>
      <c r="D1305" s="223">
        <f t="shared" si="61"/>
        <v>0.12641666666666665</v>
      </c>
      <c r="E1305" s="224">
        <f t="shared" si="62"/>
        <v>0.01087</v>
      </c>
    </row>
    <row r="1306" spans="1:5" ht="12.75">
      <c r="A1306" s="158" t="s">
        <v>327</v>
      </c>
      <c r="B1306" s="157" t="s">
        <v>677</v>
      </c>
      <c r="C1306" s="117" t="str">
        <f t="shared" si="60"/>
        <v>Rancho Palos Verdes - Los Angeles</v>
      </c>
      <c r="D1306" s="223">
        <f t="shared" si="61"/>
        <v>0.12533333333333332</v>
      </c>
      <c r="E1306" s="224">
        <f t="shared" si="62"/>
        <v>0.01168</v>
      </c>
    </row>
    <row r="1307" spans="1:5" ht="12.75">
      <c r="A1307" s="158" t="s">
        <v>328</v>
      </c>
      <c r="B1307" s="157" t="s">
        <v>677</v>
      </c>
      <c r="C1307" s="117" t="str">
        <f t="shared" si="60"/>
        <v>Rancho Park  - Los Angeles</v>
      </c>
      <c r="D1307" s="223">
        <f t="shared" si="61"/>
        <v>0.12533333333333332</v>
      </c>
      <c r="E1307" s="224">
        <f t="shared" si="62"/>
        <v>0.01168</v>
      </c>
    </row>
    <row r="1308" spans="1:5" ht="12.75">
      <c r="A1308" s="158" t="s">
        <v>329</v>
      </c>
      <c r="B1308" s="157" t="s">
        <v>689</v>
      </c>
      <c r="C1308" s="117" t="str">
        <f t="shared" si="60"/>
        <v>Rancho Santa Fe - San Diego</v>
      </c>
      <c r="D1308" s="223">
        <f t="shared" si="61"/>
        <v>0.10283333333333333</v>
      </c>
      <c r="E1308" s="224">
        <f t="shared" si="62"/>
        <v>0.01076</v>
      </c>
    </row>
    <row r="1309" spans="1:5" ht="12.75">
      <c r="A1309" s="158" t="s">
        <v>330</v>
      </c>
      <c r="B1309" s="157" t="s">
        <v>708</v>
      </c>
      <c r="C1309" s="117" t="str">
        <f t="shared" si="60"/>
        <v>Rancho Santa Margarita - Orange</v>
      </c>
      <c r="D1309" s="223">
        <f t="shared" si="61"/>
        <v>0.0915</v>
      </c>
      <c r="E1309" s="224">
        <f t="shared" si="62"/>
        <v>0.01054</v>
      </c>
    </row>
    <row r="1310" spans="1:5" ht="12.75">
      <c r="A1310" s="158" t="s">
        <v>331</v>
      </c>
      <c r="B1310" s="157" t="s">
        <v>772</v>
      </c>
      <c r="C1310" s="117" t="str">
        <f t="shared" si="60"/>
        <v>Randsburg - Kern</v>
      </c>
      <c r="D1310" s="223">
        <f t="shared" si="61"/>
        <v>0.15741666666666668</v>
      </c>
      <c r="E1310" s="224">
        <f t="shared" si="62"/>
        <v>0.01114</v>
      </c>
    </row>
    <row r="1311" spans="1:5" ht="12.75">
      <c r="A1311" s="158" t="s">
        <v>332</v>
      </c>
      <c r="B1311" s="157" t="s">
        <v>847</v>
      </c>
      <c r="C1311" s="117" t="str">
        <f t="shared" si="60"/>
        <v>Ravendale - Lassen</v>
      </c>
      <c r="D1311" s="223">
        <f t="shared" si="61"/>
        <v>0.1388333333333333</v>
      </c>
      <c r="E1311" s="224">
        <f t="shared" si="62"/>
        <v>0.01024</v>
      </c>
    </row>
    <row r="1312" spans="1:5" ht="12.75">
      <c r="A1312" s="158" t="s">
        <v>333</v>
      </c>
      <c r="B1312" s="157" t="s">
        <v>677</v>
      </c>
      <c r="C1312" s="117" t="str">
        <f t="shared" si="60"/>
        <v>Ravenna - Los Angeles</v>
      </c>
      <c r="D1312" s="223">
        <f t="shared" si="61"/>
        <v>0.12533333333333332</v>
      </c>
      <c r="E1312" s="224">
        <f t="shared" si="62"/>
        <v>0.01168</v>
      </c>
    </row>
    <row r="1313" spans="1:5" ht="12.75">
      <c r="A1313" s="158" t="s">
        <v>334</v>
      </c>
      <c r="B1313" s="157" t="s">
        <v>694</v>
      </c>
      <c r="C1313" s="117" t="str">
        <f t="shared" si="60"/>
        <v>Raymond - Madera</v>
      </c>
      <c r="D1313" s="223">
        <f t="shared" si="61"/>
        <v>0.15525</v>
      </c>
      <c r="E1313" s="224">
        <f t="shared" si="62"/>
        <v>0.01118</v>
      </c>
    </row>
    <row r="1314" spans="1:5" ht="12.75">
      <c r="A1314" s="158" t="s">
        <v>335</v>
      </c>
      <c r="B1314" s="157" t="s">
        <v>1934</v>
      </c>
      <c r="C1314" s="117" t="str">
        <f t="shared" si="60"/>
        <v>Red Bluff - Tehama</v>
      </c>
      <c r="D1314" s="223">
        <f t="shared" si="61"/>
        <v>0.15649999999999997</v>
      </c>
      <c r="E1314" s="224">
        <f t="shared" si="62"/>
        <v>0.01022</v>
      </c>
    </row>
    <row r="1315" spans="1:5" ht="12.75">
      <c r="A1315" s="158" t="s">
        <v>336</v>
      </c>
      <c r="B1315" s="157" t="s">
        <v>681</v>
      </c>
      <c r="C1315" s="117" t="str">
        <f t="shared" si="60"/>
        <v>Red Mountain - San Bernardino</v>
      </c>
      <c r="D1315" s="223">
        <f t="shared" si="61"/>
        <v>0.13891666666666666</v>
      </c>
      <c r="E1315" s="224">
        <f t="shared" si="62"/>
        <v>0.01134</v>
      </c>
    </row>
    <row r="1316" spans="1:5" ht="12.75">
      <c r="A1316" s="158" t="s">
        <v>337</v>
      </c>
      <c r="B1316" s="157" t="s">
        <v>694</v>
      </c>
      <c r="C1316" s="117" t="str">
        <f t="shared" si="60"/>
        <v>Red Top - Madera</v>
      </c>
      <c r="D1316" s="223">
        <f t="shared" si="61"/>
        <v>0.15525</v>
      </c>
      <c r="E1316" s="224">
        <f t="shared" si="62"/>
        <v>0.01118</v>
      </c>
    </row>
    <row r="1317" spans="1:5" ht="12.75">
      <c r="A1317" s="158" t="s">
        <v>338</v>
      </c>
      <c r="B1317" s="157" t="s">
        <v>705</v>
      </c>
      <c r="C1317" s="117" t="str">
        <f t="shared" si="60"/>
        <v>Redcrest - Humboldt</v>
      </c>
      <c r="D1317" s="223">
        <f t="shared" si="61"/>
        <v>0.11391666666666665</v>
      </c>
      <c r="E1317" s="224">
        <f t="shared" si="62"/>
        <v>0.01055</v>
      </c>
    </row>
    <row r="1318" spans="1:5" ht="12.75">
      <c r="A1318" s="158" t="s">
        <v>339</v>
      </c>
      <c r="B1318" s="157" t="s">
        <v>738</v>
      </c>
      <c r="C1318" s="117" t="str">
        <f t="shared" si="60"/>
        <v>Redding - Shasta</v>
      </c>
      <c r="D1318" s="223">
        <f t="shared" si="61"/>
        <v>0.15616666666666668</v>
      </c>
      <c r="E1318" s="224">
        <f t="shared" si="62"/>
        <v>0.01085</v>
      </c>
    </row>
    <row r="1319" spans="1:5" ht="12.75">
      <c r="A1319" s="158" t="s">
        <v>340</v>
      </c>
      <c r="B1319" s="157" t="s">
        <v>681</v>
      </c>
      <c r="C1319" s="117" t="str">
        <f t="shared" si="60"/>
        <v>Redlands - San Bernardino</v>
      </c>
      <c r="D1319" s="223">
        <f t="shared" si="61"/>
        <v>0.13891666666666666</v>
      </c>
      <c r="E1319" s="224">
        <f t="shared" si="62"/>
        <v>0.01134</v>
      </c>
    </row>
    <row r="1320" spans="1:5" ht="12.75">
      <c r="A1320" s="158" t="s">
        <v>341</v>
      </c>
      <c r="B1320" s="157" t="s">
        <v>677</v>
      </c>
      <c r="C1320" s="117" t="str">
        <f t="shared" si="60"/>
        <v>Redondo Beach - Los Angeles</v>
      </c>
      <c r="D1320" s="223">
        <f t="shared" si="61"/>
        <v>0.12533333333333332</v>
      </c>
      <c r="E1320" s="224">
        <f t="shared" si="62"/>
        <v>0.01168</v>
      </c>
    </row>
    <row r="1321" spans="1:5" ht="12.75">
      <c r="A1321" s="158" t="s">
        <v>342</v>
      </c>
      <c r="B1321" s="157" t="s">
        <v>705</v>
      </c>
      <c r="C1321" s="117" t="str">
        <f t="shared" si="60"/>
        <v>Redway - Humboldt</v>
      </c>
      <c r="D1321" s="223">
        <f t="shared" si="61"/>
        <v>0.11391666666666665</v>
      </c>
      <c r="E1321" s="224">
        <f t="shared" si="62"/>
        <v>0.01055</v>
      </c>
    </row>
    <row r="1322" spans="1:5" ht="12.75">
      <c r="A1322" s="158" t="s">
        <v>343</v>
      </c>
      <c r="B1322" s="157" t="s">
        <v>778</v>
      </c>
      <c r="C1322" s="117" t="str">
        <f t="shared" si="60"/>
        <v>Redwood City - San Mateo</v>
      </c>
      <c r="D1322" s="223">
        <f t="shared" si="61"/>
        <v>0.08433333333333333</v>
      </c>
      <c r="E1322" s="224">
        <f t="shared" si="62"/>
        <v>0.01085</v>
      </c>
    </row>
    <row r="1323" spans="1:5" ht="12.75">
      <c r="A1323" s="158" t="s">
        <v>344</v>
      </c>
      <c r="B1323" s="157" t="s">
        <v>712</v>
      </c>
      <c r="C1323" s="117" t="str">
        <f t="shared" si="60"/>
        <v>Redwood Estates - Santa Clara</v>
      </c>
      <c r="D1323" s="223">
        <f t="shared" si="61"/>
        <v>0.10433333333333333</v>
      </c>
      <c r="E1323" s="224">
        <f t="shared" si="62"/>
        <v>0.011810000000000001</v>
      </c>
    </row>
    <row r="1324" spans="1:5" ht="12.75">
      <c r="A1324" s="158" t="s">
        <v>345</v>
      </c>
      <c r="B1324" s="157" t="s">
        <v>703</v>
      </c>
      <c r="C1324" s="117" t="str">
        <f t="shared" si="60"/>
        <v>Redwood Valley - Mendocino</v>
      </c>
      <c r="D1324" s="223">
        <f t="shared" si="61"/>
        <v>0.11325000000000002</v>
      </c>
      <c r="E1324" s="224">
        <f t="shared" si="62"/>
        <v>0.01097</v>
      </c>
    </row>
    <row r="1325" spans="1:5" ht="12.75">
      <c r="A1325" s="158" t="s">
        <v>346</v>
      </c>
      <c r="B1325" s="157" t="s">
        <v>783</v>
      </c>
      <c r="C1325" s="117" t="str">
        <f t="shared" si="60"/>
        <v>Reedley - Fresno</v>
      </c>
      <c r="D1325" s="223">
        <f t="shared" si="61"/>
        <v>0.1685</v>
      </c>
      <c r="E1325" s="224">
        <f t="shared" si="62"/>
        <v>0.01165</v>
      </c>
    </row>
    <row r="1326" spans="1:5" ht="12.75">
      <c r="A1326" s="158" t="s">
        <v>347</v>
      </c>
      <c r="B1326" s="157" t="s">
        <v>799</v>
      </c>
      <c r="C1326" s="117" t="str">
        <f t="shared" si="60"/>
        <v>Refugio Beach - Santa Barbara</v>
      </c>
      <c r="D1326" s="223">
        <f t="shared" si="61"/>
        <v>0.09174999999999998</v>
      </c>
      <c r="E1326" s="224">
        <f t="shared" si="62"/>
        <v>0.01055</v>
      </c>
    </row>
    <row r="1327" spans="1:5" ht="12.75">
      <c r="A1327" s="158" t="s">
        <v>348</v>
      </c>
      <c r="B1327" s="157" t="s">
        <v>744</v>
      </c>
      <c r="C1327" s="117" t="str">
        <f t="shared" si="60"/>
        <v>Represa - Sacramento</v>
      </c>
      <c r="D1327" s="223">
        <f t="shared" si="61"/>
        <v>0.12641666666666665</v>
      </c>
      <c r="E1327" s="224">
        <f t="shared" si="62"/>
        <v>0.01087</v>
      </c>
    </row>
    <row r="1328" spans="1:5" ht="12.75">
      <c r="A1328" s="158" t="s">
        <v>349</v>
      </c>
      <c r="B1328" s="157" t="s">
        <v>1953</v>
      </c>
      <c r="C1328" s="117" t="str">
        <f t="shared" si="60"/>
        <v>Requa - Del Norte</v>
      </c>
      <c r="D1328" s="223">
        <f t="shared" si="61"/>
        <v>0.13525</v>
      </c>
      <c r="E1328" s="224">
        <f t="shared" si="62"/>
        <v>0.01039</v>
      </c>
    </row>
    <row r="1329" spans="1:5" ht="12.75">
      <c r="A1329" s="158" t="s">
        <v>350</v>
      </c>
      <c r="B1329" s="157" t="s">
        <v>696</v>
      </c>
      <c r="C1329" s="117" t="str">
        <f t="shared" si="60"/>
        <v>Rescue - El Dorado</v>
      </c>
      <c r="D1329" s="223">
        <f t="shared" si="61"/>
        <v>0.12433333333333335</v>
      </c>
      <c r="E1329" s="224">
        <f t="shared" si="62"/>
        <v>0.01055</v>
      </c>
    </row>
    <row r="1330" spans="1:5" ht="12.75">
      <c r="A1330" s="158" t="s">
        <v>351</v>
      </c>
      <c r="B1330" s="157" t="s">
        <v>677</v>
      </c>
      <c r="C1330" s="117" t="str">
        <f t="shared" si="60"/>
        <v>Reseda  - Los Angeles</v>
      </c>
      <c r="D1330" s="223">
        <f t="shared" si="61"/>
        <v>0.12533333333333332</v>
      </c>
      <c r="E1330" s="224">
        <f t="shared" si="62"/>
        <v>0.01168</v>
      </c>
    </row>
    <row r="1331" spans="1:5" ht="12.75">
      <c r="A1331" s="158" t="s">
        <v>352</v>
      </c>
      <c r="B1331" s="157" t="s">
        <v>699</v>
      </c>
      <c r="C1331" s="117" t="str">
        <f t="shared" si="60"/>
        <v>Rheem Valley  - Contra Costa</v>
      </c>
      <c r="D1331" s="223">
        <f t="shared" si="61"/>
        <v>0.10966666666666666</v>
      </c>
      <c r="E1331" s="224">
        <f t="shared" si="62"/>
        <v>0.011080000000000001</v>
      </c>
    </row>
    <row r="1332" spans="1:5" ht="12.75">
      <c r="A1332" s="158" t="s">
        <v>353</v>
      </c>
      <c r="B1332" s="157" t="s">
        <v>681</v>
      </c>
      <c r="C1332" s="117" t="str">
        <f t="shared" si="60"/>
        <v>Rialto - San Bernardino</v>
      </c>
      <c r="D1332" s="223">
        <f t="shared" si="61"/>
        <v>0.13891666666666666</v>
      </c>
      <c r="E1332" s="224">
        <f t="shared" si="62"/>
        <v>0.01134</v>
      </c>
    </row>
    <row r="1333" spans="1:5" ht="12.75">
      <c r="A1333" s="158" t="s">
        <v>354</v>
      </c>
      <c r="B1333" s="157" t="s">
        <v>705</v>
      </c>
      <c r="C1333" s="117" t="str">
        <f t="shared" si="60"/>
        <v>Richardson Grove - Humboldt</v>
      </c>
      <c r="D1333" s="223">
        <f t="shared" si="61"/>
        <v>0.11391666666666665</v>
      </c>
      <c r="E1333" s="224">
        <f t="shared" si="62"/>
        <v>0.01055</v>
      </c>
    </row>
    <row r="1334" spans="1:5" ht="12.75">
      <c r="A1334" s="158" t="s">
        <v>355</v>
      </c>
      <c r="B1334" s="157" t="s">
        <v>803</v>
      </c>
      <c r="C1334" s="117" t="str">
        <f t="shared" si="60"/>
        <v>Richardson Springs - Butte</v>
      </c>
      <c r="D1334" s="223">
        <f t="shared" si="61"/>
        <v>0.13741666666666666</v>
      </c>
      <c r="E1334" s="224">
        <f t="shared" si="62"/>
        <v>0.01064</v>
      </c>
    </row>
    <row r="1335" spans="1:5" ht="12.75">
      <c r="A1335" s="158" t="s">
        <v>356</v>
      </c>
      <c r="B1335" s="157" t="s">
        <v>1934</v>
      </c>
      <c r="C1335" s="117" t="str">
        <f t="shared" si="60"/>
        <v>Richfield - Tehama</v>
      </c>
      <c r="D1335" s="223">
        <f t="shared" si="61"/>
        <v>0.15649999999999997</v>
      </c>
      <c r="E1335" s="224">
        <f t="shared" si="62"/>
        <v>0.01022</v>
      </c>
    </row>
    <row r="1336" spans="1:5" ht="12.75">
      <c r="A1336" s="158" t="s">
        <v>357</v>
      </c>
      <c r="B1336" s="157" t="s">
        <v>718</v>
      </c>
      <c r="C1336" s="117" t="str">
        <f t="shared" si="60"/>
        <v>Richgrove - Tulare</v>
      </c>
      <c r="D1336" s="223">
        <f t="shared" si="61"/>
        <v>0.16641666666666666</v>
      </c>
      <c r="E1336" s="224">
        <f t="shared" si="62"/>
        <v>0.01088</v>
      </c>
    </row>
    <row r="1337" spans="1:5" ht="12.75">
      <c r="A1337" s="158" t="s">
        <v>358</v>
      </c>
      <c r="B1337" s="157" t="s">
        <v>699</v>
      </c>
      <c r="C1337" s="117" t="str">
        <f t="shared" si="60"/>
        <v>Richmond - Contra Costa</v>
      </c>
      <c r="D1337" s="223">
        <f t="shared" si="61"/>
        <v>0.10966666666666666</v>
      </c>
      <c r="E1337" s="224">
        <f t="shared" si="62"/>
        <v>0.011080000000000001</v>
      </c>
    </row>
    <row r="1338" spans="1:5" ht="12.75">
      <c r="A1338" s="158" t="s">
        <v>359</v>
      </c>
      <c r="B1338" s="157" t="s">
        <v>803</v>
      </c>
      <c r="C1338" s="117" t="str">
        <f t="shared" si="60"/>
        <v>Richvale - Butte</v>
      </c>
      <c r="D1338" s="223">
        <f t="shared" si="61"/>
        <v>0.13741666666666666</v>
      </c>
      <c r="E1338" s="224">
        <f t="shared" si="62"/>
        <v>0.01064</v>
      </c>
    </row>
    <row r="1339" spans="1:5" ht="12.75">
      <c r="A1339" s="158" t="s">
        <v>360</v>
      </c>
      <c r="B1339" s="157" t="s">
        <v>772</v>
      </c>
      <c r="C1339" s="117" t="str">
        <f t="shared" si="60"/>
        <v>Ridgecrest - Kern</v>
      </c>
      <c r="D1339" s="223">
        <f t="shared" si="61"/>
        <v>0.15741666666666668</v>
      </c>
      <c r="E1339" s="224">
        <f t="shared" si="62"/>
        <v>0.01114</v>
      </c>
    </row>
    <row r="1340" spans="1:5" ht="12.75">
      <c r="A1340" s="158" t="s">
        <v>361</v>
      </c>
      <c r="B1340" s="157" t="s">
        <v>681</v>
      </c>
      <c r="C1340" s="117" t="str">
        <f t="shared" si="60"/>
        <v>Rimforest - San Bernardino</v>
      </c>
      <c r="D1340" s="223">
        <f t="shared" si="61"/>
        <v>0.13891666666666666</v>
      </c>
      <c r="E1340" s="224">
        <f t="shared" si="62"/>
        <v>0.01134</v>
      </c>
    </row>
    <row r="1341" spans="1:5" ht="12.75">
      <c r="A1341" s="158" t="s">
        <v>362</v>
      </c>
      <c r="B1341" s="157" t="s">
        <v>677</v>
      </c>
      <c r="C1341" s="117" t="str">
        <f t="shared" si="60"/>
        <v>Rimpau  - Los Angeles</v>
      </c>
      <c r="D1341" s="223">
        <f t="shared" si="61"/>
        <v>0.12533333333333332</v>
      </c>
      <c r="E1341" s="224">
        <f t="shared" si="62"/>
        <v>0.01168</v>
      </c>
    </row>
    <row r="1342" spans="1:5" ht="12.75">
      <c r="A1342" s="158" t="s">
        <v>363</v>
      </c>
      <c r="B1342" s="157" t="s">
        <v>772</v>
      </c>
      <c r="C1342" s="117" t="str">
        <f t="shared" si="60"/>
        <v>Rio Bravo - Kern</v>
      </c>
      <c r="D1342" s="223">
        <f t="shared" si="61"/>
        <v>0.15741666666666668</v>
      </c>
      <c r="E1342" s="224">
        <f t="shared" si="62"/>
        <v>0.01114</v>
      </c>
    </row>
    <row r="1343" spans="1:5" ht="12.75">
      <c r="A1343" s="158" t="s">
        <v>364</v>
      </c>
      <c r="B1343" s="157" t="s">
        <v>705</v>
      </c>
      <c r="C1343" s="117" t="str">
        <f t="shared" si="60"/>
        <v>Rio Dell - Humboldt</v>
      </c>
      <c r="D1343" s="223">
        <f t="shared" si="61"/>
        <v>0.11391666666666665</v>
      </c>
      <c r="E1343" s="224">
        <f t="shared" si="62"/>
        <v>0.01055</v>
      </c>
    </row>
    <row r="1344" spans="1:5" ht="12.75">
      <c r="A1344" s="158" t="s">
        <v>365</v>
      </c>
      <c r="B1344" s="157" t="s">
        <v>744</v>
      </c>
      <c r="C1344" s="117" t="str">
        <f t="shared" si="60"/>
        <v>Rio Linda - Sacramento</v>
      </c>
      <c r="D1344" s="223">
        <f t="shared" si="61"/>
        <v>0.12641666666666665</v>
      </c>
      <c r="E1344" s="224">
        <f t="shared" si="62"/>
        <v>0.01087</v>
      </c>
    </row>
    <row r="1345" spans="1:5" ht="12.75">
      <c r="A1345" s="158" t="s">
        <v>366</v>
      </c>
      <c r="B1345" s="157" t="s">
        <v>687</v>
      </c>
      <c r="C1345" s="117" t="str">
        <f t="shared" si="60"/>
        <v>Rio Nido - Sonoma</v>
      </c>
      <c r="D1345" s="223">
        <f t="shared" si="61"/>
        <v>0.10133333333333334</v>
      </c>
      <c r="E1345" s="224">
        <f t="shared" si="62"/>
        <v>0.01115</v>
      </c>
    </row>
    <row r="1346" spans="1:5" ht="12.75">
      <c r="A1346" s="158" t="s">
        <v>367</v>
      </c>
      <c r="B1346" s="157" t="s">
        <v>2046</v>
      </c>
      <c r="C1346" s="117" t="str">
        <f t="shared" si="60"/>
        <v>Rio Oso - Sutter</v>
      </c>
      <c r="D1346" s="223">
        <f t="shared" si="61"/>
        <v>0.19824999999999998</v>
      </c>
      <c r="E1346" s="224">
        <f t="shared" si="62"/>
        <v>0.010700000000000001</v>
      </c>
    </row>
    <row r="1347" spans="1:5" ht="12.75">
      <c r="A1347" s="158" t="s">
        <v>368</v>
      </c>
      <c r="B1347" s="157" t="s">
        <v>837</v>
      </c>
      <c r="C1347" s="117" t="str">
        <f t="shared" si="60"/>
        <v>Rio Vista - Solano</v>
      </c>
      <c r="D1347" s="223">
        <f t="shared" si="61"/>
        <v>0.11916666666666666</v>
      </c>
      <c r="E1347" s="224">
        <f t="shared" si="62"/>
        <v>0.01121</v>
      </c>
    </row>
    <row r="1348" spans="1:5" ht="12.75">
      <c r="A1348" s="158" t="s">
        <v>369</v>
      </c>
      <c r="B1348" s="157" t="s">
        <v>692</v>
      </c>
      <c r="C1348" s="117" t="str">
        <f t="shared" si="60"/>
        <v>Ripley - Riverside</v>
      </c>
      <c r="D1348" s="223">
        <f t="shared" si="61"/>
        <v>0.144</v>
      </c>
      <c r="E1348" s="224">
        <f t="shared" si="62"/>
        <v>0.01089</v>
      </c>
    </row>
    <row r="1349" spans="1:5" ht="12.75">
      <c r="A1349" s="158" t="s">
        <v>370</v>
      </c>
      <c r="B1349" s="157" t="s">
        <v>675</v>
      </c>
      <c r="C1349" s="117" t="str">
        <f t="shared" si="60"/>
        <v>Ripon - San Joaquin</v>
      </c>
      <c r="D1349" s="223">
        <f t="shared" si="61"/>
        <v>0.17300000000000001</v>
      </c>
      <c r="E1349" s="224">
        <f t="shared" si="62"/>
        <v>0.01113</v>
      </c>
    </row>
    <row r="1350" spans="1:5" ht="12.75">
      <c r="A1350" s="158" t="s">
        <v>371</v>
      </c>
      <c r="B1350" s="157" t="s">
        <v>730</v>
      </c>
      <c r="C1350" s="117" t="str">
        <f t="shared" si="60"/>
        <v>River Pines - Amador</v>
      </c>
      <c r="D1350" s="223">
        <f t="shared" si="61"/>
        <v>0.13091666666666668</v>
      </c>
      <c r="E1350" s="224">
        <f t="shared" si="62"/>
        <v>0.01015</v>
      </c>
    </row>
    <row r="1351" spans="1:5" ht="12.75">
      <c r="A1351" s="158" t="s">
        <v>372</v>
      </c>
      <c r="B1351" s="157" t="s">
        <v>1162</v>
      </c>
      <c r="C1351" s="117" t="str">
        <f aca="true" t="shared" si="63" ref="C1351:C1414">A1351&amp;" - "&amp;B1351</f>
        <v>Riverbank - Stanislaus</v>
      </c>
      <c r="D1351" s="223">
        <f t="shared" si="61"/>
        <v>0.1716666666666667</v>
      </c>
      <c r="E1351" s="224">
        <f t="shared" si="62"/>
        <v>0.01093</v>
      </c>
    </row>
    <row r="1352" spans="1:5" ht="12.75">
      <c r="A1352" s="158" t="s">
        <v>373</v>
      </c>
      <c r="B1352" s="157" t="s">
        <v>783</v>
      </c>
      <c r="C1352" s="117" t="str">
        <f t="shared" si="63"/>
        <v>Riverdale - Fresno</v>
      </c>
      <c r="D1352" s="223">
        <f aca="true" t="shared" si="64" ref="D1352:D1415">VLOOKUP(B1352,unemployment_rates,2,FALSE)</f>
        <v>0.1685</v>
      </c>
      <c r="E1352" s="224">
        <f aca="true" t="shared" si="65" ref="E1352:E1415">VLOOKUP(B1352,Prop_Tax_Rates,2,FALSE)</f>
        <v>0.01165</v>
      </c>
    </row>
    <row r="1353" spans="1:5" ht="12.75">
      <c r="A1353" s="158" t="s">
        <v>692</v>
      </c>
      <c r="B1353" s="157" t="s">
        <v>692</v>
      </c>
      <c r="C1353" s="117" t="str">
        <f t="shared" si="63"/>
        <v>Riverside - Riverside</v>
      </c>
      <c r="D1353" s="223">
        <f t="shared" si="64"/>
        <v>0.144</v>
      </c>
      <c r="E1353" s="224">
        <f t="shared" si="65"/>
        <v>0.01089</v>
      </c>
    </row>
    <row r="1354" spans="1:5" ht="12.75">
      <c r="A1354" s="158" t="s">
        <v>374</v>
      </c>
      <c r="B1354" s="157" t="s">
        <v>2046</v>
      </c>
      <c r="C1354" s="117" t="str">
        <f t="shared" si="63"/>
        <v>Robbins - Sutter</v>
      </c>
      <c r="D1354" s="223">
        <f t="shared" si="64"/>
        <v>0.19824999999999998</v>
      </c>
      <c r="E1354" s="224">
        <f t="shared" si="65"/>
        <v>0.010700000000000001</v>
      </c>
    </row>
    <row r="1355" spans="1:5" ht="12.75">
      <c r="A1355" s="158" t="s">
        <v>375</v>
      </c>
      <c r="B1355" s="157" t="s">
        <v>721</v>
      </c>
      <c r="C1355" s="117" t="str">
        <f t="shared" si="63"/>
        <v>Rocklin - Placer</v>
      </c>
      <c r="D1355" s="223">
        <f t="shared" si="64"/>
        <v>0.11291666666666667</v>
      </c>
      <c r="E1355" s="224">
        <f t="shared" si="65"/>
        <v>0.010629999999999999</v>
      </c>
    </row>
    <row r="1356" spans="1:5" ht="12.75">
      <c r="A1356" s="158" t="s">
        <v>376</v>
      </c>
      <c r="B1356" s="157" t="s">
        <v>699</v>
      </c>
      <c r="C1356" s="117" t="str">
        <f t="shared" si="63"/>
        <v>Rodeo - Contra Costa</v>
      </c>
      <c r="D1356" s="223">
        <f t="shared" si="64"/>
        <v>0.10966666666666666</v>
      </c>
      <c r="E1356" s="224">
        <f t="shared" si="65"/>
        <v>0.011080000000000001</v>
      </c>
    </row>
    <row r="1357" spans="1:5" ht="12.75">
      <c r="A1357" s="158" t="s">
        <v>377</v>
      </c>
      <c r="B1357" s="157" t="s">
        <v>687</v>
      </c>
      <c r="C1357" s="117" t="str">
        <f t="shared" si="63"/>
        <v>Rohnert Park - Sonoma</v>
      </c>
      <c r="D1357" s="223">
        <f t="shared" si="64"/>
        <v>0.10133333333333334</v>
      </c>
      <c r="E1357" s="224">
        <f t="shared" si="65"/>
        <v>0.01115</v>
      </c>
    </row>
    <row r="1358" spans="1:5" ht="12.75">
      <c r="A1358" s="158" t="s">
        <v>378</v>
      </c>
      <c r="B1358" s="157" t="s">
        <v>705</v>
      </c>
      <c r="C1358" s="117" t="str">
        <f t="shared" si="63"/>
        <v>Rohnerville - Humboldt</v>
      </c>
      <c r="D1358" s="223">
        <f t="shared" si="64"/>
        <v>0.11391666666666665</v>
      </c>
      <c r="E1358" s="224">
        <f t="shared" si="65"/>
        <v>0.01055</v>
      </c>
    </row>
    <row r="1359" spans="1:5" ht="12.75">
      <c r="A1359" s="158" t="s">
        <v>379</v>
      </c>
      <c r="B1359" s="157" t="s">
        <v>677</v>
      </c>
      <c r="C1359" s="117" t="str">
        <f t="shared" si="63"/>
        <v>Rolling Hills - Los Angeles</v>
      </c>
      <c r="D1359" s="223">
        <f t="shared" si="64"/>
        <v>0.12533333333333332</v>
      </c>
      <c r="E1359" s="224">
        <f t="shared" si="65"/>
        <v>0.01168</v>
      </c>
    </row>
    <row r="1360" spans="1:5" ht="12.75">
      <c r="A1360" s="158" t="s">
        <v>380</v>
      </c>
      <c r="B1360" s="157" t="s">
        <v>677</v>
      </c>
      <c r="C1360" s="117" t="str">
        <f t="shared" si="63"/>
        <v>Rolling Hills Estates - Los Angeles</v>
      </c>
      <c r="D1360" s="223">
        <f t="shared" si="64"/>
        <v>0.12533333333333332</v>
      </c>
      <c r="E1360" s="224">
        <f t="shared" si="65"/>
        <v>0.01168</v>
      </c>
    </row>
    <row r="1361" spans="1:5" ht="12.75">
      <c r="A1361" s="158" t="s">
        <v>381</v>
      </c>
      <c r="B1361" s="157" t="s">
        <v>692</v>
      </c>
      <c r="C1361" s="117" t="str">
        <f t="shared" si="63"/>
        <v>Romoland - Riverside</v>
      </c>
      <c r="D1361" s="223">
        <f t="shared" si="64"/>
        <v>0.144</v>
      </c>
      <c r="E1361" s="224">
        <f t="shared" si="65"/>
        <v>0.01089</v>
      </c>
    </row>
    <row r="1362" spans="1:5" ht="12.75">
      <c r="A1362" s="158" t="s">
        <v>382</v>
      </c>
      <c r="B1362" s="157" t="s">
        <v>772</v>
      </c>
      <c r="C1362" s="117" t="str">
        <f t="shared" si="63"/>
        <v>Rosamond - Kern</v>
      </c>
      <c r="D1362" s="223">
        <f t="shared" si="64"/>
        <v>0.15741666666666668</v>
      </c>
      <c r="E1362" s="224">
        <f t="shared" si="65"/>
        <v>0.01114</v>
      </c>
    </row>
    <row r="1363" spans="1:5" ht="12.75">
      <c r="A1363" s="158" t="s">
        <v>383</v>
      </c>
      <c r="B1363" s="157" t="s">
        <v>677</v>
      </c>
      <c r="C1363" s="117" t="str">
        <f t="shared" si="63"/>
        <v>Rose Bowl  - Los Angeles</v>
      </c>
      <c r="D1363" s="223">
        <f t="shared" si="64"/>
        <v>0.12533333333333332</v>
      </c>
      <c r="E1363" s="224">
        <f t="shared" si="65"/>
        <v>0.01168</v>
      </c>
    </row>
    <row r="1364" spans="1:5" ht="12.75">
      <c r="A1364" s="158" t="s">
        <v>384</v>
      </c>
      <c r="B1364" s="157" t="s">
        <v>687</v>
      </c>
      <c r="C1364" s="117" t="str">
        <f t="shared" si="63"/>
        <v>Roseland  - Sonoma</v>
      </c>
      <c r="D1364" s="223">
        <f t="shared" si="64"/>
        <v>0.10133333333333334</v>
      </c>
      <c r="E1364" s="224">
        <f t="shared" si="65"/>
        <v>0.01115</v>
      </c>
    </row>
    <row r="1365" spans="1:5" ht="12.75">
      <c r="A1365" s="158" t="s">
        <v>385</v>
      </c>
      <c r="B1365" s="157" t="s">
        <v>677</v>
      </c>
      <c r="C1365" s="117" t="str">
        <f t="shared" si="63"/>
        <v>Rosemead - Los Angeles</v>
      </c>
      <c r="D1365" s="223">
        <f t="shared" si="64"/>
        <v>0.12533333333333332</v>
      </c>
      <c r="E1365" s="224">
        <f t="shared" si="65"/>
        <v>0.01168</v>
      </c>
    </row>
    <row r="1366" spans="1:5" ht="12.75">
      <c r="A1366" s="158" t="s">
        <v>386</v>
      </c>
      <c r="B1366" s="157" t="s">
        <v>721</v>
      </c>
      <c r="C1366" s="117" t="str">
        <f t="shared" si="63"/>
        <v>Roseville - Placer</v>
      </c>
      <c r="D1366" s="223">
        <f t="shared" si="64"/>
        <v>0.11291666666666667</v>
      </c>
      <c r="E1366" s="224">
        <f t="shared" si="65"/>
        <v>0.010629999999999999</v>
      </c>
    </row>
    <row r="1367" spans="1:5" ht="12.75">
      <c r="A1367" s="158" t="s">
        <v>387</v>
      </c>
      <c r="B1367" s="157" t="s">
        <v>834</v>
      </c>
      <c r="C1367" s="117" t="str">
        <f t="shared" si="63"/>
        <v>Ross - Marin</v>
      </c>
      <c r="D1367" s="223">
        <f t="shared" si="64"/>
        <v>0.08033333333333333</v>
      </c>
      <c r="E1367" s="224">
        <f t="shared" si="65"/>
        <v>0.01105</v>
      </c>
    </row>
    <row r="1368" spans="1:5" ht="12.75">
      <c r="A1368" s="158" t="s">
        <v>388</v>
      </c>
      <c r="B1368" s="157" t="s">
        <v>708</v>
      </c>
      <c r="C1368" s="117" t="str">
        <f t="shared" si="63"/>
        <v>Rossmoor - Orange</v>
      </c>
      <c r="D1368" s="223">
        <f t="shared" si="64"/>
        <v>0.0915</v>
      </c>
      <c r="E1368" s="224">
        <f t="shared" si="65"/>
        <v>0.01054</v>
      </c>
    </row>
    <row r="1369" spans="1:5" ht="12.75">
      <c r="A1369" s="158" t="s">
        <v>389</v>
      </c>
      <c r="B1369" s="157" t="s">
        <v>1156</v>
      </c>
      <c r="C1369" s="117" t="str">
        <f t="shared" si="63"/>
        <v>Rough and Ready - Nevada</v>
      </c>
      <c r="D1369" s="223">
        <f t="shared" si="64"/>
        <v>0.11266666666666668</v>
      </c>
      <c r="E1369" s="224">
        <f t="shared" si="65"/>
        <v>0.010329999999999999</v>
      </c>
    </row>
    <row r="1370" spans="1:5" ht="12.75">
      <c r="A1370" s="158" t="s">
        <v>390</v>
      </c>
      <c r="B1370" s="157" t="s">
        <v>738</v>
      </c>
      <c r="C1370" s="117" t="str">
        <f t="shared" si="63"/>
        <v>Round Mountain - Shasta</v>
      </c>
      <c r="D1370" s="223">
        <f t="shared" si="64"/>
        <v>0.15616666666666668</v>
      </c>
      <c r="E1370" s="224">
        <f t="shared" si="65"/>
        <v>0.01085</v>
      </c>
    </row>
    <row r="1371" spans="1:5" ht="12.75">
      <c r="A1371" s="158" t="s">
        <v>391</v>
      </c>
      <c r="B1371" s="157" t="s">
        <v>677</v>
      </c>
      <c r="C1371" s="117" t="str">
        <f t="shared" si="63"/>
        <v>Rowland Heights - Los Angeles</v>
      </c>
      <c r="D1371" s="223">
        <f t="shared" si="64"/>
        <v>0.12533333333333332</v>
      </c>
      <c r="E1371" s="224">
        <f t="shared" si="65"/>
        <v>0.01168</v>
      </c>
    </row>
    <row r="1372" spans="1:5" ht="12.75">
      <c r="A1372" s="158" t="s">
        <v>392</v>
      </c>
      <c r="B1372" s="157" t="s">
        <v>764</v>
      </c>
      <c r="C1372" s="117" t="str">
        <f t="shared" si="63"/>
        <v>Royal Oaks - Monterey</v>
      </c>
      <c r="D1372" s="223">
        <f t="shared" si="64"/>
        <v>0.12916666666666665</v>
      </c>
      <c r="E1372" s="224">
        <f t="shared" si="65"/>
        <v>0.01084</v>
      </c>
    </row>
    <row r="1373" spans="1:5" ht="12.75">
      <c r="A1373" s="158" t="s">
        <v>393</v>
      </c>
      <c r="B1373" s="157" t="s">
        <v>692</v>
      </c>
      <c r="C1373" s="117" t="str">
        <f t="shared" si="63"/>
        <v>Rubidoux - Riverside</v>
      </c>
      <c r="D1373" s="223">
        <f t="shared" si="64"/>
        <v>0.144</v>
      </c>
      <c r="E1373" s="224">
        <f t="shared" si="65"/>
        <v>0.01089</v>
      </c>
    </row>
    <row r="1374" spans="1:5" ht="12.75">
      <c r="A1374" s="158" t="s">
        <v>394</v>
      </c>
      <c r="B1374" s="157" t="s">
        <v>705</v>
      </c>
      <c r="C1374" s="117" t="str">
        <f t="shared" si="63"/>
        <v>Ruby Valley - Humboldt</v>
      </c>
      <c r="D1374" s="223">
        <f t="shared" si="64"/>
        <v>0.11391666666666665</v>
      </c>
      <c r="E1374" s="224">
        <f t="shared" si="65"/>
        <v>0.01055</v>
      </c>
    </row>
    <row r="1375" spans="1:5" ht="12.75">
      <c r="A1375" s="158" t="s">
        <v>395</v>
      </c>
      <c r="B1375" s="157" t="s">
        <v>906</v>
      </c>
      <c r="C1375" s="117" t="str">
        <f t="shared" si="63"/>
        <v>Rumsey - Yolo</v>
      </c>
      <c r="D1375" s="223">
        <f t="shared" si="64"/>
        <v>0.13033333333333333</v>
      </c>
      <c r="E1375" s="224">
        <f t="shared" si="65"/>
        <v>0.01054</v>
      </c>
    </row>
    <row r="1376" spans="1:5" ht="12.75">
      <c r="A1376" s="158" t="s">
        <v>396</v>
      </c>
      <c r="B1376" s="157" t="s">
        <v>681</v>
      </c>
      <c r="C1376" s="117" t="str">
        <f t="shared" si="63"/>
        <v>Running Springs - San Bernardino</v>
      </c>
      <c r="D1376" s="223">
        <f t="shared" si="64"/>
        <v>0.13891666666666666</v>
      </c>
      <c r="E1376" s="224">
        <f t="shared" si="65"/>
        <v>0.01134</v>
      </c>
    </row>
    <row r="1377" spans="1:5" ht="12.75">
      <c r="A1377" s="158" t="s">
        <v>397</v>
      </c>
      <c r="B1377" s="157" t="s">
        <v>849</v>
      </c>
      <c r="C1377" s="117" t="str">
        <f t="shared" si="63"/>
        <v>Ruth - Trinity</v>
      </c>
      <c r="D1377" s="223">
        <f t="shared" si="64"/>
        <v>0.18466666666666667</v>
      </c>
      <c r="E1377" s="224">
        <f t="shared" si="65"/>
        <v>0.010129999999999998</v>
      </c>
    </row>
    <row r="1378" spans="1:5" ht="12.75">
      <c r="A1378" s="158" t="s">
        <v>398</v>
      </c>
      <c r="B1378" s="157" t="s">
        <v>735</v>
      </c>
      <c r="C1378" s="117" t="str">
        <f t="shared" si="63"/>
        <v>Rutherford - Napa</v>
      </c>
      <c r="D1378" s="223">
        <f t="shared" si="64"/>
        <v>0.09708333333333334</v>
      </c>
      <c r="E1378" s="224">
        <f t="shared" si="65"/>
        <v>0.01093</v>
      </c>
    </row>
    <row r="1379" spans="1:5" ht="12.75">
      <c r="A1379" s="158" t="s">
        <v>399</v>
      </c>
      <c r="B1379" s="157" t="s">
        <v>744</v>
      </c>
      <c r="C1379" s="117" t="str">
        <f t="shared" si="63"/>
        <v>Ryde - Sacramento</v>
      </c>
      <c r="D1379" s="223">
        <f t="shared" si="64"/>
        <v>0.12641666666666665</v>
      </c>
      <c r="E1379" s="224">
        <f t="shared" si="65"/>
        <v>0.01087</v>
      </c>
    </row>
    <row r="1380" spans="1:5" ht="12.75">
      <c r="A1380" s="158" t="s">
        <v>744</v>
      </c>
      <c r="B1380" s="157" t="s">
        <v>744</v>
      </c>
      <c r="C1380" s="117" t="str">
        <f t="shared" si="63"/>
        <v>Sacramento - Sacramento</v>
      </c>
      <c r="D1380" s="223">
        <f t="shared" si="64"/>
        <v>0.12641666666666665</v>
      </c>
      <c r="E1380" s="224">
        <f t="shared" si="65"/>
        <v>0.01087</v>
      </c>
    </row>
    <row r="1381" spans="1:5" ht="12.75">
      <c r="A1381" s="158" t="s">
        <v>400</v>
      </c>
      <c r="B1381" s="157" t="s">
        <v>735</v>
      </c>
      <c r="C1381" s="117" t="str">
        <f t="shared" si="63"/>
        <v>Saint Helena - Napa</v>
      </c>
      <c r="D1381" s="223">
        <f t="shared" si="64"/>
        <v>0.09708333333333334</v>
      </c>
      <c r="E1381" s="224">
        <f t="shared" si="65"/>
        <v>0.01093</v>
      </c>
    </row>
    <row r="1382" spans="1:5" ht="12.75">
      <c r="A1382" s="158" t="s">
        <v>401</v>
      </c>
      <c r="B1382" s="157" t="s">
        <v>1162</v>
      </c>
      <c r="C1382" s="117" t="str">
        <f t="shared" si="63"/>
        <v>Salida - Stanislaus</v>
      </c>
      <c r="D1382" s="223">
        <f t="shared" si="64"/>
        <v>0.1716666666666667</v>
      </c>
      <c r="E1382" s="224">
        <f t="shared" si="65"/>
        <v>0.01093</v>
      </c>
    </row>
    <row r="1383" spans="1:5" ht="12.75">
      <c r="A1383" s="158" t="s">
        <v>402</v>
      </c>
      <c r="B1383" s="157" t="s">
        <v>764</v>
      </c>
      <c r="C1383" s="117" t="str">
        <f t="shared" si="63"/>
        <v>Salinas - Monterey</v>
      </c>
      <c r="D1383" s="223">
        <f t="shared" si="64"/>
        <v>0.12916666666666665</v>
      </c>
      <c r="E1383" s="224">
        <f t="shared" si="65"/>
        <v>0.01084</v>
      </c>
    </row>
    <row r="1384" spans="1:5" ht="12.75">
      <c r="A1384" s="158" t="s">
        <v>403</v>
      </c>
      <c r="B1384" s="157" t="s">
        <v>807</v>
      </c>
      <c r="C1384" s="117" t="str">
        <f t="shared" si="63"/>
        <v>Salton City - Imperial</v>
      </c>
      <c r="D1384" s="223">
        <f t="shared" si="64"/>
        <v>0.29941666666666666</v>
      </c>
      <c r="E1384" s="224">
        <f t="shared" si="65"/>
        <v>0.01052</v>
      </c>
    </row>
    <row r="1385" spans="1:5" ht="12.75">
      <c r="A1385" s="158" t="s">
        <v>404</v>
      </c>
      <c r="B1385" s="157" t="s">
        <v>849</v>
      </c>
      <c r="C1385" s="117" t="str">
        <f t="shared" si="63"/>
        <v>Salyer - Trinity</v>
      </c>
      <c r="D1385" s="223">
        <f t="shared" si="64"/>
        <v>0.18466666666666667</v>
      </c>
      <c r="E1385" s="224">
        <f t="shared" si="65"/>
        <v>0.010129999999999998</v>
      </c>
    </row>
    <row r="1386" spans="1:5" ht="12.75">
      <c r="A1386" s="158" t="s">
        <v>405</v>
      </c>
      <c r="B1386" s="157" t="s">
        <v>705</v>
      </c>
      <c r="C1386" s="117" t="str">
        <f t="shared" si="63"/>
        <v>Samoa - Humboldt</v>
      </c>
      <c r="D1386" s="223">
        <f t="shared" si="64"/>
        <v>0.11391666666666665</v>
      </c>
      <c r="E1386" s="224">
        <f t="shared" si="65"/>
        <v>0.01055</v>
      </c>
    </row>
    <row r="1387" spans="1:5" ht="12.75">
      <c r="A1387" s="158" t="s">
        <v>406</v>
      </c>
      <c r="B1387" s="157" t="s">
        <v>725</v>
      </c>
      <c r="C1387" s="117" t="str">
        <f t="shared" si="63"/>
        <v>San Andreas - Calaveras</v>
      </c>
      <c r="D1387" s="223">
        <f t="shared" si="64"/>
        <v>0.1545833333333333</v>
      </c>
      <c r="E1387" s="224">
        <f t="shared" si="65"/>
        <v>0.01075</v>
      </c>
    </row>
    <row r="1388" spans="1:5" ht="12.75">
      <c r="A1388" s="158" t="s">
        <v>407</v>
      </c>
      <c r="B1388" s="157" t="s">
        <v>834</v>
      </c>
      <c r="C1388" s="117" t="str">
        <f t="shared" si="63"/>
        <v>San Anselmo - Marin</v>
      </c>
      <c r="D1388" s="223">
        <f t="shared" si="64"/>
        <v>0.08033333333333333</v>
      </c>
      <c r="E1388" s="224">
        <f t="shared" si="65"/>
        <v>0.01105</v>
      </c>
    </row>
    <row r="1389" spans="1:5" ht="12.75">
      <c r="A1389" s="158" t="s">
        <v>408</v>
      </c>
      <c r="B1389" s="157" t="s">
        <v>764</v>
      </c>
      <c r="C1389" s="117" t="str">
        <f t="shared" si="63"/>
        <v>San Ardo - Monterey</v>
      </c>
      <c r="D1389" s="223">
        <f t="shared" si="64"/>
        <v>0.12916666666666665</v>
      </c>
      <c r="E1389" s="224">
        <f t="shared" si="65"/>
        <v>0.01084</v>
      </c>
    </row>
    <row r="1390" spans="1:5" ht="12.75">
      <c r="A1390" s="158" t="s">
        <v>1479</v>
      </c>
      <c r="B1390" s="157" t="s">
        <v>1479</v>
      </c>
      <c r="C1390" s="117" t="str">
        <f t="shared" si="63"/>
        <v>San Benito - San Benito</v>
      </c>
      <c r="D1390" s="223">
        <f t="shared" si="64"/>
        <v>0.1704166666666667</v>
      </c>
      <c r="E1390" s="224">
        <f t="shared" si="65"/>
        <v>0.01142</v>
      </c>
    </row>
    <row r="1391" spans="1:5" ht="12.75">
      <c r="A1391" s="158" t="s">
        <v>681</v>
      </c>
      <c r="B1391" s="157" t="s">
        <v>681</v>
      </c>
      <c r="C1391" s="117" t="str">
        <f t="shared" si="63"/>
        <v>San Bernardino - San Bernardino</v>
      </c>
      <c r="D1391" s="223">
        <f t="shared" si="64"/>
        <v>0.13891666666666666</v>
      </c>
      <c r="E1391" s="224">
        <f t="shared" si="65"/>
        <v>0.01134</v>
      </c>
    </row>
    <row r="1392" spans="1:5" ht="12.75">
      <c r="A1392" s="158" t="s">
        <v>409</v>
      </c>
      <c r="B1392" s="157" t="s">
        <v>778</v>
      </c>
      <c r="C1392" s="117" t="str">
        <f t="shared" si="63"/>
        <v>San Bruno - San Mateo</v>
      </c>
      <c r="D1392" s="223">
        <f t="shared" si="64"/>
        <v>0.08433333333333333</v>
      </c>
      <c r="E1392" s="224">
        <f t="shared" si="65"/>
        <v>0.01085</v>
      </c>
    </row>
    <row r="1393" spans="1:5" ht="12.75">
      <c r="A1393" s="158" t="s">
        <v>410</v>
      </c>
      <c r="B1393" s="157" t="s">
        <v>778</v>
      </c>
      <c r="C1393" s="117" t="str">
        <f t="shared" si="63"/>
        <v>San Carlos - San Mateo</v>
      </c>
      <c r="D1393" s="223">
        <f t="shared" si="64"/>
        <v>0.08433333333333333</v>
      </c>
      <c r="E1393" s="224">
        <f t="shared" si="65"/>
        <v>0.01085</v>
      </c>
    </row>
    <row r="1394" spans="1:5" ht="12.75">
      <c r="A1394" s="158" t="s">
        <v>411</v>
      </c>
      <c r="B1394" s="157" t="s">
        <v>708</v>
      </c>
      <c r="C1394" s="117" t="str">
        <f t="shared" si="63"/>
        <v>San Clemente - Orange</v>
      </c>
      <c r="D1394" s="223">
        <f t="shared" si="64"/>
        <v>0.0915</v>
      </c>
      <c r="E1394" s="224">
        <f t="shared" si="65"/>
        <v>0.01054</v>
      </c>
    </row>
    <row r="1395" spans="1:5" ht="12.75">
      <c r="A1395" s="158" t="s">
        <v>689</v>
      </c>
      <c r="B1395" s="157" t="s">
        <v>689</v>
      </c>
      <c r="C1395" s="117" t="str">
        <f t="shared" si="63"/>
        <v>San Diego - San Diego</v>
      </c>
      <c r="D1395" s="223">
        <f t="shared" si="64"/>
        <v>0.10283333333333333</v>
      </c>
      <c r="E1395" s="224">
        <f t="shared" si="65"/>
        <v>0.01076</v>
      </c>
    </row>
    <row r="1396" spans="1:5" ht="12.75">
      <c r="A1396" s="158" t="s">
        <v>412</v>
      </c>
      <c r="B1396" s="157" t="s">
        <v>677</v>
      </c>
      <c r="C1396" s="117" t="str">
        <f t="shared" si="63"/>
        <v>San Dimas - Los Angeles</v>
      </c>
      <c r="D1396" s="223">
        <f t="shared" si="64"/>
        <v>0.12533333333333332</v>
      </c>
      <c r="E1396" s="224">
        <f t="shared" si="65"/>
        <v>0.01168</v>
      </c>
    </row>
    <row r="1397" spans="1:5" ht="12.75">
      <c r="A1397" s="158" t="s">
        <v>413</v>
      </c>
      <c r="B1397" s="157" t="s">
        <v>677</v>
      </c>
      <c r="C1397" s="117" t="str">
        <f t="shared" si="63"/>
        <v>San Fernando - Los Angeles</v>
      </c>
      <c r="D1397" s="223">
        <f t="shared" si="64"/>
        <v>0.12533333333333332</v>
      </c>
      <c r="E1397" s="224">
        <f t="shared" si="65"/>
        <v>0.01168</v>
      </c>
    </row>
    <row r="1398" spans="1:5" ht="12.75">
      <c r="A1398" s="158" t="s">
        <v>301</v>
      </c>
      <c r="B1398" s="157" t="s">
        <v>301</v>
      </c>
      <c r="C1398" s="117" t="str">
        <f t="shared" si="63"/>
        <v>San Francisco - San Francisco</v>
      </c>
      <c r="D1398" s="223">
        <f t="shared" si="64"/>
        <v>0.09141666666666667</v>
      </c>
      <c r="E1398" s="224">
        <f t="shared" si="65"/>
        <v>0.0116</v>
      </c>
    </row>
    <row r="1399" spans="1:5" ht="12.75">
      <c r="A1399" s="158" t="s">
        <v>414</v>
      </c>
      <c r="B1399" s="157" t="s">
        <v>677</v>
      </c>
      <c r="C1399" s="117" t="str">
        <f t="shared" si="63"/>
        <v>San Gabriel - Los Angeles</v>
      </c>
      <c r="D1399" s="223">
        <f t="shared" si="64"/>
        <v>0.12533333333333332</v>
      </c>
      <c r="E1399" s="224">
        <f t="shared" si="65"/>
        <v>0.01168</v>
      </c>
    </row>
    <row r="1400" spans="1:5" ht="12.75">
      <c r="A1400" s="158" t="s">
        <v>415</v>
      </c>
      <c r="B1400" s="157" t="s">
        <v>834</v>
      </c>
      <c r="C1400" s="117" t="str">
        <f t="shared" si="63"/>
        <v>San Geronimo - Marin</v>
      </c>
      <c r="D1400" s="223">
        <f t="shared" si="64"/>
        <v>0.08033333333333333</v>
      </c>
      <c r="E1400" s="224">
        <f t="shared" si="65"/>
        <v>0.01105</v>
      </c>
    </row>
    <row r="1401" spans="1:5" ht="12.75">
      <c r="A1401" s="158" t="s">
        <v>416</v>
      </c>
      <c r="B1401" s="157" t="s">
        <v>778</v>
      </c>
      <c r="C1401" s="117" t="str">
        <f t="shared" si="63"/>
        <v>San Gregorio - San Mateo</v>
      </c>
      <c r="D1401" s="223">
        <f t="shared" si="64"/>
        <v>0.08433333333333333</v>
      </c>
      <c r="E1401" s="224">
        <f t="shared" si="65"/>
        <v>0.01085</v>
      </c>
    </row>
    <row r="1402" spans="1:5" ht="12.75">
      <c r="A1402" s="158" t="s">
        <v>417</v>
      </c>
      <c r="B1402" s="157" t="s">
        <v>692</v>
      </c>
      <c r="C1402" s="117" t="str">
        <f t="shared" si="63"/>
        <v>San Jacinto - Riverside</v>
      </c>
      <c r="D1402" s="223">
        <f t="shared" si="64"/>
        <v>0.144</v>
      </c>
      <c r="E1402" s="224">
        <f t="shared" si="65"/>
        <v>0.01089</v>
      </c>
    </row>
    <row r="1403" spans="1:5" ht="12.75">
      <c r="A1403" s="158" t="s">
        <v>675</v>
      </c>
      <c r="B1403" s="157" t="s">
        <v>783</v>
      </c>
      <c r="C1403" s="117" t="str">
        <f t="shared" si="63"/>
        <v>San Joaquin - Fresno</v>
      </c>
      <c r="D1403" s="223">
        <f t="shared" si="64"/>
        <v>0.1685</v>
      </c>
      <c r="E1403" s="224">
        <f t="shared" si="65"/>
        <v>0.01165</v>
      </c>
    </row>
    <row r="1404" spans="1:5" ht="12.75">
      <c r="A1404" s="158" t="s">
        <v>418</v>
      </c>
      <c r="B1404" s="157" t="s">
        <v>712</v>
      </c>
      <c r="C1404" s="117" t="str">
        <f t="shared" si="63"/>
        <v>San Jose - Santa Clara</v>
      </c>
      <c r="D1404" s="223">
        <f t="shared" si="64"/>
        <v>0.10433333333333333</v>
      </c>
      <c r="E1404" s="224">
        <f t="shared" si="65"/>
        <v>0.011810000000000001</v>
      </c>
    </row>
    <row r="1405" spans="1:5" ht="12.75">
      <c r="A1405" s="158" t="s">
        <v>419</v>
      </c>
      <c r="B1405" s="157" t="s">
        <v>1479</v>
      </c>
      <c r="C1405" s="117" t="str">
        <f t="shared" si="63"/>
        <v>San Juan Bautista - San Benito</v>
      </c>
      <c r="D1405" s="223">
        <f t="shared" si="64"/>
        <v>0.1704166666666667</v>
      </c>
      <c r="E1405" s="224">
        <f t="shared" si="65"/>
        <v>0.01142</v>
      </c>
    </row>
    <row r="1406" spans="1:5" ht="12.75">
      <c r="A1406" s="158" t="s">
        <v>420</v>
      </c>
      <c r="B1406" s="157" t="s">
        <v>708</v>
      </c>
      <c r="C1406" s="117" t="str">
        <f t="shared" si="63"/>
        <v>San Juan Capistrano - Orange</v>
      </c>
      <c r="D1406" s="223">
        <f t="shared" si="64"/>
        <v>0.0915</v>
      </c>
      <c r="E1406" s="224">
        <f t="shared" si="65"/>
        <v>0.01054</v>
      </c>
    </row>
    <row r="1407" spans="1:5" ht="12.75">
      <c r="A1407" s="158" t="s">
        <v>421</v>
      </c>
      <c r="B1407" s="157" t="s">
        <v>708</v>
      </c>
      <c r="C1407" s="117" t="str">
        <f t="shared" si="63"/>
        <v>San Juan Plaza  - Orange</v>
      </c>
      <c r="D1407" s="223">
        <f t="shared" si="64"/>
        <v>0.0915</v>
      </c>
      <c r="E1407" s="224">
        <f t="shared" si="65"/>
        <v>0.01054</v>
      </c>
    </row>
    <row r="1408" spans="1:5" ht="12.75">
      <c r="A1408" s="158" t="s">
        <v>422</v>
      </c>
      <c r="B1408" s="157" t="s">
        <v>697</v>
      </c>
      <c r="C1408" s="117" t="str">
        <f t="shared" si="63"/>
        <v>San Leandro - Alameda</v>
      </c>
      <c r="D1408" s="223">
        <f t="shared" si="64"/>
        <v>0.10916666666666666</v>
      </c>
      <c r="E1408" s="224">
        <f t="shared" si="65"/>
        <v>0.011890000000000001</v>
      </c>
    </row>
    <row r="1409" spans="1:5" ht="12.75">
      <c r="A1409" s="158" t="s">
        <v>423</v>
      </c>
      <c r="B1409" s="157" t="s">
        <v>697</v>
      </c>
      <c r="C1409" s="117" t="str">
        <f t="shared" si="63"/>
        <v>San Lorenzo - Alameda</v>
      </c>
      <c r="D1409" s="223">
        <f t="shared" si="64"/>
        <v>0.10916666666666666</v>
      </c>
      <c r="E1409" s="224">
        <f t="shared" si="65"/>
        <v>0.011890000000000001</v>
      </c>
    </row>
    <row r="1410" spans="1:5" ht="12.75">
      <c r="A1410" s="158" t="s">
        <v>424</v>
      </c>
      <c r="B1410" s="157" t="s">
        <v>764</v>
      </c>
      <c r="C1410" s="117" t="str">
        <f t="shared" si="63"/>
        <v>San Lucas - Monterey</v>
      </c>
      <c r="D1410" s="223">
        <f t="shared" si="64"/>
        <v>0.12916666666666665</v>
      </c>
      <c r="E1410" s="224">
        <f t="shared" si="65"/>
        <v>0.01084</v>
      </c>
    </row>
    <row r="1411" spans="1:5" ht="12.75">
      <c r="A1411" s="158" t="s">
        <v>679</v>
      </c>
      <c r="B1411" s="157" t="s">
        <v>679</v>
      </c>
      <c r="C1411" s="117" t="str">
        <f t="shared" si="63"/>
        <v>San Luis Obispo - San Luis Obispo</v>
      </c>
      <c r="D1411" s="223">
        <f t="shared" si="64"/>
        <v>0.099</v>
      </c>
      <c r="E1411" s="224">
        <f t="shared" si="65"/>
        <v>0.01039</v>
      </c>
    </row>
    <row r="1412" spans="1:5" ht="12.75">
      <c r="A1412" s="158" t="s">
        <v>425</v>
      </c>
      <c r="B1412" s="157" t="s">
        <v>689</v>
      </c>
      <c r="C1412" s="117" t="str">
        <f t="shared" si="63"/>
        <v>San Luis Rey  - San Diego</v>
      </c>
      <c r="D1412" s="223">
        <f t="shared" si="64"/>
        <v>0.10283333333333333</v>
      </c>
      <c r="E1412" s="224">
        <f t="shared" si="65"/>
        <v>0.01076</v>
      </c>
    </row>
    <row r="1413" spans="1:5" ht="12.75">
      <c r="A1413" s="158" t="s">
        <v>463</v>
      </c>
      <c r="B1413" s="157" t="s">
        <v>689</v>
      </c>
      <c r="C1413" s="117" t="str">
        <f t="shared" si="63"/>
        <v>San Marcos - San Diego</v>
      </c>
      <c r="D1413" s="223">
        <f t="shared" si="64"/>
        <v>0.10283333333333333</v>
      </c>
      <c r="E1413" s="224">
        <f t="shared" si="65"/>
        <v>0.01076</v>
      </c>
    </row>
    <row r="1414" spans="1:5" ht="12.75">
      <c r="A1414" s="158" t="s">
        <v>464</v>
      </c>
      <c r="B1414" s="157" t="s">
        <v>677</v>
      </c>
      <c r="C1414" s="117" t="str">
        <f t="shared" si="63"/>
        <v>San Marino - Los Angeles</v>
      </c>
      <c r="D1414" s="223">
        <f t="shared" si="64"/>
        <v>0.12533333333333332</v>
      </c>
      <c r="E1414" s="224">
        <f t="shared" si="65"/>
        <v>0.01168</v>
      </c>
    </row>
    <row r="1415" spans="1:5" ht="12.75">
      <c r="A1415" s="158" t="s">
        <v>465</v>
      </c>
      <c r="B1415" s="157" t="s">
        <v>712</v>
      </c>
      <c r="C1415" s="117" t="str">
        <f aca="true" t="shared" si="66" ref="C1415:C1478">A1415&amp;" - "&amp;B1415</f>
        <v>San Martin - Santa Clara</v>
      </c>
      <c r="D1415" s="223">
        <f t="shared" si="64"/>
        <v>0.10433333333333333</v>
      </c>
      <c r="E1415" s="224">
        <f t="shared" si="65"/>
        <v>0.011810000000000001</v>
      </c>
    </row>
    <row r="1416" spans="1:5" ht="12.75">
      <c r="A1416" s="158" t="s">
        <v>778</v>
      </c>
      <c r="B1416" s="157" t="s">
        <v>778</v>
      </c>
      <c r="C1416" s="117" t="str">
        <f t="shared" si="66"/>
        <v>San Mateo - San Mateo</v>
      </c>
      <c r="D1416" s="223">
        <f aca="true" t="shared" si="67" ref="D1416:D1479">VLOOKUP(B1416,unemployment_rates,2,FALSE)</f>
        <v>0.08433333333333333</v>
      </c>
      <c r="E1416" s="224">
        <f aca="true" t="shared" si="68" ref="E1416:E1479">VLOOKUP(B1416,Prop_Tax_Rates,2,FALSE)</f>
        <v>0.01085</v>
      </c>
    </row>
    <row r="1417" spans="1:5" ht="12.75">
      <c r="A1417" s="158" t="s">
        <v>466</v>
      </c>
      <c r="B1417" s="157" t="s">
        <v>679</v>
      </c>
      <c r="C1417" s="117" t="str">
        <f t="shared" si="66"/>
        <v>San Miguel - San Luis Obispo</v>
      </c>
      <c r="D1417" s="223">
        <f t="shared" si="67"/>
        <v>0.099</v>
      </c>
      <c r="E1417" s="224">
        <f t="shared" si="68"/>
        <v>0.01039</v>
      </c>
    </row>
    <row r="1418" spans="1:5" ht="12.75">
      <c r="A1418" s="158" t="s">
        <v>467</v>
      </c>
      <c r="B1418" s="157" t="s">
        <v>699</v>
      </c>
      <c r="C1418" s="117" t="str">
        <f t="shared" si="66"/>
        <v>San Pablo - Contra Costa</v>
      </c>
      <c r="D1418" s="223">
        <f t="shared" si="67"/>
        <v>0.10966666666666666</v>
      </c>
      <c r="E1418" s="224">
        <f t="shared" si="68"/>
        <v>0.011080000000000001</v>
      </c>
    </row>
    <row r="1419" spans="1:5" ht="12.75">
      <c r="A1419" s="158" t="s">
        <v>468</v>
      </c>
      <c r="B1419" s="157" t="s">
        <v>677</v>
      </c>
      <c r="C1419" s="117" t="str">
        <f t="shared" si="66"/>
        <v>San Pedro  - Los Angeles</v>
      </c>
      <c r="D1419" s="223">
        <f t="shared" si="67"/>
        <v>0.12533333333333332</v>
      </c>
      <c r="E1419" s="224">
        <f t="shared" si="68"/>
        <v>0.01168</v>
      </c>
    </row>
    <row r="1420" spans="1:5" ht="12.75">
      <c r="A1420" s="158" t="s">
        <v>469</v>
      </c>
      <c r="B1420" s="157" t="s">
        <v>834</v>
      </c>
      <c r="C1420" s="117" t="str">
        <f t="shared" si="66"/>
        <v>San Quentin - Marin</v>
      </c>
      <c r="D1420" s="223">
        <f t="shared" si="67"/>
        <v>0.08033333333333333</v>
      </c>
      <c r="E1420" s="224">
        <f t="shared" si="68"/>
        <v>0.01105</v>
      </c>
    </row>
    <row r="1421" spans="1:5" ht="12.75">
      <c r="A1421" s="158" t="s">
        <v>470</v>
      </c>
      <c r="B1421" s="157" t="s">
        <v>834</v>
      </c>
      <c r="C1421" s="117" t="str">
        <f t="shared" si="66"/>
        <v>San Rafael - Marin</v>
      </c>
      <c r="D1421" s="223">
        <f t="shared" si="67"/>
        <v>0.08033333333333333</v>
      </c>
      <c r="E1421" s="224">
        <f t="shared" si="68"/>
        <v>0.01105</v>
      </c>
    </row>
    <row r="1422" spans="1:5" ht="12.75">
      <c r="A1422" s="158" t="s">
        <v>471</v>
      </c>
      <c r="B1422" s="157" t="s">
        <v>699</v>
      </c>
      <c r="C1422" s="117" t="str">
        <f t="shared" si="66"/>
        <v>San Ramon - Contra Costa</v>
      </c>
      <c r="D1422" s="223">
        <f t="shared" si="67"/>
        <v>0.10966666666666666</v>
      </c>
      <c r="E1422" s="224">
        <f t="shared" si="68"/>
        <v>0.011080000000000001</v>
      </c>
    </row>
    <row r="1423" spans="1:5" ht="12.75">
      <c r="A1423" s="158" t="s">
        <v>472</v>
      </c>
      <c r="B1423" s="157" t="s">
        <v>679</v>
      </c>
      <c r="C1423" s="117" t="str">
        <f t="shared" si="66"/>
        <v>San Simeon - San Luis Obispo</v>
      </c>
      <c r="D1423" s="223">
        <f t="shared" si="67"/>
        <v>0.099</v>
      </c>
      <c r="E1423" s="224">
        <f t="shared" si="68"/>
        <v>0.01039</v>
      </c>
    </row>
    <row r="1424" spans="1:5" ht="12.75">
      <c r="A1424" s="158" t="s">
        <v>473</v>
      </c>
      <c r="B1424" s="157" t="s">
        <v>712</v>
      </c>
      <c r="C1424" s="117" t="str">
        <f t="shared" si="66"/>
        <v>San Tomas - Santa Clara</v>
      </c>
      <c r="D1424" s="223">
        <f t="shared" si="67"/>
        <v>0.10433333333333333</v>
      </c>
      <c r="E1424" s="224">
        <f t="shared" si="68"/>
        <v>0.011810000000000001</v>
      </c>
    </row>
    <row r="1425" spans="1:5" ht="12.75">
      <c r="A1425" s="158" t="s">
        <v>474</v>
      </c>
      <c r="B1425" s="157" t="s">
        <v>689</v>
      </c>
      <c r="C1425" s="117" t="str">
        <f t="shared" si="66"/>
        <v>San Ysidro  - San Diego</v>
      </c>
      <c r="D1425" s="223">
        <f t="shared" si="67"/>
        <v>0.10283333333333333</v>
      </c>
      <c r="E1425" s="224">
        <f t="shared" si="68"/>
        <v>0.01076</v>
      </c>
    </row>
    <row r="1426" spans="1:5" ht="12.75">
      <c r="A1426" s="158" t="s">
        <v>475</v>
      </c>
      <c r="B1426" s="157" t="s">
        <v>764</v>
      </c>
      <c r="C1426" s="117" t="str">
        <f t="shared" si="66"/>
        <v>Sand City - Monterey</v>
      </c>
      <c r="D1426" s="223">
        <f t="shared" si="67"/>
        <v>0.12916666666666665</v>
      </c>
      <c r="E1426" s="224">
        <f t="shared" si="68"/>
        <v>0.01084</v>
      </c>
    </row>
    <row r="1427" spans="1:5" ht="12.75">
      <c r="A1427" s="158" t="s">
        <v>476</v>
      </c>
      <c r="B1427" s="157" t="s">
        <v>783</v>
      </c>
      <c r="C1427" s="117" t="str">
        <f t="shared" si="66"/>
        <v>Sanger - Fresno</v>
      </c>
      <c r="D1427" s="223">
        <f t="shared" si="67"/>
        <v>0.1685</v>
      </c>
      <c r="E1427" s="224">
        <f t="shared" si="68"/>
        <v>0.01165</v>
      </c>
    </row>
    <row r="1428" spans="1:5" ht="12.75">
      <c r="A1428" s="158" t="s">
        <v>477</v>
      </c>
      <c r="B1428" s="157" t="s">
        <v>708</v>
      </c>
      <c r="C1428" s="117" t="str">
        <f t="shared" si="66"/>
        <v>Santa Ana - Orange</v>
      </c>
      <c r="D1428" s="223">
        <f t="shared" si="67"/>
        <v>0.0915</v>
      </c>
      <c r="E1428" s="224">
        <f t="shared" si="68"/>
        <v>0.01054</v>
      </c>
    </row>
    <row r="1429" spans="1:5" ht="12.75">
      <c r="A1429" s="158" t="s">
        <v>799</v>
      </c>
      <c r="B1429" s="157" t="s">
        <v>799</v>
      </c>
      <c r="C1429" s="117" t="str">
        <f t="shared" si="66"/>
        <v>Santa Barbara - Santa Barbara</v>
      </c>
      <c r="D1429" s="223">
        <f t="shared" si="67"/>
        <v>0.09174999999999998</v>
      </c>
      <c r="E1429" s="224">
        <f t="shared" si="68"/>
        <v>0.01055</v>
      </c>
    </row>
    <row r="1430" spans="1:5" ht="12.75">
      <c r="A1430" s="158" t="s">
        <v>712</v>
      </c>
      <c r="B1430" s="157" t="s">
        <v>712</v>
      </c>
      <c r="C1430" s="117" t="str">
        <f t="shared" si="66"/>
        <v>Santa Clara - Santa Clara</v>
      </c>
      <c r="D1430" s="223">
        <f t="shared" si="67"/>
        <v>0.10433333333333333</v>
      </c>
      <c r="E1430" s="224">
        <f t="shared" si="68"/>
        <v>0.011810000000000001</v>
      </c>
    </row>
    <row r="1431" spans="1:5" ht="12.75">
      <c r="A1431" s="158" t="s">
        <v>478</v>
      </c>
      <c r="B1431" s="157" t="s">
        <v>677</v>
      </c>
      <c r="C1431" s="117" t="str">
        <f t="shared" si="66"/>
        <v>Santa Clarita - Los Angeles</v>
      </c>
      <c r="D1431" s="223">
        <f t="shared" si="67"/>
        <v>0.12533333333333332</v>
      </c>
      <c r="E1431" s="224">
        <f t="shared" si="68"/>
        <v>0.01168</v>
      </c>
    </row>
    <row r="1432" spans="1:5" ht="12.75">
      <c r="A1432" s="158" t="s">
        <v>751</v>
      </c>
      <c r="B1432" s="157" t="s">
        <v>751</v>
      </c>
      <c r="C1432" s="117" t="str">
        <f t="shared" si="66"/>
        <v>Santa Cruz - Santa Cruz</v>
      </c>
      <c r="D1432" s="223">
        <f t="shared" si="67"/>
        <v>0.12516666666666665</v>
      </c>
      <c r="E1432" s="224">
        <f t="shared" si="68"/>
        <v>0.01093</v>
      </c>
    </row>
    <row r="1433" spans="1:5" ht="12.75">
      <c r="A1433" s="158" t="s">
        <v>479</v>
      </c>
      <c r="B1433" s="157" t="s">
        <v>677</v>
      </c>
      <c r="C1433" s="117" t="str">
        <f t="shared" si="66"/>
        <v>Santa Fe Springs - Los Angeles</v>
      </c>
      <c r="D1433" s="223">
        <f t="shared" si="67"/>
        <v>0.12533333333333332</v>
      </c>
      <c r="E1433" s="224">
        <f t="shared" si="68"/>
        <v>0.01168</v>
      </c>
    </row>
    <row r="1434" spans="1:5" ht="12.75">
      <c r="A1434" s="158" t="s">
        <v>480</v>
      </c>
      <c r="B1434" s="157" t="s">
        <v>679</v>
      </c>
      <c r="C1434" s="117" t="str">
        <f t="shared" si="66"/>
        <v>Santa Margarita - San Luis Obispo</v>
      </c>
      <c r="D1434" s="223">
        <f t="shared" si="67"/>
        <v>0.099</v>
      </c>
      <c r="E1434" s="224">
        <f t="shared" si="68"/>
        <v>0.01039</v>
      </c>
    </row>
    <row r="1435" spans="1:5" ht="12.75">
      <c r="A1435" s="158" t="s">
        <v>481</v>
      </c>
      <c r="B1435" s="157" t="s">
        <v>799</v>
      </c>
      <c r="C1435" s="117" t="str">
        <f t="shared" si="66"/>
        <v>Santa Maria - Santa Barbara</v>
      </c>
      <c r="D1435" s="223">
        <f t="shared" si="67"/>
        <v>0.09174999999999998</v>
      </c>
      <c r="E1435" s="224">
        <f t="shared" si="68"/>
        <v>0.01055</v>
      </c>
    </row>
    <row r="1436" spans="1:5" ht="12.75">
      <c r="A1436" s="158" t="s">
        <v>482</v>
      </c>
      <c r="B1436" s="157" t="s">
        <v>677</v>
      </c>
      <c r="C1436" s="117" t="str">
        <f t="shared" si="66"/>
        <v>Santa Monica - Los Angeles</v>
      </c>
      <c r="D1436" s="223">
        <f t="shared" si="67"/>
        <v>0.12533333333333332</v>
      </c>
      <c r="E1436" s="224">
        <f t="shared" si="68"/>
        <v>0.01168</v>
      </c>
    </row>
    <row r="1437" spans="1:5" ht="12.75">
      <c r="A1437" s="158" t="s">
        <v>483</v>
      </c>
      <c r="B1437" s="157" t="s">
        <v>780</v>
      </c>
      <c r="C1437" s="117" t="str">
        <f t="shared" si="66"/>
        <v>Santa Nella - Merced</v>
      </c>
      <c r="D1437" s="223">
        <f t="shared" si="67"/>
        <v>0.1885</v>
      </c>
      <c r="E1437" s="224">
        <f t="shared" si="68"/>
        <v>0.01061</v>
      </c>
    </row>
    <row r="1438" spans="1:5" ht="12.75">
      <c r="A1438" s="158" t="s">
        <v>484</v>
      </c>
      <c r="B1438" s="157" t="s">
        <v>1017</v>
      </c>
      <c r="C1438" s="117" t="str">
        <f t="shared" si="66"/>
        <v>Santa Paula - Ventura</v>
      </c>
      <c r="D1438" s="223">
        <f t="shared" si="67"/>
        <v>0.10525000000000001</v>
      </c>
      <c r="E1438" s="224">
        <f t="shared" si="68"/>
        <v>0.010820000000000001</v>
      </c>
    </row>
    <row r="1439" spans="1:5" ht="12.75">
      <c r="A1439" s="158" t="s">
        <v>485</v>
      </c>
      <c r="B1439" s="157" t="s">
        <v>780</v>
      </c>
      <c r="C1439" s="117" t="str">
        <f t="shared" si="66"/>
        <v>Santa Rita Park - Merced</v>
      </c>
      <c r="D1439" s="223">
        <f t="shared" si="67"/>
        <v>0.1885</v>
      </c>
      <c r="E1439" s="224">
        <f t="shared" si="68"/>
        <v>0.01061</v>
      </c>
    </row>
    <row r="1440" spans="1:5" ht="12.75">
      <c r="A1440" s="158" t="s">
        <v>486</v>
      </c>
      <c r="B1440" s="157" t="s">
        <v>687</v>
      </c>
      <c r="C1440" s="117" t="str">
        <f t="shared" si="66"/>
        <v>Santa Rosa - Sonoma</v>
      </c>
      <c r="D1440" s="223">
        <f t="shared" si="67"/>
        <v>0.10133333333333334</v>
      </c>
      <c r="E1440" s="224">
        <f t="shared" si="68"/>
        <v>0.01115</v>
      </c>
    </row>
    <row r="1441" spans="1:5" ht="12.75">
      <c r="A1441" s="158" t="s">
        <v>487</v>
      </c>
      <c r="B1441" s="157" t="s">
        <v>799</v>
      </c>
      <c r="C1441" s="117" t="str">
        <f t="shared" si="66"/>
        <v>Santa Ynez - Santa Barbara</v>
      </c>
      <c r="D1441" s="223">
        <f t="shared" si="67"/>
        <v>0.09174999999999998</v>
      </c>
      <c r="E1441" s="224">
        <f t="shared" si="68"/>
        <v>0.01055</v>
      </c>
    </row>
    <row r="1442" spans="1:5" ht="12.75">
      <c r="A1442" s="158" t="s">
        <v>488</v>
      </c>
      <c r="B1442" s="157" t="s">
        <v>689</v>
      </c>
      <c r="C1442" s="117" t="str">
        <f t="shared" si="66"/>
        <v>Santa Ysabel - San Diego</v>
      </c>
      <c r="D1442" s="223">
        <f t="shared" si="67"/>
        <v>0.10283333333333333</v>
      </c>
      <c r="E1442" s="224">
        <f t="shared" si="68"/>
        <v>0.01076</v>
      </c>
    </row>
    <row r="1443" spans="1:5" ht="12.75">
      <c r="A1443" s="158" t="s">
        <v>489</v>
      </c>
      <c r="B1443" s="157" t="s">
        <v>689</v>
      </c>
      <c r="C1443" s="117" t="str">
        <f t="shared" si="66"/>
        <v>Santee - San Diego</v>
      </c>
      <c r="D1443" s="223">
        <f t="shared" si="67"/>
        <v>0.10283333333333333</v>
      </c>
      <c r="E1443" s="224">
        <f t="shared" si="68"/>
        <v>0.01076</v>
      </c>
    </row>
    <row r="1444" spans="1:5" ht="12.75">
      <c r="A1444" s="158" t="s">
        <v>490</v>
      </c>
      <c r="B1444" s="157" t="s">
        <v>712</v>
      </c>
      <c r="C1444" s="117" t="str">
        <f t="shared" si="66"/>
        <v>Saratoga - Santa Clara</v>
      </c>
      <c r="D1444" s="223">
        <f t="shared" si="67"/>
        <v>0.10433333333333333</v>
      </c>
      <c r="E1444" s="224">
        <f t="shared" si="68"/>
        <v>0.011810000000000001</v>
      </c>
    </row>
    <row r="1445" spans="1:5" ht="12.75">
      <c r="A1445" s="158" t="s">
        <v>491</v>
      </c>
      <c r="B1445" s="157" t="s">
        <v>1017</v>
      </c>
      <c r="C1445" s="117" t="str">
        <f t="shared" si="66"/>
        <v>Saticoy - Ventura</v>
      </c>
      <c r="D1445" s="223">
        <f t="shared" si="67"/>
        <v>0.10525000000000001</v>
      </c>
      <c r="E1445" s="224">
        <f t="shared" si="68"/>
        <v>0.010820000000000001</v>
      </c>
    </row>
    <row r="1446" spans="1:5" ht="12.75">
      <c r="A1446" s="158" t="s">
        <v>492</v>
      </c>
      <c r="B1446" s="157" t="s">
        <v>710</v>
      </c>
      <c r="C1446" s="117" t="str">
        <f t="shared" si="66"/>
        <v>Sattley - Sierra</v>
      </c>
      <c r="D1446" s="223">
        <f t="shared" si="67"/>
        <v>0.16016666666666665</v>
      </c>
      <c r="E1446" s="224">
        <f t="shared" si="68"/>
        <v>0.010329999999999999</v>
      </c>
    </row>
    <row r="1447" spans="1:5" ht="12.75">
      <c r="A1447" s="158" t="s">
        <v>493</v>
      </c>
      <c r="B1447" s="157" t="s">
        <v>677</v>
      </c>
      <c r="C1447" s="117" t="str">
        <f t="shared" si="66"/>
        <v>Saugus  - Los Angeles</v>
      </c>
      <c r="D1447" s="223">
        <f t="shared" si="67"/>
        <v>0.12533333333333332</v>
      </c>
      <c r="E1447" s="224">
        <f t="shared" si="68"/>
        <v>0.01168</v>
      </c>
    </row>
    <row r="1448" spans="1:5" ht="12.75">
      <c r="A1448" s="158" t="s">
        <v>494</v>
      </c>
      <c r="B1448" s="157" t="s">
        <v>834</v>
      </c>
      <c r="C1448" s="117" t="str">
        <f t="shared" si="66"/>
        <v>Sausalito - Marin</v>
      </c>
      <c r="D1448" s="223">
        <f t="shared" si="67"/>
        <v>0.08033333333333333</v>
      </c>
      <c r="E1448" s="224">
        <f t="shared" si="68"/>
        <v>0.01105</v>
      </c>
    </row>
    <row r="1449" spans="1:5" ht="12.75">
      <c r="A1449" s="158" t="s">
        <v>495</v>
      </c>
      <c r="B1449" s="157" t="s">
        <v>677</v>
      </c>
      <c r="C1449" s="117" t="str">
        <f t="shared" si="66"/>
        <v>Sawtelle  - Los Angeles</v>
      </c>
      <c r="D1449" s="223">
        <f t="shared" si="67"/>
        <v>0.12533333333333332</v>
      </c>
      <c r="E1449" s="224">
        <f t="shared" si="68"/>
        <v>0.01168</v>
      </c>
    </row>
    <row r="1450" spans="1:5" ht="12.75">
      <c r="A1450" s="158" t="s">
        <v>496</v>
      </c>
      <c r="B1450" s="157" t="s">
        <v>1012</v>
      </c>
      <c r="C1450" s="117" t="str">
        <f t="shared" si="66"/>
        <v>Sawyers Bar - Siskiyou</v>
      </c>
      <c r="D1450" s="223">
        <f t="shared" si="67"/>
        <v>0.17858333333333332</v>
      </c>
      <c r="E1450" s="224">
        <f t="shared" si="68"/>
        <v>0.01038</v>
      </c>
    </row>
    <row r="1451" spans="1:5" ht="12.75">
      <c r="A1451" s="158" t="s">
        <v>497</v>
      </c>
      <c r="B1451" s="157" t="s">
        <v>705</v>
      </c>
      <c r="C1451" s="117" t="str">
        <f t="shared" si="66"/>
        <v>Scotia - Humboldt</v>
      </c>
      <c r="D1451" s="223">
        <f t="shared" si="67"/>
        <v>0.11391666666666665</v>
      </c>
      <c r="E1451" s="224">
        <f t="shared" si="68"/>
        <v>0.01055</v>
      </c>
    </row>
    <row r="1452" spans="1:5" ht="12.75">
      <c r="A1452" s="158" t="s">
        <v>498</v>
      </c>
      <c r="B1452" s="157" t="s">
        <v>1012</v>
      </c>
      <c r="C1452" s="117" t="str">
        <f t="shared" si="66"/>
        <v>Scott Bar - Siskiyou</v>
      </c>
      <c r="D1452" s="223">
        <f t="shared" si="67"/>
        <v>0.17858333333333332</v>
      </c>
      <c r="E1452" s="224">
        <f t="shared" si="68"/>
        <v>0.01038</v>
      </c>
    </row>
    <row r="1453" spans="1:5" ht="12.75">
      <c r="A1453" s="158" t="s">
        <v>499</v>
      </c>
      <c r="B1453" s="157" t="s">
        <v>751</v>
      </c>
      <c r="C1453" s="117" t="str">
        <f t="shared" si="66"/>
        <v>Scotts Valley - Santa Cruz</v>
      </c>
      <c r="D1453" s="223">
        <f t="shared" si="67"/>
        <v>0.12516666666666665</v>
      </c>
      <c r="E1453" s="224">
        <f t="shared" si="68"/>
        <v>0.01093</v>
      </c>
    </row>
    <row r="1454" spans="1:5" ht="12.75">
      <c r="A1454" s="158" t="s">
        <v>500</v>
      </c>
      <c r="B1454" s="157" t="s">
        <v>687</v>
      </c>
      <c r="C1454" s="117" t="str">
        <f t="shared" si="66"/>
        <v>Sea Ranch - Sonoma</v>
      </c>
      <c r="D1454" s="223">
        <f t="shared" si="67"/>
        <v>0.10133333333333334</v>
      </c>
      <c r="E1454" s="224">
        <f t="shared" si="68"/>
        <v>0.01115</v>
      </c>
    </row>
    <row r="1455" spans="1:5" ht="12.75">
      <c r="A1455" s="158" t="s">
        <v>501</v>
      </c>
      <c r="B1455" s="157" t="s">
        <v>751</v>
      </c>
      <c r="C1455" s="117" t="str">
        <f t="shared" si="66"/>
        <v>Seabright - Santa Cruz</v>
      </c>
      <c r="D1455" s="223">
        <f t="shared" si="67"/>
        <v>0.12516666666666665</v>
      </c>
      <c r="E1455" s="224">
        <f t="shared" si="68"/>
        <v>0.01093</v>
      </c>
    </row>
    <row r="1456" spans="1:5" ht="12.75">
      <c r="A1456" s="158" t="s">
        <v>502</v>
      </c>
      <c r="B1456" s="157" t="s">
        <v>708</v>
      </c>
      <c r="C1456" s="117" t="str">
        <f t="shared" si="66"/>
        <v>Seal Beach - Orange</v>
      </c>
      <c r="D1456" s="223">
        <f t="shared" si="67"/>
        <v>0.0915</v>
      </c>
      <c r="E1456" s="224">
        <f t="shared" si="68"/>
        <v>0.01054</v>
      </c>
    </row>
    <row r="1457" spans="1:5" ht="12.75">
      <c r="A1457" s="158" t="s">
        <v>503</v>
      </c>
      <c r="B1457" s="157" t="s">
        <v>764</v>
      </c>
      <c r="C1457" s="117" t="str">
        <f t="shared" si="66"/>
        <v>Seaside - Monterey</v>
      </c>
      <c r="D1457" s="223">
        <f t="shared" si="67"/>
        <v>0.12916666666666665</v>
      </c>
      <c r="E1457" s="224">
        <f t="shared" si="68"/>
        <v>0.01084</v>
      </c>
    </row>
    <row r="1458" spans="1:5" ht="12.75">
      <c r="A1458" s="158" t="s">
        <v>504</v>
      </c>
      <c r="B1458" s="157" t="s">
        <v>687</v>
      </c>
      <c r="C1458" s="117" t="str">
        <f t="shared" si="66"/>
        <v>Sebastopol - Sonoma</v>
      </c>
      <c r="D1458" s="223">
        <f t="shared" si="67"/>
        <v>0.10133333333333334</v>
      </c>
      <c r="E1458" s="224">
        <f t="shared" si="68"/>
        <v>0.01115</v>
      </c>
    </row>
    <row r="1459" spans="1:5" ht="12.75">
      <c r="A1459" s="158" t="s">
        <v>505</v>
      </c>
      <c r="B1459" s="157" t="s">
        <v>807</v>
      </c>
      <c r="C1459" s="117" t="str">
        <f t="shared" si="66"/>
        <v>Seeley - Imperial</v>
      </c>
      <c r="D1459" s="223">
        <f t="shared" si="67"/>
        <v>0.29941666666666666</v>
      </c>
      <c r="E1459" s="224">
        <f t="shared" si="68"/>
        <v>0.01052</v>
      </c>
    </row>
    <row r="1460" spans="1:5" ht="12.75">
      <c r="A1460" s="158" t="s">
        <v>506</v>
      </c>
      <c r="B1460" s="157" t="s">
        <v>1012</v>
      </c>
      <c r="C1460" s="117" t="str">
        <f t="shared" si="66"/>
        <v>Seiad Valley - Siskiyou</v>
      </c>
      <c r="D1460" s="223">
        <f t="shared" si="67"/>
        <v>0.17858333333333332</v>
      </c>
      <c r="E1460" s="224">
        <f t="shared" si="68"/>
        <v>0.01038</v>
      </c>
    </row>
    <row r="1461" spans="1:5" ht="12.75">
      <c r="A1461" s="158" t="s">
        <v>507</v>
      </c>
      <c r="B1461" s="157" t="s">
        <v>699</v>
      </c>
      <c r="C1461" s="117" t="str">
        <f t="shared" si="66"/>
        <v>Selby - Contra Costa</v>
      </c>
      <c r="D1461" s="223">
        <f t="shared" si="67"/>
        <v>0.10966666666666666</v>
      </c>
      <c r="E1461" s="224">
        <f t="shared" si="68"/>
        <v>0.011080000000000001</v>
      </c>
    </row>
    <row r="1462" spans="1:5" ht="12.75">
      <c r="A1462" s="158" t="s">
        <v>508</v>
      </c>
      <c r="B1462" s="157" t="s">
        <v>783</v>
      </c>
      <c r="C1462" s="117" t="str">
        <f t="shared" si="66"/>
        <v>Selma - Fresno</v>
      </c>
      <c r="D1462" s="223">
        <f t="shared" si="67"/>
        <v>0.1685</v>
      </c>
      <c r="E1462" s="224">
        <f t="shared" si="68"/>
        <v>0.01165</v>
      </c>
    </row>
    <row r="1463" spans="1:5" ht="12.75">
      <c r="A1463" s="158" t="s">
        <v>509</v>
      </c>
      <c r="B1463" s="157" t="s">
        <v>677</v>
      </c>
      <c r="C1463" s="117" t="str">
        <f t="shared" si="66"/>
        <v>Seminole Hot Springs - Los Angeles</v>
      </c>
      <c r="D1463" s="223">
        <f t="shared" si="67"/>
        <v>0.12533333333333332</v>
      </c>
      <c r="E1463" s="224">
        <f t="shared" si="68"/>
        <v>0.01168</v>
      </c>
    </row>
    <row r="1464" spans="1:5" ht="12.75">
      <c r="A1464" s="158" t="s">
        <v>510</v>
      </c>
      <c r="B1464" s="157" t="s">
        <v>677</v>
      </c>
      <c r="C1464" s="117" t="str">
        <f t="shared" si="66"/>
        <v>Sepulveda  - Los Angeles</v>
      </c>
      <c r="D1464" s="223">
        <f t="shared" si="67"/>
        <v>0.12533333333333332</v>
      </c>
      <c r="E1464" s="224">
        <f t="shared" si="68"/>
        <v>0.01168</v>
      </c>
    </row>
    <row r="1465" spans="1:5" ht="12.75">
      <c r="A1465" s="158" t="s">
        <v>511</v>
      </c>
      <c r="B1465" s="157" t="s">
        <v>718</v>
      </c>
      <c r="C1465" s="117" t="str">
        <f t="shared" si="66"/>
        <v>Sequoia National Park - Tulare</v>
      </c>
      <c r="D1465" s="223">
        <f t="shared" si="67"/>
        <v>0.16641666666666666</v>
      </c>
      <c r="E1465" s="224">
        <f t="shared" si="68"/>
        <v>0.01088</v>
      </c>
    </row>
    <row r="1466" spans="1:5" ht="12.75">
      <c r="A1466" s="158" t="s">
        <v>512</v>
      </c>
      <c r="B1466" s="157" t="s">
        <v>772</v>
      </c>
      <c r="C1466" s="117" t="str">
        <f t="shared" si="66"/>
        <v>Shafter - Kern</v>
      </c>
      <c r="D1466" s="223">
        <f t="shared" si="67"/>
        <v>0.15741666666666668</v>
      </c>
      <c r="E1466" s="224">
        <f t="shared" si="68"/>
        <v>0.01114</v>
      </c>
    </row>
    <row r="1467" spans="1:5" ht="12.75">
      <c r="A1467" s="158" t="s">
        <v>513</v>
      </c>
      <c r="B1467" s="157" t="s">
        <v>679</v>
      </c>
      <c r="C1467" s="117" t="str">
        <f t="shared" si="66"/>
        <v>Shandon - San Luis Obispo</v>
      </c>
      <c r="D1467" s="223">
        <f t="shared" si="67"/>
        <v>0.099</v>
      </c>
      <c r="E1467" s="224">
        <f t="shared" si="68"/>
        <v>0.01039</v>
      </c>
    </row>
    <row r="1468" spans="1:5" ht="12.75">
      <c r="A1468" s="158" t="s">
        <v>514</v>
      </c>
      <c r="B1468" s="157" t="s">
        <v>675</v>
      </c>
      <c r="C1468" s="117" t="str">
        <f t="shared" si="66"/>
        <v>Sharpe Army Depot - San Joaquin</v>
      </c>
      <c r="D1468" s="223">
        <f t="shared" si="67"/>
        <v>0.17300000000000001</v>
      </c>
      <c r="E1468" s="224">
        <f t="shared" si="68"/>
        <v>0.01113</v>
      </c>
    </row>
    <row r="1469" spans="1:5" ht="12.75">
      <c r="A1469" s="158" t="s">
        <v>738</v>
      </c>
      <c r="B1469" s="157" t="s">
        <v>738</v>
      </c>
      <c r="C1469" s="117" t="str">
        <f t="shared" si="66"/>
        <v>Shasta - Shasta</v>
      </c>
      <c r="D1469" s="223">
        <f t="shared" si="67"/>
        <v>0.15616666666666668</v>
      </c>
      <c r="E1469" s="224">
        <f t="shared" si="68"/>
        <v>0.01085</v>
      </c>
    </row>
    <row r="1470" spans="1:5" ht="12.75">
      <c r="A1470" s="158" t="s">
        <v>515</v>
      </c>
      <c r="B1470" s="157" t="s">
        <v>738</v>
      </c>
      <c r="C1470" s="117" t="str">
        <f t="shared" si="66"/>
        <v>Shasta Lake - Shasta</v>
      </c>
      <c r="D1470" s="223">
        <f t="shared" si="67"/>
        <v>0.15616666666666668</v>
      </c>
      <c r="E1470" s="224">
        <f t="shared" si="68"/>
        <v>0.01085</v>
      </c>
    </row>
    <row r="1471" spans="1:5" ht="12.75">
      <c r="A1471" s="158" t="s">
        <v>516</v>
      </c>
      <c r="B1471" s="157" t="s">
        <v>783</v>
      </c>
      <c r="C1471" s="117" t="str">
        <f t="shared" si="66"/>
        <v>Shaver Lake - Fresno</v>
      </c>
      <c r="D1471" s="223">
        <f t="shared" si="67"/>
        <v>0.1685</v>
      </c>
      <c r="E1471" s="224">
        <f t="shared" si="68"/>
        <v>0.01165</v>
      </c>
    </row>
    <row r="1472" spans="1:5" ht="12.75">
      <c r="A1472" s="158" t="s">
        <v>517</v>
      </c>
      <c r="B1472" s="157" t="s">
        <v>725</v>
      </c>
      <c r="C1472" s="117" t="str">
        <f t="shared" si="66"/>
        <v>Sheepranch - Calaveras</v>
      </c>
      <c r="D1472" s="223">
        <f t="shared" si="67"/>
        <v>0.1545833333333333</v>
      </c>
      <c r="E1472" s="224">
        <f t="shared" si="68"/>
        <v>0.01075</v>
      </c>
    </row>
    <row r="1473" spans="1:5" ht="12.75">
      <c r="A1473" s="158" t="s">
        <v>518</v>
      </c>
      <c r="B1473" s="157" t="s">
        <v>679</v>
      </c>
      <c r="C1473" s="117" t="str">
        <f t="shared" si="66"/>
        <v>Shell Beach  - San Luis Obispo</v>
      </c>
      <c r="D1473" s="223">
        <f t="shared" si="67"/>
        <v>0.099</v>
      </c>
      <c r="E1473" s="224">
        <f t="shared" si="68"/>
        <v>0.01039</v>
      </c>
    </row>
    <row r="1474" spans="1:5" ht="12.75">
      <c r="A1474" s="158" t="s">
        <v>519</v>
      </c>
      <c r="B1474" s="157" t="s">
        <v>721</v>
      </c>
      <c r="C1474" s="117" t="str">
        <f t="shared" si="66"/>
        <v>Sheridan - Placer</v>
      </c>
      <c r="D1474" s="223">
        <f t="shared" si="67"/>
        <v>0.11291666666666667</v>
      </c>
      <c r="E1474" s="224">
        <f t="shared" si="68"/>
        <v>0.010629999999999999</v>
      </c>
    </row>
    <row r="1475" spans="1:5" ht="12.75">
      <c r="A1475" s="158" t="s">
        <v>520</v>
      </c>
      <c r="B1475" s="157" t="s">
        <v>744</v>
      </c>
      <c r="C1475" s="117" t="str">
        <f t="shared" si="66"/>
        <v>Sherman Island - Sacramento</v>
      </c>
      <c r="D1475" s="223">
        <f t="shared" si="67"/>
        <v>0.12641666666666665</v>
      </c>
      <c r="E1475" s="224">
        <f t="shared" si="68"/>
        <v>0.01087</v>
      </c>
    </row>
    <row r="1476" spans="1:5" ht="12.75">
      <c r="A1476" s="158" t="s">
        <v>521</v>
      </c>
      <c r="B1476" s="157" t="s">
        <v>677</v>
      </c>
      <c r="C1476" s="117" t="str">
        <f t="shared" si="66"/>
        <v>Sherman Oaks  - Los Angeles</v>
      </c>
      <c r="D1476" s="223">
        <f t="shared" si="67"/>
        <v>0.12533333333333332</v>
      </c>
      <c r="E1476" s="224">
        <f t="shared" si="68"/>
        <v>0.01168</v>
      </c>
    </row>
    <row r="1477" spans="1:5" ht="12.75">
      <c r="A1477" s="158" t="s">
        <v>522</v>
      </c>
      <c r="B1477" s="157" t="s">
        <v>839</v>
      </c>
      <c r="C1477" s="117" t="str">
        <f t="shared" si="66"/>
        <v>Sherwin Plaza - Mono</v>
      </c>
      <c r="D1477" s="223">
        <f t="shared" si="67"/>
        <v>0.10441666666666664</v>
      </c>
      <c r="E1477" s="224">
        <f t="shared" si="68"/>
        <v>0.01073</v>
      </c>
    </row>
    <row r="1478" spans="1:5" ht="12.75">
      <c r="A1478" s="158" t="s">
        <v>523</v>
      </c>
      <c r="B1478" s="157" t="s">
        <v>696</v>
      </c>
      <c r="C1478" s="117" t="str">
        <f t="shared" si="66"/>
        <v>Shingle Springs - El Dorado</v>
      </c>
      <c r="D1478" s="223">
        <f t="shared" si="67"/>
        <v>0.12433333333333335</v>
      </c>
      <c r="E1478" s="224">
        <f t="shared" si="68"/>
        <v>0.01055</v>
      </c>
    </row>
    <row r="1479" spans="1:5" ht="12.75">
      <c r="A1479" s="158" t="s">
        <v>524</v>
      </c>
      <c r="B1479" s="157" t="s">
        <v>738</v>
      </c>
      <c r="C1479" s="117" t="str">
        <f aca="true" t="shared" si="69" ref="C1479:C1542">A1479&amp;" - "&amp;B1479</f>
        <v>Shingletown - Shasta</v>
      </c>
      <c r="D1479" s="223">
        <f t="shared" si="67"/>
        <v>0.15616666666666668</v>
      </c>
      <c r="E1479" s="224">
        <f t="shared" si="68"/>
        <v>0.01085</v>
      </c>
    </row>
    <row r="1480" spans="1:5" ht="12.75">
      <c r="A1480" s="158" t="s">
        <v>525</v>
      </c>
      <c r="B1480" s="157" t="s">
        <v>705</v>
      </c>
      <c r="C1480" s="117" t="str">
        <f t="shared" si="69"/>
        <v>Shively - Humboldt</v>
      </c>
      <c r="D1480" s="223">
        <f aca="true" t="shared" si="70" ref="D1480:D1543">VLOOKUP(B1480,unemployment_rates,2,FALSE)</f>
        <v>0.11391666666666665</v>
      </c>
      <c r="E1480" s="224">
        <f aca="true" t="shared" si="71" ref="E1480:E1543">VLOOKUP(B1480,Prop_Tax_Rates,2,FALSE)</f>
        <v>0.01055</v>
      </c>
    </row>
    <row r="1481" spans="1:5" ht="12.75">
      <c r="A1481" s="158" t="s">
        <v>526</v>
      </c>
      <c r="B1481" s="157" t="s">
        <v>699</v>
      </c>
      <c r="C1481" s="117" t="str">
        <f t="shared" si="69"/>
        <v>Shore Acres - Contra Costa</v>
      </c>
      <c r="D1481" s="223">
        <f t="shared" si="70"/>
        <v>0.10966666666666666</v>
      </c>
      <c r="E1481" s="224">
        <f t="shared" si="71"/>
        <v>0.011080000000000001</v>
      </c>
    </row>
    <row r="1482" spans="1:5" ht="12.75">
      <c r="A1482" s="158" t="s">
        <v>527</v>
      </c>
      <c r="B1482" s="157" t="s">
        <v>732</v>
      </c>
      <c r="C1482" s="117" t="str">
        <f t="shared" si="69"/>
        <v>Shoshone - Inyo</v>
      </c>
      <c r="D1482" s="223">
        <f t="shared" si="70"/>
        <v>0.10058333333333332</v>
      </c>
      <c r="E1482" s="224">
        <f t="shared" si="71"/>
        <v>0.01052</v>
      </c>
    </row>
    <row r="1483" spans="1:5" ht="12.75">
      <c r="A1483" s="158" t="s">
        <v>528</v>
      </c>
      <c r="B1483" s="157" t="s">
        <v>710</v>
      </c>
      <c r="C1483" s="117" t="str">
        <f t="shared" si="69"/>
        <v>Sierra City - Sierra</v>
      </c>
      <c r="D1483" s="223">
        <f t="shared" si="70"/>
        <v>0.16016666666666665</v>
      </c>
      <c r="E1483" s="224">
        <f t="shared" si="71"/>
        <v>0.010329999999999999</v>
      </c>
    </row>
    <row r="1484" spans="1:5" ht="12.75">
      <c r="A1484" s="158" t="s">
        <v>529</v>
      </c>
      <c r="B1484" s="157" t="s">
        <v>677</v>
      </c>
      <c r="C1484" s="117" t="str">
        <f t="shared" si="69"/>
        <v>Sierra Madre - Los Angeles</v>
      </c>
      <c r="D1484" s="223">
        <f t="shared" si="70"/>
        <v>0.12533333333333332</v>
      </c>
      <c r="E1484" s="224">
        <f t="shared" si="71"/>
        <v>0.01168</v>
      </c>
    </row>
    <row r="1485" spans="1:5" ht="12.75">
      <c r="A1485" s="158" t="s">
        <v>530</v>
      </c>
      <c r="B1485" s="157" t="s">
        <v>710</v>
      </c>
      <c r="C1485" s="117" t="str">
        <f t="shared" si="69"/>
        <v>Sierraville - Sierra</v>
      </c>
      <c r="D1485" s="223">
        <f t="shared" si="70"/>
        <v>0.16016666666666665</v>
      </c>
      <c r="E1485" s="224">
        <f t="shared" si="71"/>
        <v>0.010329999999999999</v>
      </c>
    </row>
    <row r="1486" spans="1:5" ht="12.75">
      <c r="A1486" s="158" t="s">
        <v>531</v>
      </c>
      <c r="B1486" s="157" t="s">
        <v>677</v>
      </c>
      <c r="C1486" s="117" t="str">
        <f t="shared" si="69"/>
        <v>Signal Hill - Los Angeles</v>
      </c>
      <c r="D1486" s="223">
        <f t="shared" si="70"/>
        <v>0.12533333333333332</v>
      </c>
      <c r="E1486" s="224">
        <f t="shared" si="71"/>
        <v>0.01168</v>
      </c>
    </row>
    <row r="1487" spans="1:5" ht="12.75">
      <c r="A1487" s="158" t="s">
        <v>532</v>
      </c>
      <c r="B1487" s="157" t="s">
        <v>730</v>
      </c>
      <c r="C1487" s="117" t="str">
        <f t="shared" si="69"/>
        <v>Silver Lake - Amador</v>
      </c>
      <c r="D1487" s="223">
        <f t="shared" si="70"/>
        <v>0.13091666666666668</v>
      </c>
      <c r="E1487" s="224">
        <f t="shared" si="71"/>
        <v>0.01015</v>
      </c>
    </row>
    <row r="1488" spans="1:5" ht="12.75">
      <c r="A1488" s="158" t="s">
        <v>533</v>
      </c>
      <c r="B1488" s="157" t="s">
        <v>708</v>
      </c>
      <c r="C1488" s="117" t="str">
        <f t="shared" si="69"/>
        <v>Silverado Canyon - Orange</v>
      </c>
      <c r="D1488" s="223">
        <f t="shared" si="70"/>
        <v>0.0915</v>
      </c>
      <c r="E1488" s="224">
        <f t="shared" si="71"/>
        <v>0.01054</v>
      </c>
    </row>
    <row r="1489" spans="1:5" ht="12.75">
      <c r="A1489" s="158" t="s">
        <v>534</v>
      </c>
      <c r="B1489" s="157" t="s">
        <v>1017</v>
      </c>
      <c r="C1489" s="117" t="str">
        <f t="shared" si="69"/>
        <v>Simi Valley - Ventura</v>
      </c>
      <c r="D1489" s="223">
        <f t="shared" si="70"/>
        <v>0.10525000000000001</v>
      </c>
      <c r="E1489" s="224">
        <f t="shared" si="71"/>
        <v>0.010820000000000001</v>
      </c>
    </row>
    <row r="1490" spans="1:5" ht="12.75">
      <c r="A1490" s="158" t="s">
        <v>535</v>
      </c>
      <c r="B1490" s="157" t="s">
        <v>799</v>
      </c>
      <c r="C1490" s="117" t="str">
        <f t="shared" si="69"/>
        <v>Sisquoc - Santa Barbara</v>
      </c>
      <c r="D1490" s="223">
        <f t="shared" si="70"/>
        <v>0.09174999999999998</v>
      </c>
      <c r="E1490" s="224">
        <f t="shared" si="71"/>
        <v>0.01055</v>
      </c>
    </row>
    <row r="1491" spans="1:5" ht="12.75">
      <c r="A1491" s="158" t="s">
        <v>536</v>
      </c>
      <c r="B1491" s="157" t="s">
        <v>753</v>
      </c>
      <c r="C1491" s="117" t="str">
        <f t="shared" si="69"/>
        <v>Sites - Colusa</v>
      </c>
      <c r="D1491" s="223">
        <f t="shared" si="70"/>
        <v>0.20800000000000002</v>
      </c>
      <c r="E1491" s="224">
        <f t="shared" si="71"/>
        <v>0.01027</v>
      </c>
    </row>
    <row r="1492" spans="1:5" ht="12.75">
      <c r="A1492" s="158" t="s">
        <v>537</v>
      </c>
      <c r="B1492" s="157" t="s">
        <v>692</v>
      </c>
      <c r="C1492" s="117" t="str">
        <f t="shared" si="69"/>
        <v>Sky Valley - Riverside</v>
      </c>
      <c r="D1492" s="223">
        <f t="shared" si="70"/>
        <v>0.144</v>
      </c>
      <c r="E1492" s="224">
        <f t="shared" si="71"/>
        <v>0.01089</v>
      </c>
    </row>
    <row r="1493" spans="1:5" ht="12.75">
      <c r="A1493" s="158" t="s">
        <v>538</v>
      </c>
      <c r="B1493" s="157" t="s">
        <v>681</v>
      </c>
      <c r="C1493" s="117" t="str">
        <f t="shared" si="69"/>
        <v>Skyforest - San Bernardino</v>
      </c>
      <c r="D1493" s="223">
        <f t="shared" si="70"/>
        <v>0.13891666666666666</v>
      </c>
      <c r="E1493" s="224">
        <f t="shared" si="71"/>
        <v>0.01134</v>
      </c>
    </row>
    <row r="1494" spans="1:5" ht="12.75">
      <c r="A1494" s="158" t="s">
        <v>539</v>
      </c>
      <c r="B1494" s="157" t="s">
        <v>677</v>
      </c>
      <c r="C1494" s="117" t="str">
        <f t="shared" si="69"/>
        <v>Sleepy Valley - Los Angeles</v>
      </c>
      <c r="D1494" s="223">
        <f t="shared" si="70"/>
        <v>0.12533333333333332</v>
      </c>
      <c r="E1494" s="224">
        <f t="shared" si="71"/>
        <v>0.01168</v>
      </c>
    </row>
    <row r="1495" spans="1:5" ht="12.75">
      <c r="A1495" s="158" t="s">
        <v>540</v>
      </c>
      <c r="B1495" s="157" t="s">
        <v>714</v>
      </c>
      <c r="C1495" s="117" t="str">
        <f t="shared" si="69"/>
        <v>Sloat - Plumas</v>
      </c>
      <c r="D1495" s="223">
        <f t="shared" si="70"/>
        <v>0.16258333333333333</v>
      </c>
      <c r="E1495" s="224">
        <f t="shared" si="71"/>
        <v>0.01038</v>
      </c>
    </row>
    <row r="1496" spans="1:5" ht="12.75">
      <c r="A1496" s="158" t="s">
        <v>541</v>
      </c>
      <c r="B1496" s="157" t="s">
        <v>744</v>
      </c>
      <c r="C1496" s="117" t="str">
        <f t="shared" si="69"/>
        <v>Sloughhouse - Sacramento</v>
      </c>
      <c r="D1496" s="223">
        <f t="shared" si="70"/>
        <v>0.12641666666666665</v>
      </c>
      <c r="E1496" s="224">
        <f t="shared" si="71"/>
        <v>0.01087</v>
      </c>
    </row>
    <row r="1497" spans="1:5" ht="12.75">
      <c r="A1497" s="158" t="s">
        <v>542</v>
      </c>
      <c r="B1497" s="157" t="s">
        <v>820</v>
      </c>
      <c r="C1497" s="117" t="str">
        <f t="shared" si="69"/>
        <v>Smartsville - Yuba</v>
      </c>
      <c r="D1497" s="223">
        <f t="shared" si="70"/>
        <v>0.1881666666666667</v>
      </c>
      <c r="E1497" s="224">
        <f t="shared" si="71"/>
        <v>0.01102</v>
      </c>
    </row>
    <row r="1498" spans="1:5" ht="12.75">
      <c r="A1498" s="158" t="s">
        <v>543</v>
      </c>
      <c r="B1498" s="157" t="s">
        <v>1953</v>
      </c>
      <c r="C1498" s="117" t="str">
        <f t="shared" si="69"/>
        <v>Smith River - Del Norte</v>
      </c>
      <c r="D1498" s="223">
        <f t="shared" si="70"/>
        <v>0.13525</v>
      </c>
      <c r="E1498" s="224">
        <f t="shared" si="71"/>
        <v>0.01039</v>
      </c>
    </row>
    <row r="1499" spans="1:5" ht="12.75">
      <c r="A1499" s="158" t="s">
        <v>544</v>
      </c>
      <c r="B1499" s="157" t="s">
        <v>696</v>
      </c>
      <c r="C1499" s="117" t="str">
        <f t="shared" si="69"/>
        <v>Smithflat - El Dorado</v>
      </c>
      <c r="D1499" s="223">
        <f t="shared" si="70"/>
        <v>0.12433333333333335</v>
      </c>
      <c r="E1499" s="224">
        <f t="shared" si="71"/>
        <v>0.01055</v>
      </c>
    </row>
    <row r="1500" spans="1:5" ht="12.75">
      <c r="A1500" s="158" t="s">
        <v>545</v>
      </c>
      <c r="B1500" s="157" t="s">
        <v>681</v>
      </c>
      <c r="C1500" s="117" t="str">
        <f t="shared" si="69"/>
        <v>Smoke Tree  - San Bernardino</v>
      </c>
      <c r="D1500" s="223">
        <f t="shared" si="70"/>
        <v>0.13891666666666666</v>
      </c>
      <c r="E1500" s="224">
        <f t="shared" si="71"/>
        <v>0.01134</v>
      </c>
    </row>
    <row r="1501" spans="1:5" ht="12.75">
      <c r="A1501" s="158" t="s">
        <v>546</v>
      </c>
      <c r="B1501" s="157" t="s">
        <v>780</v>
      </c>
      <c r="C1501" s="117" t="str">
        <f t="shared" si="69"/>
        <v>Snelling - Merced</v>
      </c>
      <c r="D1501" s="223">
        <f t="shared" si="70"/>
        <v>0.1885</v>
      </c>
      <c r="E1501" s="224">
        <f t="shared" si="71"/>
        <v>0.01061</v>
      </c>
    </row>
    <row r="1502" spans="1:5" ht="12.75">
      <c r="A1502" s="158" t="s">
        <v>547</v>
      </c>
      <c r="B1502" s="157" t="s">
        <v>1156</v>
      </c>
      <c r="C1502" s="117" t="str">
        <f t="shared" si="69"/>
        <v>Soda Springs - Nevada</v>
      </c>
      <c r="D1502" s="223">
        <f t="shared" si="70"/>
        <v>0.11266666666666668</v>
      </c>
      <c r="E1502" s="224">
        <f t="shared" si="71"/>
        <v>0.010329999999999999</v>
      </c>
    </row>
    <row r="1503" spans="1:5" ht="12.75">
      <c r="A1503" s="158" t="s">
        <v>548</v>
      </c>
      <c r="B1503" s="157" t="s">
        <v>689</v>
      </c>
      <c r="C1503" s="117" t="str">
        <f t="shared" si="69"/>
        <v>Solana Beach - San Diego</v>
      </c>
      <c r="D1503" s="223">
        <f t="shared" si="70"/>
        <v>0.10283333333333333</v>
      </c>
      <c r="E1503" s="224">
        <f t="shared" si="71"/>
        <v>0.01076</v>
      </c>
    </row>
    <row r="1504" spans="1:5" ht="12.75">
      <c r="A1504" s="158" t="s">
        <v>549</v>
      </c>
      <c r="B1504" s="157" t="s">
        <v>764</v>
      </c>
      <c r="C1504" s="117" t="str">
        <f t="shared" si="69"/>
        <v>Soledad - Monterey</v>
      </c>
      <c r="D1504" s="223">
        <f t="shared" si="70"/>
        <v>0.12916666666666665</v>
      </c>
      <c r="E1504" s="224">
        <f t="shared" si="71"/>
        <v>0.01084</v>
      </c>
    </row>
    <row r="1505" spans="1:5" ht="12.75">
      <c r="A1505" s="158" t="s">
        <v>550</v>
      </c>
      <c r="B1505" s="157" t="s">
        <v>677</v>
      </c>
      <c r="C1505" s="117" t="str">
        <f t="shared" si="69"/>
        <v>Solemint - Los Angeles</v>
      </c>
      <c r="D1505" s="223">
        <f t="shared" si="70"/>
        <v>0.12533333333333332</v>
      </c>
      <c r="E1505" s="224">
        <f t="shared" si="71"/>
        <v>0.01168</v>
      </c>
    </row>
    <row r="1506" spans="1:5" ht="12.75">
      <c r="A1506" s="158" t="s">
        <v>551</v>
      </c>
      <c r="B1506" s="157" t="s">
        <v>799</v>
      </c>
      <c r="C1506" s="117" t="str">
        <f t="shared" si="69"/>
        <v>Solvang - Santa Barbara</v>
      </c>
      <c r="D1506" s="223">
        <f t="shared" si="70"/>
        <v>0.09174999999999998</v>
      </c>
      <c r="E1506" s="224">
        <f t="shared" si="71"/>
        <v>0.01055</v>
      </c>
    </row>
    <row r="1507" spans="1:5" ht="12.75">
      <c r="A1507" s="158" t="s">
        <v>552</v>
      </c>
      <c r="B1507" s="157" t="s">
        <v>696</v>
      </c>
      <c r="C1507" s="117" t="str">
        <f t="shared" si="69"/>
        <v>Somerset - El Dorado</v>
      </c>
      <c r="D1507" s="223">
        <f t="shared" si="70"/>
        <v>0.12433333333333335</v>
      </c>
      <c r="E1507" s="224">
        <f t="shared" si="71"/>
        <v>0.01055</v>
      </c>
    </row>
    <row r="1508" spans="1:5" ht="12.75">
      <c r="A1508" s="158" t="s">
        <v>553</v>
      </c>
      <c r="B1508" s="157" t="s">
        <v>1012</v>
      </c>
      <c r="C1508" s="117" t="str">
        <f t="shared" si="69"/>
        <v>Somes Bar - Siskiyou</v>
      </c>
      <c r="D1508" s="223">
        <f t="shared" si="70"/>
        <v>0.17858333333333332</v>
      </c>
      <c r="E1508" s="224">
        <f t="shared" si="71"/>
        <v>0.01038</v>
      </c>
    </row>
    <row r="1509" spans="1:5" ht="12.75">
      <c r="A1509" s="158" t="s">
        <v>554</v>
      </c>
      <c r="B1509" s="157" t="s">
        <v>1017</v>
      </c>
      <c r="C1509" s="117" t="str">
        <f t="shared" si="69"/>
        <v>Somis - Ventura</v>
      </c>
      <c r="D1509" s="223">
        <f t="shared" si="70"/>
        <v>0.10525000000000001</v>
      </c>
      <c r="E1509" s="224">
        <f t="shared" si="71"/>
        <v>0.010820000000000001</v>
      </c>
    </row>
    <row r="1510" spans="1:5" ht="12.75">
      <c r="A1510" s="158" t="s">
        <v>687</v>
      </c>
      <c r="B1510" s="157" t="s">
        <v>687</v>
      </c>
      <c r="C1510" s="117" t="str">
        <f t="shared" si="69"/>
        <v>Sonoma - Sonoma</v>
      </c>
      <c r="D1510" s="223">
        <f t="shared" si="70"/>
        <v>0.10133333333333334</v>
      </c>
      <c r="E1510" s="224">
        <f t="shared" si="71"/>
        <v>0.01115</v>
      </c>
    </row>
    <row r="1511" spans="1:5" ht="12.75">
      <c r="A1511" s="158" t="s">
        <v>555</v>
      </c>
      <c r="B1511" s="157" t="s">
        <v>856</v>
      </c>
      <c r="C1511" s="117" t="str">
        <f t="shared" si="69"/>
        <v>Sonora - Tuolumne</v>
      </c>
      <c r="D1511" s="223">
        <f t="shared" si="70"/>
        <v>0.13766666666666666</v>
      </c>
      <c r="E1511" s="224">
        <f t="shared" si="71"/>
        <v>0.01042</v>
      </c>
    </row>
    <row r="1512" spans="1:5" ht="12.75">
      <c r="A1512" s="158" t="s">
        <v>556</v>
      </c>
      <c r="B1512" s="157" t="s">
        <v>751</v>
      </c>
      <c r="C1512" s="117" t="str">
        <f t="shared" si="69"/>
        <v>Soquel - Santa Cruz</v>
      </c>
      <c r="D1512" s="223">
        <f t="shared" si="70"/>
        <v>0.12516666666666665</v>
      </c>
      <c r="E1512" s="224">
        <f t="shared" si="71"/>
        <v>0.01093</v>
      </c>
    </row>
    <row r="1513" spans="1:5" ht="12.75">
      <c r="A1513" s="158" t="s">
        <v>557</v>
      </c>
      <c r="B1513" s="157" t="s">
        <v>856</v>
      </c>
      <c r="C1513" s="117" t="str">
        <f t="shared" si="69"/>
        <v>Soulsbyville - Tuolumne</v>
      </c>
      <c r="D1513" s="223">
        <f t="shared" si="70"/>
        <v>0.13766666666666666</v>
      </c>
      <c r="E1513" s="224">
        <f t="shared" si="71"/>
        <v>0.01042</v>
      </c>
    </row>
    <row r="1514" spans="1:5" ht="12.75">
      <c r="A1514" s="158" t="s">
        <v>558</v>
      </c>
      <c r="B1514" s="157" t="s">
        <v>780</v>
      </c>
      <c r="C1514" s="117" t="str">
        <f t="shared" si="69"/>
        <v>South Dos Palos - Merced</v>
      </c>
      <c r="D1514" s="223">
        <f t="shared" si="70"/>
        <v>0.1885</v>
      </c>
      <c r="E1514" s="224">
        <f t="shared" si="71"/>
        <v>0.01061</v>
      </c>
    </row>
    <row r="1515" spans="1:5" ht="12.75">
      <c r="A1515" s="158" t="s">
        <v>559</v>
      </c>
      <c r="B1515" s="157" t="s">
        <v>677</v>
      </c>
      <c r="C1515" s="117" t="str">
        <f t="shared" si="69"/>
        <v>South El Monte - Los Angeles</v>
      </c>
      <c r="D1515" s="223">
        <f t="shared" si="70"/>
        <v>0.12533333333333332</v>
      </c>
      <c r="E1515" s="224">
        <f t="shared" si="71"/>
        <v>0.01168</v>
      </c>
    </row>
    <row r="1516" spans="1:5" ht="12.75">
      <c r="A1516" s="158" t="s">
        <v>560</v>
      </c>
      <c r="B1516" s="157" t="s">
        <v>705</v>
      </c>
      <c r="C1516" s="117" t="str">
        <f t="shared" si="69"/>
        <v>South Fork - Humboldt</v>
      </c>
      <c r="D1516" s="223">
        <f t="shared" si="70"/>
        <v>0.11391666666666665</v>
      </c>
      <c r="E1516" s="224">
        <f t="shared" si="71"/>
        <v>0.01055</v>
      </c>
    </row>
    <row r="1517" spans="1:5" ht="12.75">
      <c r="A1517" s="158" t="s">
        <v>561</v>
      </c>
      <c r="B1517" s="157" t="s">
        <v>677</v>
      </c>
      <c r="C1517" s="117" t="str">
        <f t="shared" si="69"/>
        <v>South Gate - Los Angeles</v>
      </c>
      <c r="D1517" s="223">
        <f t="shared" si="70"/>
        <v>0.12533333333333332</v>
      </c>
      <c r="E1517" s="224">
        <f t="shared" si="71"/>
        <v>0.01168</v>
      </c>
    </row>
    <row r="1518" spans="1:5" ht="12.75">
      <c r="A1518" s="158" t="s">
        <v>562</v>
      </c>
      <c r="B1518" s="157" t="s">
        <v>708</v>
      </c>
      <c r="C1518" s="117" t="str">
        <f t="shared" si="69"/>
        <v>South Laguna  - Orange</v>
      </c>
      <c r="D1518" s="223">
        <f t="shared" si="70"/>
        <v>0.0915</v>
      </c>
      <c r="E1518" s="224">
        <f t="shared" si="71"/>
        <v>0.01054</v>
      </c>
    </row>
    <row r="1519" spans="1:5" ht="12.75">
      <c r="A1519" s="158" t="s">
        <v>563</v>
      </c>
      <c r="B1519" s="157" t="s">
        <v>696</v>
      </c>
      <c r="C1519" s="117" t="str">
        <f t="shared" si="69"/>
        <v>South Lake Tahoe - El Dorado</v>
      </c>
      <c r="D1519" s="223">
        <f t="shared" si="70"/>
        <v>0.12433333333333335</v>
      </c>
      <c r="E1519" s="224">
        <f t="shared" si="71"/>
        <v>0.01055</v>
      </c>
    </row>
    <row r="1520" spans="1:5" ht="12.75">
      <c r="A1520" s="158" t="s">
        <v>564</v>
      </c>
      <c r="B1520" s="157" t="s">
        <v>677</v>
      </c>
      <c r="C1520" s="117" t="str">
        <f t="shared" si="69"/>
        <v>South Pasadena - Los Angeles</v>
      </c>
      <c r="D1520" s="223">
        <f t="shared" si="70"/>
        <v>0.12533333333333332</v>
      </c>
      <c r="E1520" s="224">
        <f t="shared" si="71"/>
        <v>0.01168</v>
      </c>
    </row>
    <row r="1521" spans="1:5" ht="12.75">
      <c r="A1521" s="158" t="s">
        <v>565</v>
      </c>
      <c r="B1521" s="157" t="s">
        <v>778</v>
      </c>
      <c r="C1521" s="117" t="str">
        <f t="shared" si="69"/>
        <v>South San Francisco - San Mateo</v>
      </c>
      <c r="D1521" s="223">
        <f t="shared" si="70"/>
        <v>0.08433333333333333</v>
      </c>
      <c r="E1521" s="224">
        <f t="shared" si="71"/>
        <v>0.01085</v>
      </c>
    </row>
    <row r="1522" spans="1:5" ht="12.75">
      <c r="A1522" s="158" t="s">
        <v>566</v>
      </c>
      <c r="B1522" s="157" t="s">
        <v>697</v>
      </c>
      <c r="C1522" s="117" t="str">
        <f t="shared" si="69"/>
        <v>South Shore  - Alameda</v>
      </c>
      <c r="D1522" s="223">
        <f t="shared" si="70"/>
        <v>0.10916666666666666</v>
      </c>
      <c r="E1522" s="224">
        <f t="shared" si="71"/>
        <v>0.011890000000000001</v>
      </c>
    </row>
    <row r="1523" spans="1:5" ht="12.75">
      <c r="A1523" s="158" t="s">
        <v>567</v>
      </c>
      <c r="B1523" s="157" t="s">
        <v>677</v>
      </c>
      <c r="C1523" s="117" t="str">
        <f t="shared" si="69"/>
        <v>South Whittier - Los Angeles</v>
      </c>
      <c r="D1523" s="223">
        <f t="shared" si="70"/>
        <v>0.12533333333333332</v>
      </c>
      <c r="E1523" s="224">
        <f t="shared" si="71"/>
        <v>0.01168</v>
      </c>
    </row>
    <row r="1524" spans="1:5" ht="12.75">
      <c r="A1524" s="158" t="s">
        <v>568</v>
      </c>
      <c r="B1524" s="157" t="s">
        <v>735</v>
      </c>
      <c r="C1524" s="117" t="str">
        <f t="shared" si="69"/>
        <v>Spanish Flat - Napa</v>
      </c>
      <c r="D1524" s="223">
        <f t="shared" si="70"/>
        <v>0.09708333333333334</v>
      </c>
      <c r="E1524" s="224">
        <f t="shared" si="71"/>
        <v>0.01093</v>
      </c>
    </row>
    <row r="1525" spans="1:5" ht="12.75">
      <c r="A1525" s="158" t="s">
        <v>569</v>
      </c>
      <c r="B1525" s="157" t="s">
        <v>764</v>
      </c>
      <c r="C1525" s="117" t="str">
        <f t="shared" si="69"/>
        <v>Spreckels - Monterey</v>
      </c>
      <c r="D1525" s="223">
        <f t="shared" si="70"/>
        <v>0.12916666666666665</v>
      </c>
      <c r="E1525" s="224">
        <f t="shared" si="71"/>
        <v>0.01084</v>
      </c>
    </row>
    <row r="1526" spans="1:5" ht="12.75">
      <c r="A1526" s="158" t="s">
        <v>570</v>
      </c>
      <c r="B1526" s="157" t="s">
        <v>714</v>
      </c>
      <c r="C1526" s="117" t="str">
        <f t="shared" si="69"/>
        <v>Spring Garden - Plumas</v>
      </c>
      <c r="D1526" s="223">
        <f t="shared" si="70"/>
        <v>0.16258333333333333</v>
      </c>
      <c r="E1526" s="224">
        <f t="shared" si="71"/>
        <v>0.01038</v>
      </c>
    </row>
    <row r="1527" spans="1:5" ht="12.75">
      <c r="A1527" s="158" t="s">
        <v>571</v>
      </c>
      <c r="B1527" s="157" t="s">
        <v>689</v>
      </c>
      <c r="C1527" s="117" t="str">
        <f t="shared" si="69"/>
        <v>Spring Valley - San Diego</v>
      </c>
      <c r="D1527" s="223">
        <f t="shared" si="70"/>
        <v>0.10283333333333333</v>
      </c>
      <c r="E1527" s="224">
        <f t="shared" si="71"/>
        <v>0.01076</v>
      </c>
    </row>
    <row r="1528" spans="1:5" ht="12.75">
      <c r="A1528" s="158" t="s">
        <v>572</v>
      </c>
      <c r="B1528" s="157" t="s">
        <v>718</v>
      </c>
      <c r="C1528" s="117" t="str">
        <f t="shared" si="69"/>
        <v>Springville - Tulare</v>
      </c>
      <c r="D1528" s="223">
        <f t="shared" si="70"/>
        <v>0.16641666666666666</v>
      </c>
      <c r="E1528" s="224">
        <f t="shared" si="71"/>
        <v>0.01088</v>
      </c>
    </row>
    <row r="1529" spans="1:5" ht="12.75">
      <c r="A1529" s="158" t="s">
        <v>573</v>
      </c>
      <c r="B1529" s="157" t="s">
        <v>703</v>
      </c>
      <c r="C1529" s="117" t="str">
        <f t="shared" si="69"/>
        <v>Spyrock - Mendocino</v>
      </c>
      <c r="D1529" s="223">
        <f t="shared" si="70"/>
        <v>0.11325000000000002</v>
      </c>
      <c r="E1529" s="224">
        <f t="shared" si="71"/>
        <v>0.01097</v>
      </c>
    </row>
    <row r="1530" spans="1:5" ht="12.75">
      <c r="A1530" s="158" t="s">
        <v>574</v>
      </c>
      <c r="B1530" s="157" t="s">
        <v>783</v>
      </c>
      <c r="C1530" s="117" t="str">
        <f t="shared" si="69"/>
        <v>Squaw Valley - Fresno</v>
      </c>
      <c r="D1530" s="223">
        <f t="shared" si="70"/>
        <v>0.1685</v>
      </c>
      <c r="E1530" s="224">
        <f t="shared" si="71"/>
        <v>0.01165</v>
      </c>
    </row>
    <row r="1531" spans="1:5" ht="12.75">
      <c r="A1531" s="158" t="s">
        <v>575</v>
      </c>
      <c r="B1531" s="157" t="s">
        <v>735</v>
      </c>
      <c r="C1531" s="117" t="str">
        <f t="shared" si="69"/>
        <v>St. Helena - Napa</v>
      </c>
      <c r="D1531" s="223">
        <f t="shared" si="70"/>
        <v>0.09708333333333334</v>
      </c>
      <c r="E1531" s="224">
        <f t="shared" si="71"/>
        <v>0.01093</v>
      </c>
    </row>
    <row r="1532" spans="1:5" ht="12.75">
      <c r="A1532" s="158" t="s">
        <v>576</v>
      </c>
      <c r="B1532" s="157" t="s">
        <v>856</v>
      </c>
      <c r="C1532" s="117" t="str">
        <f t="shared" si="69"/>
        <v>Standard - Tuolumne</v>
      </c>
      <c r="D1532" s="223">
        <f t="shared" si="70"/>
        <v>0.13766666666666666</v>
      </c>
      <c r="E1532" s="224">
        <f t="shared" si="71"/>
        <v>0.01042</v>
      </c>
    </row>
    <row r="1533" spans="1:5" ht="12.75">
      <c r="A1533" s="158" t="s">
        <v>577</v>
      </c>
      <c r="B1533" s="157" t="s">
        <v>847</v>
      </c>
      <c r="C1533" s="117" t="str">
        <f t="shared" si="69"/>
        <v>Standish - Lassen</v>
      </c>
      <c r="D1533" s="223">
        <f t="shared" si="70"/>
        <v>0.1388333333333333</v>
      </c>
      <c r="E1533" s="224">
        <f t="shared" si="71"/>
        <v>0.01024</v>
      </c>
    </row>
    <row r="1534" spans="1:5" ht="12.75">
      <c r="A1534" s="158" t="s">
        <v>578</v>
      </c>
      <c r="B1534" s="157" t="s">
        <v>712</v>
      </c>
      <c r="C1534" s="117" t="str">
        <f t="shared" si="69"/>
        <v>Stanford - Santa Clara</v>
      </c>
      <c r="D1534" s="223">
        <f t="shared" si="70"/>
        <v>0.10433333333333333</v>
      </c>
      <c r="E1534" s="224">
        <f t="shared" si="71"/>
        <v>0.011810000000000001</v>
      </c>
    </row>
    <row r="1535" spans="1:5" ht="12.75">
      <c r="A1535" s="158" t="s">
        <v>1162</v>
      </c>
      <c r="B1535" s="157" t="s">
        <v>856</v>
      </c>
      <c r="C1535" s="117" t="str">
        <f t="shared" si="69"/>
        <v>Stanislaus - Tuolumne</v>
      </c>
      <c r="D1535" s="223">
        <f t="shared" si="70"/>
        <v>0.13766666666666666</v>
      </c>
      <c r="E1535" s="224">
        <f t="shared" si="71"/>
        <v>0.01042</v>
      </c>
    </row>
    <row r="1536" spans="1:5" ht="12.75">
      <c r="A1536" s="158" t="s">
        <v>579</v>
      </c>
      <c r="B1536" s="157" t="s">
        <v>708</v>
      </c>
      <c r="C1536" s="117" t="str">
        <f t="shared" si="69"/>
        <v>Stanton - Orange</v>
      </c>
      <c r="D1536" s="223">
        <f t="shared" si="70"/>
        <v>0.0915</v>
      </c>
      <c r="E1536" s="224">
        <f t="shared" si="71"/>
        <v>0.01054</v>
      </c>
    </row>
    <row r="1537" spans="1:5" ht="12.75">
      <c r="A1537" s="158" t="s">
        <v>580</v>
      </c>
      <c r="B1537" s="157" t="s">
        <v>735</v>
      </c>
      <c r="C1537" s="117" t="str">
        <f t="shared" si="69"/>
        <v>Steele Park - Napa</v>
      </c>
      <c r="D1537" s="223">
        <f t="shared" si="70"/>
        <v>0.09708333333333334</v>
      </c>
      <c r="E1537" s="224">
        <f t="shared" si="71"/>
        <v>0.01093</v>
      </c>
    </row>
    <row r="1538" spans="1:5" ht="12.75">
      <c r="A1538" s="158" t="s">
        <v>581</v>
      </c>
      <c r="B1538" s="157" t="s">
        <v>677</v>
      </c>
      <c r="C1538" s="117" t="str">
        <f t="shared" si="69"/>
        <v>Stevenson Ranch - Los Angeles</v>
      </c>
      <c r="D1538" s="223">
        <f t="shared" si="70"/>
        <v>0.12533333333333332</v>
      </c>
      <c r="E1538" s="224">
        <f t="shared" si="71"/>
        <v>0.01168</v>
      </c>
    </row>
    <row r="1539" spans="1:5" ht="12.75">
      <c r="A1539" s="158" t="s">
        <v>582</v>
      </c>
      <c r="B1539" s="157" t="s">
        <v>780</v>
      </c>
      <c r="C1539" s="117" t="str">
        <f t="shared" si="69"/>
        <v>Stevinson - Merced</v>
      </c>
      <c r="D1539" s="223">
        <f t="shared" si="70"/>
        <v>0.1885</v>
      </c>
      <c r="E1539" s="224">
        <f t="shared" si="71"/>
        <v>0.01061</v>
      </c>
    </row>
    <row r="1540" spans="1:5" ht="12.75">
      <c r="A1540" s="158" t="s">
        <v>583</v>
      </c>
      <c r="B1540" s="157" t="s">
        <v>687</v>
      </c>
      <c r="C1540" s="117" t="str">
        <f t="shared" si="69"/>
        <v>Stewarts Point - Sonoma</v>
      </c>
      <c r="D1540" s="223">
        <f t="shared" si="70"/>
        <v>0.10133333333333334</v>
      </c>
      <c r="E1540" s="224">
        <f t="shared" si="71"/>
        <v>0.01115</v>
      </c>
    </row>
    <row r="1541" spans="1:5" ht="12.75">
      <c r="A1541" s="158" t="s">
        <v>584</v>
      </c>
      <c r="B1541" s="157" t="s">
        <v>834</v>
      </c>
      <c r="C1541" s="117" t="str">
        <f t="shared" si="69"/>
        <v>Stinson Beach - Marin</v>
      </c>
      <c r="D1541" s="223">
        <f t="shared" si="70"/>
        <v>0.08033333333333333</v>
      </c>
      <c r="E1541" s="224">
        <f t="shared" si="71"/>
        <v>0.01105</v>
      </c>
    </row>
    <row r="1542" spans="1:5" ht="12.75">
      <c r="A1542" s="158" t="s">
        <v>585</v>
      </c>
      <c r="B1542" s="157" t="s">
        <v>803</v>
      </c>
      <c r="C1542" s="117" t="str">
        <f t="shared" si="69"/>
        <v>Stirling City - Butte</v>
      </c>
      <c r="D1542" s="223">
        <f t="shared" si="70"/>
        <v>0.13741666666666666</v>
      </c>
      <c r="E1542" s="224">
        <f t="shared" si="71"/>
        <v>0.01064</v>
      </c>
    </row>
    <row r="1543" spans="1:5" ht="12.75">
      <c r="A1543" s="158" t="s">
        <v>586</v>
      </c>
      <c r="B1543" s="157" t="s">
        <v>675</v>
      </c>
      <c r="C1543" s="117" t="str">
        <f aca="true" t="shared" si="72" ref="C1543:C1606">A1543&amp;" - "&amp;B1543</f>
        <v>Stockton - San Joaquin</v>
      </c>
      <c r="D1543" s="223">
        <f t="shared" si="70"/>
        <v>0.17300000000000001</v>
      </c>
      <c r="E1543" s="224">
        <f t="shared" si="71"/>
        <v>0.01113</v>
      </c>
    </row>
    <row r="1544" spans="1:5" ht="12.75">
      <c r="A1544" s="158" t="s">
        <v>587</v>
      </c>
      <c r="B1544" s="157" t="s">
        <v>753</v>
      </c>
      <c r="C1544" s="117" t="str">
        <f t="shared" si="72"/>
        <v>Stonyford - Colusa</v>
      </c>
      <c r="D1544" s="223">
        <f aca="true" t="shared" si="73" ref="D1544:D1607">VLOOKUP(B1544,unemployment_rates,2,FALSE)</f>
        <v>0.20800000000000002</v>
      </c>
      <c r="E1544" s="224">
        <f aca="true" t="shared" si="74" ref="E1544:E1607">VLOOKUP(B1544,Prop_Tax_Rates,2,FALSE)</f>
        <v>0.01027</v>
      </c>
    </row>
    <row r="1545" spans="1:5" ht="12.75">
      <c r="A1545" s="158" t="s">
        <v>588</v>
      </c>
      <c r="B1545" s="157" t="s">
        <v>714</v>
      </c>
      <c r="C1545" s="117" t="str">
        <f t="shared" si="72"/>
        <v>Storrie - Plumas</v>
      </c>
      <c r="D1545" s="223">
        <f t="shared" si="73"/>
        <v>0.16258333333333333</v>
      </c>
      <c r="E1545" s="224">
        <f t="shared" si="74"/>
        <v>0.01038</v>
      </c>
    </row>
    <row r="1546" spans="1:5" ht="12.75">
      <c r="A1546" s="158" t="s">
        <v>589</v>
      </c>
      <c r="B1546" s="157" t="s">
        <v>760</v>
      </c>
      <c r="C1546" s="117" t="str">
        <f t="shared" si="72"/>
        <v>Stratford - Kings</v>
      </c>
      <c r="D1546" s="223">
        <f t="shared" si="73"/>
        <v>0.16516666666666666</v>
      </c>
      <c r="E1546" s="224">
        <f t="shared" si="74"/>
        <v>0.01075</v>
      </c>
    </row>
    <row r="1547" spans="1:5" ht="12.75">
      <c r="A1547" s="158" t="s">
        <v>2216</v>
      </c>
      <c r="B1547" s="157" t="s">
        <v>718</v>
      </c>
      <c r="C1547" s="117" t="str">
        <f t="shared" si="72"/>
        <v>Strathmore - Tulare</v>
      </c>
      <c r="D1547" s="223">
        <f t="shared" si="73"/>
        <v>0.16641666666666666</v>
      </c>
      <c r="E1547" s="224">
        <f t="shared" si="74"/>
        <v>0.01088</v>
      </c>
    </row>
    <row r="1548" spans="1:5" ht="12.75">
      <c r="A1548" s="158" t="s">
        <v>2217</v>
      </c>
      <c r="B1548" s="157" t="s">
        <v>856</v>
      </c>
      <c r="C1548" s="117" t="str">
        <f t="shared" si="72"/>
        <v>Strawberry - Tuolumne</v>
      </c>
      <c r="D1548" s="223">
        <f t="shared" si="73"/>
        <v>0.13766666666666666</v>
      </c>
      <c r="E1548" s="224">
        <f t="shared" si="74"/>
        <v>0.01042</v>
      </c>
    </row>
    <row r="1549" spans="1:5" ht="12.75">
      <c r="A1549" s="158" t="s">
        <v>2218</v>
      </c>
      <c r="B1549" s="157" t="s">
        <v>820</v>
      </c>
      <c r="C1549" s="117" t="str">
        <f t="shared" si="72"/>
        <v>Strawberry Valley - Yuba</v>
      </c>
      <c r="D1549" s="223">
        <f t="shared" si="73"/>
        <v>0.1881666666666667</v>
      </c>
      <c r="E1549" s="224">
        <f t="shared" si="74"/>
        <v>0.01102</v>
      </c>
    </row>
    <row r="1550" spans="1:5" ht="12.75">
      <c r="A1550" s="158" t="s">
        <v>2219</v>
      </c>
      <c r="B1550" s="157" t="s">
        <v>677</v>
      </c>
      <c r="C1550" s="117" t="str">
        <f t="shared" si="72"/>
        <v>Studio City  - Los Angeles</v>
      </c>
      <c r="D1550" s="223">
        <f t="shared" si="73"/>
        <v>0.12533333333333332</v>
      </c>
      <c r="E1550" s="224">
        <f t="shared" si="74"/>
        <v>0.01168</v>
      </c>
    </row>
    <row r="1551" spans="1:5" ht="12.75">
      <c r="A1551" s="158" t="s">
        <v>2220</v>
      </c>
      <c r="B1551" s="157" t="s">
        <v>681</v>
      </c>
      <c r="C1551" s="117" t="str">
        <f t="shared" si="72"/>
        <v>Sugarloaf - San Bernardino</v>
      </c>
      <c r="D1551" s="223">
        <f t="shared" si="73"/>
        <v>0.13891666666666666</v>
      </c>
      <c r="E1551" s="224">
        <f t="shared" si="74"/>
        <v>0.01134</v>
      </c>
    </row>
    <row r="1552" spans="1:5" ht="12.75">
      <c r="A1552" s="158" t="s">
        <v>2221</v>
      </c>
      <c r="B1552" s="157" t="s">
        <v>837</v>
      </c>
      <c r="C1552" s="117" t="str">
        <f t="shared" si="72"/>
        <v>Suisun City - Solano</v>
      </c>
      <c r="D1552" s="223">
        <f t="shared" si="73"/>
        <v>0.11916666666666666</v>
      </c>
      <c r="E1552" s="224">
        <f t="shared" si="74"/>
        <v>0.01121</v>
      </c>
    </row>
    <row r="1553" spans="1:5" ht="12.75">
      <c r="A1553" s="158" t="s">
        <v>2222</v>
      </c>
      <c r="B1553" s="157" t="s">
        <v>677</v>
      </c>
      <c r="C1553" s="117" t="str">
        <f t="shared" si="72"/>
        <v>Sulphur Springs - Los Angeles</v>
      </c>
      <c r="D1553" s="223">
        <f t="shared" si="73"/>
        <v>0.12533333333333332</v>
      </c>
      <c r="E1553" s="224">
        <f t="shared" si="74"/>
        <v>0.01168</v>
      </c>
    </row>
    <row r="1554" spans="1:5" ht="12.75">
      <c r="A1554" s="158" t="s">
        <v>2223</v>
      </c>
      <c r="B1554" s="157" t="s">
        <v>718</v>
      </c>
      <c r="C1554" s="117" t="str">
        <f t="shared" si="72"/>
        <v>Sultana - Tulare</v>
      </c>
      <c r="D1554" s="223">
        <f t="shared" si="73"/>
        <v>0.16641666666666666</v>
      </c>
      <c r="E1554" s="224">
        <f t="shared" si="74"/>
        <v>0.01088</v>
      </c>
    </row>
    <row r="1555" spans="1:5" ht="12.75">
      <c r="A1555" s="158" t="s">
        <v>2224</v>
      </c>
      <c r="B1555" s="157" t="s">
        <v>799</v>
      </c>
      <c r="C1555" s="117" t="str">
        <f t="shared" si="72"/>
        <v>Summerland - Santa Barbara</v>
      </c>
      <c r="D1555" s="223">
        <f t="shared" si="73"/>
        <v>0.09174999999999998</v>
      </c>
      <c r="E1555" s="224">
        <f t="shared" si="74"/>
        <v>0.01055</v>
      </c>
    </row>
    <row r="1556" spans="1:5" ht="12.75">
      <c r="A1556" s="158" t="s">
        <v>2225</v>
      </c>
      <c r="B1556" s="157" t="s">
        <v>681</v>
      </c>
      <c r="C1556" s="117" t="str">
        <f t="shared" si="72"/>
        <v>Summit - San Bernardino</v>
      </c>
      <c r="D1556" s="223">
        <f t="shared" si="73"/>
        <v>0.13891666666666666</v>
      </c>
      <c r="E1556" s="224">
        <f t="shared" si="74"/>
        <v>0.01134</v>
      </c>
    </row>
    <row r="1557" spans="1:5" ht="12.75">
      <c r="A1557" s="158" t="s">
        <v>2226</v>
      </c>
      <c r="B1557" s="157" t="s">
        <v>738</v>
      </c>
      <c r="C1557" s="117" t="str">
        <f t="shared" si="72"/>
        <v>Summit City - Shasta</v>
      </c>
      <c r="D1557" s="223">
        <f t="shared" si="73"/>
        <v>0.15616666666666668</v>
      </c>
      <c r="E1557" s="224">
        <f t="shared" si="74"/>
        <v>0.01085</v>
      </c>
    </row>
    <row r="1558" spans="1:5" ht="12.75">
      <c r="A1558" s="158" t="s">
        <v>2227</v>
      </c>
      <c r="B1558" s="157" t="s">
        <v>692</v>
      </c>
      <c r="C1558" s="117" t="str">
        <f t="shared" si="72"/>
        <v>Sun City - Riverside</v>
      </c>
      <c r="D1558" s="223">
        <f t="shared" si="73"/>
        <v>0.144</v>
      </c>
      <c r="E1558" s="224">
        <f t="shared" si="74"/>
        <v>0.01089</v>
      </c>
    </row>
    <row r="1559" spans="1:5" ht="12.75">
      <c r="A1559" s="158" t="s">
        <v>2228</v>
      </c>
      <c r="B1559" s="157" t="s">
        <v>677</v>
      </c>
      <c r="C1559" s="117" t="str">
        <f t="shared" si="72"/>
        <v>Sun Valley  - Los Angeles</v>
      </c>
      <c r="D1559" s="223">
        <f t="shared" si="73"/>
        <v>0.12533333333333332</v>
      </c>
      <c r="E1559" s="224">
        <f t="shared" si="74"/>
        <v>0.01168</v>
      </c>
    </row>
    <row r="1560" spans="1:5" ht="12.75">
      <c r="A1560" s="158" t="s">
        <v>2229</v>
      </c>
      <c r="B1560" s="157" t="s">
        <v>677</v>
      </c>
      <c r="C1560" s="117" t="str">
        <f t="shared" si="72"/>
        <v>Sunland  - Los Angeles</v>
      </c>
      <c r="D1560" s="223">
        <f t="shared" si="73"/>
        <v>0.12533333333333332</v>
      </c>
      <c r="E1560" s="224">
        <f t="shared" si="74"/>
        <v>0.01168</v>
      </c>
    </row>
    <row r="1561" spans="1:5" ht="12.75">
      <c r="A1561" s="158" t="s">
        <v>2230</v>
      </c>
      <c r="B1561" s="157" t="s">
        <v>692</v>
      </c>
      <c r="C1561" s="117" t="str">
        <f t="shared" si="72"/>
        <v>Sunnymead  - Riverside</v>
      </c>
      <c r="D1561" s="223">
        <f t="shared" si="73"/>
        <v>0.144</v>
      </c>
      <c r="E1561" s="224">
        <f t="shared" si="74"/>
        <v>0.01089</v>
      </c>
    </row>
    <row r="1562" spans="1:5" ht="12.75">
      <c r="A1562" s="158" t="s">
        <v>2231</v>
      </c>
      <c r="B1562" s="157" t="s">
        <v>689</v>
      </c>
      <c r="C1562" s="117" t="str">
        <f t="shared" si="72"/>
        <v>Sunnyside - San Diego</v>
      </c>
      <c r="D1562" s="223">
        <f t="shared" si="73"/>
        <v>0.10283333333333333</v>
      </c>
      <c r="E1562" s="224">
        <f t="shared" si="74"/>
        <v>0.01076</v>
      </c>
    </row>
    <row r="1563" spans="1:5" ht="12.75">
      <c r="A1563" s="158" t="s">
        <v>1587</v>
      </c>
      <c r="B1563" s="157" t="s">
        <v>712</v>
      </c>
      <c r="C1563" s="117" t="str">
        <f t="shared" si="72"/>
        <v>Sunnyvale - Santa Clara</v>
      </c>
      <c r="D1563" s="223">
        <f t="shared" si="73"/>
        <v>0.10433333333333333</v>
      </c>
      <c r="E1563" s="224">
        <f t="shared" si="74"/>
        <v>0.011810000000000001</v>
      </c>
    </row>
    <row r="1564" spans="1:5" ht="12.75">
      <c r="A1564" s="158" t="s">
        <v>2232</v>
      </c>
      <c r="B1564" s="157" t="s">
        <v>697</v>
      </c>
      <c r="C1564" s="117" t="str">
        <f t="shared" si="72"/>
        <v>Sunol - Alameda</v>
      </c>
      <c r="D1564" s="223">
        <f t="shared" si="73"/>
        <v>0.10916666666666666</v>
      </c>
      <c r="E1564" s="224">
        <f t="shared" si="74"/>
        <v>0.011890000000000001</v>
      </c>
    </row>
    <row r="1565" spans="1:5" ht="12.75">
      <c r="A1565" s="158" t="s">
        <v>2233</v>
      </c>
      <c r="B1565" s="157" t="s">
        <v>708</v>
      </c>
      <c r="C1565" s="117" t="str">
        <f t="shared" si="72"/>
        <v>Sunset Beach - Orange</v>
      </c>
      <c r="D1565" s="223">
        <f t="shared" si="73"/>
        <v>0.0915</v>
      </c>
      <c r="E1565" s="224">
        <f t="shared" si="74"/>
        <v>0.01054</v>
      </c>
    </row>
    <row r="1566" spans="1:5" ht="12.75">
      <c r="A1566" s="158" t="s">
        <v>2234</v>
      </c>
      <c r="B1566" s="157" t="s">
        <v>721</v>
      </c>
      <c r="C1566" s="117" t="str">
        <f t="shared" si="72"/>
        <v>Sunset Whitney Ranch - Placer</v>
      </c>
      <c r="D1566" s="223">
        <f t="shared" si="73"/>
        <v>0.11291666666666667</v>
      </c>
      <c r="E1566" s="224">
        <f t="shared" si="74"/>
        <v>0.010629999999999999</v>
      </c>
    </row>
    <row r="1567" spans="1:5" ht="12.75">
      <c r="A1567" s="158" t="s">
        <v>2235</v>
      </c>
      <c r="B1567" s="157" t="s">
        <v>708</v>
      </c>
      <c r="C1567" s="117" t="str">
        <f t="shared" si="72"/>
        <v>Surfside  - Orange</v>
      </c>
      <c r="D1567" s="223">
        <f t="shared" si="73"/>
        <v>0.0915</v>
      </c>
      <c r="E1567" s="224">
        <f t="shared" si="74"/>
        <v>0.01054</v>
      </c>
    </row>
    <row r="1568" spans="1:5" ht="12.75">
      <c r="A1568" s="158" t="s">
        <v>2236</v>
      </c>
      <c r="B1568" s="157" t="s">
        <v>847</v>
      </c>
      <c r="C1568" s="117" t="str">
        <f t="shared" si="72"/>
        <v>Susanville - Lassen</v>
      </c>
      <c r="D1568" s="223">
        <f t="shared" si="73"/>
        <v>0.1388333333333333</v>
      </c>
      <c r="E1568" s="224">
        <f t="shared" si="74"/>
        <v>0.01024</v>
      </c>
    </row>
    <row r="1569" spans="1:5" ht="12.75">
      <c r="A1569" s="158" t="s">
        <v>2046</v>
      </c>
      <c r="B1569" s="157" t="s">
        <v>2046</v>
      </c>
      <c r="C1569" s="117" t="str">
        <f t="shared" si="72"/>
        <v>Sutter - Sutter</v>
      </c>
      <c r="D1569" s="223">
        <f t="shared" si="73"/>
        <v>0.19824999999999998</v>
      </c>
      <c r="E1569" s="224">
        <f t="shared" si="74"/>
        <v>0.010700000000000001</v>
      </c>
    </row>
    <row r="1570" spans="1:5" ht="12.75">
      <c r="A1570" s="158" t="s">
        <v>2237</v>
      </c>
      <c r="B1570" s="157" t="s">
        <v>730</v>
      </c>
      <c r="C1570" s="117" t="str">
        <f t="shared" si="72"/>
        <v>Sutter Creek - Amador</v>
      </c>
      <c r="D1570" s="223">
        <f t="shared" si="73"/>
        <v>0.13091666666666668</v>
      </c>
      <c r="E1570" s="224">
        <f t="shared" si="74"/>
        <v>0.01015</v>
      </c>
    </row>
    <row r="1571" spans="1:5" ht="12.75">
      <c r="A1571" s="158" t="s">
        <v>2238</v>
      </c>
      <c r="B1571" s="157" t="s">
        <v>732</v>
      </c>
      <c r="C1571" s="117" t="str">
        <f t="shared" si="72"/>
        <v>Swall Meadows  - Inyo</v>
      </c>
      <c r="D1571" s="223">
        <f t="shared" si="73"/>
        <v>0.10058333333333332</v>
      </c>
      <c r="E1571" s="224">
        <f t="shared" si="74"/>
        <v>0.01052</v>
      </c>
    </row>
    <row r="1572" spans="1:5" ht="12.75">
      <c r="A1572" s="158" t="s">
        <v>2239</v>
      </c>
      <c r="B1572" s="157" t="s">
        <v>677</v>
      </c>
      <c r="C1572" s="117" t="str">
        <f t="shared" si="72"/>
        <v>Sylmar  - Los Angeles</v>
      </c>
      <c r="D1572" s="223">
        <f t="shared" si="73"/>
        <v>0.12533333333333332</v>
      </c>
      <c r="E1572" s="224">
        <f t="shared" si="74"/>
        <v>0.01168</v>
      </c>
    </row>
    <row r="1573" spans="1:5" ht="12.75">
      <c r="A1573" s="158" t="s">
        <v>2240</v>
      </c>
      <c r="B1573" s="157" t="s">
        <v>772</v>
      </c>
      <c r="C1573" s="117" t="str">
        <f t="shared" si="72"/>
        <v>Taft - Kern</v>
      </c>
      <c r="D1573" s="223">
        <f t="shared" si="73"/>
        <v>0.15741666666666668</v>
      </c>
      <c r="E1573" s="224">
        <f t="shared" si="74"/>
        <v>0.01114</v>
      </c>
    </row>
    <row r="1574" spans="1:5" ht="12.75">
      <c r="A1574" s="158" t="s">
        <v>2241</v>
      </c>
      <c r="B1574" s="157" t="s">
        <v>718</v>
      </c>
      <c r="C1574" s="117" t="str">
        <f t="shared" si="72"/>
        <v>Tagus Ranch - Tulare</v>
      </c>
      <c r="D1574" s="223">
        <f t="shared" si="73"/>
        <v>0.16641666666666666</v>
      </c>
      <c r="E1574" s="224">
        <f t="shared" si="74"/>
        <v>0.01088</v>
      </c>
    </row>
    <row r="1575" spans="1:5" ht="12.75">
      <c r="A1575" s="158" t="s">
        <v>2242</v>
      </c>
      <c r="B1575" s="157" t="s">
        <v>721</v>
      </c>
      <c r="C1575" s="117" t="str">
        <f t="shared" si="72"/>
        <v>Tahoe City - Placer</v>
      </c>
      <c r="D1575" s="223">
        <f t="shared" si="73"/>
        <v>0.11291666666666667</v>
      </c>
      <c r="E1575" s="224">
        <f t="shared" si="74"/>
        <v>0.010629999999999999</v>
      </c>
    </row>
    <row r="1576" spans="1:5" ht="12.75">
      <c r="A1576" s="158" t="s">
        <v>2243</v>
      </c>
      <c r="B1576" s="157" t="s">
        <v>696</v>
      </c>
      <c r="C1576" s="117" t="str">
        <f t="shared" si="72"/>
        <v>Tahoe Paradise - El Dorado</v>
      </c>
      <c r="D1576" s="223">
        <f t="shared" si="73"/>
        <v>0.12433333333333335</v>
      </c>
      <c r="E1576" s="224">
        <f t="shared" si="74"/>
        <v>0.01055</v>
      </c>
    </row>
    <row r="1577" spans="1:5" ht="12.75">
      <c r="A1577" s="158" t="s">
        <v>2244</v>
      </c>
      <c r="B1577" s="157" t="s">
        <v>696</v>
      </c>
      <c r="C1577" s="117" t="str">
        <f t="shared" si="72"/>
        <v>Tahoe Valley - El Dorado</v>
      </c>
      <c r="D1577" s="223">
        <f t="shared" si="73"/>
        <v>0.12433333333333335</v>
      </c>
      <c r="E1577" s="224">
        <f t="shared" si="74"/>
        <v>0.01055</v>
      </c>
    </row>
    <row r="1578" spans="1:5" ht="12.75">
      <c r="A1578" s="158" t="s">
        <v>2245</v>
      </c>
      <c r="B1578" s="157" t="s">
        <v>721</v>
      </c>
      <c r="C1578" s="117" t="str">
        <f t="shared" si="72"/>
        <v>Tahoe Vista - Placer</v>
      </c>
      <c r="D1578" s="223">
        <f t="shared" si="73"/>
        <v>0.11291666666666667</v>
      </c>
      <c r="E1578" s="224">
        <f t="shared" si="74"/>
        <v>0.010629999999999999</v>
      </c>
    </row>
    <row r="1579" spans="1:5" ht="12.75">
      <c r="A1579" s="158" t="s">
        <v>2246</v>
      </c>
      <c r="B1579" s="157" t="s">
        <v>721</v>
      </c>
      <c r="C1579" s="117" t="str">
        <f t="shared" si="72"/>
        <v>Tahoma - Placer</v>
      </c>
      <c r="D1579" s="223">
        <f t="shared" si="73"/>
        <v>0.11291666666666667</v>
      </c>
      <c r="E1579" s="224">
        <f t="shared" si="74"/>
        <v>0.010629999999999999</v>
      </c>
    </row>
    <row r="1580" spans="1:5" ht="12.75">
      <c r="A1580" s="158" t="s">
        <v>2247</v>
      </c>
      <c r="B1580" s="157" t="s">
        <v>703</v>
      </c>
      <c r="C1580" s="117" t="str">
        <f t="shared" si="72"/>
        <v>Talmage - Mendocino</v>
      </c>
      <c r="D1580" s="223">
        <f t="shared" si="73"/>
        <v>0.11325000000000002</v>
      </c>
      <c r="E1580" s="224">
        <f t="shared" si="74"/>
        <v>0.01097</v>
      </c>
    </row>
    <row r="1581" spans="1:5" ht="12.75">
      <c r="A1581" s="158" t="s">
        <v>2248</v>
      </c>
      <c r="B1581" s="157" t="s">
        <v>834</v>
      </c>
      <c r="C1581" s="117" t="str">
        <f t="shared" si="72"/>
        <v>Tamal  - Marin</v>
      </c>
      <c r="D1581" s="223">
        <f t="shared" si="73"/>
        <v>0.08033333333333333</v>
      </c>
      <c r="E1581" s="224">
        <f t="shared" si="74"/>
        <v>0.01105</v>
      </c>
    </row>
    <row r="1582" spans="1:5" ht="12.75">
      <c r="A1582" s="158" t="s">
        <v>2249</v>
      </c>
      <c r="B1582" s="157" t="s">
        <v>677</v>
      </c>
      <c r="C1582" s="117" t="str">
        <f t="shared" si="72"/>
        <v>Tarzana - Los Angeles</v>
      </c>
      <c r="D1582" s="223">
        <f t="shared" si="73"/>
        <v>0.12533333333333332</v>
      </c>
      <c r="E1582" s="224">
        <f t="shared" si="74"/>
        <v>0.01168</v>
      </c>
    </row>
    <row r="1583" spans="1:5" ht="12.75">
      <c r="A1583" s="158" t="s">
        <v>2250</v>
      </c>
      <c r="B1583" s="157" t="s">
        <v>714</v>
      </c>
      <c r="C1583" s="117" t="str">
        <f t="shared" si="72"/>
        <v>Taylorsville - Plumas</v>
      </c>
      <c r="D1583" s="223">
        <f t="shared" si="73"/>
        <v>0.16258333333333333</v>
      </c>
      <c r="E1583" s="224">
        <f t="shared" si="74"/>
        <v>0.01038</v>
      </c>
    </row>
    <row r="1584" spans="1:5" ht="12.75">
      <c r="A1584" s="158" t="s">
        <v>2251</v>
      </c>
      <c r="B1584" s="157" t="s">
        <v>689</v>
      </c>
      <c r="C1584" s="117" t="str">
        <f t="shared" si="72"/>
        <v>Tecate - San Diego</v>
      </c>
      <c r="D1584" s="223">
        <f t="shared" si="73"/>
        <v>0.10283333333333333</v>
      </c>
      <c r="E1584" s="224">
        <f t="shared" si="74"/>
        <v>0.01076</v>
      </c>
    </row>
    <row r="1585" spans="1:5" ht="12.75">
      <c r="A1585" s="158" t="s">
        <v>2252</v>
      </c>
      <c r="B1585" s="157" t="s">
        <v>732</v>
      </c>
      <c r="C1585" s="117" t="str">
        <f t="shared" si="72"/>
        <v>Tecopa - Inyo</v>
      </c>
      <c r="D1585" s="223">
        <f t="shared" si="73"/>
        <v>0.10058333333333332</v>
      </c>
      <c r="E1585" s="224">
        <f t="shared" si="74"/>
        <v>0.01052</v>
      </c>
    </row>
    <row r="1586" spans="1:5" ht="12.75">
      <c r="A1586" s="158" t="s">
        <v>2253</v>
      </c>
      <c r="B1586" s="157" t="s">
        <v>772</v>
      </c>
      <c r="C1586" s="117" t="str">
        <f t="shared" si="72"/>
        <v>Tehachapi - Kern</v>
      </c>
      <c r="D1586" s="223">
        <f t="shared" si="73"/>
        <v>0.15741666666666668</v>
      </c>
      <c r="E1586" s="224">
        <f t="shared" si="74"/>
        <v>0.01114</v>
      </c>
    </row>
    <row r="1587" spans="1:5" ht="12.75">
      <c r="A1587" s="158" t="s">
        <v>1934</v>
      </c>
      <c r="B1587" s="157" t="s">
        <v>1934</v>
      </c>
      <c r="C1587" s="117" t="str">
        <f t="shared" si="72"/>
        <v>Tehama - Tehama</v>
      </c>
      <c r="D1587" s="223">
        <f t="shared" si="73"/>
        <v>0.15649999999999997</v>
      </c>
      <c r="E1587" s="224">
        <f t="shared" si="74"/>
        <v>0.01022</v>
      </c>
    </row>
    <row r="1588" spans="1:5" ht="12.75">
      <c r="A1588" s="158" t="s">
        <v>2254</v>
      </c>
      <c r="B1588" s="157" t="s">
        <v>692</v>
      </c>
      <c r="C1588" s="117" t="str">
        <f t="shared" si="72"/>
        <v>Temecula - Riverside</v>
      </c>
      <c r="D1588" s="223">
        <f t="shared" si="73"/>
        <v>0.144</v>
      </c>
      <c r="E1588" s="224">
        <f t="shared" si="74"/>
        <v>0.01089</v>
      </c>
    </row>
    <row r="1589" spans="1:5" ht="12.75">
      <c r="A1589" s="158" t="s">
        <v>2255</v>
      </c>
      <c r="B1589" s="157" t="s">
        <v>677</v>
      </c>
      <c r="C1589" s="117" t="str">
        <f t="shared" si="72"/>
        <v>Temple City - Los Angeles</v>
      </c>
      <c r="D1589" s="223">
        <f t="shared" si="73"/>
        <v>0.12533333333333332</v>
      </c>
      <c r="E1589" s="224">
        <f t="shared" si="74"/>
        <v>0.01168</v>
      </c>
    </row>
    <row r="1590" spans="1:5" ht="12.75">
      <c r="A1590" s="158" t="s">
        <v>2256</v>
      </c>
      <c r="B1590" s="157" t="s">
        <v>679</v>
      </c>
      <c r="C1590" s="117" t="str">
        <f t="shared" si="72"/>
        <v>Templeton - San Luis Obispo</v>
      </c>
      <c r="D1590" s="223">
        <f t="shared" si="73"/>
        <v>0.099</v>
      </c>
      <c r="E1590" s="224">
        <f t="shared" si="74"/>
        <v>0.01039</v>
      </c>
    </row>
    <row r="1591" spans="1:5" ht="12.75">
      <c r="A1591" s="158" t="s">
        <v>2257</v>
      </c>
      <c r="B1591" s="157" t="s">
        <v>677</v>
      </c>
      <c r="C1591" s="117" t="str">
        <f t="shared" si="72"/>
        <v>Terminal Island  - Los Angeles</v>
      </c>
      <c r="D1591" s="223">
        <f t="shared" si="73"/>
        <v>0.12533333333333332</v>
      </c>
      <c r="E1591" s="224">
        <f t="shared" si="74"/>
        <v>0.01168</v>
      </c>
    </row>
    <row r="1592" spans="1:5" ht="12.75">
      <c r="A1592" s="158" t="s">
        <v>2258</v>
      </c>
      <c r="B1592" s="157" t="s">
        <v>847</v>
      </c>
      <c r="C1592" s="117" t="str">
        <f t="shared" si="72"/>
        <v>Termo - Lassen</v>
      </c>
      <c r="D1592" s="223">
        <f t="shared" si="73"/>
        <v>0.1388333333333333</v>
      </c>
      <c r="E1592" s="224">
        <f t="shared" si="74"/>
        <v>0.01024</v>
      </c>
    </row>
    <row r="1593" spans="1:5" ht="12.75">
      <c r="A1593" s="158" t="s">
        <v>2259</v>
      </c>
      <c r="B1593" s="157" t="s">
        <v>718</v>
      </c>
      <c r="C1593" s="117" t="str">
        <f t="shared" si="72"/>
        <v>Terra Bella - Tulare</v>
      </c>
      <c r="D1593" s="223">
        <f t="shared" si="73"/>
        <v>0.16641666666666666</v>
      </c>
      <c r="E1593" s="224">
        <f t="shared" si="74"/>
        <v>0.01088</v>
      </c>
    </row>
    <row r="1594" spans="1:5" ht="12.75">
      <c r="A1594" s="158" t="s">
        <v>2260</v>
      </c>
      <c r="B1594" s="157" t="s">
        <v>692</v>
      </c>
      <c r="C1594" s="117" t="str">
        <f t="shared" si="72"/>
        <v>Thermal - Riverside</v>
      </c>
      <c r="D1594" s="223">
        <f t="shared" si="73"/>
        <v>0.144</v>
      </c>
      <c r="E1594" s="224">
        <f t="shared" si="74"/>
        <v>0.01089</v>
      </c>
    </row>
    <row r="1595" spans="1:5" ht="12.75">
      <c r="A1595" s="158" t="s">
        <v>2261</v>
      </c>
      <c r="B1595" s="157" t="s">
        <v>675</v>
      </c>
      <c r="C1595" s="117" t="str">
        <f t="shared" si="72"/>
        <v>Thornton - San Joaquin</v>
      </c>
      <c r="D1595" s="223">
        <f t="shared" si="73"/>
        <v>0.17300000000000001</v>
      </c>
      <c r="E1595" s="224">
        <f t="shared" si="74"/>
        <v>0.01113</v>
      </c>
    </row>
    <row r="1596" spans="1:5" ht="12.75">
      <c r="A1596" s="158" t="s">
        <v>2262</v>
      </c>
      <c r="B1596" s="157" t="s">
        <v>1017</v>
      </c>
      <c r="C1596" s="117" t="str">
        <f t="shared" si="72"/>
        <v>Thousand Oaks - Ventura</v>
      </c>
      <c r="D1596" s="223">
        <f t="shared" si="73"/>
        <v>0.10525000000000001</v>
      </c>
      <c r="E1596" s="224">
        <f t="shared" si="74"/>
        <v>0.010820000000000001</v>
      </c>
    </row>
    <row r="1597" spans="1:5" ht="12.75">
      <c r="A1597" s="158" t="s">
        <v>2263</v>
      </c>
      <c r="B1597" s="157" t="s">
        <v>692</v>
      </c>
      <c r="C1597" s="117" t="str">
        <f t="shared" si="72"/>
        <v>Thousand Palms - Riverside</v>
      </c>
      <c r="D1597" s="223">
        <f t="shared" si="73"/>
        <v>0.144</v>
      </c>
      <c r="E1597" s="224">
        <f t="shared" si="74"/>
        <v>0.01089</v>
      </c>
    </row>
    <row r="1598" spans="1:5" ht="12.75">
      <c r="A1598" s="158" t="s">
        <v>2264</v>
      </c>
      <c r="B1598" s="157" t="s">
        <v>718</v>
      </c>
      <c r="C1598" s="117" t="str">
        <f t="shared" si="72"/>
        <v>Three Rivers - Tulare</v>
      </c>
      <c r="D1598" s="223">
        <f t="shared" si="73"/>
        <v>0.16641666666666666</v>
      </c>
      <c r="E1598" s="224">
        <f t="shared" si="74"/>
        <v>0.01088</v>
      </c>
    </row>
    <row r="1599" spans="1:5" ht="12.75">
      <c r="A1599" s="158" t="s">
        <v>2265</v>
      </c>
      <c r="B1599" s="157" t="s">
        <v>834</v>
      </c>
      <c r="C1599" s="117" t="str">
        <f t="shared" si="72"/>
        <v>Tiburon - Marin</v>
      </c>
      <c r="D1599" s="223">
        <f t="shared" si="73"/>
        <v>0.08033333333333333</v>
      </c>
      <c r="E1599" s="224">
        <f t="shared" si="74"/>
        <v>0.01105</v>
      </c>
    </row>
    <row r="1600" spans="1:5" ht="12.75">
      <c r="A1600" s="158" t="s">
        <v>2266</v>
      </c>
      <c r="B1600" s="157" t="s">
        <v>689</v>
      </c>
      <c r="C1600" s="117" t="str">
        <f t="shared" si="72"/>
        <v>Tierra Del Sol - San Diego</v>
      </c>
      <c r="D1600" s="223">
        <f t="shared" si="73"/>
        <v>0.10283333333333333</v>
      </c>
      <c r="E1600" s="224">
        <f t="shared" si="74"/>
        <v>0.01076</v>
      </c>
    </row>
    <row r="1601" spans="1:5" ht="12.75">
      <c r="A1601" s="158" t="s">
        <v>2267</v>
      </c>
      <c r="B1601" s="157" t="s">
        <v>689</v>
      </c>
      <c r="C1601" s="117" t="str">
        <f t="shared" si="72"/>
        <v>Tierrasanta  - San Diego</v>
      </c>
      <c r="D1601" s="223">
        <f t="shared" si="73"/>
        <v>0.10283333333333333</v>
      </c>
      <c r="E1601" s="224">
        <f t="shared" si="74"/>
        <v>0.01076</v>
      </c>
    </row>
    <row r="1602" spans="1:5" ht="12.75">
      <c r="A1602" s="158" t="s">
        <v>2268</v>
      </c>
      <c r="B1602" s="157" t="s">
        <v>718</v>
      </c>
      <c r="C1602" s="117" t="str">
        <f t="shared" si="72"/>
        <v>Tipton - Tulare</v>
      </c>
      <c r="D1602" s="223">
        <f t="shared" si="73"/>
        <v>0.16641666666666666</v>
      </c>
      <c r="E1602" s="224">
        <f t="shared" si="74"/>
        <v>0.01088</v>
      </c>
    </row>
    <row r="1603" spans="1:5" ht="12.75">
      <c r="A1603" s="158" t="s">
        <v>2269</v>
      </c>
      <c r="B1603" s="157" t="s">
        <v>783</v>
      </c>
      <c r="C1603" s="117" t="str">
        <f t="shared" si="72"/>
        <v>Tollhouse - Fresno</v>
      </c>
      <c r="D1603" s="223">
        <f t="shared" si="73"/>
        <v>0.1685</v>
      </c>
      <c r="E1603" s="224">
        <f t="shared" si="74"/>
        <v>0.01165</v>
      </c>
    </row>
    <row r="1604" spans="1:5" ht="12.75">
      <c r="A1604" s="158" t="s">
        <v>2270</v>
      </c>
      <c r="B1604" s="157" t="s">
        <v>677</v>
      </c>
      <c r="C1604" s="117" t="str">
        <f t="shared" si="72"/>
        <v>Toluca Lake  - Los Angeles</v>
      </c>
      <c r="D1604" s="223">
        <f t="shared" si="73"/>
        <v>0.12533333333333332</v>
      </c>
      <c r="E1604" s="224">
        <f t="shared" si="74"/>
        <v>0.01168</v>
      </c>
    </row>
    <row r="1605" spans="1:5" ht="12.75">
      <c r="A1605" s="158" t="s">
        <v>2271</v>
      </c>
      <c r="B1605" s="157" t="s">
        <v>834</v>
      </c>
      <c r="C1605" s="117" t="str">
        <f t="shared" si="72"/>
        <v>Tomales - Marin</v>
      </c>
      <c r="D1605" s="223">
        <f t="shared" si="73"/>
        <v>0.08033333333333333</v>
      </c>
      <c r="E1605" s="224">
        <f t="shared" si="74"/>
        <v>0.01105</v>
      </c>
    </row>
    <row r="1606" spans="1:5" ht="12.75">
      <c r="A1606" s="158" t="s">
        <v>2272</v>
      </c>
      <c r="B1606" s="157" t="s">
        <v>839</v>
      </c>
      <c r="C1606" s="117" t="str">
        <f t="shared" si="72"/>
        <v>Toms Place - Mono</v>
      </c>
      <c r="D1606" s="223">
        <f t="shared" si="73"/>
        <v>0.10441666666666664</v>
      </c>
      <c r="E1606" s="224">
        <f t="shared" si="74"/>
        <v>0.01073</v>
      </c>
    </row>
    <row r="1607" spans="1:5" ht="12.75">
      <c r="A1607" s="158" t="s">
        <v>2273</v>
      </c>
      <c r="B1607" s="157" t="s">
        <v>677</v>
      </c>
      <c r="C1607" s="117" t="str">
        <f aca="true" t="shared" si="75" ref="C1607:C1670">A1607&amp;" - "&amp;B1607</f>
        <v>Topanga  - Los Angeles</v>
      </c>
      <c r="D1607" s="223">
        <f t="shared" si="73"/>
        <v>0.12533333333333332</v>
      </c>
      <c r="E1607" s="224">
        <f t="shared" si="74"/>
        <v>0.01168</v>
      </c>
    </row>
    <row r="1608" spans="1:5" ht="12.75">
      <c r="A1608" s="158" t="s">
        <v>2274</v>
      </c>
      <c r="B1608" s="157" t="s">
        <v>677</v>
      </c>
      <c r="C1608" s="117" t="str">
        <f t="shared" si="75"/>
        <v>Topanga Park  - Los Angeles</v>
      </c>
      <c r="D1608" s="223">
        <f aca="true" t="shared" si="76" ref="D1608:D1671">VLOOKUP(B1608,unemployment_rates,2,FALSE)</f>
        <v>0.12533333333333332</v>
      </c>
      <c r="E1608" s="224">
        <f aca="true" t="shared" si="77" ref="E1608:E1671">VLOOKUP(B1608,Prop_Tax_Rates,2,FALSE)</f>
        <v>0.01168</v>
      </c>
    </row>
    <row r="1609" spans="1:5" ht="12.75">
      <c r="A1609" s="158" t="s">
        <v>2275</v>
      </c>
      <c r="B1609" s="157" t="s">
        <v>839</v>
      </c>
      <c r="C1609" s="117" t="str">
        <f t="shared" si="75"/>
        <v>Topaz - Mono</v>
      </c>
      <c r="D1609" s="223">
        <f t="shared" si="76"/>
        <v>0.10441666666666664</v>
      </c>
      <c r="E1609" s="224">
        <f t="shared" si="77"/>
        <v>0.01073</v>
      </c>
    </row>
    <row r="1610" spans="1:5" ht="12.75">
      <c r="A1610" s="158" t="s">
        <v>2276</v>
      </c>
      <c r="B1610" s="157" t="s">
        <v>677</v>
      </c>
      <c r="C1610" s="117" t="str">
        <f t="shared" si="75"/>
        <v>Torrance - Los Angeles</v>
      </c>
      <c r="D1610" s="223">
        <f t="shared" si="76"/>
        <v>0.12533333333333332</v>
      </c>
      <c r="E1610" s="224">
        <f t="shared" si="77"/>
        <v>0.01168</v>
      </c>
    </row>
    <row r="1611" spans="1:5" ht="12.75">
      <c r="A1611" s="158" t="s">
        <v>2277</v>
      </c>
      <c r="B1611" s="157" t="s">
        <v>718</v>
      </c>
      <c r="C1611" s="117" t="str">
        <f t="shared" si="75"/>
        <v>Town Center - Tulare</v>
      </c>
      <c r="D1611" s="223">
        <f t="shared" si="76"/>
        <v>0.16641666666666666</v>
      </c>
      <c r="E1611" s="224">
        <f t="shared" si="77"/>
        <v>0.01088</v>
      </c>
    </row>
    <row r="1612" spans="1:5" ht="12.75">
      <c r="A1612" s="158" t="s">
        <v>2278</v>
      </c>
      <c r="B1612" s="157" t="s">
        <v>708</v>
      </c>
      <c r="C1612" s="117" t="str">
        <f t="shared" si="75"/>
        <v>Trabuco Canyon - Orange</v>
      </c>
      <c r="D1612" s="223">
        <f t="shared" si="76"/>
        <v>0.0915</v>
      </c>
      <c r="E1612" s="224">
        <f t="shared" si="77"/>
        <v>0.01054</v>
      </c>
    </row>
    <row r="1613" spans="1:5" ht="12.75">
      <c r="A1613" s="158" t="s">
        <v>2279</v>
      </c>
      <c r="B1613" s="157" t="s">
        <v>675</v>
      </c>
      <c r="C1613" s="117" t="str">
        <f t="shared" si="75"/>
        <v>Tracy - San Joaquin</v>
      </c>
      <c r="D1613" s="223">
        <f t="shared" si="76"/>
        <v>0.17300000000000001</v>
      </c>
      <c r="E1613" s="224">
        <f t="shared" si="77"/>
        <v>0.01113</v>
      </c>
    </row>
    <row r="1614" spans="1:5" ht="12.75">
      <c r="A1614" s="158" t="s">
        <v>2280</v>
      </c>
      <c r="B1614" s="157" t="s">
        <v>783</v>
      </c>
      <c r="C1614" s="117" t="str">
        <f t="shared" si="75"/>
        <v>Tranquillity - Fresno</v>
      </c>
      <c r="D1614" s="223">
        <f t="shared" si="76"/>
        <v>0.1685</v>
      </c>
      <c r="E1614" s="224">
        <f t="shared" si="77"/>
        <v>0.01165</v>
      </c>
    </row>
    <row r="1615" spans="1:5" ht="12.75">
      <c r="A1615" s="158" t="s">
        <v>2281</v>
      </c>
      <c r="B1615" s="157" t="s">
        <v>718</v>
      </c>
      <c r="C1615" s="117" t="str">
        <f t="shared" si="75"/>
        <v>Traver - Tulare</v>
      </c>
      <c r="D1615" s="223">
        <f t="shared" si="76"/>
        <v>0.16641666666666666</v>
      </c>
      <c r="E1615" s="224">
        <f t="shared" si="77"/>
        <v>0.01088</v>
      </c>
    </row>
    <row r="1616" spans="1:5" ht="12.75">
      <c r="A1616" s="158" t="s">
        <v>2282</v>
      </c>
      <c r="B1616" s="157" t="s">
        <v>837</v>
      </c>
      <c r="C1616" s="117" t="str">
        <f t="shared" si="75"/>
        <v>Travis A.F.B.  - Solano</v>
      </c>
      <c r="D1616" s="223">
        <f t="shared" si="76"/>
        <v>0.11916666666666666</v>
      </c>
      <c r="E1616" s="224">
        <f t="shared" si="77"/>
        <v>0.01121</v>
      </c>
    </row>
    <row r="1617" spans="1:5" ht="12.75">
      <c r="A1617" s="158" t="s">
        <v>2283</v>
      </c>
      <c r="B1617" s="157" t="s">
        <v>1479</v>
      </c>
      <c r="C1617" s="117" t="str">
        <f t="shared" si="75"/>
        <v>Tres Pinos - San Benito</v>
      </c>
      <c r="D1617" s="223">
        <f t="shared" si="76"/>
        <v>0.1704166666666667</v>
      </c>
      <c r="E1617" s="224">
        <f t="shared" si="77"/>
        <v>0.01142</v>
      </c>
    </row>
    <row r="1618" spans="1:5" ht="12.75">
      <c r="A1618" s="158" t="s">
        <v>2284</v>
      </c>
      <c r="B1618" s="157" t="s">
        <v>705</v>
      </c>
      <c r="C1618" s="117" t="str">
        <f t="shared" si="75"/>
        <v>Trinidad - Humboldt</v>
      </c>
      <c r="D1618" s="223">
        <f t="shared" si="76"/>
        <v>0.11391666666666665</v>
      </c>
      <c r="E1618" s="224">
        <f t="shared" si="77"/>
        <v>0.01055</v>
      </c>
    </row>
    <row r="1619" spans="1:5" ht="12.75">
      <c r="A1619" s="158" t="s">
        <v>2285</v>
      </c>
      <c r="B1619" s="157" t="s">
        <v>849</v>
      </c>
      <c r="C1619" s="117" t="str">
        <f t="shared" si="75"/>
        <v>Trinity Center - Trinity</v>
      </c>
      <c r="D1619" s="223">
        <f t="shared" si="76"/>
        <v>0.18466666666666667</v>
      </c>
      <c r="E1619" s="224">
        <f t="shared" si="77"/>
        <v>0.010129999999999998</v>
      </c>
    </row>
    <row r="1620" spans="1:5" ht="12.75">
      <c r="A1620" s="158" t="s">
        <v>2286</v>
      </c>
      <c r="B1620" s="157" t="s">
        <v>681</v>
      </c>
      <c r="C1620" s="117" t="str">
        <f t="shared" si="75"/>
        <v>Trona - San Bernardino</v>
      </c>
      <c r="D1620" s="223">
        <f t="shared" si="76"/>
        <v>0.13891666666666666</v>
      </c>
      <c r="E1620" s="224">
        <f t="shared" si="77"/>
        <v>0.01134</v>
      </c>
    </row>
    <row r="1621" spans="1:5" ht="12.75">
      <c r="A1621" s="158" t="s">
        <v>2287</v>
      </c>
      <c r="B1621" s="157" t="s">
        <v>2046</v>
      </c>
      <c r="C1621" s="117" t="str">
        <f t="shared" si="75"/>
        <v>Trowbridge - Sutter</v>
      </c>
      <c r="D1621" s="223">
        <f t="shared" si="76"/>
        <v>0.19824999999999998</v>
      </c>
      <c r="E1621" s="224">
        <f t="shared" si="77"/>
        <v>0.010700000000000001</v>
      </c>
    </row>
    <row r="1622" spans="1:5" ht="12.75">
      <c r="A1622" s="158" t="s">
        <v>2288</v>
      </c>
      <c r="B1622" s="157" t="s">
        <v>1156</v>
      </c>
      <c r="C1622" s="117" t="str">
        <f t="shared" si="75"/>
        <v>Truckee - Nevada</v>
      </c>
      <c r="D1622" s="223">
        <f t="shared" si="76"/>
        <v>0.11266666666666668</v>
      </c>
      <c r="E1622" s="224">
        <f t="shared" si="77"/>
        <v>0.010329999999999999</v>
      </c>
    </row>
    <row r="1623" spans="1:5" ht="12.75">
      <c r="A1623" s="158" t="s">
        <v>2289</v>
      </c>
      <c r="B1623" s="157" t="s">
        <v>677</v>
      </c>
      <c r="C1623" s="117" t="str">
        <f t="shared" si="75"/>
        <v>Tujunga  - Los Angeles</v>
      </c>
      <c r="D1623" s="223">
        <f t="shared" si="76"/>
        <v>0.12533333333333332</v>
      </c>
      <c r="E1623" s="224">
        <f t="shared" si="77"/>
        <v>0.01168</v>
      </c>
    </row>
    <row r="1624" spans="1:5" ht="12.75">
      <c r="A1624" s="158" t="s">
        <v>718</v>
      </c>
      <c r="B1624" s="157" t="s">
        <v>718</v>
      </c>
      <c r="C1624" s="117" t="str">
        <f t="shared" si="75"/>
        <v>Tulare - Tulare</v>
      </c>
      <c r="D1624" s="223">
        <f t="shared" si="76"/>
        <v>0.16641666666666666</v>
      </c>
      <c r="E1624" s="224">
        <f t="shared" si="77"/>
        <v>0.01088</v>
      </c>
    </row>
    <row r="1625" spans="1:5" ht="12.75">
      <c r="A1625" s="158" t="s">
        <v>2290</v>
      </c>
      <c r="B1625" s="157" t="s">
        <v>1012</v>
      </c>
      <c r="C1625" s="117" t="str">
        <f t="shared" si="75"/>
        <v>Tulelake - Siskiyou</v>
      </c>
      <c r="D1625" s="223">
        <f t="shared" si="76"/>
        <v>0.17858333333333332</v>
      </c>
      <c r="E1625" s="224">
        <f t="shared" si="77"/>
        <v>0.01038</v>
      </c>
    </row>
    <row r="1626" spans="1:5" ht="12.75">
      <c r="A1626" s="158" t="s">
        <v>856</v>
      </c>
      <c r="B1626" s="157" t="s">
        <v>856</v>
      </c>
      <c r="C1626" s="117" t="str">
        <f t="shared" si="75"/>
        <v>Tuolumne - Tuolumne</v>
      </c>
      <c r="D1626" s="223">
        <f t="shared" si="76"/>
        <v>0.13766666666666666</v>
      </c>
      <c r="E1626" s="224">
        <f t="shared" si="77"/>
        <v>0.01042</v>
      </c>
    </row>
    <row r="1627" spans="1:5" ht="12.75">
      <c r="A1627" s="158" t="s">
        <v>2291</v>
      </c>
      <c r="B1627" s="157" t="s">
        <v>823</v>
      </c>
      <c r="C1627" s="117" t="str">
        <f t="shared" si="75"/>
        <v>Tuolumne Meadows - Mariposa</v>
      </c>
      <c r="D1627" s="223">
        <f t="shared" si="76"/>
        <v>0.12466666666666669</v>
      </c>
      <c r="E1627" s="224">
        <f t="shared" si="77"/>
        <v>0.01005</v>
      </c>
    </row>
    <row r="1628" spans="1:5" ht="12.75">
      <c r="A1628" s="158" t="s">
        <v>2292</v>
      </c>
      <c r="B1628" s="157" t="s">
        <v>772</v>
      </c>
      <c r="C1628" s="117" t="str">
        <f t="shared" si="75"/>
        <v>Tupman - Kern</v>
      </c>
      <c r="D1628" s="223">
        <f t="shared" si="76"/>
        <v>0.15741666666666668</v>
      </c>
      <c r="E1628" s="224">
        <f t="shared" si="77"/>
        <v>0.01114</v>
      </c>
    </row>
    <row r="1629" spans="1:5" ht="12.75">
      <c r="A1629" s="158" t="s">
        <v>2293</v>
      </c>
      <c r="B1629" s="157" t="s">
        <v>1162</v>
      </c>
      <c r="C1629" s="117" t="str">
        <f t="shared" si="75"/>
        <v>Turlock - Stanislaus</v>
      </c>
      <c r="D1629" s="223">
        <f t="shared" si="76"/>
        <v>0.1716666666666667</v>
      </c>
      <c r="E1629" s="224">
        <f t="shared" si="77"/>
        <v>0.01093</v>
      </c>
    </row>
    <row r="1630" spans="1:5" ht="12.75">
      <c r="A1630" s="158" t="s">
        <v>2294</v>
      </c>
      <c r="B1630" s="157" t="s">
        <v>708</v>
      </c>
      <c r="C1630" s="117" t="str">
        <f t="shared" si="75"/>
        <v>Tustin - Orange</v>
      </c>
      <c r="D1630" s="223">
        <f t="shared" si="76"/>
        <v>0.0915</v>
      </c>
      <c r="E1630" s="224">
        <f t="shared" si="77"/>
        <v>0.01054</v>
      </c>
    </row>
    <row r="1631" spans="1:5" ht="12.75">
      <c r="A1631" s="158" t="s">
        <v>2295</v>
      </c>
      <c r="B1631" s="157" t="s">
        <v>714</v>
      </c>
      <c r="C1631" s="117" t="str">
        <f t="shared" si="75"/>
        <v>Twain - Plumas</v>
      </c>
      <c r="D1631" s="223">
        <f t="shared" si="76"/>
        <v>0.16258333333333333</v>
      </c>
      <c r="E1631" s="224">
        <f t="shared" si="77"/>
        <v>0.01038</v>
      </c>
    </row>
    <row r="1632" spans="1:5" ht="12.75">
      <c r="A1632" s="158" t="s">
        <v>2296</v>
      </c>
      <c r="B1632" s="157" t="s">
        <v>856</v>
      </c>
      <c r="C1632" s="117" t="str">
        <f t="shared" si="75"/>
        <v>Twain Harte - Tuolumne</v>
      </c>
      <c r="D1632" s="223">
        <f t="shared" si="76"/>
        <v>0.13766666666666666</v>
      </c>
      <c r="E1632" s="224">
        <f t="shared" si="77"/>
        <v>0.01042</v>
      </c>
    </row>
    <row r="1633" spans="1:5" ht="12.75">
      <c r="A1633" s="158" t="s">
        <v>2297</v>
      </c>
      <c r="B1633" s="157" t="s">
        <v>681</v>
      </c>
      <c r="C1633" s="117" t="str">
        <f t="shared" si="75"/>
        <v>Twentynine Palms - San Bernardino</v>
      </c>
      <c r="D1633" s="223">
        <f t="shared" si="76"/>
        <v>0.13891666666666666</v>
      </c>
      <c r="E1633" s="224">
        <f t="shared" si="77"/>
        <v>0.01134</v>
      </c>
    </row>
    <row r="1634" spans="1:5" ht="12.75">
      <c r="A1634" s="158" t="s">
        <v>2298</v>
      </c>
      <c r="B1634" s="157" t="s">
        <v>696</v>
      </c>
      <c r="C1634" s="117" t="str">
        <f t="shared" si="75"/>
        <v>Twin Bridges - El Dorado</v>
      </c>
      <c r="D1634" s="223">
        <f t="shared" si="76"/>
        <v>0.12433333333333335</v>
      </c>
      <c r="E1634" s="224">
        <f t="shared" si="77"/>
        <v>0.01055</v>
      </c>
    </row>
    <row r="1635" spans="1:5" ht="12.75">
      <c r="A1635" s="158" t="s">
        <v>2299</v>
      </c>
      <c r="B1635" s="157" t="s">
        <v>681</v>
      </c>
      <c r="C1635" s="117" t="str">
        <f t="shared" si="75"/>
        <v>Twin Peaks - San Bernardino</v>
      </c>
      <c r="D1635" s="223">
        <f t="shared" si="76"/>
        <v>0.13891666666666666</v>
      </c>
      <c r="E1635" s="224">
        <f t="shared" si="77"/>
        <v>0.01134</v>
      </c>
    </row>
    <row r="1636" spans="1:5" ht="12.75">
      <c r="A1636" s="158" t="s">
        <v>2300</v>
      </c>
      <c r="B1636" s="157" t="s">
        <v>687</v>
      </c>
      <c r="C1636" s="117" t="str">
        <f t="shared" si="75"/>
        <v>Two Rock Coast Guard Station - Sonoma</v>
      </c>
      <c r="D1636" s="223">
        <f t="shared" si="76"/>
        <v>0.10133333333333334</v>
      </c>
      <c r="E1636" s="224">
        <f t="shared" si="77"/>
        <v>0.01115</v>
      </c>
    </row>
    <row r="1637" spans="1:5" ht="12.75">
      <c r="A1637" s="158" t="s">
        <v>2309</v>
      </c>
      <c r="B1637" s="157" t="s">
        <v>764</v>
      </c>
      <c r="C1637" s="117" t="str">
        <f t="shared" si="75"/>
        <v>U.S.Naval Postgrad School  - Monterey</v>
      </c>
      <c r="D1637" s="223">
        <f t="shared" si="76"/>
        <v>0.12916666666666665</v>
      </c>
      <c r="E1637" s="224">
        <f t="shared" si="77"/>
        <v>0.01084</v>
      </c>
    </row>
    <row r="1638" spans="1:5" ht="12.75">
      <c r="A1638" s="158" t="s">
        <v>2310</v>
      </c>
      <c r="B1638" s="157" t="s">
        <v>703</v>
      </c>
      <c r="C1638" s="117" t="str">
        <f t="shared" si="75"/>
        <v>Ukiah - Mendocino</v>
      </c>
      <c r="D1638" s="223">
        <f t="shared" si="76"/>
        <v>0.11325000000000002</v>
      </c>
      <c r="E1638" s="224">
        <f t="shared" si="77"/>
        <v>0.01097</v>
      </c>
    </row>
    <row r="1639" spans="1:5" ht="12.75">
      <c r="A1639" s="158" t="s">
        <v>2311</v>
      </c>
      <c r="B1639" s="157" t="s">
        <v>697</v>
      </c>
      <c r="C1639" s="117" t="str">
        <f t="shared" si="75"/>
        <v>Union City - Alameda</v>
      </c>
      <c r="D1639" s="223">
        <f t="shared" si="76"/>
        <v>0.10916666666666666</v>
      </c>
      <c r="E1639" s="224">
        <f t="shared" si="77"/>
        <v>0.011890000000000001</v>
      </c>
    </row>
    <row r="1640" spans="1:5" ht="12.75">
      <c r="A1640" s="158" t="s">
        <v>2312</v>
      </c>
      <c r="B1640" s="157" t="s">
        <v>677</v>
      </c>
      <c r="C1640" s="117" t="str">
        <f t="shared" si="75"/>
        <v>Universal City - Los Angeles</v>
      </c>
      <c r="D1640" s="223">
        <f t="shared" si="76"/>
        <v>0.12533333333333332</v>
      </c>
      <c r="E1640" s="224">
        <f t="shared" si="77"/>
        <v>0.01168</v>
      </c>
    </row>
    <row r="1641" spans="1:5" ht="12.75">
      <c r="A1641" s="158" t="s">
        <v>2313</v>
      </c>
      <c r="B1641" s="157" t="s">
        <v>799</v>
      </c>
      <c r="C1641" s="117" t="str">
        <f t="shared" si="75"/>
        <v>University - Santa Barbara</v>
      </c>
      <c r="D1641" s="223">
        <f t="shared" si="76"/>
        <v>0.09174999999999998</v>
      </c>
      <c r="E1641" s="224">
        <f t="shared" si="77"/>
        <v>0.01055</v>
      </c>
    </row>
    <row r="1642" spans="1:5" ht="12.75">
      <c r="A1642" s="158" t="s">
        <v>2314</v>
      </c>
      <c r="B1642" s="157" t="s">
        <v>708</v>
      </c>
      <c r="C1642" s="117" t="str">
        <f t="shared" si="75"/>
        <v>University Park  - Orange</v>
      </c>
      <c r="D1642" s="223">
        <f t="shared" si="76"/>
        <v>0.0915</v>
      </c>
      <c r="E1642" s="224">
        <f t="shared" si="77"/>
        <v>0.01054</v>
      </c>
    </row>
    <row r="1643" spans="1:5" ht="12.75">
      <c r="A1643" s="158" t="s">
        <v>2315</v>
      </c>
      <c r="B1643" s="157" t="s">
        <v>681</v>
      </c>
      <c r="C1643" s="117" t="str">
        <f t="shared" si="75"/>
        <v>Upland - San Bernardino</v>
      </c>
      <c r="D1643" s="223">
        <f t="shared" si="76"/>
        <v>0.13891666666666666</v>
      </c>
      <c r="E1643" s="224">
        <f t="shared" si="77"/>
        <v>0.01134</v>
      </c>
    </row>
    <row r="1644" spans="1:5" ht="12.75">
      <c r="A1644" s="158" t="s">
        <v>2316</v>
      </c>
      <c r="B1644" s="157" t="s">
        <v>102</v>
      </c>
      <c r="C1644" s="117" t="str">
        <f t="shared" si="75"/>
        <v>Upper Lake/ Upper Lake Valley - Lake</v>
      </c>
      <c r="D1644" s="223">
        <f t="shared" si="76"/>
        <v>0.18208333333333332</v>
      </c>
      <c r="E1644" s="224">
        <f t="shared" si="77"/>
        <v>0.01068</v>
      </c>
    </row>
    <row r="1645" spans="1:5" ht="12.75">
      <c r="A1645" s="158" t="s">
        <v>2317</v>
      </c>
      <c r="B1645" s="157" t="s">
        <v>837</v>
      </c>
      <c r="C1645" s="117" t="str">
        <f t="shared" si="75"/>
        <v>Vacaville - Solano</v>
      </c>
      <c r="D1645" s="223">
        <f t="shared" si="76"/>
        <v>0.11916666666666666</v>
      </c>
      <c r="E1645" s="224">
        <f t="shared" si="77"/>
        <v>0.01121</v>
      </c>
    </row>
    <row r="1646" spans="1:5" ht="12.75">
      <c r="A1646" s="158" t="s">
        <v>2318</v>
      </c>
      <c r="B1646" s="157" t="s">
        <v>677</v>
      </c>
      <c r="C1646" s="117" t="str">
        <f t="shared" si="75"/>
        <v>Val Verde Park - Los Angeles</v>
      </c>
      <c r="D1646" s="223">
        <f t="shared" si="76"/>
        <v>0.12533333333333332</v>
      </c>
      <c r="E1646" s="224">
        <f t="shared" si="77"/>
        <v>0.01168</v>
      </c>
    </row>
    <row r="1647" spans="1:5" ht="12.75">
      <c r="A1647" s="158" t="s">
        <v>2319</v>
      </c>
      <c r="B1647" s="157" t="s">
        <v>677</v>
      </c>
      <c r="C1647" s="117" t="str">
        <f t="shared" si="75"/>
        <v>Valencia  - Los Angeles</v>
      </c>
      <c r="D1647" s="223">
        <f t="shared" si="76"/>
        <v>0.12533333333333332</v>
      </c>
      <c r="E1647" s="224">
        <f t="shared" si="77"/>
        <v>0.01168</v>
      </c>
    </row>
    <row r="1648" spans="1:5" ht="12.75">
      <c r="A1648" s="158" t="s">
        <v>0</v>
      </c>
      <c r="B1648" s="157" t="s">
        <v>677</v>
      </c>
      <c r="C1648" s="117" t="str">
        <f t="shared" si="75"/>
        <v>Valinda - Los Angeles</v>
      </c>
      <c r="D1648" s="223">
        <f t="shared" si="76"/>
        <v>0.12533333333333332</v>
      </c>
      <c r="E1648" s="224">
        <f t="shared" si="77"/>
        <v>0.01168</v>
      </c>
    </row>
    <row r="1649" spans="1:5" ht="12.75">
      <c r="A1649" s="158" t="s">
        <v>1</v>
      </c>
      <c r="B1649" s="157" t="s">
        <v>725</v>
      </c>
      <c r="C1649" s="117" t="str">
        <f t="shared" si="75"/>
        <v>Vallecito - Calaveras</v>
      </c>
      <c r="D1649" s="223">
        <f t="shared" si="76"/>
        <v>0.1545833333333333</v>
      </c>
      <c r="E1649" s="224">
        <f t="shared" si="77"/>
        <v>0.01075</v>
      </c>
    </row>
    <row r="1650" spans="1:5" ht="12.75">
      <c r="A1650" s="158" t="s">
        <v>2</v>
      </c>
      <c r="B1650" s="157" t="s">
        <v>837</v>
      </c>
      <c r="C1650" s="117" t="str">
        <f t="shared" si="75"/>
        <v>Vallejo - Solano</v>
      </c>
      <c r="D1650" s="223">
        <f t="shared" si="76"/>
        <v>0.11916666666666666</v>
      </c>
      <c r="E1650" s="224">
        <f t="shared" si="77"/>
        <v>0.01121</v>
      </c>
    </row>
    <row r="1651" spans="1:5" ht="12.75">
      <c r="A1651" s="158" t="s">
        <v>3</v>
      </c>
      <c r="B1651" s="157" t="s">
        <v>689</v>
      </c>
      <c r="C1651" s="117" t="str">
        <f t="shared" si="75"/>
        <v>Valley Center - San Diego</v>
      </c>
      <c r="D1651" s="223">
        <f t="shared" si="76"/>
        <v>0.10283333333333333</v>
      </c>
      <c r="E1651" s="224">
        <f t="shared" si="77"/>
        <v>0.01076</v>
      </c>
    </row>
    <row r="1652" spans="1:5" ht="12.75">
      <c r="A1652" s="158" t="s">
        <v>4</v>
      </c>
      <c r="B1652" s="157" t="s">
        <v>712</v>
      </c>
      <c r="C1652" s="117" t="str">
        <f t="shared" si="75"/>
        <v>Valley Fair - Santa Clara</v>
      </c>
      <c r="D1652" s="223">
        <f t="shared" si="76"/>
        <v>0.10433333333333333</v>
      </c>
      <c r="E1652" s="224">
        <f t="shared" si="77"/>
        <v>0.011810000000000001</v>
      </c>
    </row>
    <row r="1653" spans="1:5" ht="12.75">
      <c r="A1653" s="158" t="s">
        <v>5</v>
      </c>
      <c r="B1653" s="157" t="s">
        <v>687</v>
      </c>
      <c r="C1653" s="117" t="str">
        <f t="shared" si="75"/>
        <v>Valley Ford - Sonoma</v>
      </c>
      <c r="D1653" s="223">
        <f t="shared" si="76"/>
        <v>0.10133333333333334</v>
      </c>
      <c r="E1653" s="224">
        <f t="shared" si="77"/>
        <v>0.01115</v>
      </c>
    </row>
    <row r="1654" spans="1:5" ht="12.75">
      <c r="A1654" s="158" t="s">
        <v>6</v>
      </c>
      <c r="B1654" s="157" t="s">
        <v>1162</v>
      </c>
      <c r="C1654" s="117" t="str">
        <f t="shared" si="75"/>
        <v>Valley Home - Stanislaus</v>
      </c>
      <c r="D1654" s="223">
        <f t="shared" si="76"/>
        <v>0.1716666666666667</v>
      </c>
      <c r="E1654" s="224">
        <f t="shared" si="77"/>
        <v>0.01093</v>
      </c>
    </row>
    <row r="1655" spans="1:5" ht="12.75">
      <c r="A1655" s="158" t="s">
        <v>7</v>
      </c>
      <c r="B1655" s="157" t="s">
        <v>725</v>
      </c>
      <c r="C1655" s="117" t="str">
        <f t="shared" si="75"/>
        <v>Valley Springs - Calaveras</v>
      </c>
      <c r="D1655" s="223">
        <f t="shared" si="76"/>
        <v>0.1545833333333333</v>
      </c>
      <c r="E1655" s="224">
        <f t="shared" si="77"/>
        <v>0.01075</v>
      </c>
    </row>
    <row r="1656" spans="1:5" ht="12.75">
      <c r="A1656" s="158" t="s">
        <v>8</v>
      </c>
      <c r="B1656" s="157" t="s">
        <v>677</v>
      </c>
      <c r="C1656" s="117" t="str">
        <f t="shared" si="75"/>
        <v>Valley Village - Los Angeles</v>
      </c>
      <c r="D1656" s="223">
        <f t="shared" si="76"/>
        <v>0.12533333333333332</v>
      </c>
      <c r="E1656" s="224">
        <f t="shared" si="77"/>
        <v>0.01168</v>
      </c>
    </row>
    <row r="1657" spans="1:5" ht="12.75">
      <c r="A1657" s="158" t="s">
        <v>9</v>
      </c>
      <c r="B1657" s="157" t="s">
        <v>677</v>
      </c>
      <c r="C1657" s="117" t="str">
        <f t="shared" si="75"/>
        <v>Valyermo - Los Angeles</v>
      </c>
      <c r="D1657" s="223">
        <f t="shared" si="76"/>
        <v>0.12533333333333332</v>
      </c>
      <c r="E1657" s="224">
        <f t="shared" si="77"/>
        <v>0.01168</v>
      </c>
    </row>
    <row r="1658" spans="1:5" ht="12.75">
      <c r="A1658" s="158" t="s">
        <v>10</v>
      </c>
      <c r="B1658" s="157" t="s">
        <v>677</v>
      </c>
      <c r="C1658" s="117" t="str">
        <f t="shared" si="75"/>
        <v>Van Nuys  - Los Angeles</v>
      </c>
      <c r="D1658" s="223">
        <f t="shared" si="76"/>
        <v>0.12533333333333332</v>
      </c>
      <c r="E1658" s="224">
        <f t="shared" si="77"/>
        <v>0.01168</v>
      </c>
    </row>
    <row r="1659" spans="1:5" ht="12.75">
      <c r="A1659" s="158" t="s">
        <v>11</v>
      </c>
      <c r="B1659" s="157" t="s">
        <v>799</v>
      </c>
      <c r="C1659" s="117" t="str">
        <f t="shared" si="75"/>
        <v>Vandenberg A.F.B - Santa Barbara</v>
      </c>
      <c r="D1659" s="223">
        <f t="shared" si="76"/>
        <v>0.09174999999999998</v>
      </c>
      <c r="E1659" s="224">
        <f t="shared" si="77"/>
        <v>0.01055</v>
      </c>
    </row>
    <row r="1660" spans="1:5" ht="12.75">
      <c r="A1660" s="158" t="s">
        <v>12</v>
      </c>
      <c r="B1660" s="157" t="s">
        <v>677</v>
      </c>
      <c r="C1660" s="117" t="str">
        <f t="shared" si="75"/>
        <v>Vasquez Rocks - Los Angeles</v>
      </c>
      <c r="D1660" s="223">
        <f t="shared" si="76"/>
        <v>0.12533333333333332</v>
      </c>
      <c r="E1660" s="224">
        <f t="shared" si="77"/>
        <v>0.01168</v>
      </c>
    </row>
    <row r="1661" spans="1:5" ht="12.75">
      <c r="A1661" s="158" t="s">
        <v>13</v>
      </c>
      <c r="B1661" s="157" t="s">
        <v>677</v>
      </c>
      <c r="C1661" s="117" t="str">
        <f t="shared" si="75"/>
        <v>Venice - Los Angeles</v>
      </c>
      <c r="D1661" s="223">
        <f t="shared" si="76"/>
        <v>0.12533333333333332</v>
      </c>
      <c r="E1661" s="224">
        <f t="shared" si="77"/>
        <v>0.01168</v>
      </c>
    </row>
    <row r="1662" spans="1:5" ht="12.75">
      <c r="A1662" s="158" t="s">
        <v>14</v>
      </c>
      <c r="B1662" s="157" t="s">
        <v>799</v>
      </c>
      <c r="C1662" s="117" t="str">
        <f t="shared" si="75"/>
        <v>Ventucopa - Santa Barbara</v>
      </c>
      <c r="D1662" s="223">
        <f t="shared" si="76"/>
        <v>0.09174999999999998</v>
      </c>
      <c r="E1662" s="224">
        <f t="shared" si="77"/>
        <v>0.01055</v>
      </c>
    </row>
    <row r="1663" spans="1:5" ht="12.75">
      <c r="A1663" s="158" t="s">
        <v>1017</v>
      </c>
      <c r="B1663" s="157" t="s">
        <v>1017</v>
      </c>
      <c r="C1663" s="117" t="str">
        <f t="shared" si="75"/>
        <v>Ventura - Ventura</v>
      </c>
      <c r="D1663" s="223">
        <f t="shared" si="76"/>
        <v>0.10525000000000001</v>
      </c>
      <c r="E1663" s="224">
        <f t="shared" si="77"/>
        <v>0.010820000000000001</v>
      </c>
    </row>
    <row r="1664" spans="1:5" ht="12.75">
      <c r="A1664" s="158" t="s">
        <v>15</v>
      </c>
      <c r="B1664" s="157" t="s">
        <v>677</v>
      </c>
      <c r="C1664" s="117" t="str">
        <f t="shared" si="75"/>
        <v>Verdugo City  - Los Angeles</v>
      </c>
      <c r="D1664" s="223">
        <f t="shared" si="76"/>
        <v>0.12533333333333332</v>
      </c>
      <c r="E1664" s="224">
        <f t="shared" si="77"/>
        <v>0.01168</v>
      </c>
    </row>
    <row r="1665" spans="1:5" ht="12.75">
      <c r="A1665" s="158" t="s">
        <v>16</v>
      </c>
      <c r="B1665" s="157" t="s">
        <v>675</v>
      </c>
      <c r="C1665" s="117" t="str">
        <f t="shared" si="75"/>
        <v>Vernalis - San Joaquin</v>
      </c>
      <c r="D1665" s="223">
        <f t="shared" si="76"/>
        <v>0.17300000000000001</v>
      </c>
      <c r="E1665" s="224">
        <f t="shared" si="77"/>
        <v>0.01113</v>
      </c>
    </row>
    <row r="1666" spans="1:5" ht="12.75">
      <c r="A1666" s="158" t="s">
        <v>17</v>
      </c>
      <c r="B1666" s="157" t="s">
        <v>677</v>
      </c>
      <c r="C1666" s="117" t="str">
        <f t="shared" si="75"/>
        <v>Vernon - Los Angeles</v>
      </c>
      <c r="D1666" s="223">
        <f t="shared" si="76"/>
        <v>0.12533333333333332</v>
      </c>
      <c r="E1666" s="224">
        <f t="shared" si="77"/>
        <v>0.01168</v>
      </c>
    </row>
    <row r="1667" spans="1:5" ht="12.75">
      <c r="A1667" s="158" t="s">
        <v>18</v>
      </c>
      <c r="B1667" s="157" t="s">
        <v>677</v>
      </c>
      <c r="C1667" s="117" t="str">
        <f t="shared" si="75"/>
        <v>Veteran's Hospital  - Los Angeles</v>
      </c>
      <c r="D1667" s="223">
        <f t="shared" si="76"/>
        <v>0.12533333333333332</v>
      </c>
      <c r="E1667" s="224">
        <f t="shared" si="77"/>
        <v>0.01168</v>
      </c>
    </row>
    <row r="1668" spans="1:5" ht="12.75">
      <c r="A1668" s="158" t="s">
        <v>19</v>
      </c>
      <c r="B1668" s="157" t="s">
        <v>675</v>
      </c>
      <c r="C1668" s="117" t="str">
        <f t="shared" si="75"/>
        <v>Victor - San Joaquin</v>
      </c>
      <c r="D1668" s="223">
        <f t="shared" si="76"/>
        <v>0.17300000000000001</v>
      </c>
      <c r="E1668" s="224">
        <f t="shared" si="77"/>
        <v>0.01113</v>
      </c>
    </row>
    <row r="1669" spans="1:5" ht="12.75">
      <c r="A1669" s="158" t="s">
        <v>20</v>
      </c>
      <c r="B1669" s="157" t="s">
        <v>681</v>
      </c>
      <c r="C1669" s="117" t="str">
        <f t="shared" si="75"/>
        <v>Victorville - San Bernardino</v>
      </c>
      <c r="D1669" s="223">
        <f t="shared" si="76"/>
        <v>0.13891666666666666</v>
      </c>
      <c r="E1669" s="224">
        <f t="shared" si="77"/>
        <v>0.01134</v>
      </c>
    </row>
    <row r="1670" spans="1:5" ht="12.75">
      <c r="A1670" s="158" t="s">
        <v>21</v>
      </c>
      <c r="B1670" s="157" t="s">
        <v>681</v>
      </c>
      <c r="C1670" s="117" t="str">
        <f t="shared" si="75"/>
        <v>Vidal - San Bernardino</v>
      </c>
      <c r="D1670" s="223">
        <f t="shared" si="76"/>
        <v>0.13891666666666666</v>
      </c>
      <c r="E1670" s="224">
        <f t="shared" si="77"/>
        <v>0.01134</v>
      </c>
    </row>
    <row r="1671" spans="1:5" ht="12.75">
      <c r="A1671" s="158" t="s">
        <v>22</v>
      </c>
      <c r="B1671" s="157" t="s">
        <v>677</v>
      </c>
      <c r="C1671" s="117" t="str">
        <f aca="true" t="shared" si="78" ref="C1671:C1734">A1671&amp;" - "&amp;B1671</f>
        <v>View Park - Los Angeles</v>
      </c>
      <c r="D1671" s="223">
        <f t="shared" si="76"/>
        <v>0.12533333333333332</v>
      </c>
      <c r="E1671" s="224">
        <f t="shared" si="77"/>
        <v>0.01168</v>
      </c>
    </row>
    <row r="1672" spans="1:5" ht="12.75">
      <c r="A1672" s="158" t="s">
        <v>23</v>
      </c>
      <c r="B1672" s="157" t="s">
        <v>687</v>
      </c>
      <c r="C1672" s="117" t="str">
        <f t="shared" si="78"/>
        <v>Villa Grande - Sonoma</v>
      </c>
      <c r="D1672" s="223">
        <f aca="true" t="shared" si="79" ref="D1672:D1735">VLOOKUP(B1672,unemployment_rates,2,FALSE)</f>
        <v>0.10133333333333334</v>
      </c>
      <c r="E1672" s="224">
        <f aca="true" t="shared" si="80" ref="E1672:E1735">VLOOKUP(B1672,Prop_Tax_Rates,2,FALSE)</f>
        <v>0.01115</v>
      </c>
    </row>
    <row r="1673" spans="1:5" ht="12.75">
      <c r="A1673" s="158" t="s">
        <v>24</v>
      </c>
      <c r="B1673" s="157" t="s">
        <v>708</v>
      </c>
      <c r="C1673" s="117" t="str">
        <f t="shared" si="78"/>
        <v>Villa Park - Orange</v>
      </c>
      <c r="D1673" s="223">
        <f t="shared" si="79"/>
        <v>0.0915</v>
      </c>
      <c r="E1673" s="224">
        <f t="shared" si="80"/>
        <v>0.01054</v>
      </c>
    </row>
    <row r="1674" spans="1:5" ht="12.75">
      <c r="A1674" s="158" t="s">
        <v>25</v>
      </c>
      <c r="B1674" s="157" t="s">
        <v>1934</v>
      </c>
      <c r="C1674" s="117" t="str">
        <f t="shared" si="78"/>
        <v>Vina - Tehama</v>
      </c>
      <c r="D1674" s="223">
        <f t="shared" si="79"/>
        <v>0.15649999999999997</v>
      </c>
      <c r="E1674" s="224">
        <f t="shared" si="80"/>
        <v>0.01022</v>
      </c>
    </row>
    <row r="1675" spans="1:5" ht="12.75">
      <c r="A1675" s="158" t="s">
        <v>26</v>
      </c>
      <c r="B1675" s="157" t="s">
        <v>677</v>
      </c>
      <c r="C1675" s="117" t="str">
        <f t="shared" si="78"/>
        <v>Vincent - Los Angeles</v>
      </c>
      <c r="D1675" s="223">
        <f t="shared" si="79"/>
        <v>0.12533333333333332</v>
      </c>
      <c r="E1675" s="224">
        <f t="shared" si="80"/>
        <v>0.01168</v>
      </c>
    </row>
    <row r="1676" spans="1:5" ht="12.75">
      <c r="A1676" s="158" t="s">
        <v>27</v>
      </c>
      <c r="B1676" s="157" t="s">
        <v>687</v>
      </c>
      <c r="C1676" s="117" t="str">
        <f t="shared" si="78"/>
        <v>Vineburg - Sonoma</v>
      </c>
      <c r="D1676" s="223">
        <f t="shared" si="79"/>
        <v>0.10133333333333334</v>
      </c>
      <c r="E1676" s="224">
        <f t="shared" si="80"/>
        <v>0.01115</v>
      </c>
    </row>
    <row r="1677" spans="1:5" ht="12.75">
      <c r="A1677" s="158" t="s">
        <v>28</v>
      </c>
      <c r="B1677" s="157" t="s">
        <v>714</v>
      </c>
      <c r="C1677" s="117" t="str">
        <f t="shared" si="78"/>
        <v>Vinton - Plumas</v>
      </c>
      <c r="D1677" s="223">
        <f t="shared" si="79"/>
        <v>0.16258333333333333</v>
      </c>
      <c r="E1677" s="224">
        <f t="shared" si="80"/>
        <v>0.01038</v>
      </c>
    </row>
    <row r="1678" spans="1:5" ht="12.75">
      <c r="A1678" s="158" t="s">
        <v>29</v>
      </c>
      <c r="B1678" s="157" t="s">
        <v>714</v>
      </c>
      <c r="C1678" s="117" t="str">
        <f t="shared" si="78"/>
        <v>Virgilia - Plumas</v>
      </c>
      <c r="D1678" s="223">
        <f t="shared" si="79"/>
        <v>0.16258333333333333</v>
      </c>
      <c r="E1678" s="224">
        <f t="shared" si="80"/>
        <v>0.01038</v>
      </c>
    </row>
    <row r="1679" spans="1:5" ht="12.75">
      <c r="A1679" s="158" t="s">
        <v>30</v>
      </c>
      <c r="B1679" s="157" t="s">
        <v>718</v>
      </c>
      <c r="C1679" s="117" t="str">
        <f t="shared" si="78"/>
        <v>Visalia - Tulare</v>
      </c>
      <c r="D1679" s="223">
        <f t="shared" si="79"/>
        <v>0.16641666666666666</v>
      </c>
      <c r="E1679" s="224">
        <f t="shared" si="80"/>
        <v>0.01088</v>
      </c>
    </row>
    <row r="1680" spans="1:5" ht="12.75">
      <c r="A1680" s="158" t="s">
        <v>31</v>
      </c>
      <c r="B1680" s="157" t="s">
        <v>689</v>
      </c>
      <c r="C1680" s="117" t="str">
        <f t="shared" si="78"/>
        <v>Vista - San Diego</v>
      </c>
      <c r="D1680" s="223">
        <f t="shared" si="79"/>
        <v>0.10283333333333333</v>
      </c>
      <c r="E1680" s="224">
        <f t="shared" si="80"/>
        <v>0.01076</v>
      </c>
    </row>
    <row r="1681" spans="1:5" ht="12.75">
      <c r="A1681" s="158" t="s">
        <v>32</v>
      </c>
      <c r="B1681" s="157" t="s">
        <v>772</v>
      </c>
      <c r="C1681" s="117" t="str">
        <f t="shared" si="78"/>
        <v>Vista Park - Kern</v>
      </c>
      <c r="D1681" s="223">
        <f t="shared" si="79"/>
        <v>0.15741666666666668</v>
      </c>
      <c r="E1681" s="224">
        <f t="shared" si="80"/>
        <v>0.01114</v>
      </c>
    </row>
    <row r="1682" spans="1:5" ht="12.75">
      <c r="A1682" s="158" t="s">
        <v>33</v>
      </c>
      <c r="B1682" s="157" t="s">
        <v>730</v>
      </c>
      <c r="C1682" s="117" t="str">
        <f t="shared" si="78"/>
        <v>Volcano - Amador</v>
      </c>
      <c r="D1682" s="223">
        <f t="shared" si="79"/>
        <v>0.13091666666666668</v>
      </c>
      <c r="E1682" s="224">
        <f t="shared" si="80"/>
        <v>0.01015</v>
      </c>
    </row>
    <row r="1683" spans="1:5" ht="12.75">
      <c r="A1683" s="158" t="s">
        <v>34</v>
      </c>
      <c r="B1683" s="157" t="s">
        <v>780</v>
      </c>
      <c r="C1683" s="117" t="str">
        <f t="shared" si="78"/>
        <v>Volta - Merced</v>
      </c>
      <c r="D1683" s="223">
        <f t="shared" si="79"/>
        <v>0.1885</v>
      </c>
      <c r="E1683" s="224">
        <f t="shared" si="80"/>
        <v>0.01061</v>
      </c>
    </row>
    <row r="1684" spans="1:5" ht="12.75">
      <c r="A1684" s="158" t="s">
        <v>35</v>
      </c>
      <c r="B1684" s="157" t="s">
        <v>725</v>
      </c>
      <c r="C1684" s="117" t="str">
        <f t="shared" si="78"/>
        <v>Wallace - Calaveras</v>
      </c>
      <c r="D1684" s="223">
        <f t="shared" si="79"/>
        <v>0.1545833333333333</v>
      </c>
      <c r="E1684" s="224">
        <f t="shared" si="80"/>
        <v>0.01075</v>
      </c>
    </row>
    <row r="1685" spans="1:5" ht="12.75">
      <c r="A1685" s="158" t="s">
        <v>36</v>
      </c>
      <c r="B1685" s="157" t="s">
        <v>677</v>
      </c>
      <c r="C1685" s="117" t="str">
        <f t="shared" si="78"/>
        <v>Walnut - Los Angeles</v>
      </c>
      <c r="D1685" s="223">
        <f t="shared" si="79"/>
        <v>0.12533333333333332</v>
      </c>
      <c r="E1685" s="224">
        <f t="shared" si="80"/>
        <v>0.01168</v>
      </c>
    </row>
    <row r="1686" spans="1:5" ht="12.75">
      <c r="A1686" s="158" t="s">
        <v>37</v>
      </c>
      <c r="B1686" s="157" t="s">
        <v>699</v>
      </c>
      <c r="C1686" s="117" t="str">
        <f t="shared" si="78"/>
        <v>Walnut Creek - Contra Costa</v>
      </c>
      <c r="D1686" s="223">
        <f t="shared" si="79"/>
        <v>0.10966666666666666</v>
      </c>
      <c r="E1686" s="224">
        <f t="shared" si="80"/>
        <v>0.011080000000000001</v>
      </c>
    </row>
    <row r="1687" spans="1:5" ht="12.75">
      <c r="A1687" s="158" t="s">
        <v>38</v>
      </c>
      <c r="B1687" s="157" t="s">
        <v>744</v>
      </c>
      <c r="C1687" s="117" t="str">
        <f t="shared" si="78"/>
        <v>Walnut Grove - Sacramento</v>
      </c>
      <c r="D1687" s="223">
        <f t="shared" si="79"/>
        <v>0.12641666666666665</v>
      </c>
      <c r="E1687" s="224">
        <f t="shared" si="80"/>
        <v>0.01087</v>
      </c>
    </row>
    <row r="1688" spans="1:5" ht="12.75">
      <c r="A1688" s="158" t="s">
        <v>39</v>
      </c>
      <c r="B1688" s="157" t="s">
        <v>677</v>
      </c>
      <c r="C1688" s="117" t="str">
        <f t="shared" si="78"/>
        <v>Walnut Park - Los Angeles</v>
      </c>
      <c r="D1688" s="223">
        <f t="shared" si="79"/>
        <v>0.12533333333333332</v>
      </c>
      <c r="E1688" s="224">
        <f t="shared" si="80"/>
        <v>0.01168</v>
      </c>
    </row>
    <row r="1689" spans="1:5" ht="12.75">
      <c r="A1689" s="158" t="s">
        <v>40</v>
      </c>
      <c r="B1689" s="157" t="s">
        <v>697</v>
      </c>
      <c r="C1689" s="117" t="str">
        <f t="shared" si="78"/>
        <v>Warm Springs  - Alameda</v>
      </c>
      <c r="D1689" s="223">
        <f t="shared" si="79"/>
        <v>0.10916666666666666</v>
      </c>
      <c r="E1689" s="224">
        <f t="shared" si="80"/>
        <v>0.011890000000000001</v>
      </c>
    </row>
    <row r="1690" spans="1:5" ht="12.75">
      <c r="A1690" s="158" t="s">
        <v>41</v>
      </c>
      <c r="B1690" s="157" t="s">
        <v>689</v>
      </c>
      <c r="C1690" s="117" t="str">
        <f t="shared" si="78"/>
        <v>Warner Springs - San Diego</v>
      </c>
      <c r="D1690" s="223">
        <f t="shared" si="79"/>
        <v>0.10283333333333333</v>
      </c>
      <c r="E1690" s="224">
        <f t="shared" si="80"/>
        <v>0.01076</v>
      </c>
    </row>
    <row r="1691" spans="1:5" ht="12.75">
      <c r="A1691" s="158" t="s">
        <v>42</v>
      </c>
      <c r="B1691" s="157" t="s">
        <v>772</v>
      </c>
      <c r="C1691" s="117" t="str">
        <f t="shared" si="78"/>
        <v>Wasco - Kern</v>
      </c>
      <c r="D1691" s="223">
        <f t="shared" si="79"/>
        <v>0.15741666666666668</v>
      </c>
      <c r="E1691" s="224">
        <f t="shared" si="80"/>
        <v>0.01114</v>
      </c>
    </row>
    <row r="1692" spans="1:5" ht="12.75">
      <c r="A1692" s="158" t="s">
        <v>43</v>
      </c>
      <c r="B1692" s="157" t="s">
        <v>1162</v>
      </c>
      <c r="C1692" s="117" t="str">
        <f t="shared" si="78"/>
        <v>Waterford - Stanislaus</v>
      </c>
      <c r="D1692" s="223">
        <f t="shared" si="79"/>
        <v>0.1716666666666667</v>
      </c>
      <c r="E1692" s="224">
        <f t="shared" si="80"/>
        <v>0.01093</v>
      </c>
    </row>
    <row r="1693" spans="1:5" ht="12.75">
      <c r="A1693" s="158" t="s">
        <v>44</v>
      </c>
      <c r="B1693" s="157" t="s">
        <v>751</v>
      </c>
      <c r="C1693" s="117" t="str">
        <f t="shared" si="78"/>
        <v>Watsonville - Santa Cruz</v>
      </c>
      <c r="D1693" s="223">
        <f t="shared" si="79"/>
        <v>0.12516666666666665</v>
      </c>
      <c r="E1693" s="224">
        <f t="shared" si="80"/>
        <v>0.01093</v>
      </c>
    </row>
    <row r="1694" spans="1:5" ht="12.75">
      <c r="A1694" s="158" t="s">
        <v>45</v>
      </c>
      <c r="B1694" s="157" t="s">
        <v>677</v>
      </c>
      <c r="C1694" s="117" t="str">
        <f t="shared" si="78"/>
        <v>Watts - Los Angeles</v>
      </c>
      <c r="D1694" s="223">
        <f t="shared" si="79"/>
        <v>0.12533333333333332</v>
      </c>
      <c r="E1694" s="224">
        <f t="shared" si="80"/>
        <v>0.01168</v>
      </c>
    </row>
    <row r="1695" spans="1:5" ht="12.75">
      <c r="A1695" s="158" t="s">
        <v>46</v>
      </c>
      <c r="B1695" s="157" t="s">
        <v>718</v>
      </c>
      <c r="C1695" s="117" t="str">
        <f t="shared" si="78"/>
        <v>Waukena - Tulare</v>
      </c>
      <c r="D1695" s="223">
        <f t="shared" si="79"/>
        <v>0.16641666666666666</v>
      </c>
      <c r="E1695" s="224">
        <f t="shared" si="80"/>
        <v>0.01088</v>
      </c>
    </row>
    <row r="1696" spans="1:5" ht="12.75">
      <c r="A1696" s="158" t="s">
        <v>47</v>
      </c>
      <c r="B1696" s="157" t="s">
        <v>823</v>
      </c>
      <c r="C1696" s="117" t="str">
        <f t="shared" si="78"/>
        <v>Wawona - Mariposa</v>
      </c>
      <c r="D1696" s="223">
        <f t="shared" si="79"/>
        <v>0.12466666666666669</v>
      </c>
      <c r="E1696" s="224">
        <f t="shared" si="80"/>
        <v>0.01005</v>
      </c>
    </row>
    <row r="1697" spans="1:5" ht="12.75">
      <c r="A1697" s="158" t="s">
        <v>48</v>
      </c>
      <c r="B1697" s="157" t="s">
        <v>849</v>
      </c>
      <c r="C1697" s="117" t="str">
        <f t="shared" si="78"/>
        <v>Weaverville - Trinity</v>
      </c>
      <c r="D1697" s="223">
        <f t="shared" si="79"/>
        <v>0.18466666666666667</v>
      </c>
      <c r="E1697" s="224">
        <f t="shared" si="80"/>
        <v>0.010129999999999998</v>
      </c>
    </row>
    <row r="1698" spans="1:5" ht="12.75">
      <c r="A1698" s="158" t="s">
        <v>49</v>
      </c>
      <c r="B1698" s="157" t="s">
        <v>1012</v>
      </c>
      <c r="C1698" s="117" t="str">
        <f t="shared" si="78"/>
        <v>Weed - Siskiyou</v>
      </c>
      <c r="D1698" s="223">
        <f t="shared" si="79"/>
        <v>0.17858333333333332</v>
      </c>
      <c r="E1698" s="224">
        <f t="shared" si="80"/>
        <v>0.01038</v>
      </c>
    </row>
    <row r="1699" spans="1:5" ht="12.75">
      <c r="A1699" s="158" t="s">
        <v>50</v>
      </c>
      <c r="B1699" s="157" t="s">
        <v>721</v>
      </c>
      <c r="C1699" s="117" t="str">
        <f t="shared" si="78"/>
        <v>Weimar - Placer</v>
      </c>
      <c r="D1699" s="223">
        <f t="shared" si="79"/>
        <v>0.11291666666666667</v>
      </c>
      <c r="E1699" s="224">
        <f t="shared" si="80"/>
        <v>0.010629999999999999</v>
      </c>
    </row>
    <row r="1700" spans="1:5" ht="12.75">
      <c r="A1700" s="158" t="s">
        <v>51</v>
      </c>
      <c r="B1700" s="157" t="s">
        <v>772</v>
      </c>
      <c r="C1700" s="117" t="str">
        <f t="shared" si="78"/>
        <v>Weldon - Kern</v>
      </c>
      <c r="D1700" s="223">
        <f t="shared" si="79"/>
        <v>0.15741666666666668</v>
      </c>
      <c r="E1700" s="224">
        <f t="shared" si="80"/>
        <v>0.01114</v>
      </c>
    </row>
    <row r="1701" spans="1:5" ht="12.75">
      <c r="A1701" s="158" t="s">
        <v>52</v>
      </c>
      <c r="B1701" s="157" t="s">
        <v>847</v>
      </c>
      <c r="C1701" s="117" t="str">
        <f t="shared" si="78"/>
        <v>Wendel - Lassen</v>
      </c>
      <c r="D1701" s="223">
        <f t="shared" si="79"/>
        <v>0.1388333333333333</v>
      </c>
      <c r="E1701" s="224">
        <f t="shared" si="80"/>
        <v>0.01024</v>
      </c>
    </row>
    <row r="1702" spans="1:5" ht="12.75">
      <c r="A1702" s="158" t="s">
        <v>53</v>
      </c>
      <c r="B1702" s="157" t="s">
        <v>705</v>
      </c>
      <c r="C1702" s="117" t="str">
        <f t="shared" si="78"/>
        <v>Weott - Humboldt</v>
      </c>
      <c r="D1702" s="223">
        <f t="shared" si="79"/>
        <v>0.11391666666666665</v>
      </c>
      <c r="E1702" s="224">
        <f t="shared" si="80"/>
        <v>0.01055</v>
      </c>
    </row>
    <row r="1703" spans="1:5" ht="12.75">
      <c r="A1703" s="158" t="s">
        <v>54</v>
      </c>
      <c r="B1703" s="157" t="s">
        <v>677</v>
      </c>
      <c r="C1703" s="117" t="str">
        <f t="shared" si="78"/>
        <v>West Covina - Los Angeles</v>
      </c>
      <c r="D1703" s="223">
        <f t="shared" si="79"/>
        <v>0.12533333333333332</v>
      </c>
      <c r="E1703" s="224">
        <f t="shared" si="80"/>
        <v>0.01168</v>
      </c>
    </row>
    <row r="1704" spans="1:5" ht="12.75">
      <c r="A1704" s="158" t="s">
        <v>55</v>
      </c>
      <c r="B1704" s="157" t="s">
        <v>677</v>
      </c>
      <c r="C1704" s="117" t="str">
        <f t="shared" si="78"/>
        <v>West Hills - Los Angeles</v>
      </c>
      <c r="D1704" s="223">
        <f t="shared" si="79"/>
        <v>0.12533333333333332</v>
      </c>
      <c r="E1704" s="224">
        <f t="shared" si="80"/>
        <v>0.01168</v>
      </c>
    </row>
    <row r="1705" spans="1:5" ht="12.75">
      <c r="A1705" s="158" t="s">
        <v>56</v>
      </c>
      <c r="B1705" s="157" t="s">
        <v>677</v>
      </c>
      <c r="C1705" s="117" t="str">
        <f t="shared" si="78"/>
        <v>West Hollywood - Los Angeles</v>
      </c>
      <c r="D1705" s="223">
        <f t="shared" si="79"/>
        <v>0.12533333333333332</v>
      </c>
      <c r="E1705" s="224">
        <f t="shared" si="80"/>
        <v>0.01168</v>
      </c>
    </row>
    <row r="1706" spans="1:5" ht="12.75">
      <c r="A1706" s="158" t="s">
        <v>57</v>
      </c>
      <c r="B1706" s="157" t="s">
        <v>677</v>
      </c>
      <c r="C1706" s="117" t="str">
        <f t="shared" si="78"/>
        <v>West Los Angeles - Los Angeles</v>
      </c>
      <c r="D1706" s="223">
        <f t="shared" si="79"/>
        <v>0.12533333333333332</v>
      </c>
      <c r="E1706" s="224">
        <f t="shared" si="80"/>
        <v>0.01168</v>
      </c>
    </row>
    <row r="1707" spans="1:5" ht="12.75">
      <c r="A1707" s="158" t="s">
        <v>58</v>
      </c>
      <c r="B1707" s="157" t="s">
        <v>699</v>
      </c>
      <c r="C1707" s="117" t="str">
        <f t="shared" si="78"/>
        <v>West Pittsburg - Contra Costa</v>
      </c>
      <c r="D1707" s="223">
        <f t="shared" si="79"/>
        <v>0.10966666666666666</v>
      </c>
      <c r="E1707" s="224">
        <f t="shared" si="80"/>
        <v>0.011080000000000001</v>
      </c>
    </row>
    <row r="1708" spans="1:5" ht="12.75">
      <c r="A1708" s="158" t="s">
        <v>59</v>
      </c>
      <c r="B1708" s="157" t="s">
        <v>725</v>
      </c>
      <c r="C1708" s="117" t="str">
        <f t="shared" si="78"/>
        <v>West Point - Calaveras</v>
      </c>
      <c r="D1708" s="223">
        <f t="shared" si="79"/>
        <v>0.1545833333333333</v>
      </c>
      <c r="E1708" s="224">
        <f t="shared" si="80"/>
        <v>0.01075</v>
      </c>
    </row>
    <row r="1709" spans="1:5" ht="12.75">
      <c r="A1709" s="158" t="s">
        <v>60</v>
      </c>
      <c r="B1709" s="157" t="s">
        <v>906</v>
      </c>
      <c r="C1709" s="117" t="str">
        <f t="shared" si="78"/>
        <v>West Sacramento - Yolo</v>
      </c>
      <c r="D1709" s="223">
        <f t="shared" si="79"/>
        <v>0.13033333333333333</v>
      </c>
      <c r="E1709" s="224">
        <f t="shared" si="80"/>
        <v>0.01054</v>
      </c>
    </row>
    <row r="1710" spans="1:5" ht="12.75">
      <c r="A1710" s="158" t="s">
        <v>61</v>
      </c>
      <c r="B1710" s="157" t="s">
        <v>677</v>
      </c>
      <c r="C1710" s="117" t="str">
        <f t="shared" si="78"/>
        <v>Westchester  - Los Angeles</v>
      </c>
      <c r="D1710" s="223">
        <f t="shared" si="79"/>
        <v>0.12533333333333332</v>
      </c>
      <c r="E1710" s="224">
        <f t="shared" si="80"/>
        <v>0.01168</v>
      </c>
    </row>
    <row r="1711" spans="1:5" ht="12.75">
      <c r="A1711" s="158" t="s">
        <v>62</v>
      </c>
      <c r="B1711" s="157" t="s">
        <v>681</v>
      </c>
      <c r="C1711" s="117" t="str">
        <f t="shared" si="78"/>
        <v>Westend - San Bernardino</v>
      </c>
      <c r="D1711" s="223">
        <f t="shared" si="79"/>
        <v>0.13891666666666666</v>
      </c>
      <c r="E1711" s="224">
        <f t="shared" si="80"/>
        <v>0.01134</v>
      </c>
    </row>
    <row r="1712" spans="1:5" ht="12.75">
      <c r="A1712" s="158" t="s">
        <v>63</v>
      </c>
      <c r="B1712" s="157" t="s">
        <v>705</v>
      </c>
      <c r="C1712" s="117" t="str">
        <f t="shared" si="78"/>
        <v>Westhaven - Humboldt</v>
      </c>
      <c r="D1712" s="223">
        <f t="shared" si="79"/>
        <v>0.11391666666666665</v>
      </c>
      <c r="E1712" s="224">
        <f t="shared" si="80"/>
        <v>0.01055</v>
      </c>
    </row>
    <row r="1713" spans="1:5" ht="12.75">
      <c r="A1713" s="158" t="s">
        <v>64</v>
      </c>
      <c r="B1713" s="157" t="s">
        <v>677</v>
      </c>
      <c r="C1713" s="117" t="str">
        <f t="shared" si="78"/>
        <v>Westlake - Los Angeles</v>
      </c>
      <c r="D1713" s="223">
        <f t="shared" si="79"/>
        <v>0.12533333333333332</v>
      </c>
      <c r="E1713" s="224">
        <f t="shared" si="80"/>
        <v>0.01168</v>
      </c>
    </row>
    <row r="1714" spans="1:5" ht="12.75">
      <c r="A1714" s="158" t="s">
        <v>65</v>
      </c>
      <c r="B1714" s="157" t="s">
        <v>1017</v>
      </c>
      <c r="C1714" s="117" t="str">
        <f t="shared" si="78"/>
        <v>Westlake Village  - Ventura</v>
      </c>
      <c r="D1714" s="223">
        <f t="shared" si="79"/>
        <v>0.10525000000000001</v>
      </c>
      <c r="E1714" s="224">
        <f t="shared" si="80"/>
        <v>0.010820000000000001</v>
      </c>
    </row>
    <row r="1715" spans="1:5" ht="12.75">
      <c r="A1715" s="158" t="s">
        <v>66</v>
      </c>
      <c r="B1715" s="157" t="s">
        <v>677</v>
      </c>
      <c r="C1715" s="117" t="str">
        <f t="shared" si="78"/>
        <v>Westlake Village - Los Angeles</v>
      </c>
      <c r="D1715" s="223">
        <f t="shared" si="79"/>
        <v>0.12533333333333332</v>
      </c>
      <c r="E1715" s="224">
        <f t="shared" si="80"/>
        <v>0.01168</v>
      </c>
    </row>
    <row r="1716" spans="1:5" ht="12.75">
      <c r="A1716" s="158" t="s">
        <v>67</v>
      </c>
      <c r="B1716" s="157" t="s">
        <v>1162</v>
      </c>
      <c r="C1716" s="117" t="str">
        <f t="shared" si="78"/>
        <v>Westley - Stanislaus</v>
      </c>
      <c r="D1716" s="223">
        <f t="shared" si="79"/>
        <v>0.1716666666666667</v>
      </c>
      <c r="E1716" s="224">
        <f t="shared" si="80"/>
        <v>0.01093</v>
      </c>
    </row>
    <row r="1717" spans="1:5" ht="12.75">
      <c r="A1717" s="158" t="s">
        <v>68</v>
      </c>
      <c r="B1717" s="157" t="s">
        <v>708</v>
      </c>
      <c r="C1717" s="117" t="str">
        <f t="shared" si="78"/>
        <v>Westminster - Orange</v>
      </c>
      <c r="D1717" s="223">
        <f t="shared" si="79"/>
        <v>0.0915</v>
      </c>
      <c r="E1717" s="224">
        <f t="shared" si="80"/>
        <v>0.01054</v>
      </c>
    </row>
    <row r="1718" spans="1:5" ht="12.75">
      <c r="A1718" s="158" t="s">
        <v>69</v>
      </c>
      <c r="B1718" s="157" t="s">
        <v>807</v>
      </c>
      <c r="C1718" s="117" t="str">
        <f t="shared" si="78"/>
        <v>Westmorland - Imperial</v>
      </c>
      <c r="D1718" s="223">
        <f t="shared" si="79"/>
        <v>0.29941666666666666</v>
      </c>
      <c r="E1718" s="224">
        <f t="shared" si="80"/>
        <v>0.01052</v>
      </c>
    </row>
    <row r="1719" spans="1:5" ht="12.75">
      <c r="A1719" s="158" t="s">
        <v>70</v>
      </c>
      <c r="B1719" s="157" t="s">
        <v>703</v>
      </c>
      <c r="C1719" s="117" t="str">
        <f t="shared" si="78"/>
        <v>Westport - Mendocino</v>
      </c>
      <c r="D1719" s="223">
        <f t="shared" si="79"/>
        <v>0.11325000000000002</v>
      </c>
      <c r="E1719" s="224">
        <f t="shared" si="80"/>
        <v>0.01097</v>
      </c>
    </row>
    <row r="1720" spans="1:5" ht="12.75">
      <c r="A1720" s="158" t="s">
        <v>71</v>
      </c>
      <c r="B1720" s="157" t="s">
        <v>1162</v>
      </c>
      <c r="C1720" s="117" t="str">
        <f t="shared" si="78"/>
        <v>Westside - Stanislaus</v>
      </c>
      <c r="D1720" s="223">
        <f t="shared" si="79"/>
        <v>0.1716666666666667</v>
      </c>
      <c r="E1720" s="224">
        <f t="shared" si="80"/>
        <v>0.01093</v>
      </c>
    </row>
    <row r="1721" spans="1:5" ht="12.75">
      <c r="A1721" s="158" t="s">
        <v>72</v>
      </c>
      <c r="B1721" s="157" t="s">
        <v>677</v>
      </c>
      <c r="C1721" s="117" t="str">
        <f t="shared" si="78"/>
        <v>Westwood  - Los Angeles</v>
      </c>
      <c r="D1721" s="223">
        <f t="shared" si="79"/>
        <v>0.12533333333333332</v>
      </c>
      <c r="E1721" s="224">
        <f t="shared" si="80"/>
        <v>0.01168</v>
      </c>
    </row>
    <row r="1722" spans="1:5" ht="12.75">
      <c r="A1722" s="158" t="s">
        <v>73</v>
      </c>
      <c r="B1722" s="157" t="s">
        <v>847</v>
      </c>
      <c r="C1722" s="117" t="str">
        <f t="shared" si="78"/>
        <v>Westwood - Lassen</v>
      </c>
      <c r="D1722" s="223">
        <f t="shared" si="79"/>
        <v>0.1388333333333333</v>
      </c>
      <c r="E1722" s="224">
        <f t="shared" si="80"/>
        <v>0.01024</v>
      </c>
    </row>
    <row r="1723" spans="1:5" ht="12.75">
      <c r="A1723" s="158" t="s">
        <v>74</v>
      </c>
      <c r="B1723" s="157" t="s">
        <v>820</v>
      </c>
      <c r="C1723" s="117" t="str">
        <f t="shared" si="78"/>
        <v>Wheatland - Yuba</v>
      </c>
      <c r="D1723" s="223">
        <f t="shared" si="79"/>
        <v>0.1881666666666667</v>
      </c>
      <c r="E1723" s="224">
        <f t="shared" si="80"/>
        <v>0.01102</v>
      </c>
    </row>
    <row r="1724" spans="1:5" ht="12.75">
      <c r="A1724" s="158" t="s">
        <v>75</v>
      </c>
      <c r="B1724" s="157" t="s">
        <v>772</v>
      </c>
      <c r="C1724" s="117" t="str">
        <f t="shared" si="78"/>
        <v>Wheeler Ridge - Kern</v>
      </c>
      <c r="D1724" s="223">
        <f t="shared" si="79"/>
        <v>0.15741666666666668</v>
      </c>
      <c r="E1724" s="224">
        <f t="shared" si="80"/>
        <v>0.01114</v>
      </c>
    </row>
    <row r="1725" spans="1:5" ht="12.75">
      <c r="A1725" s="158" t="s">
        <v>76</v>
      </c>
      <c r="B1725" s="157" t="s">
        <v>738</v>
      </c>
      <c r="C1725" s="117" t="str">
        <f t="shared" si="78"/>
        <v>Whiskeytown - Shasta</v>
      </c>
      <c r="D1725" s="223">
        <f t="shared" si="79"/>
        <v>0.15616666666666668</v>
      </c>
      <c r="E1725" s="224">
        <f t="shared" si="80"/>
        <v>0.01085</v>
      </c>
    </row>
    <row r="1726" spans="1:5" ht="12.75">
      <c r="A1726" s="158" t="s">
        <v>77</v>
      </c>
      <c r="B1726" s="157" t="s">
        <v>102</v>
      </c>
      <c r="C1726" s="117" t="str">
        <f t="shared" si="78"/>
        <v>Whispering Pines - Lake</v>
      </c>
      <c r="D1726" s="223">
        <f t="shared" si="79"/>
        <v>0.18208333333333332</v>
      </c>
      <c r="E1726" s="224">
        <f t="shared" si="80"/>
        <v>0.01068</v>
      </c>
    </row>
    <row r="1727" spans="1:5" ht="12.75">
      <c r="A1727" s="158" t="s">
        <v>78</v>
      </c>
      <c r="B1727" s="157" t="s">
        <v>725</v>
      </c>
      <c r="C1727" s="117" t="str">
        <f t="shared" si="78"/>
        <v>White Pines - Calaveras</v>
      </c>
      <c r="D1727" s="223">
        <f t="shared" si="79"/>
        <v>0.1545833333333333</v>
      </c>
      <c r="E1727" s="224">
        <f t="shared" si="80"/>
        <v>0.01075</v>
      </c>
    </row>
    <row r="1728" spans="1:5" ht="12.75">
      <c r="A1728" s="158" t="s">
        <v>79</v>
      </c>
      <c r="B1728" s="157" t="s">
        <v>705</v>
      </c>
      <c r="C1728" s="117" t="str">
        <f t="shared" si="78"/>
        <v>Whitethorn - Humboldt</v>
      </c>
      <c r="D1728" s="223">
        <f t="shared" si="79"/>
        <v>0.11391666666666665</v>
      </c>
      <c r="E1728" s="224">
        <f t="shared" si="80"/>
        <v>0.01055</v>
      </c>
    </row>
    <row r="1729" spans="1:5" ht="12.75">
      <c r="A1729" s="158" t="s">
        <v>80</v>
      </c>
      <c r="B1729" s="157" t="s">
        <v>692</v>
      </c>
      <c r="C1729" s="117" t="str">
        <f t="shared" si="78"/>
        <v>Whitewater - Riverside</v>
      </c>
      <c r="D1729" s="223">
        <f t="shared" si="79"/>
        <v>0.144</v>
      </c>
      <c r="E1729" s="224">
        <f t="shared" si="80"/>
        <v>0.01089</v>
      </c>
    </row>
    <row r="1730" spans="1:5" ht="12.75">
      <c r="A1730" s="158" t="s">
        <v>81</v>
      </c>
      <c r="B1730" s="157" t="s">
        <v>705</v>
      </c>
      <c r="C1730" s="117" t="str">
        <f t="shared" si="78"/>
        <v>Whitlow - Humboldt</v>
      </c>
      <c r="D1730" s="223">
        <f t="shared" si="79"/>
        <v>0.11391666666666665</v>
      </c>
      <c r="E1730" s="224">
        <f t="shared" si="80"/>
        <v>0.01055</v>
      </c>
    </row>
    <row r="1731" spans="1:5" ht="12.75">
      <c r="A1731" s="158" t="s">
        <v>82</v>
      </c>
      <c r="B1731" s="157" t="s">
        <v>738</v>
      </c>
      <c r="C1731" s="117" t="str">
        <f t="shared" si="78"/>
        <v>Whitmore - Shasta</v>
      </c>
      <c r="D1731" s="223">
        <f t="shared" si="79"/>
        <v>0.15616666666666668</v>
      </c>
      <c r="E1731" s="224">
        <f t="shared" si="80"/>
        <v>0.01085</v>
      </c>
    </row>
    <row r="1732" spans="1:5" ht="12.75">
      <c r="A1732" s="158" t="s">
        <v>83</v>
      </c>
      <c r="B1732" s="157" t="s">
        <v>677</v>
      </c>
      <c r="C1732" s="117" t="str">
        <f t="shared" si="78"/>
        <v>Whittier - Los Angeles</v>
      </c>
      <c r="D1732" s="223">
        <f t="shared" si="79"/>
        <v>0.12533333333333332</v>
      </c>
      <c r="E1732" s="224">
        <f t="shared" si="80"/>
        <v>0.01168</v>
      </c>
    </row>
    <row r="1733" spans="1:5" ht="12.75">
      <c r="A1733" s="158" t="s">
        <v>84</v>
      </c>
      <c r="B1733" s="157" t="s">
        <v>692</v>
      </c>
      <c r="C1733" s="117" t="str">
        <f t="shared" si="78"/>
        <v>Wildomar - Riverside</v>
      </c>
      <c r="D1733" s="223">
        <f t="shared" si="79"/>
        <v>0.144</v>
      </c>
      <c r="E1733" s="224">
        <f t="shared" si="80"/>
        <v>0.01089</v>
      </c>
    </row>
    <row r="1734" spans="1:5" ht="12.75">
      <c r="A1734" s="158" t="s">
        <v>85</v>
      </c>
      <c r="B1734" s="157" t="s">
        <v>738</v>
      </c>
      <c r="C1734" s="117" t="str">
        <f t="shared" si="78"/>
        <v>Wildwood - Shasta</v>
      </c>
      <c r="D1734" s="223">
        <f t="shared" si="79"/>
        <v>0.15616666666666668</v>
      </c>
      <c r="E1734" s="224">
        <f t="shared" si="80"/>
        <v>0.01085</v>
      </c>
    </row>
    <row r="1735" spans="1:5" ht="12.75">
      <c r="A1735" s="158" t="s">
        <v>86</v>
      </c>
      <c r="B1735" s="157" t="s">
        <v>753</v>
      </c>
      <c r="C1735" s="117" t="str">
        <f aca="true" t="shared" si="81" ref="C1735:C1780">A1735&amp;" - "&amp;B1735</f>
        <v>Williams - Colusa</v>
      </c>
      <c r="D1735" s="223">
        <f t="shared" si="79"/>
        <v>0.20800000000000002</v>
      </c>
      <c r="E1735" s="224">
        <f t="shared" si="80"/>
        <v>0.01027</v>
      </c>
    </row>
    <row r="1736" spans="1:5" ht="12.75">
      <c r="A1736" s="158" t="s">
        <v>87</v>
      </c>
      <c r="B1736" s="157" t="s">
        <v>703</v>
      </c>
      <c r="C1736" s="117" t="str">
        <f t="shared" si="81"/>
        <v>Willits - Mendocino</v>
      </c>
      <c r="D1736" s="223">
        <f aca="true" t="shared" si="82" ref="D1736:D1780">VLOOKUP(B1736,unemployment_rates,2,FALSE)</f>
        <v>0.11325000000000002</v>
      </c>
      <c r="E1736" s="224">
        <f aca="true" t="shared" si="83" ref="E1736:E1780">VLOOKUP(B1736,Prop_Tax_Rates,2,FALSE)</f>
        <v>0.01097</v>
      </c>
    </row>
    <row r="1737" spans="1:5" ht="12.75">
      <c r="A1737" s="158" t="s">
        <v>88</v>
      </c>
      <c r="B1737" s="157" t="s">
        <v>705</v>
      </c>
      <c r="C1737" s="117" t="str">
        <f t="shared" si="81"/>
        <v>Willow Creek - Humboldt</v>
      </c>
      <c r="D1737" s="223">
        <f t="shared" si="82"/>
        <v>0.11391666666666665</v>
      </c>
      <c r="E1737" s="224">
        <f t="shared" si="83"/>
        <v>0.01055</v>
      </c>
    </row>
    <row r="1738" spans="1:5" ht="12.75">
      <c r="A1738" s="158" t="s">
        <v>89</v>
      </c>
      <c r="B1738" s="157" t="s">
        <v>683</v>
      </c>
      <c r="C1738" s="117" t="str">
        <f t="shared" si="81"/>
        <v>Willow Ranch - Modoc</v>
      </c>
      <c r="D1738" s="223">
        <f t="shared" si="82"/>
        <v>0.14341666666666666</v>
      </c>
      <c r="E1738" s="224">
        <f t="shared" si="83"/>
        <v>0.01</v>
      </c>
    </row>
    <row r="1739" spans="1:5" ht="12.75">
      <c r="A1739" s="158" t="s">
        <v>132</v>
      </c>
      <c r="B1739" s="157" t="s">
        <v>677</v>
      </c>
      <c r="C1739" s="117" t="str">
        <f t="shared" si="81"/>
        <v>Willowbrook - Los Angeles</v>
      </c>
      <c r="D1739" s="223">
        <f t="shared" si="82"/>
        <v>0.12533333333333332</v>
      </c>
      <c r="E1739" s="224">
        <f t="shared" si="83"/>
        <v>0.01168</v>
      </c>
    </row>
    <row r="1740" spans="1:5" ht="12.75">
      <c r="A1740" s="158" t="s">
        <v>133</v>
      </c>
      <c r="B1740" s="157" t="s">
        <v>770</v>
      </c>
      <c r="C1740" s="117" t="str">
        <f t="shared" si="81"/>
        <v>Willows - Glenn</v>
      </c>
      <c r="D1740" s="223">
        <f t="shared" si="82"/>
        <v>0.16558333333333333</v>
      </c>
      <c r="E1740" s="224">
        <f t="shared" si="83"/>
        <v>0.0105</v>
      </c>
    </row>
    <row r="1741" spans="1:5" ht="12.75">
      <c r="A1741" s="158" t="s">
        <v>134</v>
      </c>
      <c r="B1741" s="157" t="s">
        <v>677</v>
      </c>
      <c r="C1741" s="117" t="str">
        <f t="shared" si="81"/>
        <v>Wilmington  - Los Angeles</v>
      </c>
      <c r="D1741" s="223">
        <f t="shared" si="82"/>
        <v>0.12533333333333332</v>
      </c>
      <c r="E1741" s="224">
        <f t="shared" si="83"/>
        <v>0.01168</v>
      </c>
    </row>
    <row r="1742" spans="1:5" ht="12.75">
      <c r="A1742" s="158" t="s">
        <v>135</v>
      </c>
      <c r="B1742" s="157" t="s">
        <v>725</v>
      </c>
      <c r="C1742" s="117" t="str">
        <f t="shared" si="81"/>
        <v>Wilseyville - Calaveras</v>
      </c>
      <c r="D1742" s="223">
        <f t="shared" si="82"/>
        <v>0.1545833333333333</v>
      </c>
      <c r="E1742" s="224">
        <f t="shared" si="83"/>
        <v>0.01075</v>
      </c>
    </row>
    <row r="1743" spans="1:5" ht="12.75">
      <c r="A1743" s="158" t="s">
        <v>136</v>
      </c>
      <c r="B1743" s="157" t="s">
        <v>677</v>
      </c>
      <c r="C1743" s="117" t="str">
        <f t="shared" si="81"/>
        <v>Wilsona Gardens - Los Angeles</v>
      </c>
      <c r="D1743" s="223">
        <f t="shared" si="82"/>
        <v>0.12533333333333332</v>
      </c>
      <c r="E1743" s="224">
        <f t="shared" si="83"/>
        <v>0.01168</v>
      </c>
    </row>
    <row r="1744" spans="1:5" ht="12.75">
      <c r="A1744" s="158" t="s">
        <v>137</v>
      </c>
      <c r="B1744" s="157" t="s">
        <v>744</v>
      </c>
      <c r="C1744" s="117" t="str">
        <f t="shared" si="81"/>
        <v>Wilton - Sacramento</v>
      </c>
      <c r="D1744" s="223">
        <f t="shared" si="82"/>
        <v>0.12641666666666665</v>
      </c>
      <c r="E1744" s="224">
        <f t="shared" si="83"/>
        <v>0.01087</v>
      </c>
    </row>
    <row r="1745" spans="1:5" ht="12.75">
      <c r="A1745" s="158" t="s">
        <v>138</v>
      </c>
      <c r="B1745" s="157" t="s">
        <v>692</v>
      </c>
      <c r="C1745" s="117" t="str">
        <f t="shared" si="81"/>
        <v>Winchester - Riverside</v>
      </c>
      <c r="D1745" s="223">
        <f t="shared" si="82"/>
        <v>0.144</v>
      </c>
      <c r="E1745" s="224">
        <f t="shared" si="83"/>
        <v>0.01089</v>
      </c>
    </row>
    <row r="1746" spans="1:5" ht="12.75">
      <c r="A1746" s="158" t="s">
        <v>139</v>
      </c>
      <c r="B1746" s="157" t="s">
        <v>687</v>
      </c>
      <c r="C1746" s="117" t="str">
        <f t="shared" si="81"/>
        <v>Windsor - Sonoma</v>
      </c>
      <c r="D1746" s="223">
        <f t="shared" si="82"/>
        <v>0.10133333333333334</v>
      </c>
      <c r="E1746" s="224">
        <f t="shared" si="83"/>
        <v>0.01115</v>
      </c>
    </row>
    <row r="1747" spans="1:5" ht="12.75">
      <c r="A1747" s="158" t="s">
        <v>140</v>
      </c>
      <c r="B1747" s="157" t="s">
        <v>677</v>
      </c>
      <c r="C1747" s="117" t="str">
        <f t="shared" si="81"/>
        <v>Windsor Hills - Los Angeles</v>
      </c>
      <c r="D1747" s="223">
        <f t="shared" si="82"/>
        <v>0.12533333333333332</v>
      </c>
      <c r="E1747" s="224">
        <f t="shared" si="83"/>
        <v>0.01168</v>
      </c>
    </row>
    <row r="1748" spans="1:5" ht="12.75">
      <c r="A1748" s="158" t="s">
        <v>141</v>
      </c>
      <c r="B1748" s="157" t="s">
        <v>677</v>
      </c>
      <c r="C1748" s="117" t="str">
        <f t="shared" si="81"/>
        <v>Winnetka  - Los Angeles</v>
      </c>
      <c r="D1748" s="223">
        <f t="shared" si="82"/>
        <v>0.12533333333333332</v>
      </c>
      <c r="E1748" s="224">
        <f t="shared" si="83"/>
        <v>0.01168</v>
      </c>
    </row>
    <row r="1749" spans="1:5" ht="12.75">
      <c r="A1749" s="158" t="s">
        <v>142</v>
      </c>
      <c r="B1749" s="157" t="s">
        <v>807</v>
      </c>
      <c r="C1749" s="117" t="str">
        <f t="shared" si="81"/>
        <v>Winterhaven - Imperial</v>
      </c>
      <c r="D1749" s="223">
        <f t="shared" si="82"/>
        <v>0.29941666666666666</v>
      </c>
      <c r="E1749" s="224">
        <f t="shared" si="83"/>
        <v>0.01052</v>
      </c>
    </row>
    <row r="1750" spans="1:5" ht="12.75">
      <c r="A1750" s="158" t="s">
        <v>143</v>
      </c>
      <c r="B1750" s="157" t="s">
        <v>906</v>
      </c>
      <c r="C1750" s="117" t="str">
        <f t="shared" si="81"/>
        <v>Winters - Yolo</v>
      </c>
      <c r="D1750" s="223">
        <f t="shared" si="82"/>
        <v>0.13033333333333333</v>
      </c>
      <c r="E1750" s="224">
        <f t="shared" si="83"/>
        <v>0.01054</v>
      </c>
    </row>
    <row r="1751" spans="1:5" ht="12.75">
      <c r="A1751" s="158" t="s">
        <v>144</v>
      </c>
      <c r="B1751" s="157" t="s">
        <v>780</v>
      </c>
      <c r="C1751" s="117" t="str">
        <f t="shared" si="81"/>
        <v>Winton - Merced</v>
      </c>
      <c r="D1751" s="223">
        <f t="shared" si="82"/>
        <v>0.1885</v>
      </c>
      <c r="E1751" s="224">
        <f t="shared" si="83"/>
        <v>0.01061</v>
      </c>
    </row>
    <row r="1752" spans="1:5" ht="12.75">
      <c r="A1752" s="158" t="s">
        <v>145</v>
      </c>
      <c r="B1752" s="157" t="s">
        <v>694</v>
      </c>
      <c r="C1752" s="117" t="str">
        <f t="shared" si="81"/>
        <v>Wishon - Madera</v>
      </c>
      <c r="D1752" s="223">
        <f t="shared" si="82"/>
        <v>0.15525</v>
      </c>
      <c r="E1752" s="224">
        <f t="shared" si="83"/>
        <v>0.01118</v>
      </c>
    </row>
    <row r="1753" spans="1:5" ht="12.75">
      <c r="A1753" s="158" t="s">
        <v>146</v>
      </c>
      <c r="B1753" s="157" t="s">
        <v>102</v>
      </c>
      <c r="C1753" s="117" t="str">
        <f t="shared" si="81"/>
        <v>Witter Springs - Lake</v>
      </c>
      <c r="D1753" s="223">
        <f t="shared" si="82"/>
        <v>0.18208333333333332</v>
      </c>
      <c r="E1753" s="224">
        <f t="shared" si="83"/>
        <v>0.01068</v>
      </c>
    </row>
    <row r="1754" spans="1:5" ht="12.75">
      <c r="A1754" s="158" t="s">
        <v>147</v>
      </c>
      <c r="B1754" s="157" t="s">
        <v>772</v>
      </c>
      <c r="C1754" s="117" t="str">
        <f t="shared" si="81"/>
        <v>Wofford Heights - Kern</v>
      </c>
      <c r="D1754" s="223">
        <f t="shared" si="82"/>
        <v>0.15741666666666668</v>
      </c>
      <c r="E1754" s="224">
        <f t="shared" si="83"/>
        <v>0.01114</v>
      </c>
    </row>
    <row r="1755" spans="1:5" ht="12.75">
      <c r="A1755" s="158" t="s">
        <v>148</v>
      </c>
      <c r="B1755" s="157" t="s">
        <v>834</v>
      </c>
      <c r="C1755" s="117" t="str">
        <f t="shared" si="81"/>
        <v>Woodacre - Marin</v>
      </c>
      <c r="D1755" s="223">
        <f t="shared" si="82"/>
        <v>0.08033333333333333</v>
      </c>
      <c r="E1755" s="224">
        <f t="shared" si="83"/>
        <v>0.01105</v>
      </c>
    </row>
    <row r="1756" spans="1:5" ht="12.75">
      <c r="A1756" s="158" t="s">
        <v>149</v>
      </c>
      <c r="B1756" s="157" t="s">
        <v>675</v>
      </c>
      <c r="C1756" s="117" t="str">
        <f t="shared" si="81"/>
        <v>Woodbridge - San Joaquin</v>
      </c>
      <c r="D1756" s="223">
        <f t="shared" si="82"/>
        <v>0.17300000000000001</v>
      </c>
      <c r="E1756" s="224">
        <f t="shared" si="83"/>
        <v>0.01113</v>
      </c>
    </row>
    <row r="1757" spans="1:5" ht="12.75">
      <c r="A1757" s="158" t="s">
        <v>150</v>
      </c>
      <c r="B1757" s="157" t="s">
        <v>719</v>
      </c>
      <c r="C1757" s="117" t="str">
        <f t="shared" si="81"/>
        <v>Woodfords - Alpine</v>
      </c>
      <c r="D1757" s="223">
        <f t="shared" si="82"/>
        <v>0.16133333333333333</v>
      </c>
      <c r="E1757" s="224">
        <f t="shared" si="83"/>
        <v>0.01</v>
      </c>
    </row>
    <row r="1758" spans="1:5" ht="12.75">
      <c r="A1758" s="158" t="s">
        <v>151</v>
      </c>
      <c r="B1758" s="157" t="s">
        <v>718</v>
      </c>
      <c r="C1758" s="117" t="str">
        <f t="shared" si="81"/>
        <v>Woodlake - Tulare</v>
      </c>
      <c r="D1758" s="223">
        <f t="shared" si="82"/>
        <v>0.16641666666666666</v>
      </c>
      <c r="E1758" s="224">
        <f t="shared" si="83"/>
        <v>0.01088</v>
      </c>
    </row>
    <row r="1759" spans="1:5" ht="12.75">
      <c r="A1759" s="158" t="s">
        <v>152</v>
      </c>
      <c r="B1759" s="157" t="s">
        <v>906</v>
      </c>
      <c r="C1759" s="117" t="str">
        <f t="shared" si="81"/>
        <v>Woodland - Yolo</v>
      </c>
      <c r="D1759" s="223">
        <f t="shared" si="82"/>
        <v>0.13033333333333333</v>
      </c>
      <c r="E1759" s="224">
        <f t="shared" si="83"/>
        <v>0.01054</v>
      </c>
    </row>
    <row r="1760" spans="1:5" ht="12.75">
      <c r="A1760" s="158" t="s">
        <v>153</v>
      </c>
      <c r="B1760" s="157" t="s">
        <v>677</v>
      </c>
      <c r="C1760" s="117" t="str">
        <f t="shared" si="81"/>
        <v>Woodland Hills  - Los Angeles</v>
      </c>
      <c r="D1760" s="223">
        <f t="shared" si="82"/>
        <v>0.12533333333333332</v>
      </c>
      <c r="E1760" s="224">
        <f t="shared" si="83"/>
        <v>0.01168</v>
      </c>
    </row>
    <row r="1761" spans="1:5" ht="12.75">
      <c r="A1761" s="158" t="s">
        <v>154</v>
      </c>
      <c r="B1761" s="157" t="s">
        <v>820</v>
      </c>
      <c r="C1761" s="117" t="str">
        <f t="shared" si="81"/>
        <v>Woodleaf - Yuba</v>
      </c>
      <c r="D1761" s="223">
        <f t="shared" si="82"/>
        <v>0.1881666666666667</v>
      </c>
      <c r="E1761" s="224">
        <f t="shared" si="83"/>
        <v>0.01102</v>
      </c>
    </row>
    <row r="1762" spans="1:5" ht="12.75">
      <c r="A1762" s="158" t="s">
        <v>155</v>
      </c>
      <c r="B1762" s="157" t="s">
        <v>778</v>
      </c>
      <c r="C1762" s="117" t="str">
        <f t="shared" si="81"/>
        <v>Woodside - San Mateo</v>
      </c>
      <c r="D1762" s="223">
        <f t="shared" si="82"/>
        <v>0.08433333333333333</v>
      </c>
      <c r="E1762" s="224">
        <f t="shared" si="83"/>
        <v>0.01085</v>
      </c>
    </row>
    <row r="1763" spans="1:5" ht="12.75">
      <c r="A1763" s="158" t="s">
        <v>156</v>
      </c>
      <c r="B1763" s="157" t="s">
        <v>718</v>
      </c>
      <c r="C1763" s="117" t="str">
        <f t="shared" si="81"/>
        <v>Woodville - Tulare</v>
      </c>
      <c r="D1763" s="223">
        <f t="shared" si="82"/>
        <v>0.16641666666666666</v>
      </c>
      <c r="E1763" s="224">
        <f t="shared" si="83"/>
        <v>0.01088</v>
      </c>
    </row>
    <row r="1764" spans="1:5" ht="12.75">
      <c r="A1764" s="158" t="s">
        <v>157</v>
      </c>
      <c r="B1764" s="157" t="s">
        <v>772</v>
      </c>
      <c r="C1764" s="117" t="str">
        <f t="shared" si="81"/>
        <v>Woody - Kern</v>
      </c>
      <c r="D1764" s="223">
        <f t="shared" si="82"/>
        <v>0.15741666666666668</v>
      </c>
      <c r="E1764" s="224">
        <f t="shared" si="83"/>
        <v>0.01114</v>
      </c>
    </row>
    <row r="1765" spans="1:5" ht="12.75">
      <c r="A1765" s="158" t="s">
        <v>158</v>
      </c>
      <c r="B1765" s="157" t="s">
        <v>681</v>
      </c>
      <c r="C1765" s="117" t="str">
        <f t="shared" si="81"/>
        <v>Wrightwood - San Bernardino</v>
      </c>
      <c r="D1765" s="223">
        <f t="shared" si="82"/>
        <v>0.13891666666666666</v>
      </c>
      <c r="E1765" s="224">
        <f t="shared" si="83"/>
        <v>0.01134</v>
      </c>
    </row>
    <row r="1766" spans="1:5" ht="12.75">
      <c r="A1766" s="158" t="s">
        <v>159</v>
      </c>
      <c r="B1766" s="157" t="s">
        <v>803</v>
      </c>
      <c r="C1766" s="117" t="str">
        <f t="shared" si="81"/>
        <v>Yankee Hill - Butte</v>
      </c>
      <c r="D1766" s="223">
        <f t="shared" si="82"/>
        <v>0.13741666666666666</v>
      </c>
      <c r="E1766" s="224">
        <f t="shared" si="83"/>
        <v>0.01064</v>
      </c>
    </row>
    <row r="1767" spans="1:5" ht="12.75">
      <c r="A1767" s="158" t="s">
        <v>160</v>
      </c>
      <c r="B1767" s="157" t="s">
        <v>681</v>
      </c>
      <c r="C1767" s="117" t="str">
        <f t="shared" si="81"/>
        <v>Yermo - San Bernardino</v>
      </c>
      <c r="D1767" s="223">
        <f t="shared" si="82"/>
        <v>0.13891666666666666</v>
      </c>
      <c r="E1767" s="224">
        <f t="shared" si="83"/>
        <v>0.01134</v>
      </c>
    </row>
    <row r="1768" spans="1:5" ht="12.75">
      <c r="A1768" s="158" t="s">
        <v>161</v>
      </c>
      <c r="B1768" s="157" t="s">
        <v>718</v>
      </c>
      <c r="C1768" s="117" t="str">
        <f t="shared" si="81"/>
        <v>Yettem - Tulare</v>
      </c>
      <c r="D1768" s="223">
        <f t="shared" si="82"/>
        <v>0.16641666666666666</v>
      </c>
      <c r="E1768" s="224">
        <f t="shared" si="83"/>
        <v>0.01088</v>
      </c>
    </row>
    <row r="1769" spans="1:5" ht="12.75">
      <c r="A1769" s="158" t="s">
        <v>906</v>
      </c>
      <c r="B1769" s="157" t="s">
        <v>906</v>
      </c>
      <c r="C1769" s="117" t="str">
        <f t="shared" si="81"/>
        <v>Yolo - Yolo</v>
      </c>
      <c r="D1769" s="223">
        <f t="shared" si="82"/>
        <v>0.13033333333333333</v>
      </c>
      <c r="E1769" s="224">
        <f t="shared" si="83"/>
        <v>0.01054</v>
      </c>
    </row>
    <row r="1770" spans="1:5" ht="12.75">
      <c r="A1770" s="158" t="s">
        <v>162</v>
      </c>
      <c r="B1770" s="157" t="s">
        <v>708</v>
      </c>
      <c r="C1770" s="117" t="str">
        <f t="shared" si="81"/>
        <v>Yorba Linda - Orange</v>
      </c>
      <c r="D1770" s="223">
        <f t="shared" si="82"/>
        <v>0.0915</v>
      </c>
      <c r="E1770" s="224">
        <f t="shared" si="83"/>
        <v>0.01054</v>
      </c>
    </row>
    <row r="1771" spans="1:5" ht="12.75">
      <c r="A1771" s="158" t="s">
        <v>163</v>
      </c>
      <c r="B1771" s="157" t="s">
        <v>703</v>
      </c>
      <c r="C1771" s="117" t="str">
        <f t="shared" si="81"/>
        <v>Yorkville - Mendocino</v>
      </c>
      <c r="D1771" s="223">
        <f t="shared" si="82"/>
        <v>0.11325000000000002</v>
      </c>
      <c r="E1771" s="224">
        <f t="shared" si="83"/>
        <v>0.01097</v>
      </c>
    </row>
    <row r="1772" spans="1:5" ht="12.75">
      <c r="A1772" s="158" t="s">
        <v>164</v>
      </c>
      <c r="B1772" s="157" t="s">
        <v>823</v>
      </c>
      <c r="C1772" s="117" t="str">
        <f t="shared" si="81"/>
        <v>Yosemite Lodge - Mariposa</v>
      </c>
      <c r="D1772" s="223">
        <f t="shared" si="82"/>
        <v>0.12466666666666669</v>
      </c>
      <c r="E1772" s="224">
        <f t="shared" si="83"/>
        <v>0.01005</v>
      </c>
    </row>
    <row r="1773" spans="1:5" ht="12.75">
      <c r="A1773" s="158" t="s">
        <v>165</v>
      </c>
      <c r="B1773" s="157" t="s">
        <v>823</v>
      </c>
      <c r="C1773" s="117" t="str">
        <f t="shared" si="81"/>
        <v>Yosemite National Park - Mariposa</v>
      </c>
      <c r="D1773" s="223">
        <f t="shared" si="82"/>
        <v>0.12466666666666669</v>
      </c>
      <c r="E1773" s="224">
        <f t="shared" si="83"/>
        <v>0.01005</v>
      </c>
    </row>
    <row r="1774" spans="1:5" ht="12.75">
      <c r="A1774" s="158" t="s">
        <v>166</v>
      </c>
      <c r="B1774" s="157" t="s">
        <v>735</v>
      </c>
      <c r="C1774" s="117" t="str">
        <f t="shared" si="81"/>
        <v>Yountville - Napa</v>
      </c>
      <c r="D1774" s="223">
        <f t="shared" si="82"/>
        <v>0.09708333333333334</v>
      </c>
      <c r="E1774" s="224">
        <f t="shared" si="83"/>
        <v>0.01093</v>
      </c>
    </row>
    <row r="1775" spans="1:5" ht="12.75">
      <c r="A1775" s="158" t="s">
        <v>167</v>
      </c>
      <c r="B1775" s="157" t="s">
        <v>1012</v>
      </c>
      <c r="C1775" s="117" t="str">
        <f t="shared" si="81"/>
        <v>Yreka - Siskiyou</v>
      </c>
      <c r="D1775" s="223">
        <f t="shared" si="82"/>
        <v>0.17858333333333332</v>
      </c>
      <c r="E1775" s="224">
        <f t="shared" si="83"/>
        <v>0.01038</v>
      </c>
    </row>
    <row r="1776" spans="1:5" ht="12.75">
      <c r="A1776" s="158" t="s">
        <v>168</v>
      </c>
      <c r="B1776" s="157" t="s">
        <v>2046</v>
      </c>
      <c r="C1776" s="117" t="str">
        <f t="shared" si="81"/>
        <v>Yuba City - Sutter</v>
      </c>
      <c r="D1776" s="223">
        <f t="shared" si="82"/>
        <v>0.19824999999999998</v>
      </c>
      <c r="E1776" s="224">
        <f t="shared" si="83"/>
        <v>0.010700000000000001</v>
      </c>
    </row>
    <row r="1777" spans="1:5" ht="12.75">
      <c r="A1777" s="158" t="s">
        <v>169</v>
      </c>
      <c r="B1777" s="157" t="s">
        <v>681</v>
      </c>
      <c r="C1777" s="117" t="str">
        <f t="shared" si="81"/>
        <v>Yucaipa - San Bernardino</v>
      </c>
      <c r="D1777" s="223">
        <f t="shared" si="82"/>
        <v>0.13891666666666666</v>
      </c>
      <c r="E1777" s="224">
        <f t="shared" si="83"/>
        <v>0.01134</v>
      </c>
    </row>
    <row r="1778" spans="1:5" ht="12.75">
      <c r="A1778" s="158" t="s">
        <v>170</v>
      </c>
      <c r="B1778" s="157" t="s">
        <v>681</v>
      </c>
      <c r="C1778" s="117" t="str">
        <f t="shared" si="81"/>
        <v>Yucca Valley - San Bernardino</v>
      </c>
      <c r="D1778" s="223">
        <f t="shared" si="82"/>
        <v>0.13891666666666666</v>
      </c>
      <c r="E1778" s="224">
        <f t="shared" si="83"/>
        <v>0.01134</v>
      </c>
    </row>
    <row r="1779" spans="1:5" ht="12.75">
      <c r="A1779" s="158" t="s">
        <v>171</v>
      </c>
      <c r="B1779" s="157" t="s">
        <v>906</v>
      </c>
      <c r="C1779" s="117" t="str">
        <f t="shared" si="81"/>
        <v>Zamora - Yolo</v>
      </c>
      <c r="D1779" s="223">
        <f t="shared" si="82"/>
        <v>0.13033333333333333</v>
      </c>
      <c r="E1779" s="224">
        <f t="shared" si="83"/>
        <v>0.01054</v>
      </c>
    </row>
    <row r="1780" spans="1:5" ht="13.5" thickBot="1">
      <c r="A1780" s="160" t="s">
        <v>172</v>
      </c>
      <c r="B1780" s="161" t="s">
        <v>849</v>
      </c>
      <c r="C1780" s="153" t="str">
        <f t="shared" si="81"/>
        <v>Zenia - Trinity</v>
      </c>
      <c r="D1780" s="223">
        <f t="shared" si="82"/>
        <v>0.18466666666666667</v>
      </c>
      <c r="E1780" s="225">
        <f t="shared" si="83"/>
        <v>0.010129999999999998</v>
      </c>
    </row>
  </sheetData>
  <sheetProtection formatCells="0" formatColumns="0" formatRows="0"/>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Schwartz</dc:creator>
  <cp:keywords/>
  <dc:description/>
  <cp:lastModifiedBy>wmccormac</cp:lastModifiedBy>
  <cp:lastPrinted>2011-08-09T19:00:22Z</cp:lastPrinted>
  <dcterms:created xsi:type="dcterms:W3CDTF">2010-06-28T18:24:49Z</dcterms:created>
  <dcterms:modified xsi:type="dcterms:W3CDTF">2012-08-06T22:08:19Z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 linkTarget="prop_t">
    <vt:lpwstr>#VALUE!</vt:lpwstr>
  </property>
  <property fmtid="{D5CDD505-2E9C-101B-9397-08002B2CF9AE}" pid="3" name="ta" linkTarget="prop_ta">
    <vt:lpwstr>#VALUE!</vt:lpwstr>
  </property>
  <property fmtid="{D5CDD505-2E9C-101B-9397-08002B2CF9AE}" pid="4" name="tax" linkTarget="prop_tax">
    <vt:lpwstr>#VALUE!</vt:lpwstr>
  </property>
  <property fmtid="{D5CDD505-2E9C-101B-9397-08002B2CF9AE}" pid="5" name="tax_" linkTarget="prop_tax_">
    <vt:lpwstr>#VALUE!</vt:lpwstr>
  </property>
  <property fmtid="{D5CDD505-2E9C-101B-9397-08002B2CF9AE}" pid="6" name="tax_r" linkTarget="prop_tax_r">
    <vt:lpwstr>#VALUE!</vt:lpwstr>
  </property>
  <property fmtid="{D5CDD505-2E9C-101B-9397-08002B2CF9AE}" pid="7" name="tax_ra" linkTarget="prop_tax_ra">
    <vt:lpwstr>#VALUE!</vt:lpwstr>
  </property>
  <property fmtid="{D5CDD505-2E9C-101B-9397-08002B2CF9AE}" pid="8" name="tax_rat" linkTarget="prop_tax_rat">
    <vt:lpwstr>#VALUE!</vt:lpwstr>
  </property>
  <property fmtid="{D5CDD505-2E9C-101B-9397-08002B2CF9AE}" pid="9" name="tax_rate" linkTarget="prop_tax_rate">
    <vt:lpwstr>#VALUE!</vt:lpwstr>
  </property>
  <property fmtid="{D5CDD505-2E9C-101B-9397-08002B2CF9AE}" pid="10" name="Tax_Rates" linkTarget="Prop_Tax_Rates">
    <vt:lpwstr>County</vt:lpwstr>
  </property>
</Properties>
</file>