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Orion-Orange - 702/Working Docs/Applications/CDLAC-TCAC 2nd Round/"/>
    </mc:Choice>
  </mc:AlternateContent>
  <xr:revisionPtr revIDLastSave="0" documentId="13_ncr:1_{319D8531-B7CD-4E81-A4BE-8B9069FD08EE}" xr6:coauthVersionLast="47" xr6:coauthVersionMax="47" xr10:uidLastSave="{00000000-0000-0000-0000-000000000000}"/>
  <bookViews>
    <workbookView xWindow="19090" yWindow="-110" windowWidth="19420" windowHeight="104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Points System" sheetId="26" r:id="rId6"/>
    <sheet name="Sources and Uses Budget" sheetId="4"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5">#REF!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5">#REF!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5">#REF!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5">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5">#REF!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5">#REF!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5">'[6]Basis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5">'Points System'!$A$1:$AM$808</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Titles" localSheetId="9">'CDLAC Tie Breaker'!$1:$7</definedName>
    <definedName name="_xlnm.Print_Titles" localSheetId="7">'Sources and Basis Breakdown'!$1:$2</definedName>
    <definedName name="_xlnm.Print_Titles" localSheetId="6">'Sources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5">[6]Feasibility!$X$4:$AL$75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5">[6]Feasibility!$X$78:$AM$145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5">[6]Feasibility!$A$152:$L$224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5">[6]Feasibility!$A$225:$L$310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5">#REF!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5">Application!$BQ$670:$BV$727</definedName>
    <definedName name="TcacRents">Application!$BQ$670:$BV$727</definedName>
    <definedName name="UnitSizes" localSheetId="9">Application!$BA$609:$BA$614</definedName>
    <definedName name="UnitSizes" localSheetId="5">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5"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5"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5"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3" i="4" l="1"/>
  <c r="E51" i="4"/>
  <c r="F30" i="4"/>
  <c r="S51" i="4"/>
  <c r="C29" i="4"/>
  <c r="C56" i="4"/>
  <c r="C46" i="4"/>
  <c r="C13" i="4"/>
  <c r="C93" i="4"/>
  <c r="AA933" i="3"/>
  <c r="AF637" i="3"/>
  <c r="H99" i="4"/>
  <c r="E93" i="4" l="1"/>
  <c r="AD188" i="26"/>
  <c r="AD199" i="26"/>
  <c r="AV110" i="26" a="1"/>
  <c r="AV110" i="26" s="1"/>
  <c r="AV115" i="26" a="1"/>
  <c r="AV115" i="26" s="1"/>
  <c r="AV111" i="26" a="1"/>
  <c r="AV111" i="26" s="1"/>
  <c r="AV112" i="26" a="1"/>
  <c r="AV112" i="26" s="1"/>
  <c r="AV113" i="26" a="1"/>
  <c r="AV113" i="26" s="1"/>
  <c r="AV114" i="26" a="1"/>
  <c r="AV114" i="26" s="1"/>
  <c r="AP542" i="26"/>
  <c r="AP541" i="26"/>
  <c r="AP539" i="26"/>
  <c r="AK458" i="26"/>
  <c r="U363" i="26"/>
  <c r="U362" i="26"/>
  <c r="AS347" i="26"/>
  <c r="AD124" i="26"/>
  <c r="Y124" i="26"/>
  <c r="T124" i="26"/>
  <c r="O124" i="26"/>
  <c r="J124" i="26"/>
  <c r="E124"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E99" i="26"/>
  <c r="E98" i="26"/>
  <c r="E97" i="26"/>
  <c r="E87" i="26"/>
  <c r="G13" i="13"/>
  <c r="G99" i="4"/>
  <c r="E84" i="4"/>
  <c r="E85" i="4"/>
  <c r="E86" i="4"/>
  <c r="E87" i="4"/>
  <c r="E88" i="4"/>
  <c r="E89" i="4"/>
  <c r="E90" i="4"/>
  <c r="E91" i="4"/>
  <c r="E92" i="4"/>
  <c r="E83" i="4"/>
  <c r="E80" i="4"/>
  <c r="E79" i="4"/>
  <c r="E75" i="4"/>
  <c r="E65" i="4"/>
  <c r="E61" i="4"/>
  <c r="E57" i="4"/>
  <c r="E56" i="4"/>
  <c r="E53" i="4"/>
  <c r="E50" i="4"/>
  <c r="E46" i="4"/>
  <c r="E45" i="4"/>
  <c r="E43" i="4"/>
  <c r="E40" i="4"/>
  <c r="E36" i="4"/>
  <c r="E35" i="4"/>
  <c r="E33" i="4"/>
  <c r="E32" i="4"/>
  <c r="E31" i="4"/>
  <c r="E30" i="4"/>
  <c r="F29" i="4"/>
  <c r="F13" i="4"/>
  <c r="F10" i="4"/>
  <c r="F9" i="4"/>
  <c r="F5" i="4"/>
  <c r="S33" i="4"/>
  <c r="S32" i="4"/>
  <c r="S31" i="4"/>
  <c r="S99" i="4"/>
  <c r="S93" i="4"/>
  <c r="S92" i="4"/>
  <c r="S91" i="4"/>
  <c r="S90" i="4"/>
  <c r="S89" i="4"/>
  <c r="S86" i="4"/>
  <c r="S85" i="4"/>
  <c r="S80" i="4"/>
  <c r="S79" i="4"/>
  <c r="S53" i="4"/>
  <c r="S50" i="4"/>
  <c r="S46" i="4"/>
  <c r="S45" i="4"/>
  <c r="S13" i="4" l="1"/>
  <c r="S10" i="4"/>
  <c r="S43" i="4"/>
  <c r="S40" i="4"/>
  <c r="S36" i="4"/>
  <c r="S35" i="4"/>
  <c r="C88" i="4"/>
  <c r="C33" i="4"/>
  <c r="C32" i="4"/>
  <c r="C30" i="4"/>
  <c r="L69" i="27"/>
  <c r="L68" i="27"/>
  <c r="L67" i="27"/>
  <c r="L66" i="27"/>
  <c r="L65" i="27"/>
  <c r="L64" i="27"/>
  <c r="L63" i="27"/>
  <c r="L62" i="27"/>
  <c r="G62" i="27"/>
  <c r="T44" i="27"/>
  <c r="T43" i="27"/>
  <c r="T42" i="27"/>
  <c r="T41" i="27"/>
  <c r="T40" i="27"/>
  <c r="T39" i="27"/>
  <c r="T38" i="27"/>
  <c r="T37" i="27"/>
  <c r="T36" i="27"/>
  <c r="T35" i="27"/>
  <c r="T34" i="27"/>
  <c r="T33" i="27"/>
  <c r="T32" i="27"/>
  <c r="T31" i="27"/>
  <c r="T30" i="27"/>
  <c r="T29" i="27"/>
  <c r="T28" i="27"/>
  <c r="T27" i="27"/>
  <c r="T26" i="27"/>
  <c r="T25" i="27"/>
  <c r="T24" i="27"/>
  <c r="T23" i="27"/>
  <c r="T22" i="27"/>
  <c r="T21" i="27"/>
  <c r="T20" i="27"/>
  <c r="G113" i="27"/>
  <c r="G112" i="27"/>
  <c r="G110" i="27"/>
  <c r="G90" i="27"/>
  <c r="G88" i="27"/>
  <c r="S44" i="27"/>
  <c r="N44" i="27"/>
  <c r="M44" i="27"/>
  <c r="L44" i="27"/>
  <c r="N43" i="27"/>
  <c r="M43" i="27"/>
  <c r="S43" i="27" s="1"/>
  <c r="L43" i="27"/>
  <c r="S42" i="27"/>
  <c r="N42" i="27"/>
  <c r="M42" i="27"/>
  <c r="L42" i="27"/>
  <c r="S41" i="27"/>
  <c r="N41" i="27"/>
  <c r="M41" i="27"/>
  <c r="L41" i="27"/>
  <c r="S40" i="27"/>
  <c r="N40" i="27"/>
  <c r="M40" i="27"/>
  <c r="L40" i="27"/>
  <c r="S39" i="27"/>
  <c r="N39" i="27"/>
  <c r="M39" i="27"/>
  <c r="L39" i="27"/>
  <c r="S38" i="27"/>
  <c r="N38" i="27"/>
  <c r="M38" i="27"/>
  <c r="L38" i="27"/>
  <c r="S37" i="27"/>
  <c r="N37" i="27"/>
  <c r="M37" i="27"/>
  <c r="L37" i="27"/>
  <c r="S36" i="27"/>
  <c r="N36" i="27"/>
  <c r="M36" i="27"/>
  <c r="L36" i="27"/>
  <c r="S35" i="27"/>
  <c r="N35" i="27"/>
  <c r="M35" i="27"/>
  <c r="L35" i="27"/>
  <c r="S34" i="27"/>
  <c r="N34" i="27"/>
  <c r="M34" i="27"/>
  <c r="L34" i="27"/>
  <c r="S33" i="27"/>
  <c r="N33" i="27"/>
  <c r="M33" i="27"/>
  <c r="L33" i="27"/>
  <c r="S32" i="27"/>
  <c r="N32" i="27"/>
  <c r="M32" i="27"/>
  <c r="L32" i="27"/>
  <c r="S31" i="27"/>
  <c r="N31" i="27"/>
  <c r="M31" i="27"/>
  <c r="L31" i="27"/>
  <c r="S30" i="27"/>
  <c r="N30" i="27"/>
  <c r="M30" i="27"/>
  <c r="L30" i="27"/>
  <c r="S29" i="27"/>
  <c r="N29" i="27"/>
  <c r="M29" i="27"/>
  <c r="L29" i="27"/>
  <c r="S28" i="27"/>
  <c r="N28" i="27"/>
  <c r="M28" i="27"/>
  <c r="L28" i="27"/>
  <c r="S27" i="27"/>
  <c r="N27" i="27"/>
  <c r="M27" i="27"/>
  <c r="L27" i="27"/>
  <c r="S26" i="27"/>
  <c r="N26" i="27"/>
  <c r="M26" i="27"/>
  <c r="L26" i="27"/>
  <c r="S25" i="27"/>
  <c r="N25" i="27"/>
  <c r="M25" i="27"/>
  <c r="L25" i="27"/>
  <c r="Q25" i="27" s="1" a="1"/>
  <c r="Q25" i="27" s="1"/>
  <c r="S24" i="27"/>
  <c r="N24" i="27"/>
  <c r="M24" i="27"/>
  <c r="L24" i="27"/>
  <c r="S23" i="27"/>
  <c r="N23" i="27"/>
  <c r="M23" i="27"/>
  <c r="L23" i="27"/>
  <c r="S22" i="27"/>
  <c r="N22" i="27"/>
  <c r="M22" i="27"/>
  <c r="L22" i="27"/>
  <c r="S21" i="27"/>
  <c r="N21" i="27"/>
  <c r="M21" i="27"/>
  <c r="L21" i="27"/>
  <c r="S20" i="27"/>
  <c r="N20" i="27"/>
  <c r="M20" i="27"/>
  <c r="L20" i="27"/>
  <c r="P18" i="27"/>
  <c r="I14" i="27"/>
  <c r="I13" i="27"/>
  <c r="I9" i="27"/>
  <c r="B18" i="27"/>
  <c r="D25" i="27"/>
  <c r="D26" i="27"/>
  <c r="Q27" i="27" a="1"/>
  <c r="Q27" i="27" s="1"/>
  <c r="Q28" i="27" a="1"/>
  <c r="Q28" i="27" s="1"/>
  <c r="O29" i="27"/>
  <c r="O30" i="27"/>
  <c r="R30" i="27"/>
  <c r="O31" i="27"/>
  <c r="B33" i="27"/>
  <c r="Q33" i="27" a="1"/>
  <c r="Q33" i="27" s="1"/>
  <c r="P33" i="27" a="1"/>
  <c r="P33" i="27" s="1"/>
  <c r="R33" i="27"/>
  <c r="O34" i="27"/>
  <c r="Q35" i="27" a="1"/>
  <c r="Q35" i="27" s="1"/>
  <c r="P35" i="27" a="1"/>
  <c r="P35" i="27" s="1"/>
  <c r="R37" i="27"/>
  <c r="O38" i="27"/>
  <c r="G39" i="27"/>
  <c r="R39" i="27"/>
  <c r="O40" i="27"/>
  <c r="R41" i="27"/>
  <c r="B42" i="27"/>
  <c r="O42" i="27"/>
  <c r="Q43" i="27" a="1"/>
  <c r="Q43" i="27" s="1"/>
  <c r="B51" i="27"/>
  <c r="B60" i="27"/>
  <c r="G77" i="27"/>
  <c r="B85" i="27"/>
  <c r="G92" i="27"/>
  <c r="G94" i="27"/>
  <c r="E95" i="27"/>
  <c r="G102" i="27"/>
  <c r="E104" i="27"/>
  <c r="E112" i="27"/>
  <c r="AF805" i="26"/>
  <c r="AJ777" i="26"/>
  <c r="AJ766" i="26"/>
  <c r="AJ750" i="26"/>
  <c r="AJ738" i="26"/>
  <c r="AJ722" i="26"/>
  <c r="AJ710" i="26"/>
  <c r="AJ696" i="26"/>
  <c r="AJ676" i="26"/>
  <c r="AJ641" i="26"/>
  <c r="AJ629" i="26"/>
  <c r="AJ610" i="26"/>
  <c r="AO586" i="26"/>
  <c r="AG512" i="26"/>
  <c r="AG508" i="26"/>
  <c r="AG504" i="26"/>
  <c r="AG501" i="26"/>
  <c r="AG497" i="26"/>
  <c r="AG492" i="26"/>
  <c r="AG487" i="26"/>
  <c r="AG485" i="26"/>
  <c r="AK524" i="26" s="1"/>
  <c r="T798" i="26" s="1"/>
  <c r="AF798" i="26" s="1"/>
  <c r="AG481" i="26"/>
  <c r="AG476" i="26"/>
  <c r="AG474" i="26"/>
  <c r="AG469" i="26"/>
  <c r="AP362" i="26"/>
  <c r="AP361" i="26"/>
  <c r="AP360" i="26"/>
  <c r="AP359" i="26"/>
  <c r="AP358" i="26"/>
  <c r="AP357" i="26"/>
  <c r="AP364" i="26" s="1"/>
  <c r="AQ364" i="26" s="1"/>
  <c r="AP354" i="26"/>
  <c r="AP353" i="26"/>
  <c r="AP352" i="26"/>
  <c r="AP351" i="26"/>
  <c r="AP350" i="26"/>
  <c r="AP349" i="26"/>
  <c r="AP348" i="26"/>
  <c r="AP347" i="26"/>
  <c r="AP346" i="26"/>
  <c r="AP283" i="26"/>
  <c r="AP282" i="26"/>
  <c r="AK274" i="26"/>
  <c r="T799" i="26" s="1"/>
  <c r="AF799" i="26" s="1"/>
  <c r="AB236" i="26"/>
  <c r="AB234" i="26"/>
  <c r="AB222" i="26"/>
  <c r="AB221" i="26"/>
  <c r="AB220" i="26"/>
  <c r="AB219" i="26"/>
  <c r="AB218" i="26"/>
  <c r="AB217" i="26"/>
  <c r="AB216" i="26"/>
  <c r="AB215" i="26"/>
  <c r="AB214" i="26"/>
  <c r="AB213" i="26"/>
  <c r="AB223" i="26" s="1"/>
  <c r="AB239" i="26" s="1"/>
  <c r="AB241" i="26" s="1"/>
  <c r="AB243" i="26" s="1"/>
  <c r="AB249" i="26" s="1"/>
  <c r="AD198" i="26" s="1"/>
  <c r="AJ169" i="26"/>
  <c r="T795" i="26" s="1"/>
  <c r="AJ155" i="26"/>
  <c r="T794" i="26" s="1"/>
  <c r="AD127" i="26"/>
  <c r="Y127" i="26"/>
  <c r="T127" i="26"/>
  <c r="O127" i="26"/>
  <c r="J127" i="26"/>
  <c r="E127" i="26"/>
  <c r="AU115" i="26"/>
  <c r="AU114" i="26"/>
  <c r="AU113" i="26"/>
  <c r="AU112" i="26"/>
  <c r="AU111" i="26"/>
  <c r="AU110" i="26"/>
  <c r="AP89" i="26"/>
  <c r="E88" i="26"/>
  <c r="E89" i="26" s="1"/>
  <c r="AO64" i="26"/>
  <c r="AO63" i="26"/>
  <c r="AO62" i="26"/>
  <c r="AO65" i="26" s="1"/>
  <c r="AO28" i="26"/>
  <c r="AO29" i="26" s="1"/>
  <c r="AO24" i="26"/>
  <c r="AO25" i="26" s="1"/>
  <c r="AO21" i="26"/>
  <c r="AO20" i="26"/>
  <c r="AO22" i="26" s="1"/>
  <c r="AO17" i="26"/>
  <c r="AO16" i="26"/>
  <c r="AO15" i="26"/>
  <c r="AO14" i="26"/>
  <c r="AO13" i="26"/>
  <c r="AP284" i="26" l="1"/>
  <c r="AK327" i="26" s="1"/>
  <c r="T801" i="26" s="1"/>
  <c r="AK779" i="26"/>
  <c r="T804" i="26" s="1"/>
  <c r="AF804" i="26" s="1"/>
  <c r="AP355" i="26"/>
  <c r="AQ355" i="26" s="1"/>
  <c r="AS351" i="26" s="1"/>
  <c r="T802" i="26" s="1"/>
  <c r="AF802" i="26" s="1"/>
  <c r="T793" i="26"/>
  <c r="AF793" i="26" s="1"/>
  <c r="O43" i="27"/>
  <c r="Q21" i="27" a="1"/>
  <c r="Q21" i="27" s="1"/>
  <c r="G53" i="27"/>
  <c r="G67" i="27"/>
  <c r="O44" i="27"/>
  <c r="AD200" i="26"/>
  <c r="AP543" i="26"/>
  <c r="P34" i="27" a="1"/>
  <c r="P34" i="27" s="1"/>
  <c r="R44" i="27"/>
  <c r="E100" i="26"/>
  <c r="AP100" i="26" s="1"/>
  <c r="AK103" i="26" s="1"/>
  <c r="T791" i="26" s="1"/>
  <c r="AF791" i="26" s="1"/>
  <c r="G114" i="27"/>
  <c r="I15" i="27" s="1"/>
  <c r="Q44" i="27" a="1"/>
  <c r="Q44" i="27" s="1"/>
  <c r="R43" i="27"/>
  <c r="R42" i="27"/>
  <c r="P40" i="27" a="1"/>
  <c r="P40" i="27" s="1"/>
  <c r="R35" i="27"/>
  <c r="R29" i="27"/>
  <c r="P44" i="27" a="1"/>
  <c r="P44" i="27" s="1"/>
  <c r="P43" i="27" a="1"/>
  <c r="P43" i="27" s="1"/>
  <c r="Q42" i="27" a="1"/>
  <c r="Q42" i="27" s="1"/>
  <c r="P29" i="27" a="1"/>
  <c r="P29" i="27" s="1"/>
  <c r="R31" i="27"/>
  <c r="P42" i="27" a="1"/>
  <c r="P42" i="27" s="1"/>
  <c r="P38" i="27" a="1"/>
  <c r="P38" i="27" s="1"/>
  <c r="P36" i="27" a="1"/>
  <c r="P36" i="27" s="1"/>
  <c r="Q31" i="27" a="1"/>
  <c r="Q31" i="27" s="1"/>
  <c r="P30" i="27" a="1"/>
  <c r="P30" i="27" s="1"/>
  <c r="Q24" i="27" a="1"/>
  <c r="Q24" i="27" s="1"/>
  <c r="Q22" i="27" a="1"/>
  <c r="Q22" i="27" s="1"/>
  <c r="P31" i="27" a="1"/>
  <c r="P31" i="27" s="1"/>
  <c r="E26" i="27"/>
  <c r="E24" i="27"/>
  <c r="Q41" i="27" a="1"/>
  <c r="Q41" i="27" s="1"/>
  <c r="R36" i="27"/>
  <c r="R32" i="27"/>
  <c r="R40" i="27"/>
  <c r="P39" i="27" a="1"/>
  <c r="P39" i="27" s="1"/>
  <c r="R38" i="27"/>
  <c r="P37" i="27" a="1"/>
  <c r="P37" i="27" s="1"/>
  <c r="O35" i="27"/>
  <c r="R34" i="27"/>
  <c r="O33" i="27"/>
  <c r="Q30" i="27" a="1"/>
  <c r="Q30" i="27" s="1"/>
  <c r="Q26" i="27" a="1"/>
  <c r="Q26" i="27" s="1"/>
  <c r="E25" i="27"/>
  <c r="P41" i="27" a="1"/>
  <c r="P41" i="27" s="1"/>
  <c r="O39" i="27"/>
  <c r="O37" i="27"/>
  <c r="Q36" i="27" a="1"/>
  <c r="Q36" i="27" s="1"/>
  <c r="Q32" i="27" a="1"/>
  <c r="Q32" i="27" s="1"/>
  <c r="P28" i="27" a="1"/>
  <c r="P28" i="27" s="1"/>
  <c r="Q39" i="27" a="1"/>
  <c r="Q39" i="27" s="1"/>
  <c r="Q37" i="27" a="1"/>
  <c r="Q37" i="27" s="1"/>
  <c r="O41" i="27"/>
  <c r="Q40" i="27" a="1"/>
  <c r="Q40" i="27" s="1"/>
  <c r="Q38" i="27" a="1"/>
  <c r="Q38" i="27" s="1"/>
  <c r="Q34" i="27" a="1"/>
  <c r="Q34" i="27" s="1"/>
  <c r="O28" i="27"/>
  <c r="P32" i="27" a="1"/>
  <c r="P32" i="27" s="1"/>
  <c r="Q29" i="27" a="1"/>
  <c r="Q29" i="27" s="1"/>
  <c r="E22" i="27"/>
  <c r="Q20" i="27" a="1"/>
  <c r="Q20" i="27" s="1"/>
  <c r="Q23" i="27" a="1"/>
  <c r="Q23" i="27" s="1"/>
  <c r="M18" i="27"/>
  <c r="O36" i="27"/>
  <c r="O32" i="27"/>
  <c r="R28" i="27"/>
  <c r="E23" i="27"/>
  <c r="F23" i="27" s="1"/>
  <c r="G23" i="27" s="1"/>
  <c r="AO36" i="26"/>
  <c r="AK56" i="26" s="1"/>
  <c r="T800" i="26"/>
  <c r="AF800" i="26" s="1"/>
  <c r="AV116" i="26"/>
  <c r="AW112" i="26" s="1"/>
  <c r="O130" i="26" s="1"/>
  <c r="AK172" i="26"/>
  <c r="AS349" i="26" l="1"/>
  <c r="G35" i="27" a="1"/>
  <c r="G35" i="27" s="1"/>
  <c r="G36" i="27" s="1"/>
  <c r="S18" i="27"/>
  <c r="G44" i="27" s="1"/>
  <c r="G79" i="27" s="1"/>
  <c r="E27" i="27"/>
  <c r="F22" i="27"/>
  <c r="AW110" i="26"/>
  <c r="AW114" i="26"/>
  <c r="Y130" i="26" s="1"/>
  <c r="AW113" i="26"/>
  <c r="T130" i="26" s="1"/>
  <c r="AK78" i="26"/>
  <c r="T789" i="26"/>
  <c r="AF789" i="26" s="1"/>
  <c r="AW111" i="26"/>
  <c r="J130" i="26" s="1"/>
  <c r="AW115" i="26"/>
  <c r="AD130" i="26" s="1"/>
  <c r="O21" i="27" l="1"/>
  <c r="P21" i="27" s="1" a="1"/>
  <c r="P21" i="27" s="1"/>
  <c r="R21" i="27" s="1"/>
  <c r="O22" i="27"/>
  <c r="P22" i="27" s="1" a="1"/>
  <c r="P22" i="27" s="1"/>
  <c r="R22" i="27" s="1"/>
  <c r="O27" i="27"/>
  <c r="P27" i="27" s="1" a="1"/>
  <c r="P27" i="27" s="1"/>
  <c r="R27" i="27" s="1"/>
  <c r="O26" i="27"/>
  <c r="P26" i="27" s="1" a="1"/>
  <c r="P26" i="27" s="1"/>
  <c r="R26" i="27" s="1"/>
  <c r="O23" i="27"/>
  <c r="P23" i="27" s="1" a="1"/>
  <c r="P23" i="27" s="1"/>
  <c r="R23" i="27" s="1"/>
  <c r="O25" i="27"/>
  <c r="P25" i="27" s="1" a="1"/>
  <c r="P25" i="27" s="1"/>
  <c r="R25" i="27" s="1"/>
  <c r="O24" i="27"/>
  <c r="P24" i="27" s="1" a="1"/>
  <c r="P24" i="27" s="1"/>
  <c r="R24" i="27" s="1"/>
  <c r="O20" i="27"/>
  <c r="P20" i="27" s="1" a="1"/>
  <c r="P20" i="27" s="1"/>
  <c r="R20" i="27" s="1"/>
  <c r="G38" i="27" s="1"/>
  <c r="G40" i="27" s="1"/>
  <c r="E10" i="27" s="1"/>
  <c r="G22" i="27"/>
  <c r="F25" i="27"/>
  <c r="G45" i="27"/>
  <c r="G47" i="27" s="1"/>
  <c r="G49" i="27" s="1"/>
  <c r="E11" i="27" s="1"/>
  <c r="G54" i="27"/>
  <c r="G56" i="27" s="1"/>
  <c r="G58" i="27" s="1"/>
  <c r="E12" i="27" s="1"/>
  <c r="F26" i="27"/>
  <c r="G26" i="27" s="1"/>
  <c r="AK180" i="26"/>
  <c r="T796" i="26" s="1"/>
  <c r="AF796" i="26" s="1"/>
  <c r="T790" i="26"/>
  <c r="AF790" i="26" s="1"/>
  <c r="AW116" i="26"/>
  <c r="E130" i="26"/>
  <c r="E132" i="26" s="1"/>
  <c r="E133" i="26" s="1"/>
  <c r="AK137" i="26" s="1"/>
  <c r="T792" i="26" s="1"/>
  <c r="AF792" i="26" s="1"/>
  <c r="G25" i="27" l="1"/>
  <c r="F24" i="27"/>
  <c r="G24" i="27" l="1"/>
  <c r="F27" i="27"/>
  <c r="G27" i="27"/>
  <c r="G29" i="27" l="1"/>
  <c r="G31" i="27" s="1"/>
  <c r="E9" i="27" s="1"/>
  <c r="G64" i="27"/>
  <c r="G95" i="27"/>
  <c r="G96" i="27" s="1"/>
  <c r="G104" i="27"/>
  <c r="G106" i="27" s="1"/>
  <c r="D94" i="13"/>
  <c r="D95" i="13"/>
  <c r="G43" i="13"/>
  <c r="G40" i="13"/>
  <c r="G37" i="13"/>
  <c r="G10" i="13"/>
  <c r="E14" i="27" l="1"/>
  <c r="E15" i="27" s="1"/>
  <c r="G69" i="27"/>
  <c r="G81" i="27"/>
  <c r="G65" i="27"/>
  <c r="S47" i="4"/>
  <c r="S48" i="4"/>
  <c r="S49" i="4"/>
  <c r="S52" i="4"/>
  <c r="S30" i="4"/>
  <c r="G83" i="27" l="1"/>
  <c r="E13" i="27" s="1"/>
  <c r="E16" i="27" s="1"/>
  <c r="H3" i="27" s="1"/>
  <c r="AD64" i="15"/>
  <c r="AD67" i="15"/>
  <c r="CB799" i="3"/>
  <c r="R971" i="3"/>
  <c r="AJ1011" i="3"/>
  <c r="AJ1015" i="3" s="1"/>
  <c r="AJ977" i="3"/>
  <c r="G753" i="3"/>
  <c r="BG671" i="3"/>
  <c r="BG672" i="3"/>
  <c r="BG673" i="3"/>
  <c r="BG674" i="3"/>
  <c r="BG675" i="3"/>
  <c r="BG676" i="3"/>
  <c r="BG677" i="3"/>
  <c r="BG678" i="3"/>
  <c r="BG679" i="3"/>
  <c r="BG680" i="3"/>
  <c r="BG681" i="3"/>
  <c r="BG682" i="3"/>
  <c r="R969" i="3"/>
  <c r="BN610" i="3"/>
  <c r="BN611" i="3"/>
  <c r="BN612" i="3"/>
  <c r="DX612" i="3" s="1"/>
  <c r="BN613" i="3"/>
  <c r="BN614" i="3"/>
  <c r="BN615" i="3"/>
  <c r="BN616" i="3"/>
  <c r="BN617" i="3"/>
  <c r="BN618" i="3"/>
  <c r="BN619" i="3"/>
  <c r="BN620" i="3"/>
  <c r="BN621" i="3"/>
  <c r="BN640" i="3"/>
  <c r="BN644" i="3" s="1"/>
  <c r="BN648" i="3"/>
  <c r="BN649" i="3"/>
  <c r="BN658" i="3"/>
  <c r="R970" i="3"/>
  <c r="BS610" i="3"/>
  <c r="BS611" i="3"/>
  <c r="BS612" i="3"/>
  <c r="BS613" i="3"/>
  <c r="BS614" i="3"/>
  <c r="BS615" i="3"/>
  <c r="BS616" i="3"/>
  <c r="BS617" i="3"/>
  <c r="BS618" i="3"/>
  <c r="BS619" i="3"/>
  <c r="BS620" i="3"/>
  <c r="BS621" i="3"/>
  <c r="BS640" i="3"/>
  <c r="BS644" i="3"/>
  <c r="BW645" i="3" s="1"/>
  <c r="BS648" i="3"/>
  <c r="BS649" i="3"/>
  <c r="BS658" i="3"/>
  <c r="BX610" i="3"/>
  <c r="BX611" i="3"/>
  <c r="BX612" i="3"/>
  <c r="BX613" i="3"/>
  <c r="BX614" i="3"/>
  <c r="BX615" i="3"/>
  <c r="BX616" i="3"/>
  <c r="BX617" i="3"/>
  <c r="BX618" i="3"/>
  <c r="BX619" i="3"/>
  <c r="BX620" i="3"/>
  <c r="BX621" i="3"/>
  <c r="BX640" i="3"/>
  <c r="BX644" i="3" s="1"/>
  <c r="CB645" i="3" s="1"/>
  <c r="BX648" i="3"/>
  <c r="BX649" i="3"/>
  <c r="BX658" i="3"/>
  <c r="R972" i="3"/>
  <c r="CC610" i="3"/>
  <c r="CC611" i="3"/>
  <c r="CC612" i="3"/>
  <c r="CC613" i="3"/>
  <c r="CC614" i="3"/>
  <c r="CC615" i="3"/>
  <c r="CC616" i="3"/>
  <c r="CC617" i="3"/>
  <c r="CC618" i="3"/>
  <c r="CC619" i="3"/>
  <c r="CC620" i="3"/>
  <c r="CC621" i="3"/>
  <c r="CC640" i="3"/>
  <c r="CC644" i="3"/>
  <c r="CC648" i="3"/>
  <c r="CC649" i="3"/>
  <c r="CC658" i="3"/>
  <c r="R973" i="3"/>
  <c r="CM610" i="3"/>
  <c r="CM611" i="3"/>
  <c r="CM612" i="3"/>
  <c r="CM613" i="3"/>
  <c r="CM614" i="3"/>
  <c r="CM615" i="3"/>
  <c r="CM616" i="3"/>
  <c r="CM617" i="3"/>
  <c r="CM618" i="3"/>
  <c r="CM619" i="3"/>
  <c r="CM620" i="3"/>
  <c r="CM621" i="3"/>
  <c r="CM640" i="3"/>
  <c r="CM644" i="3"/>
  <c r="CQ645" i="3" s="1"/>
  <c r="CM648" i="3"/>
  <c r="CM649" i="3"/>
  <c r="CM658" i="3"/>
  <c r="CH610" i="3"/>
  <c r="CH611" i="3"/>
  <c r="CH612" i="3"/>
  <c r="ER612" i="3" s="1"/>
  <c r="CH613" i="3"/>
  <c r="CH614" i="3"/>
  <c r="CH615" i="3"/>
  <c r="CH616" i="3"/>
  <c r="CH617" i="3"/>
  <c r="CH618" i="3"/>
  <c r="CH619" i="3"/>
  <c r="CH620" i="3"/>
  <c r="CH621" i="3"/>
  <c r="CH640" i="3"/>
  <c r="CH644" i="3" s="1"/>
  <c r="CL645" i="3" s="1"/>
  <c r="CH648" i="3"/>
  <c r="CH649" i="3"/>
  <c r="CH658" i="3"/>
  <c r="AJ980" i="3"/>
  <c r="AJ986" i="3"/>
  <c r="AJ990" i="3"/>
  <c r="AJ992" i="3"/>
  <c r="AJ995" i="3"/>
  <c r="AJ1008" i="3"/>
  <c r="AJ1020" i="3"/>
  <c r="BE610" i="3"/>
  <c r="BG610" i="3" s="1"/>
  <c r="BE611" i="3"/>
  <c r="BG611" i="3"/>
  <c r="BE612" i="3"/>
  <c r="BG612" i="3" s="1"/>
  <c r="BE613" i="3"/>
  <c r="BG613" i="3"/>
  <c r="BE614" i="3"/>
  <c r="BG614" i="3" s="1"/>
  <c r="BE615" i="3"/>
  <c r="BG615" i="3"/>
  <c r="BE616" i="3"/>
  <c r="BG616" i="3"/>
  <c r="BE617" i="3"/>
  <c r="BG617" i="3" s="1"/>
  <c r="BE618" i="3"/>
  <c r="BG618" i="3"/>
  <c r="BE619" i="3"/>
  <c r="BG619" i="3"/>
  <c r="BE620" i="3"/>
  <c r="BG620" i="3"/>
  <c r="BE621" i="3"/>
  <c r="BG621" i="3"/>
  <c r="BE622" i="3"/>
  <c r="BG622" i="3"/>
  <c r="BI610" i="3"/>
  <c r="BK610" i="3" s="1"/>
  <c r="BI611" i="3"/>
  <c r="BK611" i="3" s="1"/>
  <c r="BI612" i="3"/>
  <c r="BK612" i="3" s="1"/>
  <c r="BI613" i="3"/>
  <c r="BK613" i="3" s="1"/>
  <c r="BI614" i="3"/>
  <c r="BK614" i="3" s="1"/>
  <c r="BI615" i="3"/>
  <c r="BK615" i="3" s="1"/>
  <c r="BI616" i="3"/>
  <c r="BK616" i="3" s="1"/>
  <c r="BI617" i="3"/>
  <c r="BK617" i="3"/>
  <c r="BI618" i="3"/>
  <c r="BK618" i="3"/>
  <c r="BI619" i="3"/>
  <c r="BK619" i="3"/>
  <c r="BI620" i="3"/>
  <c r="BK620" i="3"/>
  <c r="BI621" i="3"/>
  <c r="BK621" i="3"/>
  <c r="BI622" i="3"/>
  <c r="BK622" i="3"/>
  <c r="T25" i="15"/>
  <c r="Y7" i="15"/>
  <c r="Y11" i="15"/>
  <c r="Y23" i="15" s="1"/>
  <c r="Y26" i="15" s="1"/>
  <c r="AI11" i="15"/>
  <c r="AI23" i="15" s="1"/>
  <c r="AI26" i="15" s="1"/>
  <c r="S26" i="4"/>
  <c r="AO649" i="3"/>
  <c r="C26" i="4"/>
  <c r="Y67" i="15"/>
  <c r="O753" i="3"/>
  <c r="B4" i="8"/>
  <c r="B5" i="8"/>
  <c r="B6" i="8"/>
  <c r="B10" i="8"/>
  <c r="O796" i="3"/>
  <c r="BA987" i="3"/>
  <c r="I1027" i="3" s="1"/>
  <c r="CS648" i="3"/>
  <c r="CS649" i="3"/>
  <c r="CS658" i="3"/>
  <c r="CX648" i="3"/>
  <c r="CX649" i="3"/>
  <c r="CX658" i="3"/>
  <c r="DC648" i="3"/>
  <c r="DC649" i="3"/>
  <c r="DC658" i="3"/>
  <c r="DH648" i="3"/>
  <c r="DH649" i="3"/>
  <c r="DH658" i="3"/>
  <c r="DM648" i="3"/>
  <c r="DM649" i="3"/>
  <c r="DM658" i="3"/>
  <c r="DR648" i="3"/>
  <c r="DR649" i="3"/>
  <c r="DR658" i="3"/>
  <c r="DR660" i="3"/>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R659" i="3"/>
  <c r="BW659" i="3"/>
  <c r="CB659" i="3"/>
  <c r="CG659" i="3"/>
  <c r="CL659" i="3"/>
  <c r="CQ659" i="3"/>
  <c r="CS661" i="3"/>
  <c r="B24" i="4"/>
  <c r="R36" i="4"/>
  <c r="B36" i="4"/>
  <c r="B66" i="4"/>
  <c r="B67" i="4"/>
  <c r="B68" i="4"/>
  <c r="B69" i="4"/>
  <c r="R66" i="4"/>
  <c r="R67" i="4"/>
  <c r="R68" i="4"/>
  <c r="A104" i="11"/>
  <c r="C101" i="11"/>
  <c r="C102" i="11"/>
  <c r="C103" i="11"/>
  <c r="D103" i="11" s="1"/>
  <c r="C104" i="11"/>
  <c r="B101" i="11"/>
  <c r="B102" i="11"/>
  <c r="B103" i="11"/>
  <c r="B104" i="11"/>
  <c r="C85" i="11"/>
  <c r="C86" i="11"/>
  <c r="C87" i="11"/>
  <c r="C88" i="11"/>
  <c r="C89" i="11"/>
  <c r="D89" i="11" s="1"/>
  <c r="C90" i="11"/>
  <c r="C91" i="1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D54" i="11" s="1"/>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BA680" i="3"/>
  <c r="X738" i="3"/>
  <c r="AH738" i="3"/>
  <c r="W860" i="3"/>
  <c r="A3" i="15"/>
  <c r="BA1000" i="3"/>
  <c r="T11" i="4"/>
  <c r="R10" i="4"/>
  <c r="R91" i="4"/>
  <c r="R84" i="4"/>
  <c r="AI7" i="15"/>
  <c r="B59" i="4"/>
  <c r="C80" i="11"/>
  <c r="C81" i="11"/>
  <c r="D81" i="11" s="1"/>
  <c r="B80" i="11"/>
  <c r="B81" i="11"/>
  <c r="I96" i="13"/>
  <c r="J96" i="13"/>
  <c r="J81" i="13"/>
  <c r="I81" i="13"/>
  <c r="F81" i="13"/>
  <c r="D81" i="13"/>
  <c r="C81" i="13"/>
  <c r="H80" i="13"/>
  <c r="B80" i="13"/>
  <c r="R80" i="4"/>
  <c r="E80" i="13" s="1"/>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s="1"/>
  <c r="G10" i="8"/>
  <c r="B11" i="8"/>
  <c r="G11" i="8" s="1"/>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7" i="13"/>
  <c r="E85" i="13"/>
  <c r="E84" i="13"/>
  <c r="E79" i="13"/>
  <c r="G81" i="13" s="1"/>
  <c r="E65" i="13"/>
  <c r="E52" i="13"/>
  <c r="E51" i="13"/>
  <c r="E49" i="13"/>
  <c r="E48" i="13"/>
  <c r="E47" i="13"/>
  <c r="E41" i="13"/>
  <c r="E37" i="13"/>
  <c r="E35"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D96" i="13" s="1"/>
  <c r="B79" i="13"/>
  <c r="B76" i="13"/>
  <c r="B75" i="13"/>
  <c r="B74" i="13"/>
  <c r="B73" i="13"/>
  <c r="B72" i="13"/>
  <c r="B65" i="13"/>
  <c r="B61" i="13"/>
  <c r="B60" i="13"/>
  <c r="B59" i="13"/>
  <c r="B58" i="13"/>
  <c r="B57" i="13"/>
  <c r="B56" i="13"/>
  <c r="B53" i="13"/>
  <c r="B52" i="13"/>
  <c r="B51" i="13"/>
  <c r="B50" i="13"/>
  <c r="B49" i="13"/>
  <c r="B48" i="13"/>
  <c r="B47" i="13"/>
  <c r="B46" i="13"/>
  <c r="B45" i="13"/>
  <c r="D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4" i="13"/>
  <c r="B15" i="13"/>
  <c r="B4" i="13"/>
  <c r="J104" i="13"/>
  <c r="I104" i="13"/>
  <c r="F104" i="13"/>
  <c r="D104" i="13"/>
  <c r="C104" i="13"/>
  <c r="F96" i="13"/>
  <c r="C96" i="13"/>
  <c r="D77" i="13"/>
  <c r="C77" i="13"/>
  <c r="J70" i="13"/>
  <c r="I70" i="13"/>
  <c r="G70" i="13"/>
  <c r="F70" i="13"/>
  <c r="D70" i="13"/>
  <c r="C70" i="13"/>
  <c r="C62" i="13"/>
  <c r="J54" i="13"/>
  <c r="I54" i="13"/>
  <c r="F54" i="13"/>
  <c r="C54" i="13"/>
  <c r="J42" i="13"/>
  <c r="I42" i="13"/>
  <c r="G42" i="13"/>
  <c r="F42" i="13"/>
  <c r="F63" i="13" s="1"/>
  <c r="F97" i="13" s="1"/>
  <c r="F105" i="13" s="1"/>
  <c r="F107" i="13" s="1"/>
  <c r="F26" i="13"/>
  <c r="F38" i="13"/>
  <c r="D42" i="13"/>
  <c r="C42" i="13"/>
  <c r="J38" i="13"/>
  <c r="I38" i="13"/>
  <c r="C38" i="13"/>
  <c r="J26" i="13"/>
  <c r="I26" i="13"/>
  <c r="I11" i="13"/>
  <c r="G26" i="13"/>
  <c r="D26" i="13"/>
  <c r="C26" i="13"/>
  <c r="J11" i="13"/>
  <c r="D11" i="13"/>
  <c r="D12" i="13" s="1"/>
  <c r="C11" i="13"/>
  <c r="C8" i="13"/>
  <c r="D8" i="13"/>
  <c r="T104" i="4"/>
  <c r="H104" i="13" s="1"/>
  <c r="R103" i="4"/>
  <c r="R102" i="4"/>
  <c r="R101" i="4"/>
  <c r="R99" i="4"/>
  <c r="E99" i="13" s="1"/>
  <c r="G104" i="13" s="1"/>
  <c r="R95" i="4"/>
  <c r="R94" i="4"/>
  <c r="R93" i="4"/>
  <c r="E93" i="13" s="1"/>
  <c r="R92" i="4"/>
  <c r="S96" i="4" s="1"/>
  <c r="E96" i="13" s="1"/>
  <c r="R90" i="4"/>
  <c r="E90" i="13" s="1"/>
  <c r="R89" i="4"/>
  <c r="E89" i="13" s="1"/>
  <c r="R88" i="4"/>
  <c r="R87" i="4"/>
  <c r="R86" i="4"/>
  <c r="E86" i="13" s="1"/>
  <c r="R85" i="4"/>
  <c r="R83" i="4"/>
  <c r="R76" i="4"/>
  <c r="R75" i="4"/>
  <c r="R77" i="4" s="1"/>
  <c r="R72" i="4"/>
  <c r="R73" i="4"/>
  <c r="R74" i="4"/>
  <c r="R69" i="4"/>
  <c r="R65" i="4"/>
  <c r="R61" i="4"/>
  <c r="R60" i="4"/>
  <c r="R59" i="4"/>
  <c r="R58" i="4"/>
  <c r="R57" i="4"/>
  <c r="R56" i="4"/>
  <c r="R53" i="4"/>
  <c r="E53" i="13" s="1"/>
  <c r="R52" i="4"/>
  <c r="R51" i="4"/>
  <c r="R50" i="4"/>
  <c r="E50" i="13" s="1"/>
  <c r="R49" i="4"/>
  <c r="R48" i="4"/>
  <c r="R47" i="4"/>
  <c r="R46" i="4"/>
  <c r="E46" i="13" s="1"/>
  <c r="R43" i="4"/>
  <c r="E43" i="13" s="1"/>
  <c r="R41" i="4"/>
  <c r="R40" i="4"/>
  <c r="E40" i="13" s="1"/>
  <c r="R37" i="4"/>
  <c r="R35" i="4"/>
  <c r="R34" i="4"/>
  <c r="S34" i="4" s="1"/>
  <c r="E34" i="13" s="1"/>
  <c r="R33" i="4"/>
  <c r="R32" i="4"/>
  <c r="R31" i="4"/>
  <c r="R29" i="4"/>
  <c r="R27" i="4"/>
  <c r="R25" i="4"/>
  <c r="R26" i="4" s="1"/>
  <c r="R23" i="4"/>
  <c r="R22" i="4"/>
  <c r="R21" i="4"/>
  <c r="R20" i="4"/>
  <c r="R19" i="4"/>
  <c r="R18" i="4"/>
  <c r="R17" i="4"/>
  <c r="R15" i="4"/>
  <c r="R14" i="4"/>
  <c r="R13" i="4"/>
  <c r="R9" i="4"/>
  <c r="R11" i="4" s="1"/>
  <c r="R7" i="4"/>
  <c r="R6" i="4"/>
  <c r="R5" i="4"/>
  <c r="R4" i="4"/>
  <c r="B5" i="11"/>
  <c r="C5" i="11"/>
  <c r="B6" i="11"/>
  <c r="D6" i="11" s="1"/>
  <c r="C6" i="11"/>
  <c r="B7" i="11"/>
  <c r="C7" i="11"/>
  <c r="C8" i="11"/>
  <c r="B8" i="11"/>
  <c r="B10" i="11"/>
  <c r="B11" i="11"/>
  <c r="C10" i="11"/>
  <c r="C12" i="11" s="1"/>
  <c r="C11" i="11"/>
  <c r="B15" i="11"/>
  <c r="C15" i="11"/>
  <c r="D15" i="11" s="1"/>
  <c r="B16" i="11"/>
  <c r="C16" i="11"/>
  <c r="B18" i="11"/>
  <c r="C18" i="11"/>
  <c r="B19" i="11"/>
  <c r="C19" i="11"/>
  <c r="D19" i="11" s="1"/>
  <c r="B20" i="11"/>
  <c r="C20" i="11"/>
  <c r="D20" i="11" s="1"/>
  <c r="B21" i="11"/>
  <c r="C21" i="11"/>
  <c r="B22" i="11"/>
  <c r="D22" i="11" s="1"/>
  <c r="C22" i="11"/>
  <c r="B23" i="11"/>
  <c r="C23" i="11"/>
  <c r="B24" i="11"/>
  <c r="B28" i="11"/>
  <c r="D28" i="11" s="1"/>
  <c r="C28" i="11"/>
  <c r="B30" i="11"/>
  <c r="C30" i="11"/>
  <c r="D33" i="11"/>
  <c r="D34" i="11"/>
  <c r="B41" i="11"/>
  <c r="C41" i="11"/>
  <c r="C42" i="11"/>
  <c r="C43" i="11" s="1"/>
  <c r="D43" i="11" s="1"/>
  <c r="B42" i="11"/>
  <c r="B44" i="11"/>
  <c r="C44" i="11"/>
  <c r="B46" i="11"/>
  <c r="C46" i="11"/>
  <c r="B47" i="11"/>
  <c r="C47" i="11"/>
  <c r="D47" i="11" s="1"/>
  <c r="B48" i="11"/>
  <c r="D48" i="11" s="1"/>
  <c r="B49" i="11"/>
  <c r="B50" i="11"/>
  <c r="B51" i="11"/>
  <c r="B52" i="11"/>
  <c r="B53" i="11"/>
  <c r="C48" i="11"/>
  <c r="C49" i="11"/>
  <c r="C50" i="11"/>
  <c r="C51" i="11"/>
  <c r="C52" i="11"/>
  <c r="C53" i="11"/>
  <c r="B57" i="11"/>
  <c r="C57" i="11"/>
  <c r="B58" i="11"/>
  <c r="C58" i="11"/>
  <c r="B59" i="11"/>
  <c r="C59" i="11"/>
  <c r="B60" i="11"/>
  <c r="C60" i="11"/>
  <c r="B61" i="11"/>
  <c r="C61" i="11"/>
  <c r="B62" i="11"/>
  <c r="D62" i="11" s="1"/>
  <c r="C62" i="11"/>
  <c r="B66" i="11"/>
  <c r="C66" i="11"/>
  <c r="B73" i="11"/>
  <c r="C73" i="11"/>
  <c r="B74" i="11"/>
  <c r="C74" i="11"/>
  <c r="B75" i="11"/>
  <c r="C75" i="11"/>
  <c r="B76" i="11"/>
  <c r="B78" i="11" s="1"/>
  <c r="C76" i="11"/>
  <c r="B77" i="11"/>
  <c r="C77" i="11"/>
  <c r="B84" i="11"/>
  <c r="C84" i="11"/>
  <c r="B100" i="11"/>
  <c r="C100" i="11"/>
  <c r="D100"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c r="I15" i="7" s="1"/>
  <c r="K15" i="7" s="1"/>
  <c r="M15" i="7" s="1"/>
  <c r="O15" i="7" s="1"/>
  <c r="Q15" i="7" s="1"/>
  <c r="S15" i="7" s="1"/>
  <c r="U15" i="7" s="1"/>
  <c r="W15" i="7" s="1"/>
  <c r="Y15" i="7" s="1"/>
  <c r="AA15" i="7" s="1"/>
  <c r="AC15" i="7" s="1"/>
  <c r="AE15" i="7" s="1"/>
  <c r="AG15" i="7" s="1"/>
  <c r="W853" i="3"/>
  <c r="E16" i="7"/>
  <c r="G16" i="7"/>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s="1"/>
  <c r="T38" i="4"/>
  <c r="H38" i="13"/>
  <c r="T42" i="4"/>
  <c r="H42" i="13" s="1"/>
  <c r="T54" i="4"/>
  <c r="H54" i="13" s="1"/>
  <c r="T70" i="4"/>
  <c r="H70" i="13" s="1"/>
  <c r="T96" i="4"/>
  <c r="H96" i="13"/>
  <c r="DX610" i="3"/>
  <c r="DX611"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4" s="1"/>
  <c r="C62" i="4"/>
  <c r="B62" i="13" s="1"/>
  <c r="C77" i="4"/>
  <c r="B77" i="13" s="1"/>
  <c r="C96" i="4"/>
  <c r="B96" i="13" s="1"/>
  <c r="B104" i="13"/>
  <c r="D8" i="4"/>
  <c r="D11" i="4"/>
  <c r="D26" i="4"/>
  <c r="D38" i="4"/>
  <c r="D42" i="4"/>
  <c r="D54" i="4"/>
  <c r="D62" i="4"/>
  <c r="D77" i="4"/>
  <c r="D96" i="4"/>
  <c r="D104" i="4"/>
  <c r="AO651" i="3"/>
  <c r="E26" i="13"/>
  <c r="S42" i="4"/>
  <c r="E42" i="13" s="1"/>
  <c r="S104" i="4"/>
  <c r="E104" i="13" s="1"/>
  <c r="F2" i="4"/>
  <c r="G2" i="4"/>
  <c r="H2" i="4"/>
  <c r="I2" i="4"/>
  <c r="J2" i="4"/>
  <c r="K2" i="4"/>
  <c r="L2" i="4"/>
  <c r="M2" i="4"/>
  <c r="N2" i="4"/>
  <c r="O2" i="4"/>
  <c r="P2" i="4"/>
  <c r="Q2" i="4"/>
  <c r="B4" i="4"/>
  <c r="B5" i="4"/>
  <c r="B6" i="4"/>
  <c r="B7" i="4"/>
  <c r="E8" i="4"/>
  <c r="F8" i="4"/>
  <c r="G8" i="4"/>
  <c r="G11" i="4"/>
  <c r="H8" i="4"/>
  <c r="H11" i="4"/>
  <c r="I8" i="4"/>
  <c r="I11" i="4"/>
  <c r="I12" i="4" s="1"/>
  <c r="J8" i="4"/>
  <c r="J11" i="4"/>
  <c r="J12" i="4" s="1"/>
  <c r="J26" i="4"/>
  <c r="J38" i="4"/>
  <c r="J42" i="4"/>
  <c r="J62" i="4"/>
  <c r="J70" i="4"/>
  <c r="J77" i="4"/>
  <c r="J96" i="4"/>
  <c r="J104" i="4"/>
  <c r="K8" i="4"/>
  <c r="K11" i="4"/>
  <c r="L8" i="4"/>
  <c r="L11" i="4"/>
  <c r="M8" i="4"/>
  <c r="M63" i="4" s="1"/>
  <c r="M97" i="4" s="1"/>
  <c r="M105" i="4" s="1"/>
  <c r="M11" i="4"/>
  <c r="N8" i="4"/>
  <c r="O8" i="4"/>
  <c r="Q8" i="4"/>
  <c r="Q11" i="4"/>
  <c r="B9" i="4"/>
  <c r="B10" i="4"/>
  <c r="E11" i="4"/>
  <c r="E12" i="4" s="1"/>
  <c r="F11" i="4"/>
  <c r="F26" i="4"/>
  <c r="F38" i="4"/>
  <c r="F42" i="4"/>
  <c r="F54" i="4"/>
  <c r="F62" i="4"/>
  <c r="N11" i="4"/>
  <c r="O11" i="4"/>
  <c r="O63" i="4" s="1"/>
  <c r="O97" i="4" s="1"/>
  <c r="O105" i="4" s="1"/>
  <c r="B14" i="4"/>
  <c r="B15" i="4"/>
  <c r="AB48" i="15" s="1"/>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K63" i="4" s="1"/>
  <c r="K97" i="4" s="1"/>
  <c r="K105" i="4" s="1"/>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AH730" i="3" s="1"/>
  <c r="BA673" i="3"/>
  <c r="AH731" i="3" s="1"/>
  <c r="G677" i="3"/>
  <c r="Z677" i="3"/>
  <c r="BA674" i="3"/>
  <c r="BA675" i="3"/>
  <c r="AH733" i="3" s="1"/>
  <c r="BA676" i="3"/>
  <c r="AH734" i="3" s="1"/>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77" i="4"/>
  <c r="D49" i="11"/>
  <c r="I63" i="13"/>
  <c r="I97" i="13"/>
  <c r="I105" i="13"/>
  <c r="I107" i="13"/>
  <c r="B81" i="13"/>
  <c r="D53" i="11"/>
  <c r="J63" i="13"/>
  <c r="J97" i="13"/>
  <c r="J105" i="13"/>
  <c r="J107" i="13"/>
  <c r="L12" i="4"/>
  <c r="AH732" i="3"/>
  <c r="D93" i="11"/>
  <c r="D5" i="11"/>
  <c r="D70" i="11"/>
  <c r="D80" i="11"/>
  <c r="D52" i="11"/>
  <c r="G12" i="4"/>
  <c r="L63" i="4"/>
  <c r="L97" i="4" s="1"/>
  <c r="L105" i="4" s="1"/>
  <c r="Q12" i="4"/>
  <c r="B11" i="4"/>
  <c r="R70" i="4"/>
  <c r="B8" i="4"/>
  <c r="N158" i="25" s="1"/>
  <c r="D10" i="11"/>
  <c r="D61" i="11"/>
  <c r="D57" i="11"/>
  <c r="D8" i="11"/>
  <c r="D85" i="11"/>
  <c r="B43" i="11"/>
  <c r="K12" i="4"/>
  <c r="C12" i="13"/>
  <c r="D7" i="11"/>
  <c r="D25" i="11"/>
  <c r="B82" i="11"/>
  <c r="B11" i="13"/>
  <c r="D12" i="4"/>
  <c r="H12" i="4"/>
  <c r="D23" i="11"/>
  <c r="D73" i="11"/>
  <c r="D35" i="11"/>
  <c r="D31" i="11"/>
  <c r="D32" i="11"/>
  <c r="Q63" i="4"/>
  <c r="Q97" i="4" s="1"/>
  <c r="Q105" i="4" s="1"/>
  <c r="D87" i="11"/>
  <c r="N12" i="4"/>
  <c r="F12" i="4"/>
  <c r="D60" i="11"/>
  <c r="D84" i="11"/>
  <c r="D74" i="11"/>
  <c r="D38" i="11"/>
  <c r="P63" i="4"/>
  <c r="P97" i="4" s="1"/>
  <c r="P105" i="4" s="1"/>
  <c r="C9" i="11"/>
  <c r="D58" i="11"/>
  <c r="D101" i="11"/>
  <c r="D90" i="11"/>
  <c r="D92" i="11"/>
  <c r="D75" i="11"/>
  <c r="D88" i="11"/>
  <c r="C78" i="11"/>
  <c r="D21" i="11"/>
  <c r="D16" i="11"/>
  <c r="B42" i="4"/>
  <c r="D77" i="11"/>
  <c r="D41" i="11"/>
  <c r="K39" i="7"/>
  <c r="K42" i="7" s="1"/>
  <c r="AD7" i="15"/>
  <c r="AA39" i="7"/>
  <c r="AA42" i="7" s="1"/>
  <c r="T7" i="15"/>
  <c r="K27" i="7"/>
  <c r="O27" i="7"/>
  <c r="I27" i="7"/>
  <c r="W27" i="7"/>
  <c r="S27" i="7"/>
  <c r="Y27" i="7"/>
  <c r="AC27" i="7"/>
  <c r="AG27" i="7"/>
  <c r="M27" i="7"/>
  <c r="G27" i="7"/>
  <c r="AA27" i="7"/>
  <c r="Q27" i="7"/>
  <c r="U27" i="7"/>
  <c r="AC882" i="3"/>
  <c r="AC776" i="3"/>
  <c r="Y799" i="3" s="1"/>
  <c r="BA995" i="3"/>
  <c r="AC796" i="3"/>
  <c r="CG645" i="3"/>
  <c r="I16" i="7"/>
  <c r="K16" i="7" s="1"/>
  <c r="M16" i="7" s="1"/>
  <c r="O16" i="7" s="1"/>
  <c r="Q16" i="7" s="1"/>
  <c r="S16" i="7" s="1"/>
  <c r="U16" i="7" s="1"/>
  <c r="W16" i="7" s="1"/>
  <c r="Y16" i="7" s="1"/>
  <c r="AA16" i="7" s="1"/>
  <c r="AC16" i="7" s="1"/>
  <c r="AE16" i="7" s="1"/>
  <c r="AG16" i="7" s="1"/>
  <c r="D104" i="11"/>
  <c r="T63" i="4"/>
  <c r="H63" i="13" s="1"/>
  <c r="T97" i="4"/>
  <c r="T105" i="4" s="1"/>
  <c r="D11" i="11"/>
  <c r="C12" i="4"/>
  <c r="B12" i="13" s="1"/>
  <c r="CS660" i="3"/>
  <c r="D26" i="11"/>
  <c r="D30" i="8"/>
  <c r="D96" i="11"/>
  <c r="AZ846" i="3"/>
  <c r="AZ849" i="3"/>
  <c r="D46" i="11" l="1"/>
  <c r="AE39" i="7"/>
  <c r="AE42" i="7" s="1"/>
  <c r="I39" i="7"/>
  <c r="I42" i="7" s="1"/>
  <c r="O39" i="7"/>
  <c r="O42" i="7" s="1"/>
  <c r="E42" i="7"/>
  <c r="G39" i="7"/>
  <c r="G42" i="7" s="1"/>
  <c r="S39" i="7"/>
  <c r="S42" i="7" s="1"/>
  <c r="AC39" i="7"/>
  <c r="AC42" i="7" s="1"/>
  <c r="U39" i="7"/>
  <c r="U42" i="7" s="1"/>
  <c r="Q39" i="7"/>
  <c r="Q42" i="7" s="1"/>
  <c r="Y39" i="7"/>
  <c r="Y42" i="7" s="1"/>
  <c r="AG39" i="7"/>
  <c r="AG42" i="7" s="1"/>
  <c r="W39" i="7"/>
  <c r="W42" i="7" s="1"/>
  <c r="K53" i="7"/>
  <c r="I57" i="7"/>
  <c r="F63" i="4"/>
  <c r="F97" i="4" s="1"/>
  <c r="F105" i="4" s="1"/>
  <c r="R8" i="4"/>
  <c r="R12" i="4" s="1"/>
  <c r="H105" i="4"/>
  <c r="R104" i="4"/>
  <c r="E92" i="13"/>
  <c r="G96" i="13" s="1"/>
  <c r="G63" i="4"/>
  <c r="G97" i="4" s="1"/>
  <c r="G105" i="4" s="1"/>
  <c r="D62" i="13"/>
  <c r="R42" i="4"/>
  <c r="S38" i="4"/>
  <c r="E38" i="13" s="1"/>
  <c r="G38" i="13"/>
  <c r="D38" i="13"/>
  <c r="B12" i="4"/>
  <c r="AD68" i="15"/>
  <c r="R30" i="4"/>
  <c r="R38" i="4" s="1"/>
  <c r="R81" i="4"/>
  <c r="R62" i="4"/>
  <c r="R96" i="4"/>
  <c r="D91" i="11"/>
  <c r="B96" i="4"/>
  <c r="B70" i="4"/>
  <c r="B62" i="4"/>
  <c r="C63" i="11"/>
  <c r="B63" i="11"/>
  <c r="D51" i="11"/>
  <c r="D36" i="11"/>
  <c r="B38" i="4"/>
  <c r="B39" i="11"/>
  <c r="D30" i="11"/>
  <c r="N164" i="25"/>
  <c r="H105" i="13"/>
  <c r="T107" i="4"/>
  <c r="H107" i="13" s="1"/>
  <c r="AD11" i="15" s="1"/>
  <c r="AD23" i="15" s="1"/>
  <c r="AD26" i="15" s="1"/>
  <c r="M12" i="4"/>
  <c r="C82" i="11"/>
  <c r="D82" i="11" s="1"/>
  <c r="D50" i="11"/>
  <c r="D44" i="11"/>
  <c r="B54" i="13"/>
  <c r="D76" i="11"/>
  <c r="D66" i="11"/>
  <c r="D42" i="11"/>
  <c r="C105" i="11"/>
  <c r="O12" i="4"/>
  <c r="D78" i="11"/>
  <c r="D59" i="11"/>
  <c r="D63" i="4"/>
  <c r="D97" i="4" s="1"/>
  <c r="D105" i="4" s="1"/>
  <c r="H97" i="13"/>
  <c r="C39" i="11"/>
  <c r="B27" i="11"/>
  <c r="C63" i="13"/>
  <c r="C97" i="13" s="1"/>
  <c r="C105" i="13" s="1"/>
  <c r="C27" i="11"/>
  <c r="B71" i="11"/>
  <c r="D94" i="11"/>
  <c r="B97" i="11"/>
  <c r="C97" i="11"/>
  <c r="D102" i="11"/>
  <c r="B55" i="11"/>
  <c r="B9" i="11"/>
  <c r="D9" i="11" s="1"/>
  <c r="B12" i="11"/>
  <c r="B13" i="11" s="1"/>
  <c r="B105" i="11"/>
  <c r="D86" i="11"/>
  <c r="D24" i="11"/>
  <c r="D18" i="11"/>
  <c r="D27" i="11" s="1"/>
  <c r="C55" i="11"/>
  <c r="C71" i="11"/>
  <c r="D71" i="11" s="1"/>
  <c r="C13" i="11"/>
  <c r="AC881" i="3"/>
  <c r="AC883" i="3" s="1"/>
  <c r="E17" i="7"/>
  <c r="G17" i="7" s="1"/>
  <c r="I17" i="7" s="1"/>
  <c r="K17" i="7" s="1"/>
  <c r="M17" i="7" s="1"/>
  <c r="O17" i="7" s="1"/>
  <c r="Q17" i="7" s="1"/>
  <c r="S17" i="7" s="1"/>
  <c r="U17" i="7" s="1"/>
  <c r="W17" i="7" s="1"/>
  <c r="Y17" i="7" s="1"/>
  <c r="AA17" i="7" s="1"/>
  <c r="AC17" i="7" s="1"/>
  <c r="AE17" i="7" s="1"/>
  <c r="AG17" i="7" s="1"/>
  <c r="G8" i="7"/>
  <c r="E9" i="7"/>
  <c r="E21" i="7"/>
  <c r="E34" i="7" s="1"/>
  <c r="G14" i="7"/>
  <c r="Y798" i="3"/>
  <c r="AH735" i="3"/>
  <c r="J30" i="8"/>
  <c r="Z807" i="3" s="1"/>
  <c r="E6" i="7" s="1"/>
  <c r="G6" i="7" s="1"/>
  <c r="I6" i="7" s="1"/>
  <c r="K6" i="7" s="1"/>
  <c r="M6" i="7" s="1"/>
  <c r="DR635" i="3"/>
  <c r="BG696" i="3"/>
  <c r="AH729" i="3"/>
  <c r="AH728" i="3"/>
  <c r="BG728" i="3"/>
  <c r="I26" i="7"/>
  <c r="J28" i="25"/>
  <c r="CS644" i="3"/>
  <c r="BR645" i="3"/>
  <c r="CS645" i="3" s="1"/>
  <c r="BG635" i="3"/>
  <c r="X1027" i="3" s="1"/>
  <c r="AG1024" i="3" s="1"/>
  <c r="BK635" i="3"/>
  <c r="X1031" i="3" s="1"/>
  <c r="AG1028" i="3" s="1"/>
  <c r="DH635" i="3"/>
  <c r="EH635" i="3"/>
  <c r="CH635" i="3"/>
  <c r="ER652" i="3" s="1"/>
  <c r="BN635" i="3"/>
  <c r="DX644" i="3" s="1"/>
  <c r="EW635" i="3"/>
  <c r="CM635" i="3"/>
  <c r="EW644" i="3" s="1"/>
  <c r="DC635" i="3"/>
  <c r="J26" i="25"/>
  <c r="CX635" i="3"/>
  <c r="CC635" i="3"/>
  <c r="CG637" i="3" s="1"/>
  <c r="ER635" i="3"/>
  <c r="J27" i="25"/>
  <c r="BX635" i="3"/>
  <c r="EH641" i="3" s="1"/>
  <c r="AB29" i="25"/>
  <c r="BS635" i="3"/>
  <c r="EC645" i="3" s="1"/>
  <c r="J25" i="25"/>
  <c r="AN29" i="25"/>
  <c r="AZ854" i="3"/>
  <c r="DM635" i="3"/>
  <c r="BH714" i="3"/>
  <c r="BI714" i="3" s="1"/>
  <c r="BH727" i="3"/>
  <c r="BI727" i="3" s="1"/>
  <c r="BH716" i="3"/>
  <c r="BI716" i="3" s="1"/>
  <c r="BH711" i="3"/>
  <c r="BI711" i="3" s="1"/>
  <c r="BH721" i="3"/>
  <c r="BI721" i="3" s="1"/>
  <c r="BH718" i="3"/>
  <c r="BI718" i="3" s="1"/>
  <c r="BH726" i="3"/>
  <c r="BI726" i="3" s="1"/>
  <c r="BH725" i="3"/>
  <c r="BI725" i="3" s="1"/>
  <c r="BH707" i="3"/>
  <c r="BI707" i="3" s="1"/>
  <c r="BH717" i="3"/>
  <c r="BI717" i="3" s="1"/>
  <c r="BH703" i="3"/>
  <c r="BH715" i="3"/>
  <c r="BI715" i="3" s="1"/>
  <c r="BH719" i="3"/>
  <c r="BI719" i="3" s="1"/>
  <c r="BH706" i="3"/>
  <c r="BI706" i="3" s="1"/>
  <c r="BH720" i="3"/>
  <c r="BI720" i="3" s="1"/>
  <c r="BH722" i="3"/>
  <c r="BI722" i="3" s="1"/>
  <c r="BH704" i="3"/>
  <c r="BH709" i="3"/>
  <c r="BI709" i="3" s="1"/>
  <c r="BH713" i="3"/>
  <c r="BI713" i="3" s="1"/>
  <c r="BH724" i="3"/>
  <c r="BI724" i="3" s="1"/>
  <c r="BH712" i="3"/>
  <c r="BI712" i="3" s="1"/>
  <c r="BH723" i="3"/>
  <c r="BI723" i="3" s="1"/>
  <c r="BA989" i="3"/>
  <c r="E7" i="7"/>
  <c r="E4" i="7"/>
  <c r="J20" i="25"/>
  <c r="EH654" i="3"/>
  <c r="J24" i="25"/>
  <c r="ER638" i="3"/>
  <c r="CH663" i="3"/>
  <c r="CS635" i="3"/>
  <c r="BH708" i="3"/>
  <c r="BI708" i="3" s="1"/>
  <c r="BH705" i="3"/>
  <c r="BI705" i="3" s="1"/>
  <c r="J19" i="25"/>
  <c r="P29" i="25"/>
  <c r="EW654" i="3"/>
  <c r="EW648" i="3"/>
  <c r="EW660" i="3"/>
  <c r="EW639" i="3"/>
  <c r="EW646" i="3"/>
  <c r="EW658" i="3"/>
  <c r="CQ637" i="3"/>
  <c r="CM663" i="3"/>
  <c r="EW642" i="3"/>
  <c r="EM635" i="3"/>
  <c r="G30" i="8"/>
  <c r="V29" i="25"/>
  <c r="J23" i="25"/>
  <c r="DX635" i="3"/>
  <c r="J22" i="25"/>
  <c r="EC635" i="3"/>
  <c r="BH710" i="3"/>
  <c r="BI710" i="3" s="1"/>
  <c r="AH29" i="25"/>
  <c r="J21" i="25"/>
  <c r="BH694" i="3"/>
  <c r="BI694" i="3" s="1"/>
  <c r="BH671" i="3"/>
  <c r="I1031" i="3"/>
  <c r="BA990" i="3" s="1"/>
  <c r="AG444" i="3"/>
  <c r="AI27" i="15" s="1"/>
  <c r="AI28" i="15" s="1"/>
  <c r="BG243" i="3"/>
  <c r="BO245" i="3" s="1"/>
  <c r="T266" i="3" s="1"/>
  <c r="D105" i="11" l="1"/>
  <c r="D63" i="11"/>
  <c r="D12" i="11"/>
  <c r="M53" i="7"/>
  <c r="K57" i="7"/>
  <c r="D63" i="13"/>
  <c r="D97" i="13" s="1"/>
  <c r="D105" i="13" s="1"/>
  <c r="BI704" i="3"/>
  <c r="E38" i="4"/>
  <c r="E63" i="4" s="1"/>
  <c r="E97" i="4" s="1"/>
  <c r="E105" i="4" s="1"/>
  <c r="D97" i="11"/>
  <c r="D39" i="11"/>
  <c r="D13" i="11"/>
  <c r="D55" i="11"/>
  <c r="G9" i="7"/>
  <c r="I8" i="7"/>
  <c r="I14" i="7"/>
  <c r="G21" i="7"/>
  <c r="G34" i="7" s="1"/>
  <c r="K7" i="7"/>
  <c r="G7" i="7"/>
  <c r="I7" i="7"/>
  <c r="Z816" i="3"/>
  <c r="BH682" i="3"/>
  <c r="BI682" i="3" s="1"/>
  <c r="BH672" i="3"/>
  <c r="BI672" i="3" s="1"/>
  <c r="BH678" i="3"/>
  <c r="BI678" i="3" s="1"/>
  <c r="BH674" i="3"/>
  <c r="BI674" i="3" s="1"/>
  <c r="BH685" i="3"/>
  <c r="BI685" i="3" s="1"/>
  <c r="BH692" i="3"/>
  <c r="BI692" i="3" s="1"/>
  <c r="BH673" i="3"/>
  <c r="BI673" i="3" s="1"/>
  <c r="BH690" i="3"/>
  <c r="BI690" i="3" s="1"/>
  <c r="BH680" i="3"/>
  <c r="BI680" i="3" s="1"/>
  <c r="BH695" i="3"/>
  <c r="BI695" i="3" s="1"/>
  <c r="BH688" i="3"/>
  <c r="BI688" i="3" s="1"/>
  <c r="BH689" i="3"/>
  <c r="BI689" i="3" s="1"/>
  <c r="BH679" i="3"/>
  <c r="BI679" i="3" s="1"/>
  <c r="BH681" i="3"/>
  <c r="BI681" i="3" s="1"/>
  <c r="BH684" i="3"/>
  <c r="BI684" i="3" s="1"/>
  <c r="BH677" i="3"/>
  <c r="BI677" i="3" s="1"/>
  <c r="BH683" i="3"/>
  <c r="BI683" i="3" s="1"/>
  <c r="BH687" i="3"/>
  <c r="BI687" i="3" s="1"/>
  <c r="BH693" i="3"/>
  <c r="BI693" i="3" s="1"/>
  <c r="BH676" i="3"/>
  <c r="BI676" i="3" s="1"/>
  <c r="BH675" i="3"/>
  <c r="BI675" i="3" s="1"/>
  <c r="BH691" i="3"/>
  <c r="BI691" i="3" s="1"/>
  <c r="BH686" i="3"/>
  <c r="BI686" i="3" s="1"/>
  <c r="K26" i="7"/>
  <c r="EC649" i="3"/>
  <c r="ER647" i="3"/>
  <c r="CC663" i="3"/>
  <c r="AB972" i="3" s="1"/>
  <c r="AJ972" i="3" s="1"/>
  <c r="ER656" i="3"/>
  <c r="ER640" i="3"/>
  <c r="ER641" i="3"/>
  <c r="CL637" i="3"/>
  <c r="ER651" i="3"/>
  <c r="BS663" i="3"/>
  <c r="AB970" i="3" s="1"/>
  <c r="AJ970" i="3" s="1"/>
  <c r="DX646" i="3"/>
  <c r="EC647" i="3"/>
  <c r="EM647" i="3"/>
  <c r="BR637" i="3"/>
  <c r="EC643" i="3"/>
  <c r="DX641" i="3"/>
  <c r="EC644" i="3"/>
  <c r="EM644" i="3"/>
  <c r="DX661" i="3"/>
  <c r="EH661" i="3"/>
  <c r="EC639" i="3"/>
  <c r="EM657" i="3"/>
  <c r="DX639" i="3"/>
  <c r="DX659" i="3"/>
  <c r="DX653" i="3"/>
  <c r="DX650" i="3"/>
  <c r="DX648" i="3"/>
  <c r="DX651" i="3"/>
  <c r="DX649" i="3"/>
  <c r="DX647" i="3"/>
  <c r="DX645" i="3"/>
  <c r="DX656" i="3"/>
  <c r="DX658" i="3"/>
  <c r="DX655" i="3"/>
  <c r="DX643" i="3"/>
  <c r="DX662" i="3"/>
  <c r="DX654" i="3"/>
  <c r="DX652" i="3"/>
  <c r="EM658" i="3"/>
  <c r="DX660" i="3"/>
  <c r="CB637" i="3"/>
  <c r="ER653" i="3"/>
  <c r="ER648" i="3"/>
  <c r="ER659" i="3"/>
  <c r="ER644" i="3"/>
  <c r="ER662" i="3"/>
  <c r="ER655" i="3"/>
  <c r="ER654" i="3"/>
  <c r="ER643" i="3"/>
  <c r="ER646" i="3"/>
  <c r="ER645" i="3"/>
  <c r="ER657" i="3"/>
  <c r="ER642" i="3"/>
  <c r="ER660" i="3"/>
  <c r="ER658" i="3"/>
  <c r="ER650" i="3"/>
  <c r="ER649" i="3"/>
  <c r="ER661" i="3"/>
  <c r="EM642" i="3"/>
  <c r="DX657" i="3"/>
  <c r="DX642" i="3"/>
  <c r="EM651" i="3"/>
  <c r="BN663" i="3"/>
  <c r="AB969" i="3" s="1"/>
  <c r="DX638" i="3"/>
  <c r="ER639" i="3"/>
  <c r="DX640" i="3"/>
  <c r="EH638" i="3"/>
  <c r="EM661" i="3"/>
  <c r="EM652" i="3"/>
  <c r="EM659" i="3"/>
  <c r="EM655" i="3"/>
  <c r="EM640" i="3"/>
  <c r="EM660" i="3"/>
  <c r="EM650" i="3"/>
  <c r="EM645" i="3"/>
  <c r="EM639" i="3"/>
  <c r="EM649" i="3"/>
  <c r="EM648" i="3"/>
  <c r="EM654" i="3"/>
  <c r="EM638" i="3"/>
  <c r="EM656" i="3"/>
  <c r="EM653" i="3"/>
  <c r="EM646" i="3"/>
  <c r="EM662" i="3"/>
  <c r="EW641" i="3"/>
  <c r="EW651" i="3"/>
  <c r="EW653" i="3"/>
  <c r="EW649" i="3"/>
  <c r="EW640" i="3"/>
  <c r="EW656" i="3"/>
  <c r="EW655" i="3"/>
  <c r="EW638" i="3"/>
  <c r="EW643" i="3"/>
  <c r="EW661" i="3"/>
  <c r="EW657" i="3"/>
  <c r="EW647" i="3"/>
  <c r="EW650" i="3"/>
  <c r="EW662" i="3"/>
  <c r="EW659" i="3"/>
  <c r="EW652" i="3"/>
  <c r="EW645" i="3"/>
  <c r="EM643" i="3"/>
  <c r="EM641" i="3"/>
  <c r="EH639" i="3"/>
  <c r="EH646" i="3"/>
  <c r="EH643" i="3"/>
  <c r="EH660" i="3"/>
  <c r="EH645" i="3"/>
  <c r="EH653" i="3"/>
  <c r="EH647" i="3"/>
  <c r="EH659" i="3"/>
  <c r="EH652" i="3"/>
  <c r="EH650" i="3"/>
  <c r="EH655" i="3"/>
  <c r="EH658" i="3"/>
  <c r="EH657" i="3"/>
  <c r="EH648" i="3"/>
  <c r="EH656" i="3"/>
  <c r="EH642" i="3"/>
  <c r="EH662" i="3"/>
  <c r="EH649" i="3"/>
  <c r="EH640" i="3"/>
  <c r="BX663" i="3"/>
  <c r="AB971" i="3" s="1"/>
  <c r="AJ971" i="3" s="1"/>
  <c r="EH644" i="3"/>
  <c r="EH651" i="3"/>
  <c r="EC641" i="3"/>
  <c r="CM636" i="3"/>
  <c r="EC640" i="3"/>
  <c r="EC655" i="3"/>
  <c r="EC659" i="3"/>
  <c r="EC653" i="3"/>
  <c r="EC658" i="3"/>
  <c r="EC648" i="3"/>
  <c r="EC661" i="3"/>
  <c r="EC646" i="3"/>
  <c r="EC654" i="3"/>
  <c r="EC651" i="3"/>
  <c r="EC650" i="3"/>
  <c r="EC652" i="3"/>
  <c r="EC656" i="3"/>
  <c r="EC662" i="3"/>
  <c r="EC642" i="3"/>
  <c r="BW637" i="3"/>
  <c r="EC660" i="3"/>
  <c r="EC657" i="3"/>
  <c r="EC638" i="3"/>
  <c r="J29" i="25"/>
  <c r="AT19" i="25" s="1"/>
  <c r="AJ969" i="3"/>
  <c r="AB973" i="3"/>
  <c r="AJ973" i="3" s="1"/>
  <c r="O6" i="7"/>
  <c r="M7" i="7"/>
  <c r="BI671" i="3"/>
  <c r="G4" i="7"/>
  <c r="E5" i="7"/>
  <c r="E10" i="7" s="1"/>
  <c r="E36" i="7" s="1"/>
  <c r="BH728" i="3"/>
  <c r="BI703" i="3"/>
  <c r="BI728" i="3" s="1"/>
  <c r="AH753" i="3" s="1"/>
  <c r="AD27" i="15"/>
  <c r="AD28" i="15" s="1"/>
  <c r="T27" i="15"/>
  <c r="Y27" i="15"/>
  <c r="Y28" i="15" s="1"/>
  <c r="O53" i="7" l="1"/>
  <c r="M57" i="7"/>
  <c r="K8" i="7"/>
  <c r="I9" i="7"/>
  <c r="K14" i="7"/>
  <c r="I21" i="7"/>
  <c r="I34" i="7" s="1"/>
  <c r="BH696" i="3"/>
  <c r="BI696" i="3"/>
  <c r="AC753" i="3" s="1"/>
  <c r="CS637" i="3"/>
  <c r="M26" i="7"/>
  <c r="DX663" i="3"/>
  <c r="ER663" i="3"/>
  <c r="EH663" i="3"/>
  <c r="EM663" i="3"/>
  <c r="EW663" i="3"/>
  <c r="EC663" i="3"/>
  <c r="AT20" i="25"/>
  <c r="AJ975" i="3"/>
  <c r="AT22" i="25"/>
  <c r="E48" i="7"/>
  <c r="E44" i="7"/>
  <c r="G5" i="7"/>
  <c r="G10" i="7" s="1"/>
  <c r="G36" i="7" s="1"/>
  <c r="I4" i="7"/>
  <c r="AB974" i="3"/>
  <c r="AU44" i="25"/>
  <c r="AU46" i="25"/>
  <c r="AT28" i="25"/>
  <c r="AT29" i="25"/>
  <c r="AU43" i="25"/>
  <c r="AU37" i="25"/>
  <c r="AU45" i="25"/>
  <c r="AU39" i="25"/>
  <c r="AU41" i="25"/>
  <c r="AU47" i="25"/>
  <c r="AU42" i="25"/>
  <c r="AU38" i="25"/>
  <c r="AU36" i="25"/>
  <c r="AU40" i="25"/>
  <c r="AT27" i="25"/>
  <c r="AT26" i="25"/>
  <c r="AT25" i="25"/>
  <c r="CS663" i="3"/>
  <c r="O756" i="3"/>
  <c r="P420" i="3"/>
  <c r="AT21" i="25"/>
  <c r="AT24" i="25"/>
  <c r="AT23" i="25"/>
  <c r="Q6" i="7"/>
  <c r="O7" i="7"/>
  <c r="Q53" i="7" l="1"/>
  <c r="O57" i="7"/>
  <c r="M8" i="7"/>
  <c r="K9" i="7"/>
  <c r="K21" i="7"/>
  <c r="K34" i="7" s="1"/>
  <c r="M14" i="7"/>
  <c r="O26" i="7"/>
  <c r="AJ1024" i="3"/>
  <c r="AJ1028" i="3"/>
  <c r="AJ1032" i="3"/>
  <c r="AP546" i="26" s="1"/>
  <c r="AP545" i="26" s="1"/>
  <c r="AP548" i="26" s="1"/>
  <c r="AF541" i="26" s="1"/>
  <c r="B1039" i="3"/>
  <c r="G44" i="7"/>
  <c r="G48" i="7"/>
  <c r="K4" i="7"/>
  <c r="I5" i="7"/>
  <c r="I10" i="7" s="1"/>
  <c r="I36" i="7" s="1"/>
  <c r="Q7" i="7"/>
  <c r="S6" i="7"/>
  <c r="E59" i="7"/>
  <c r="E47" i="7"/>
  <c r="E46" i="7"/>
  <c r="S53" i="7" l="1"/>
  <c r="Q57" i="7"/>
  <c r="M9" i="7"/>
  <c r="O8" i="7"/>
  <c r="O14" i="7"/>
  <c r="M21" i="7"/>
  <c r="M34" i="7" s="1"/>
  <c r="Q26" i="7"/>
  <c r="T24" i="15"/>
  <c r="I44" i="7"/>
  <c r="I48" i="7"/>
  <c r="E65" i="7"/>
  <c r="E66" i="7"/>
  <c r="E61" i="7"/>
  <c r="M4" i="7"/>
  <c r="K5" i="7"/>
  <c r="K10" i="7" s="1"/>
  <c r="K36" i="7" s="1"/>
  <c r="U6" i="7"/>
  <c r="S7" i="7"/>
  <c r="G47" i="7"/>
  <c r="G59" i="7"/>
  <c r="G46" i="7"/>
  <c r="U53" i="7" l="1"/>
  <c r="S57" i="7"/>
  <c r="O9" i="7"/>
  <c r="Q8" i="7"/>
  <c r="O21" i="7"/>
  <c r="O34" i="7" s="1"/>
  <c r="Q14" i="7"/>
  <c r="E69" i="7"/>
  <c r="E71" i="7" s="1"/>
  <c r="S26" i="7"/>
  <c r="K48" i="7"/>
  <c r="K44" i="7"/>
  <c r="W6" i="7"/>
  <c r="U7" i="7"/>
  <c r="M5" i="7"/>
  <c r="M10" i="7" s="1"/>
  <c r="M36" i="7" s="1"/>
  <c r="O4" i="7"/>
  <c r="G65" i="7"/>
  <c r="G66" i="7"/>
  <c r="G61" i="7"/>
  <c r="I46" i="7"/>
  <c r="I47" i="7"/>
  <c r="I59" i="7"/>
  <c r="W53" i="7" l="1"/>
  <c r="U57" i="7"/>
  <c r="Q9" i="7"/>
  <c r="S8" i="7"/>
  <c r="S14" i="7"/>
  <c r="Q21" i="7"/>
  <c r="Q34" i="7" s="1"/>
  <c r="U26" i="7"/>
  <c r="M44" i="7"/>
  <c r="M48" i="7"/>
  <c r="Q4" i="7"/>
  <c r="O5" i="7"/>
  <c r="O10" i="7" s="1"/>
  <c r="O36" i="7" s="1"/>
  <c r="W7" i="7"/>
  <c r="Y6" i="7"/>
  <c r="I61" i="7"/>
  <c r="I66" i="7"/>
  <c r="I65" i="7"/>
  <c r="K47" i="7"/>
  <c r="K46" i="7"/>
  <c r="K59" i="7"/>
  <c r="G69" i="7"/>
  <c r="G71" i="7" s="1"/>
  <c r="Y53" i="7" l="1"/>
  <c r="W57" i="7"/>
  <c r="U8" i="7"/>
  <c r="S9" i="7"/>
  <c r="U14" i="7"/>
  <c r="S21" i="7"/>
  <c r="S34" i="7" s="1"/>
  <c r="I69" i="7"/>
  <c r="I71" i="7" s="1"/>
  <c r="W26" i="7"/>
  <c r="O48" i="7"/>
  <c r="O44" i="7"/>
  <c r="S4" i="7"/>
  <c r="Q5" i="7"/>
  <c r="Q10" i="7" s="1"/>
  <c r="Q36" i="7" s="1"/>
  <c r="K61" i="7"/>
  <c r="K65" i="7"/>
  <c r="K66" i="7"/>
  <c r="M47" i="7"/>
  <c r="M59" i="7"/>
  <c r="M46" i="7"/>
  <c r="AA6" i="7"/>
  <c r="Y7" i="7"/>
  <c r="AA53" i="7" l="1"/>
  <c r="Y57" i="7"/>
  <c r="U9" i="7"/>
  <c r="W8" i="7"/>
  <c r="U21" i="7"/>
  <c r="U34" i="7" s="1"/>
  <c r="W14" i="7"/>
  <c r="Y26" i="7"/>
  <c r="Q44" i="7"/>
  <c r="Q48" i="7"/>
  <c r="M66" i="7"/>
  <c r="M65" i="7"/>
  <c r="M61" i="7"/>
  <c r="AC6" i="7"/>
  <c r="AA7" i="7"/>
  <c r="U4" i="7"/>
  <c r="S5" i="7"/>
  <c r="S10" i="7"/>
  <c r="S36" i="7" s="1"/>
  <c r="O59" i="7"/>
  <c r="O46" i="7"/>
  <c r="O47" i="7"/>
  <c r="K69" i="7"/>
  <c r="K71" i="7" s="1"/>
  <c r="AC53" i="7" l="1"/>
  <c r="AA57" i="7"/>
  <c r="Y8" i="7"/>
  <c r="W9" i="7"/>
  <c r="M69" i="7"/>
  <c r="M71" i="7" s="1"/>
  <c r="W21" i="7"/>
  <c r="W34" i="7" s="1"/>
  <c r="Y14" i="7"/>
  <c r="AA26" i="7"/>
  <c r="O61" i="7"/>
  <c r="O66" i="7"/>
  <c r="O65" i="7"/>
  <c r="O69" i="7" s="1"/>
  <c r="AE6" i="7"/>
  <c r="AC7" i="7"/>
  <c r="S44" i="7"/>
  <c r="S48" i="7"/>
  <c r="U5" i="7"/>
  <c r="U10" i="7" s="1"/>
  <c r="U36" i="7" s="1"/>
  <c r="W4" i="7"/>
  <c r="Q59" i="7"/>
  <c r="Q46" i="7"/>
  <c r="Q47" i="7"/>
  <c r="AE53" i="7" l="1"/>
  <c r="AC57" i="7"/>
  <c r="Y9" i="7"/>
  <c r="AA8" i="7"/>
  <c r="Y21" i="7"/>
  <c r="Y34" i="7" s="1"/>
  <c r="AA14" i="7"/>
  <c r="AC26" i="7"/>
  <c r="O71" i="7"/>
  <c r="U44" i="7"/>
  <c r="U48" i="7"/>
  <c r="Y4" i="7"/>
  <c r="W5" i="7"/>
  <c r="W10" i="7" s="1"/>
  <c r="W36" i="7" s="1"/>
  <c r="S59" i="7"/>
  <c r="S47" i="7"/>
  <c r="S46" i="7"/>
  <c r="AG6" i="7"/>
  <c r="AG7" i="7" s="1"/>
  <c r="AE7" i="7"/>
  <c r="Q66" i="7"/>
  <c r="Q65" i="7"/>
  <c r="Q61" i="7"/>
  <c r="AG53" i="7" l="1"/>
  <c r="AG57" i="7" s="1"/>
  <c r="AE57" i="7"/>
  <c r="AA9" i="7"/>
  <c r="AC8" i="7"/>
  <c r="Q69" i="7"/>
  <c r="Q71" i="7" s="1"/>
  <c r="AA21" i="7"/>
  <c r="AA34" i="7" s="1"/>
  <c r="AC14" i="7"/>
  <c r="AE26" i="7"/>
  <c r="S61" i="7"/>
  <c r="S66" i="7"/>
  <c r="S65" i="7"/>
  <c r="W48" i="7"/>
  <c r="W44" i="7"/>
  <c r="AA4" i="7"/>
  <c r="Y5" i="7"/>
  <c r="Y10" i="7" s="1"/>
  <c r="Y36" i="7" s="1"/>
  <c r="U47" i="7"/>
  <c r="U46" i="7"/>
  <c r="U59" i="7"/>
  <c r="AC9" i="7" l="1"/>
  <c r="AE8" i="7"/>
  <c r="AC21" i="7"/>
  <c r="AC34" i="7" s="1"/>
  <c r="AE14" i="7"/>
  <c r="S69" i="7"/>
  <c r="S71" i="7" s="1"/>
  <c r="AG26" i="7"/>
  <c r="U61" i="7"/>
  <c r="U65" i="7"/>
  <c r="U66" i="7"/>
  <c r="Y48" i="7"/>
  <c r="Y44" i="7"/>
  <c r="AC4" i="7"/>
  <c r="AA5" i="7"/>
  <c r="AA10" i="7" s="1"/>
  <c r="AA36" i="7" s="1"/>
  <c r="W46" i="7"/>
  <c r="W59" i="7"/>
  <c r="W47" i="7"/>
  <c r="AE9" i="7" l="1"/>
  <c r="AG8" i="7"/>
  <c r="AG9" i="7" s="1"/>
  <c r="AE21" i="7"/>
  <c r="AE34" i="7" s="1"/>
  <c r="AG14" i="7"/>
  <c r="AG21" i="7" s="1"/>
  <c r="AG34" i="7" s="1"/>
  <c r="AA48" i="7"/>
  <c r="AA44" i="7"/>
  <c r="Y47" i="7"/>
  <c r="Y46" i="7"/>
  <c r="Y59" i="7"/>
  <c r="U69" i="7"/>
  <c r="U71" i="7" s="1"/>
  <c r="AE4" i="7"/>
  <c r="AC5" i="7"/>
  <c r="AC10" i="7" s="1"/>
  <c r="AC36" i="7" s="1"/>
  <c r="W61" i="7"/>
  <c r="W65" i="7"/>
  <c r="W66" i="7"/>
  <c r="AC44" i="7" l="1"/>
  <c r="AC48" i="7"/>
  <c r="Y66" i="7"/>
  <c r="Y65" i="7"/>
  <c r="Y69" i="7" s="1"/>
  <c r="Y61" i="7"/>
  <c r="AE5" i="7"/>
  <c r="AE10" i="7" s="1"/>
  <c r="AE36" i="7" s="1"/>
  <c r="AG4" i="7"/>
  <c r="AA59" i="7"/>
  <c r="AA46" i="7"/>
  <c r="AA47" i="7"/>
  <c r="W69" i="7"/>
  <c r="W71" i="7" s="1"/>
  <c r="Y71" i="7" l="1"/>
  <c r="AE48" i="7"/>
  <c r="AE44" i="7"/>
  <c r="AG5" i="7"/>
  <c r="AG10" i="7"/>
  <c r="AG36" i="7" s="1"/>
  <c r="AA66" i="7"/>
  <c r="AA65" i="7"/>
  <c r="AA69" i="7" s="1"/>
  <c r="AA61" i="7"/>
  <c r="AC46" i="7"/>
  <c r="AC59" i="7"/>
  <c r="AC47" i="7"/>
  <c r="AA71" i="7" l="1"/>
  <c r="AE59" i="7"/>
  <c r="AE46" i="7"/>
  <c r="AE47" i="7"/>
  <c r="AG48" i="7"/>
  <c r="AG44" i="7"/>
  <c r="AC66" i="7"/>
  <c r="AC65" i="7"/>
  <c r="AC69" i="7" s="1"/>
  <c r="AC61" i="7"/>
  <c r="AC71" i="7" l="1"/>
  <c r="AG46" i="7"/>
  <c r="AG59" i="7"/>
  <c r="AG47" i="7"/>
  <c r="AE66" i="7"/>
  <c r="AE61" i="7"/>
  <c r="AE65" i="7"/>
  <c r="AE69" i="7" s="1"/>
  <c r="AE71" i="7" l="1"/>
  <c r="AG61" i="7"/>
  <c r="AG66" i="7"/>
  <c r="AG65" i="7"/>
  <c r="AG69" i="7" l="1"/>
  <c r="AG71" i="7" s="1"/>
  <c r="R45" i="4"/>
  <c r="J54" i="4"/>
  <c r="J63" i="4"/>
  <c r="J97" i="4" s="1"/>
  <c r="J105" i="4" s="1"/>
  <c r="R54" i="4" l="1"/>
  <c r="R63" i="4" s="1"/>
  <c r="R97" i="4" s="1"/>
  <c r="R105" i="4" s="1"/>
  <c r="B14" i="11"/>
  <c r="B64" i="11" s="1"/>
  <c r="B98" i="11" s="1"/>
  <c r="B106" i="11" s="1"/>
  <c r="C14" i="11"/>
  <c r="C64" i="11" s="1"/>
  <c r="B13" i="13"/>
  <c r="B13" i="4"/>
  <c r="B63" i="4" s="1"/>
  <c r="C63" i="4"/>
  <c r="C97" i="4" s="1"/>
  <c r="E45" i="13" l="1"/>
  <c r="G54" i="13" s="1"/>
  <c r="G63" i="13" s="1"/>
  <c r="G97" i="13" s="1"/>
  <c r="G105" i="13" s="1"/>
  <c r="G107" i="13" s="1"/>
  <c r="S54" i="4"/>
  <c r="D14" i="11"/>
  <c r="B97" i="13"/>
  <c r="C105" i="4"/>
  <c r="AG258" i="26" s="1"/>
  <c r="B97" i="4"/>
  <c r="D64" i="11"/>
  <c r="C98" i="11"/>
  <c r="B63" i="13"/>
  <c r="E54" i="13" l="1"/>
  <c r="S63" i="4"/>
  <c r="C106" i="11"/>
  <c r="D106" i="11" s="1"/>
  <c r="D98" i="11"/>
  <c r="AC454" i="3"/>
  <c r="B105" i="4"/>
  <c r="AB255" i="26" s="1"/>
  <c r="AG257" i="26" s="1"/>
  <c r="AG259" i="26" s="1"/>
  <c r="AK262" i="26" s="1"/>
  <c r="T797" i="26" s="1"/>
  <c r="AF797" i="26" s="1"/>
  <c r="B105" i="13"/>
  <c r="S97" i="4" l="1"/>
  <c r="E63" i="13"/>
  <c r="AB47" i="15"/>
  <c r="AB49" i="15" s="1"/>
  <c r="N154" i="25"/>
  <c r="AC453" i="3"/>
  <c r="S105" i="4" l="1"/>
  <c r="E97" i="13"/>
  <c r="N155" i="25"/>
  <c r="N165" i="25"/>
  <c r="AB54" i="15"/>
  <c r="AB55" i="15" s="1"/>
  <c r="E105" i="13" l="1"/>
  <c r="S107" i="4"/>
  <c r="AF540" i="26" s="1"/>
  <c r="AF542" i="26" s="1"/>
  <c r="AK548" i="26" s="1"/>
  <c r="T803" i="26" s="1"/>
  <c r="AF803" i="26" s="1"/>
  <c r="AF806" i="26" s="1"/>
  <c r="E107" i="13" l="1"/>
  <c r="T11" i="15" s="1"/>
  <c r="T23" i="15" s="1"/>
  <c r="AC455" i="3"/>
  <c r="Y64" i="15" l="1"/>
  <c r="Y68" i="15" s="1"/>
  <c r="T26" i="15"/>
  <c r="T28" i="15" s="1"/>
  <c r="T29" i="15" s="1"/>
  <c r="AD38" i="15"/>
  <c r="AD40" i="15" s="1"/>
  <c r="Y38" i="15" l="1"/>
  <c r="Y40" i="15" s="1"/>
  <c r="Y41" i="15" s="1"/>
  <c r="AB56" i="15" s="1"/>
  <c r="M26" i="3" l="1"/>
  <c r="P203" i="3" s="1"/>
  <c r="AB57" i="15"/>
  <c r="AB59" i="15" s="1"/>
  <c r="AB76" i="15" s="1"/>
  <c r="AB77" i="15" s="1"/>
  <c r="I10" i="27" l="1"/>
  <c r="I11" i="27" s="1"/>
  <c r="I16" i="27" s="1"/>
  <c r="H4" i="27" s="1"/>
  <c r="H5" i="27"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74C40794-9392-4AF5-B130-61298202D129}">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B619D43E-6367-4F08-89F2-1EC91BBBCF53}">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2A827BA2-8AFD-48B9-AF49-D3D1015D2609}">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<sst xmlns="http://schemas.openxmlformats.org/spreadsheetml/2006/main" count="5139" uniqueCount="2701">
  <si>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</si>
  <si>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</si>
  <si>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</si>
  <si>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</si>
  <si>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</si>
  <si>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</si>
  <si>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</si>
  <si>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</si>
  <si>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</si>
  <si>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</si>
  <si>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</si>
  <si>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</si>
  <si>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</si>
  <si>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</si>
  <si>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</si>
  <si>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</si>
  <si>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</si>
  <si>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</si>
  <si>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</si>
  <si>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</si>
  <si>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</si>
  <si>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</si>
  <si>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</si>
  <si>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</si>
  <si>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</si>
  <si>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</si>
  <si>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</si>
  <si>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</si>
  <si>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</si>
  <si>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</si>
  <si>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</si>
  <si>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</si>
  <si>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</si>
  <si>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</si>
  <si>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</si>
  <si>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</si>
  <si>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</si>
  <si>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</si>
  <si>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</si>
  <si>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</si>
  <si>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</si>
  <si>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</si>
  <si>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</si>
  <si>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</si>
  <si>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</si>
  <si>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</si>
  <si>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</si>
  <si>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</si>
  <si>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</si>
  <si>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</si>
  <si>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</si>
  <si>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</si>
  <si>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</si>
  <si>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</si>
  <si>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</si>
  <si>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</si>
  <si>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</si>
  <si>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</si>
  <si>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</si>
  <si>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</si>
  <si>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</si>
  <si>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</si>
  <si>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</si>
  <si>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</si>
  <si>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</si>
  <si>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</si>
  <si>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</si>
  <si>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</si>
  <si>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</si>
  <si>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</si>
  <si>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</si>
  <si>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</si>
  <si>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</si>
  <si>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</si>
  <si>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</si>
  <si>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</si>
  <si>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</si>
  <si>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</si>
  <si>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</si>
  <si>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</si>
  <si>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</si>
  <si>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</si>
  <si>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</si>
  <si>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</si>
  <si>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</si>
  <si>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</si>
  <si>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</si>
  <si>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</si>
  <si>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</si>
  <si>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</si>
  <si>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</si>
  <si>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</si>
  <si>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</si>
  <si>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</si>
  <si>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</si>
  <si>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</si>
  <si>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</si>
  <si>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</si>
  <si>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</si>
  <si>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</si>
  <si>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</si>
  <si>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</si>
  <si>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</si>
  <si>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</si>
  <si>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</si>
  <si>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</si>
  <si>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</si>
  <si>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</si>
  <si>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</si>
  <si>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</si>
  <si>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</si>
  <si>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</si>
  <si>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</si>
  <si>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</si>
  <si>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</si>
  <si>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</si>
  <si>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</si>
  <si>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</si>
  <si>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</si>
  <si>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</si>
  <si>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</si>
  <si>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</si>
  <si>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</si>
  <si>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</si>
  <si>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</si>
  <si>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</si>
  <si>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</si>
  <si>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</si>
  <si>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</si>
  <si>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</si>
  <si>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</si>
  <si>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</si>
  <si>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</si>
  <si>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</si>
  <si>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</si>
  <si>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</si>
  <si>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</si>
  <si>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</si>
  <si>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</si>
  <si>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</si>
  <si>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</si>
  <si>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</si>
  <si>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</si>
  <si>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</si>
  <si>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</si>
  <si>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</si>
  <si>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</si>
  <si>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</si>
  <si>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</si>
  <si>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</si>
  <si>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</si>
  <si>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</si>
  <si>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</si>
  <si>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</si>
  <si>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</si>
  <si>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</si>
  <si>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</si>
  <si>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</si>
  <si>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</si>
  <si>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</si>
  <si>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</si>
  <si>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</si>
  <si>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</si>
  <si>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</si>
  <si>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</si>
  <si>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</si>
  <si>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</si>
  <si>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</si>
  <si>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</si>
  <si>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</si>
  <si>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</si>
  <si>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</si>
  <si>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</si>
  <si>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</si>
  <si>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</si>
  <si>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</si>
  <si>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</si>
  <si>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</si>
  <si>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</si>
  <si>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</si>
  <si>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</si>
  <si>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</si>
  <si>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</si>
  <si>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</si>
  <si>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</si>
  <si>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</si>
  <si>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</si>
  <si>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</si>
  <si>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</si>
  <si>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</si>
  <si>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</si>
  <si>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</si>
  <si>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</si>
  <si>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</si>
  <si>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</si>
  <si>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</si>
  <si>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</si>
  <si>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</si>
  <si>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</si>
  <si>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</si>
  <si>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</si>
  <si>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</si>
  <si>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</si>
  <si>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</si>
  <si>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</si>
  <si>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</si>
  <si>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</si>
  <si>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</si>
  <si>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</si>
  <si>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</si>
  <si>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</si>
  <si>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</si>
  <si>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</si>
  <si>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</si>
  <si>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</si>
  <si>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</si>
  <si>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</si>
  <si>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</si>
  <si>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</si>
  <si>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</si>
  <si>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</si>
  <si>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</si>
  <si>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</si>
  <si>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</si>
  <si>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</si>
  <si>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</si>
  <si>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</si>
  <si>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</si>
  <si>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</si>
  <si>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</si>
  <si>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</si>
  <si>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</si>
  <si>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</si>
  <si>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</si>
  <si>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</si>
  <si>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</si>
  <si>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</si>
  <si>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</si>
  <si>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</si>
  <si>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</si>
  <si>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</si>
  <si>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</si>
  <si>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</si>
  <si>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</si>
  <si>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</si>
  <si>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</si>
  <si>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</si>
  <si>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</si>
  <si>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</si>
  <si>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</si>
  <si>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</si>
  <si>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</si>
  <si>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</si>
  <si>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</si>
  <si>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</si>
  <si>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</si>
  <si>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</si>
  <si>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</si>
  <si>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</si>
  <si>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</si>
  <si>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</si>
  <si>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</si>
  <si>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</si>
  <si>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</si>
  <si>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</si>
  <si>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</si>
  <si>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</si>
  <si>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</si>
  <si>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</si>
  <si>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</si>
  <si>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</si>
  <si>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</si>
  <si>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</si>
  <si>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</si>
  <si>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</si>
  <si>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</si>
  <si>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</si>
  <si>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</si>
  <si>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</si>
  <si>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</si>
  <si>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</si>
  <si>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</si>
  <si>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</si>
  <si>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</si>
  <si>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</si>
  <si>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</si>
  <si>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</si>
  <si>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</si>
  <si>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</si>
  <si>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</si>
  <si>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</si>
  <si>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</si>
  <si>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</si>
  <si>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</si>
  <si>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</si>
  <si>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</si>
  <si>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</si>
  <si>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</si>
  <si>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</si>
  <si>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</si>
  <si>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</si>
  <si>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</si>
  <si>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</si>
  <si>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</si>
  <si>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</si>
  <si>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</si>
  <si>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</si>
  <si>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</si>
  <si>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</si>
  <si>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</si>
  <si>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</si>
  <si>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</si>
  <si>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</si>
  <si>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</si>
  <si>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</si>
  <si>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</si>
  <si>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</si>
  <si>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</si>
  <si>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</si>
  <si>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</si>
  <si>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</si>
  <si>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</si>
  <si>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</si>
  <si>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</si>
  <si>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</si>
  <si>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</si>
  <si>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</si>
  <si>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</si>
  <si>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</si>
  <si>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</si>
  <si>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</si>
  <si>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</si>
  <si>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</si>
  <si>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</si>
  <si>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</si>
  <si>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</si>
  <si>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</si>
  <si>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</si>
  <si>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</si>
  <si>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</si>
  <si>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</si>
  <si>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</si>
  <si>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</si>
  <si>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</si>
  <si>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</si>
  <si>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</si>
  <si>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</si>
  <si>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</si>
  <si>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</si>
  <si>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</si>
  <si>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</si>
  <si>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</si>
  <si>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</si>
  <si>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</si>
  <si>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</si>
  <si>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</si>
  <si>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</si>
  <si>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</si>
  <si>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</si>
  <si>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</si>
  <si>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</si>
  <si>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</si>
  <si>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</si>
  <si>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</si>
  <si>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</si>
  <si>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</si>
  <si>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</si>
  <si>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</si>
  <si>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</si>
  <si>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</si>
  <si>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</si>
  <si>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</si>
  <si>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</si>
  <si>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</si>
  <si>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</si>
  <si>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</si>
  <si>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</si>
  <si>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</si>
  <si>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</si>
  <si>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</si>
  <si>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</si>
  <si>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</si>
  <si>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</si>
  <si>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</si>
  <si>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</si>
  <si>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</si>
  <si>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</si>
  <si>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</si>
  <si>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</si>
  <si>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</si>
  <si>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</si>
  <si>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</si>
  <si>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</si>
  <si>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</si>
  <si>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</si>
  <si>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</si>
  <si>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</si>
  <si>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</si>
  <si>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</si>
  <si>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</si>
  <si>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</si>
  <si>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</si>
  <si>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</si>
  <si>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</si>
  <si>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</si>
  <si>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</si>
  <si>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</si>
  <si>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</si>
  <si>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</si>
  <si>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</si>
  <si>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</si>
  <si>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</si>
  <si>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</si>
  <si>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</si>
  <si>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</si>
  <si>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</si>
  <si>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</si>
  <si>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</si>
  <si>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</si>
  <si>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</si>
  <si>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</si>
  <si>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</si>
  <si>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</si>
  <si>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</si>
  <si>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</si>
  <si>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</si>
  <si>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</si>
  <si>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</si>
  <si>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</si>
  <si>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</si>
  <si>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</si>
  <si>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</si>
  <si>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</si>
  <si>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</si>
  <si>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</si>
  <si>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</si>
  <si>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</si>
  <si>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</si>
  <si>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</si>
  <si>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</si>
  <si>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</si>
  <si>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</si>
  <si>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</si>
  <si>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</si>
  <si>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</si>
  <si>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</si>
  <si>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</si>
  <si>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</si>
  <si>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</si>
  <si>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</si>
  <si>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</si>
  <si>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</si>
  <si>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</si>
  <si>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</si>
  <si>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</si>
  <si>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</si>
  <si>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</si>
  <si>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</si>
  <si>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</si>
  <si>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</si>
  <si>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</si>
  <si>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</si>
  <si>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</si>
  <si>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</si>
  <si>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</si>
  <si>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</si>
  <si>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</si>
  <si>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</si>
  <si>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</si>
  <si>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</si>
  <si>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</si>
  <si>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</si>
  <si>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</si>
  <si>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</si>
  <si>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</si>
  <si>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</si>
  <si>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</si>
  <si>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</si>
  <si>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</si>
  <si>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</si>
  <si>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</si>
  <si>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</si>
  <si>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</si>
  <si>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</si>
  <si>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</si>
  <si>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</si>
  <si>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</si>
  <si>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</si>
  <si>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</si>
  <si>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</si>
  <si>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</si>
  <si>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</si>
  <si>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</si>
  <si>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</si>
  <si>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</si>
  <si>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</si>
  <si>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</si>
  <si>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</si>
  <si>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</si>
  <si>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</si>
  <si>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</si>
  <si>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</si>
  <si>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</si>
  <si>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</si>
  <si>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</si>
  <si>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</si>
  <si>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</si>
  <si>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</si>
  <si>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</si>
  <si>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</si>
  <si>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</si>
  <si>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</si>
  <si>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</si>
  <si>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</si>
  <si>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</si>
  <si>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</si>
  <si>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</si>
  <si>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</si>
  <si>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</si>
  <si>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</si>
  <si>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</si>
  <si>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</si>
  <si>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</si>
  <si>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</si>
  <si>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</si>
  <si>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</si>
  <si>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</si>
  <si>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</si>
  <si>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</si>
  <si>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</si>
  <si>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</si>
  <si>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</si>
  <si>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</si>
  <si>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</si>
  <si>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</si>
  <si>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</si>
  <si>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</si>
  <si>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</si>
  <si>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</si>
  <si>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</si>
  <si>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</si>
  <si>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</si>
  <si>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</si>
  <si>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</si>
  <si>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</si>
  <si>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</si>
  <si>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</si>
  <si>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</si>
  <si>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</si>
  <si>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</si>
  <si>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</si>
  <si>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</si>
  <si>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</si>
  <si>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</si>
  <si>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</si>
  <si>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</si>
  <si>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</si>
  <si>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</si>
  <si>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</si>
  <si>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</si>
  <si>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</si>
  <si>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</si>
  <si>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</si>
  <si>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</si>
  <si>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</si>
  <si>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</si>
  <si>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</si>
  <si>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</si>
  <si>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</si>
  <si>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</si>
  <si>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</si>
  <si>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</si>
  <si>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</si>
  <si>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</si>
  <si>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</si>
  <si>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</si>
  <si>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</si>
  <si>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</si>
  <si>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</si>
  <si>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</si>
  <si>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</si>
  <si>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</si>
  <si>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</si>
  <si>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</si>
  <si>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</si>
  <si>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</si>
  <si>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</si>
  <si>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</si>
  <si>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</si>
  <si>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</si>
  <si>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</si>
  <si>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</si>
  <si>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</si>
  <si>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</si>
  <si>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</si>
  <si>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</si>
  <si>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</si>
  <si>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</si>
  <si>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</si>
  <si>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</si>
  <si>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</si>
  <si>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</si>
  <si>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</si>
  <si>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</si>
  <si>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</si>
  <si>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</si>
  <si>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</si>
  <si>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</si>
  <si>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</si>
  <si>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</si>
  <si>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</si>
  <si>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</si>
  <si>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</si>
  <si>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</si>
  <si>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</si>
  <si>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</si>
  <si>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</si>
  <si>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</si>
  <si>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</si>
  <si>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</si>
  <si>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</si>
  <si>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</si>
  <si>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</si>
  <si>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</si>
  <si>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</si>
  <si>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</si>
  <si>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</si>
  <si>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</si>
  <si>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</si>
  <si>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</si>
  <si>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</si>
  <si>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</si>
  <si>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</si>
  <si>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</si>
  <si>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</si>
  <si>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</si>
  <si>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</si>
  <si>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</si>
  <si>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</si>
  <si>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</si>
  <si>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</si>
  <si>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</si>
  <si>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</si>
  <si>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</si>
  <si>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</si>
  <si>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</si>
  <si>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</si>
  <si>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</si>
  <si>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</si>
  <si>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</si>
  <si>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</si>
  <si>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</si>
  <si>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</si>
  <si>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</si>
  <si>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</si>
  <si>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</si>
  <si>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</si>
  <si>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</si>
  <si>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</si>
  <si>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</si>
  <si>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</si>
  <si>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</si>
  <si>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</si>
  <si>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</si>
  <si>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</si>
  <si>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</si>
  <si>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</si>
  <si>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</si>
  <si>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</si>
  <si>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</si>
  <si>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</si>
  <si>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</si>
  <si>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</si>
  <si>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</si>
  <si>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</si>
  <si>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</si>
  <si>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</si>
  <si>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</si>
  <si>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</si>
  <si>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</si>
  <si>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</si>
  <si>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</si>
  <si>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</si>
  <si>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</si>
  <si>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</si>
  <si>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</si>
  <si>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</si>
  <si>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</si>
  <si>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</si>
  <si>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</si>
  <si>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</si>
  <si>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</si>
  <si>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</si>
  <si>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</si>
  <si>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</si>
  <si>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</si>
  <si>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</si>
  <si>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</si>
  <si>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</si>
  <si>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</si>
  <si>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</si>
  <si>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</si>
  <si>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</si>
  <si>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</si>
  <si>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</si>
  <si>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</si>
  <si>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</si>
  <si>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</si>
  <si>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</si>
  <si>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</si>
  <si>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</si>
  <si>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</si>
  <si>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</si>
  <si>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</si>
  <si>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</si>
  <si>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</si>
  <si>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</si>
  <si>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</si>
  <si>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</si>
  <si>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</si>
  <si>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</si>
  <si>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</si>
  <si>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</si>
  <si>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</si>
  <si>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</si>
  <si>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</si>
  <si>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</si>
  <si>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</si>
  <si>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</si>
  <si>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</si>
  <si>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</si>
  <si>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</si>
  <si>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</si>
  <si>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</si>
  <si>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</si>
  <si>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</si>
  <si>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</si>
  <si>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</si>
  <si>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</si>
  <si>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</si>
  <si>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</si>
  <si>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</si>
  <si>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</si>
  <si>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</si>
  <si>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</si>
  <si>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</si>
  <si>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</si>
  <si>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</si>
  <si>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</si>
  <si>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</si>
  <si>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</si>
  <si>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</si>
  <si>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</si>
  <si>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</si>
  <si>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</si>
  <si>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</si>
  <si>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</si>
  <si>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</si>
  <si>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</si>
  <si>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</si>
  <si>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</si>
  <si>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</si>
  <si>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</si>
  <si>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</si>
  <si>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</si>
  <si>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</si>
  <si>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</si>
  <si>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</si>
  <si>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</si>
  <si>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</si>
  <si>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</si>
  <si>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</si>
  <si>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</si>
  <si>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</si>
  <si>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</si>
  <si>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</si>
  <si>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</si>
  <si>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</si>
  <si>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</si>
  <si>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</si>
  <si>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</si>
  <si>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</si>
  <si>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</si>
  <si>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</si>
  <si>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</si>
  <si>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</si>
  <si>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</si>
  <si>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</si>
  <si>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</si>
  <si>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</si>
  <si>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</si>
  <si>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</si>
  <si>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</si>
  <si>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</si>
  <si>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</si>
  <si>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</si>
  <si>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</si>
  <si>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</si>
  <si>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</si>
  <si>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</si>
  <si>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</si>
  <si>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</si>
  <si>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</si>
  <si>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</si>
  <si>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</si>
  <si>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</si>
  <si>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</si>
  <si>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</si>
  <si>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</si>
  <si>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</si>
  <si>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</si>
  <si>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</si>
  <si>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</si>
  <si>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</si>
  <si>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</si>
  <si>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</si>
  <si>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</si>
  <si>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</si>
  <si>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</si>
  <si>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</si>
  <si>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</si>
  <si>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</si>
  <si>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</si>
  <si>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</si>
  <si>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</si>
  <si>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</si>
  <si>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</si>
  <si>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</si>
  <si>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</si>
  <si>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</si>
  <si>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</si>
  <si>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</si>
  <si>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</si>
  <si>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</si>
  <si>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</si>
  <si>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</si>
  <si>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</si>
  <si>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</si>
  <si>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</si>
  <si>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</si>
  <si>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</si>
  <si>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</si>
  <si>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</si>
  <si>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</si>
  <si>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</si>
  <si>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</si>
  <si>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</si>
  <si>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</si>
  <si>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</si>
  <si>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</si>
  <si>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</si>
  <si>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</si>
  <si>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</si>
  <si>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</si>
  <si>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</si>
  <si>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</si>
  <si>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</si>
  <si>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</si>
  <si>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</si>
  <si>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</si>
  <si>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</si>
  <si>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</si>
  <si>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</si>
  <si>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</si>
  <si>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</si>
  <si>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</si>
  <si>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</si>
  <si>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</si>
  <si>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</si>
  <si>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</si>
  <si>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</si>
  <si>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</si>
  <si>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</si>
  <si>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</si>
  <si>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</si>
  <si>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</si>
  <si>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</si>
  <si>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</si>
  <si>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</si>
  <si>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</si>
  <si>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</si>
  <si>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</si>
  <si>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</si>
  <si>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</si>
  <si>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</si>
  <si>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</si>
  <si>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</si>
  <si>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</si>
  <si>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</si>
  <si>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</si>
  <si>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</si>
  <si>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</si>
  <si>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</si>
  <si>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</si>
  <si>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</si>
  <si>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</si>
  <si>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</si>
  <si>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</si>
  <si>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</si>
  <si>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</si>
  <si>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</si>
  <si>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</si>
  <si>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</si>
  <si>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</si>
  <si>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</si>
  <si>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</si>
  <si>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</si>
  <si>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</si>
  <si>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</si>
  <si>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</si>
  <si>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</si>
  <si>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</si>
  <si>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</si>
  <si>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</si>
  <si>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</si>
  <si>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</si>
  <si>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</si>
  <si>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</si>
  <si>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</si>
  <si>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</si>
  <si>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</si>
  <si>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</si>
  <si>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</si>
  <si>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</si>
  <si>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</si>
  <si>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</si>
  <si>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</si>
  <si>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</si>
  <si>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</si>
  <si>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</si>
  <si>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</si>
  <si>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</si>
  <si>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</si>
  <si>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</si>
  <si>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</si>
  <si>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</si>
  <si>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</si>
  <si>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</si>
  <si>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</si>
  <si>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</si>
  <si>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</si>
  <si>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</si>
  <si>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</si>
  <si>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</si>
  <si>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</si>
  <si>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</si>
  <si>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</si>
  <si>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</si>
  <si>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</si>
  <si>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</si>
  <si>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</si>
  <si>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</si>
  <si>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</si>
  <si>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</si>
  <si>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</si>
  <si>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</si>
  <si>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</si>
  <si>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</si>
  <si>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</si>
  <si>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</si>
  <si>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</si>
  <si>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</si>
  <si>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</si>
  <si>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</si>
  <si>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</si>
  <si>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</si>
  <si>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</si>
  <si>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</si>
  <si>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</si>
  <si>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</si>
  <si>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</si>
  <si>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</si>
  <si>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</si>
  <si>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</si>
  <si>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</si>
  <si>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</si>
  <si>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</si>
  <si>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</si>
  <si>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</si>
  <si>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</si>
  <si>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</si>
  <si>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</si>
  <si>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</si>
  <si>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</si>
  <si>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</si>
  <si>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</si>
  <si>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</si>
  <si>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</si>
  <si>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</si>
  <si>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</si>
  <si>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</si>
  <si>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</si>
  <si>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</si>
  <si>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</si>
  <si>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</si>
  <si>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</si>
  <si>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</si>
  <si>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</si>
  <si>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</si>
  <si>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</si>
  <si>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</si>
  <si>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</si>
  <si>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</si>
  <si>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</si>
  <si>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</si>
  <si>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</si>
  <si>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</si>
  <si>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</si>
  <si>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</si>
  <si>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</si>
  <si>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</si>
  <si>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</si>
  <si>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</si>
  <si>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</si>
  <si>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</si>
  <si>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</si>
  <si>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</si>
  <si>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</si>
  <si>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</si>
  <si>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</si>
  <si>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</si>
  <si>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</si>
  <si>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</si>
  <si>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</si>
  <si>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</si>
  <si>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</si>
  <si>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</si>
  <si>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</si>
  <si>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</si>
  <si>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</si>
  <si>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</si>
  <si>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</si>
  <si>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</si>
  <si>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</si>
  <si>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</si>
  <si>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</si>
  <si>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</si>
  <si>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</si>
  <si>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</si>
  <si>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</si>
  <si>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</si>
  <si>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</si>
  <si>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</si>
  <si>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</si>
  <si>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</si>
  <si>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</si>
  <si>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</si>
  <si>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</si>
  <si>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</si>
  <si>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</si>
  <si>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</si>
  <si>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</si>
  <si>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</si>
  <si>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</si>
  <si>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</si>
  <si>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</si>
  <si>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</si>
  <si>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</si>
  <si>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</si>
  <si>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</si>
  <si>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</si>
  <si>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</si>
  <si>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</si>
  <si>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</si>
  <si>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</si>
  <si>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</si>
  <si>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</si>
  <si>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</si>
  <si>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</si>
  <si>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</si>
  <si>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</si>
  <si>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</si>
  <si>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</si>
  <si>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</si>
  <si>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</si>
  <si>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</si>
  <si>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</si>
  <si>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</si>
  <si>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</si>
  <si>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</si>
  <si>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</si>
  <si>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</si>
  <si>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</si>
  <si>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</si>
  <si>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</si>
  <si>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</si>
  <si>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</si>
  <si>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</si>
  <si>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</si>
  <si>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</si>
  <si>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</si>
  <si>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</si>
  <si>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</si>
  <si>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</si>
  <si>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</si>
  <si>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</si>
  <si>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</si>
  <si>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</si>
  <si>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</si>
  <si>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</si>
  <si>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</si>
  <si>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</si>
  <si>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</si>
  <si>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</si>
  <si>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</si>
  <si>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</si>
  <si>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</si>
  <si>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</si>
  <si>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</si>
  <si>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</si>
  <si>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</si>
  <si>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</si>
  <si>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</si>
  <si>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</si>
  <si>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</si>
  <si>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</si>
  <si>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</si>
  <si>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</si>
  <si>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</si>
  <si>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</si>
  <si>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</si>
  <si>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</si>
  <si>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</si>
  <si>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</si>
  <si>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</si>
  <si>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</si>
  <si>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</si>
  <si>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</si>
  <si>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</si>
  <si>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</si>
  <si>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</si>
  <si>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</si>
  <si>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</si>
  <si>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</si>
  <si>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</si>
  <si>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</si>
  <si>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</si>
  <si>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</si>
  <si>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</si>
  <si>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</si>
  <si>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</si>
  <si>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</si>
  <si>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</si>
  <si>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</si>
  <si>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</si>
  <si>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</si>
  <si>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</si>
  <si>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</si>
  <si>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</si>
  <si>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</si>
  <si>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</si>
  <si>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</si>
  <si>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</si>
  <si>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</si>
  <si>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</si>
  <si>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</si>
  <si>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</si>
  <si>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</si>
  <si>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</si>
  <si>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</si>
  <si>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</si>
  <si>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</si>
  <si>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</si>
  <si>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</si>
  <si>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</si>
  <si>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</si>
  <si>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</si>
  <si>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</si>
  <si>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</si>
  <si>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</si>
  <si>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</si>
  <si>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</si>
  <si>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</si>
  <si>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</si>
  <si>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</si>
  <si>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</si>
  <si>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</si>
  <si>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</si>
  <si>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</si>
  <si>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</si>
  <si>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</si>
  <si>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</si>
  <si>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</si>
  <si>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</si>
  <si>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</si>
  <si>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</si>
  <si>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</si>
  <si>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</si>
  <si>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</si>
  <si>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</si>
  <si>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</si>
  <si>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</si>
  <si>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</si>
  <si>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</si>
  <si>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</si>
  <si>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</si>
  <si>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</si>
  <si>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</si>
  <si>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</si>
  <si>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</si>
  <si>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</si>
  <si>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</si>
  <si>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</si>
  <si>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</si>
  <si>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</si>
  <si>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</si>
  <si>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</si>
  <si>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</si>
  <si>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</si>
  <si>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</si>
  <si>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</si>
  <si>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</si>
  <si>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</si>
  <si>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</si>
  <si>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</si>
  <si>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</si>
  <si>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</si>
  <si>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</si>
  <si>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</si>
  <si>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</si>
  <si>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</si>
  <si>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</si>
  <si>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</si>
  <si>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</si>
  <si>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</si>
  <si>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</si>
  <si>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</si>
  <si>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</si>
  <si>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</si>
  <si>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</si>
  <si>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</si>
  <si>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</si>
  <si>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</si>
  <si>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</si>
  <si>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</si>
  <si>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</si>
  <si>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</si>
  <si>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</si>
  <si>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</si>
  <si>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</si>
  <si>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</si>
  <si>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</si>
  <si>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</si>
  <si>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</si>
  <si>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</si>
  <si>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</si>
  <si>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</si>
  <si>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</si>
  <si>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</si>
  <si>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</si>
  <si>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</si>
  <si>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</si>
  <si>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</si>
  <si>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</si>
  <si>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</si>
  <si>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</si>
  <si>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</si>
  <si>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</si>
  <si>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</si>
  <si>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</si>
  <si>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</si>
  <si>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</si>
  <si>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</si>
  <si>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</si>
  <si>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</si>
  <si>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</si>
  <si>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</si>
  <si>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</si>
  <si>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</si>
  <si>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</si>
  <si>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</si>
  <si>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</si>
  <si>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</si>
  <si>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</si>
  <si>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</si>
  <si>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</si>
  <si>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</si>
  <si>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</si>
  <si>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</si>
  <si>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</si>
  <si>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</si>
  <si>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</si>
  <si>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</si>
  <si>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</si>
  <si>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</si>
  <si>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</si>
  <si>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</si>
  <si>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</si>
  <si>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</si>
  <si>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</si>
  <si>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</si>
  <si>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</si>
  <si>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</si>
  <si>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</si>
  <si>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</si>
  <si>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</si>
  <si>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</si>
  <si>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</si>
  <si>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</si>
  <si>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</si>
  <si>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</si>
  <si>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</si>
  <si>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</si>
  <si>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</si>
  <si>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</si>
  <si>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</si>
  <si>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</si>
  <si>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</si>
  <si>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</si>
  <si>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</si>
  <si>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</si>
  <si>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</si>
  <si>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</si>
  <si>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</si>
  <si>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</si>
  <si>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</si>
  <si>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</si>
  <si>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</si>
  <si>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</si>
  <si>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</si>
  <si>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</si>
  <si>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</si>
  <si>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</si>
  <si>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</si>
  <si>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</si>
  <si>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</si>
  <si>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</si>
  <si>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</si>
  <si>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</si>
  <si>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</si>
  <si>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</si>
  <si>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</si>
  <si>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</si>
  <si>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</si>
  <si>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</si>
  <si>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</si>
  <si>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</si>
  <si>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</si>
  <si>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</si>
  <si>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</si>
  <si>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</si>
  <si>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</si>
  <si>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</si>
  <si>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</si>
  <si>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</si>
  <si>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</si>
  <si>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</si>
  <si>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</si>
  <si>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</si>
  <si>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</si>
  <si>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</si>
  <si>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</si>
  <si>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</si>
  <si>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</si>
  <si>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</si>
  <si>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</si>
  <si>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</si>
  <si>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</si>
  <si>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</si>
  <si>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</si>
  <si>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</si>
  <si>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</si>
  <si>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</si>
  <si>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</si>
  <si>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</si>
  <si>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</si>
  <si>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</si>
  <si>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</si>
  <si>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</si>
  <si>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</si>
  <si>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</si>
  <si>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</si>
  <si>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</si>
  <si>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</si>
  <si>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</si>
  <si>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</si>
  <si>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</si>
  <si>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</si>
  <si>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</si>
  <si>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</si>
  <si>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</si>
  <si>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</si>
  <si>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</si>
  <si>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</si>
  <si>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</si>
  <si>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</si>
  <si>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</si>
  <si>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</si>
  <si>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</si>
  <si>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</si>
  <si>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</si>
  <si>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</si>
  <si>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</si>
  <si>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</si>
  <si>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</si>
  <si>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</si>
  <si>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</si>
  <si>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</si>
  <si>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</si>
  <si>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</si>
  <si>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</si>
  <si>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</si>
  <si>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</si>
  <si>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</si>
  <si>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</si>
  <si>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</si>
  <si>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</si>
  <si>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</si>
  <si>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</si>
  <si>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</si>
  <si>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</si>
  <si>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</si>
  <si>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</si>
  <si>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</si>
  <si>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</si>
  <si>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</si>
  <si>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</si>
  <si>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</si>
  <si>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</si>
  <si>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</si>
  <si>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</si>
  <si>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</si>
  <si>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</si>
  <si>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</si>
  <si>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</si>
  <si>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</si>
  <si>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</si>
  <si>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</si>
  <si>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</si>
  <si>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</si>
  <si>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</si>
  <si>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</si>
  <si>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</si>
  <si>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</si>
  <si>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</si>
  <si>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</si>
  <si>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</si>
  <si>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</si>
  <si>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</si>
  <si>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</si>
  <si>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</si>
  <si>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</si>
  <si>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</si>
  <si>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</si>
  <si>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</si>
  <si>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</si>
  <si>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</si>
  <si>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</si>
  <si>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</si>
  <si>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</si>
  <si>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</si>
  <si>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</si>
  <si>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</si>
  <si>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</si>
  <si>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</si>
  <si>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</si>
  <si>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</si>
  <si>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</si>
  <si>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</si>
  <si>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</si>
  <si>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</si>
  <si>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</si>
  <si>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</si>
  <si>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</si>
  <si>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</si>
  <si>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</si>
  <si>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</si>
  <si>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</si>
  <si>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</si>
  <si>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</si>
  <si>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</si>
  <si>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</si>
  <si>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</si>
  <si>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</si>
  <si>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</si>
  <si>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</si>
  <si>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</si>
  <si>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</si>
  <si>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</si>
  <si>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</si>
  <si>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</si>
  <si>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</si>
  <si>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</si>
  <si>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</si>
  <si>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</si>
  <si>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</si>
  <si>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</si>
  <si>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</si>
  <si>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</si>
  <si>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</si>
  <si>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</si>
  <si>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</si>
  <si>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</si>
  <si>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</si>
  <si>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</si>
  <si>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</si>
  <si>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</si>
  <si>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</si>
  <si>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</si>
  <si>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</si>
  <si>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</si>
  <si>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</si>
  <si>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</si>
  <si>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</si>
  <si>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</si>
  <si>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</si>
  <si>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</si>
  <si>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</si>
  <si>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</si>
  <si>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</si>
  <si>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</si>
  <si>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</si>
  <si>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</si>
  <si>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</si>
  <si>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</si>
  <si>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</si>
  <si>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</si>
  <si>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</si>
  <si>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</si>
  <si>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</si>
  <si>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</si>
  <si>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</si>
  <si>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</si>
  <si>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</si>
  <si>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</si>
  <si>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</si>
  <si>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</si>
  <si>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</si>
  <si>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</si>
  <si>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</si>
  <si>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</si>
  <si>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</si>
  <si>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</si>
  <si>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</si>
  <si>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</si>
  <si>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</si>
  <si>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</si>
  <si>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</si>
  <si>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</si>
  <si>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</si>
  <si>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</si>
  <si>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</si>
  <si>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</si>
  <si>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</si>
  <si>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</si>
  <si>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</si>
  <si>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</si>
  <si>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</si>
  <si>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</si>
  <si>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</si>
  <si>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</si>
  <si>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</si>
  <si>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</si>
  <si>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</si>
  <si>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</si>
  <si>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</si>
  <si>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</si>
  <si>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</si>
  <si>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</si>
  <si>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</si>
  <si>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</si>
  <si>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</si>
  <si>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</si>
  <si>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</si>
  <si>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</si>
  <si>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</si>
  <si>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</si>
  <si>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</si>
  <si>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</si>
  <si>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</si>
  <si>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</si>
  <si>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</si>
  <si>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</si>
  <si>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</si>
  <si>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</si>
  <si>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</si>
  <si>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</si>
  <si>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</si>
  <si>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</si>
  <si>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</si>
  <si>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</si>
  <si>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</si>
  <si>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</si>
  <si>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</si>
  <si>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</si>
  <si>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</si>
  <si>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</si>
  <si>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</si>
  <si>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</si>
  <si>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</si>
  <si>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</si>
  <si>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</si>
  <si>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</si>
  <si>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</si>
  <si>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</si>
  <si>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</si>
  <si>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</si>
  <si>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</si>
  <si>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</si>
  <si>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</si>
  <si>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</si>
  <si>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</si>
  <si>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</si>
  <si>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</si>
  <si>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</si>
  <si>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</si>
  <si>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</si>
  <si>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</si>
  <si>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</si>
  <si>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</si>
  <si>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</si>
  <si>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</si>
  <si>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</si>
  <si>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</si>
  <si>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</si>
  <si>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</si>
  <si>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</si>
  <si>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</si>
  <si>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</si>
  <si>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</si>
  <si>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</si>
  <si>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</si>
  <si>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</si>
  <si>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</si>
  <si>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</si>
  <si>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</si>
  <si>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</si>
  <si>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</si>
  <si>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</si>
  <si>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</si>
  <si>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</si>
  <si>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</si>
  <si>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</si>
  <si>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</si>
  <si>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</si>
  <si>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</si>
  <si>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</si>
  <si>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</si>
  <si>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</si>
  <si>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</si>
  <si>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</si>
  <si>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</si>
  <si>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</si>
  <si>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</si>
  <si>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</si>
  <si>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</si>
  <si>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</si>
  <si>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</si>
  <si>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</si>
  <si>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</si>
  <si>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</si>
  <si>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</si>
  <si>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</si>
  <si>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</si>
  <si>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</si>
  <si>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</si>
  <si>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</si>
  <si>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</si>
  <si>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</si>
  <si>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</si>
  <si>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</si>
  <si>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</si>
  <si>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</si>
  <si>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</si>
  <si>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</si>
  <si>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</si>
  <si>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</si>
  <si>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</si>
  <si>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</si>
  <si>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</si>
  <si>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</si>
  <si>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</si>
  <si>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</si>
  <si>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</si>
  <si>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</si>
  <si>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</si>
  <si>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</si>
  <si>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</si>
  <si>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</si>
  <si>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</si>
  <si>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</si>
  <si>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</si>
  <si>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</si>
  <si>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</si>
  <si>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</si>
  <si>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</si>
  <si>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</si>
  <si>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</si>
  <si>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</si>
  <si>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</si>
  <si>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</si>
  <si>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</si>
  <si>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</si>
  <si>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</si>
  <si>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</si>
  <si>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</si>
  <si>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</si>
  <si>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</si>
  <si>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</si>
  <si>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</si>
  <si>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</si>
  <si>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</si>
  <si>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</si>
  <si>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</si>
  <si>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</si>
  <si>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</si>
  <si>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</si>
  <si>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</si>
  <si>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</si>
  <si>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</si>
  <si>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</si>
  <si>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</si>
  <si>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</si>
  <si>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</si>
  <si>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</si>
  <si>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</si>
  <si>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</si>
  <si>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</si>
  <si>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</si>
  <si>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</si>
  <si>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</si>
  <si>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</si>
  <si>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</si>
  <si>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</si>
  <si>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</si>
  <si>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</si>
  <si>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</si>
  <si>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</si>
  <si>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</si>
  <si>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</si>
  <si>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</si>
  <si>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</si>
  <si>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</si>
  <si>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</si>
  <si>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</si>
  <si>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</si>
  <si>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</si>
  <si>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</si>
  <si>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</si>
  <si>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</si>
  <si>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</si>
  <si>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</si>
  <si>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</si>
  <si>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</si>
  <si>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</si>
  <si>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</si>
  <si>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</si>
  <si>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</si>
  <si>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</si>
  <si>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</si>
  <si>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</si>
  <si>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</si>
  <si>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</si>
  <si>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</si>
  <si>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</si>
  <si>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</si>
  <si>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</si>
  <si>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</si>
  <si>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</si>
  <si>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</si>
  <si>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</si>
  <si>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</si>
  <si>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</si>
  <si>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</si>
  <si>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</si>
  <si>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</si>
  <si>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</si>
  <si>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</si>
  <si>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</si>
  <si>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</si>
  <si>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</si>
  <si>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</si>
  <si>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</si>
  <si>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</si>
  <si>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</si>
  <si>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</si>
  <si>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</si>
  <si>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</si>
  <si>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</si>
  <si>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</si>
  <si>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</si>
  <si>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</si>
  <si>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</si>
  <si>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</si>
  <si>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</si>
  <si>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</si>
  <si>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</si>
  <si>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</si>
  <si>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</si>
  <si>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</si>
  <si>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</si>
  <si>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</si>
  <si>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</si>
  <si>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</si>
  <si>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</si>
  <si>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</si>
  <si>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</si>
  <si>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</si>
  <si>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</si>
  <si>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</si>
  <si>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</si>
  <si>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</si>
  <si>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</si>
  <si>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</si>
  <si>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</si>
  <si>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</si>
  <si>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</si>
  <si>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</si>
  <si>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</si>
  <si>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</si>
  <si>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</si>
  <si>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</si>
  <si>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</si>
  <si>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</si>
  <si>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</si>
  <si>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</si>
  <si>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</si>
  <si>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</si>
  <si>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</si>
  <si>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</si>
  <si>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</si>
  <si>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</si>
  <si>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</si>
  <si>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</si>
  <si>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</si>
  <si>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</si>
  <si>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</si>
  <si>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</si>
  <si>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</si>
  <si>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</si>
  <si>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</si>
  <si>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</si>
  <si>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</si>
  <si>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</si>
  <si>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</si>
  <si>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</si>
  <si>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</si>
  <si>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</si>
  <si>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</si>
  <si>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</si>
  <si>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</si>
  <si>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</si>
  <si>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</si>
  <si>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</si>
  <si>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</si>
  <si>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</si>
  <si>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</si>
  <si>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</si>
  <si>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</si>
  <si>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</si>
  <si>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</si>
  <si>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</si>
  <si>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</si>
  <si>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</si>
  <si>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</si>
  <si>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</si>
  <si>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</si>
  <si>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</si>
  <si>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</si>
  <si>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</si>
  <si>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</si>
  <si>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</si>
  <si>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</si>
  <si>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</si>
  <si>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</si>
  <si>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</si>
  <si>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</si>
  <si>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</si>
  <si>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</si>
  <si>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</si>
  <si>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</si>
  <si>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</si>
  <si>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</si>
  <si>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</si>
  <si>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</si>
  <si>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</si>
  <si>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</si>
  <si>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</si>
  <si>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</si>
  <si>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</si>
  <si>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</si>
  <si>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</si>
  <si>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</si>
  <si>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</si>
  <si>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</si>
  <si>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</si>
  <si>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</si>
  <si>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</si>
  <si>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</si>
  <si>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</si>
  <si>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</si>
  <si>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</si>
  <si>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</si>
  <si>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</si>
  <si>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</si>
  <si>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</si>
  <si>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</si>
  <si>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</si>
  <si>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</si>
  <si>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</si>
  <si>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</si>
  <si>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</si>
  <si>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</si>
  <si>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</si>
  <si>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</si>
  <si>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</si>
  <si>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</si>
  <si>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</si>
  <si>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</si>
  <si>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</si>
  <si>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</si>
  <si>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</si>
  <si>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</si>
  <si>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</si>
  <si>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</si>
  <si>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</si>
  <si>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</si>
  <si>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</si>
  <si>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</si>
  <si>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</si>
  <si>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</si>
  <si>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</si>
  <si>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</si>
  <si>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</si>
  <si>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</si>
  <si>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</si>
  <si>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</si>
  <si>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</si>
  <si>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</si>
  <si>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</si>
  <si>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</si>
  <si>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</si>
  <si>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</si>
  <si>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</si>
  <si>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</si>
  <si>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</si>
  <si>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</si>
  <si>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</si>
  <si>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</si>
  <si>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</si>
  <si>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</si>
  <si>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</si>
  <si>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</si>
  <si>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</si>
  <si>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</si>
  <si>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</si>
  <si>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</si>
  <si>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</si>
  <si>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</si>
  <si>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</si>
  <si>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</si>
  <si>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</si>
  <si>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</si>
  <si>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</si>
  <si>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</si>
  <si>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</si>
  <si>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</si>
  <si>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</si>
  <si>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</si>
  <si>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</si>
  <si>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</si>
  <si>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</si>
  <si>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</si>
  <si>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</si>
  <si>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</si>
  <si>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</si>
  <si>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</si>
  <si>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</si>
  <si>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</si>
  <si>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</si>
  <si>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</si>
  <si>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</si>
  <si>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</si>
  <si>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</si>
  <si>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</si>
  <si>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</si>
  <si>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</si>
  <si>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</si>
  <si>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</si>
  <si>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</si>
  <si>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</si>
  <si>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</si>
  <si>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</si>
  <si>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</si>
  <si>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</si>
  <si>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</si>
  <si>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</si>
  <si>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</si>
  <si>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</si>
  <si>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</si>
  <si>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</si>
  <si>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</si>
  <si>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</si>
  <si>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</si>
  <si>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</si>
  <si>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</si>
  <si>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</si>
  <si>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</si>
  <si>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</si>
  <si>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</si>
  <si>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</si>
  <si>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</si>
  <si>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</si>
  <si>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</si>
  <si>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</si>
  <si>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</si>
  <si>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</si>
  <si>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</si>
  <si>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</si>
  <si>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</si>
  <si>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</si>
  <si>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</si>
  <si>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</si>
  <si>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</si>
  <si>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</si>
  <si>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</si>
  <si>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</si>
  <si>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</si>
  <si>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</si>
  <si>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</si>
  <si>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</si>
  <si>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</si>
  <si>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</si>
  <si>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</si>
  <si>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</si>
  <si>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</si>
  <si>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</si>
  <si>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</si>
  <si>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</si>
  <si>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</si>
  <si>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</si>
  <si>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</si>
  <si>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</si>
  <si>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</si>
  <si>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</si>
  <si>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</si>
  <si>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</si>
  <si>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</si>
  <si>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</si>
  <si>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</si>
  <si>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</si>
  <si>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</si>
  <si>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</si>
  <si>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</si>
  <si>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</si>
  <si>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</si>
  <si>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</si>
  <si>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</si>
  <si>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</si>
  <si>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</si>
  <si>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</si>
  <si>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</si>
  <si>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</si>
  <si>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</si>
  <si>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</si>
  <si>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</si>
  <si>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</si>
  <si>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</si>
  <si>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</si>
  <si>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</si>
  <si>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</si>
  <si>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</si>
  <si>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</si>
  <si>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</si>
  <si>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</si>
  <si>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</si>
  <si>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</si>
  <si>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</si>
  <si>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</si>
  <si>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</si>
  <si>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</si>
  <si>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</si>
  <si>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</si>
  <si>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</si>
  <si>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</si>
  <si>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</si>
  <si>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</si>
  <si>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</si>
  <si>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</si>
  <si>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</si>
  <si>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</si>
  <si>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</si>
  <si>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</si>
  <si>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</si>
  <si>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</si>
  <si>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</si>
  <si>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</si>
  <si>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</si>
  <si>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</si>
  <si>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</si>
  <si>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</si>
  <si>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</si>
  <si>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</si>
  <si>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</si>
  <si>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</si>
  <si>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</si>
  <si>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</si>
  <si>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</si>
  <si>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</si>
  <si>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</si>
  <si>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</si>
  <si>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</si>
  <si>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</si>
  <si>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</si>
  <si>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</si>
  <si>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</si>
  <si>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</si>
  <si>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</si>
  <si>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</si>
  <si>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</si>
  <si>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</si>
  <si>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</si>
  <si>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</si>
  <si>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</si>
  <si>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</si>
  <si>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</si>
  <si>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</si>
  <si>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</si>
  <si>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</si>
  <si>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</si>
  <si>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</si>
  <si>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</si>
  <si>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</si>
  <si>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</si>
  <si>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</si>
  <si>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</si>
  <si>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</si>
  <si>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</si>
  <si>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</si>
  <si>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</si>
  <si>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</si>
  <si>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</si>
  <si>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</si>
  <si>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</si>
  <si>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</si>
  <si>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</si>
  <si>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</si>
  <si>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</si>
  <si>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</si>
  <si>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</si>
  <si>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</si>
  <si>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</si>
  <si>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</si>
  <si>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</si>
  <si>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</si>
  <si>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</si>
  <si>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</si>
  <si>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</si>
  <si>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</si>
  <si>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</si>
  <si>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</si>
  <si>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</si>
  <si>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</si>
  <si>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</si>
  <si>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</si>
  <si>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</si>
  <si>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</si>
  <si>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</si>
  <si>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</si>
  <si>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</si>
  <si>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</si>
  <si>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</si>
  <si>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</si>
  <si>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</si>
  <si>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</si>
  <si>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</si>
  <si>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</si>
  <si>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</si>
  <si>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</si>
  <si>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</si>
  <si>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</si>
  <si>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</si>
  <si>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</si>
  <si>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</si>
  <si>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</si>
  <si>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</si>
  <si>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</si>
  <si>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</si>
  <si>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</si>
  <si>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</si>
  <si>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</si>
  <si>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</si>
  <si>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</si>
  <si>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</si>
  <si>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</si>
  <si>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</si>
  <si>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</si>
  <si>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</si>
  <si>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</si>
  <si>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</si>
  <si>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</si>
  <si>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</si>
  <si>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</si>
  <si>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</si>
  <si>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</si>
  <si>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</si>
  <si>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</si>
  <si>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</si>
  <si>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</si>
  <si>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</si>
  <si>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</si>
  <si>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</si>
  <si>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</si>
  <si>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</si>
  <si>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</si>
  <si>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</si>
  <si>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</si>
  <si>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</si>
  <si>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</si>
  <si>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</si>
  <si>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</si>
  <si>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</si>
  <si>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</si>
  <si>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</si>
  <si>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</si>
  <si>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</si>
  <si>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</si>
  <si>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</si>
  <si>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</si>
  <si>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</si>
  <si>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</si>
  <si>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</si>
  <si>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</si>
  <si>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</si>
  <si>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</si>
  <si>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</si>
  <si>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</si>
  <si>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</si>
  <si>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</si>
  <si>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</si>
  <si>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</si>
  <si>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</si>
  <si>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</si>
  <si>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</si>
  <si>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</si>
  <si>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</si>
  <si>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</si>
  <si>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</si>
  <si>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</si>
  <si>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</si>
  <si>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</si>
  <si>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</si>
  <si>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</si>
  <si>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</si>
  <si>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</si>
  <si>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</si>
  <si>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</si>
  <si>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</si>
  <si>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</si>
  <si>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</si>
  <si>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</si>
  <si>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</si>
  <si>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</si>
  <si>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</si>
  <si>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</si>
  <si>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</si>
  <si>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</si>
  <si>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</si>
  <si>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</si>
  <si>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</si>
  <si>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</si>
  <si>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</si>
  <si>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</si>
  <si>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</si>
  <si>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</si>
  <si>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</si>
  <si>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</si>
  <si>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</si>
  <si>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</si>
  <si>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</si>
  <si>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</si>
  <si>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</si>
  <si>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</si>
  <si>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</si>
  <si>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</si>
  <si>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</si>
  <si>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</si>
  <si>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</si>
  <si>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</si>
  <si>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</si>
  <si>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</si>
  <si>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</si>
  <si>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</si>
  <si>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</si>
  <si>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</si>
  <si>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</si>
  <si>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</si>
  <si>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</si>
  <si>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</si>
  <si>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</si>
  <si>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</si>
  <si>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</si>
  <si>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</si>
  <si>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</si>
  <si>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</si>
  <si>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</si>
  <si>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</si>
  <si>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</si>
  <si>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</si>
  <si>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</si>
  <si>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</si>
  <si>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</si>
  <si>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</si>
  <si>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</si>
  <si>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</si>
  <si>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</si>
  <si>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</si>
  <si>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</si>
  <si>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</si>
  <si>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</si>
  <si>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</si>
  <si>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</si>
  <si>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</si>
  <si>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</si>
  <si>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</si>
  <si>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</si>
  <si>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</si>
  <si>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</si>
  <si>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</si>
  <si>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</si>
  <si>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</si>
  <si>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</si>
  <si>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</si>
  <si>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</si>
  <si>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</si>
  <si>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</si>
  <si>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</si>
  <si>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</si>
  <si>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</si>
  <si>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</si>
  <si>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</si>
  <si>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</si>
  <si>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</si>
  <si>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</si>
  <si>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</si>
  <si>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</si>
  <si>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</si>
  <si>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</si>
  <si>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</si>
  <si>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</si>
  <si>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</si>
  <si>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</si>
  <si>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</si>
  <si>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</si>
  <si>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</si>
  <si>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</si>
  <si>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</si>
  <si>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</si>
  <si>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</si>
  <si>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</si>
  <si>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</si>
  <si>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</si>
  <si>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</si>
  <si>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</si>
  <si>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</si>
  <si>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</si>
  <si>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</si>
  <si>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</si>
  <si>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</si>
  <si>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</si>
  <si>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</si>
  <si>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</si>
  <si>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</si>
  <si>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</si>
  <si>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</si>
  <si>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</si>
  <si>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</si>
  <si>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</si>
  <si>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</si>
  <si>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</si>
  <si>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</si>
  <si>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</si>
  <si>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</si>
  <si>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</si>
  <si>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</si>
  <si>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</si>
  <si>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</si>
  <si>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</si>
  <si>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</si>
  <si>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</si>
  <si>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</si>
  <si>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</si>
  <si>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</si>
  <si>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</si>
  <si>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</si>
  <si>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</si>
  <si>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</si>
  <si>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</si>
  <si>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</si>
  <si>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</si>
  <si>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</si>
  <si>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</si>
  <si>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</si>
  <si>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</si>
  <si>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</si>
  <si>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</si>
  <si>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</si>
  <si>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https://www.treasurer.ca.gov/ctcac/2022/rural-status.pdf</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</si>
  <si>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</si>
  <si>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</si>
  <si>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</si>
  <si>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</si>
  <si>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</si>
  <si>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</si>
  <si>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</si>
  <si>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</si>
  <si>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</si>
  <si>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</si>
  <si>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</si>
  <si>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</si>
  <si>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</si>
  <si>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</si>
  <si>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</si>
  <si>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</si>
  <si>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</si>
  <si>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</si>
  <si>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</si>
  <si>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</si>
  <si>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</si>
  <si>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</si>
  <si>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</si>
  <si>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</si>
  <si>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</si>
  <si>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</si>
  <si>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</si>
  <si>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</si>
  <si>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</si>
  <si>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</si>
  <si>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</si>
  <si>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</si>
  <si>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</si>
  <si>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</si>
  <si>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</si>
  <si>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</si>
  <si>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</si>
  <si>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</si>
  <si>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</si>
  <si>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</si>
  <si>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</si>
  <si>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</si>
  <si>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</si>
  <si>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</si>
  <si>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</si>
  <si>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</si>
  <si>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</si>
  <si>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</si>
  <si>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</si>
  <si>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</si>
  <si>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</si>
  <si>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</si>
  <si>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</si>
  <si>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</si>
  <si>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</si>
  <si>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</si>
  <si>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</si>
  <si>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</si>
  <si>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</si>
  <si>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</si>
  <si>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</si>
  <si>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</si>
  <si>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</si>
  <si>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</si>
  <si>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</si>
  <si>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</si>
  <si>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</si>
  <si>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</si>
  <si>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</si>
  <si>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</si>
  <si>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</si>
  <si>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</si>
  <si>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</si>
  <si>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</si>
  <si>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</si>
  <si>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</si>
  <si>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</si>
  <si>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</si>
  <si>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</si>
  <si>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</si>
  <si>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</si>
  <si>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</si>
  <si>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</si>
  <si>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</si>
  <si>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</si>
  <si>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</si>
  <si>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</si>
  <si>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</si>
  <si>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</si>
  <si>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</si>
  <si>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</si>
  <si>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</si>
  <si>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USA Multi-Family Development</t>
  </si>
  <si>
    <t>3200 Douglas Blvd., Suite 200</t>
  </si>
  <si>
    <t>Roseville, CA 95661</t>
  </si>
  <si>
    <t>Darren Bobrowsky</t>
  </si>
  <si>
    <t>Orion</t>
  </si>
  <si>
    <t>Orange 702, L.P.</t>
  </si>
  <si>
    <t>Vice President</t>
  </si>
  <si>
    <t>1800 E. La Veta</t>
  </si>
  <si>
    <t>390-322-15</t>
  </si>
  <si>
    <t>40%/60%</t>
  </si>
  <si>
    <t>City of Orange</t>
  </si>
  <si>
    <t>Tom Hatch</t>
  </si>
  <si>
    <t>300 E. Chapman Ave</t>
  </si>
  <si>
    <t>thatch@cityoforange.org</t>
  </si>
  <si>
    <t xml:space="preserve">Roseville </t>
  </si>
  <si>
    <t>CA</t>
  </si>
  <si>
    <t>dbobrowsky@usapropfund.com</t>
  </si>
  <si>
    <t>Administrative GP</t>
  </si>
  <si>
    <t>USA Properties Fund, Inc.</t>
  </si>
  <si>
    <t>Riverside Charitable Corporation</t>
  </si>
  <si>
    <t>14131 Yorba Street, Suite 204</t>
  </si>
  <si>
    <t>Tustin</t>
  </si>
  <si>
    <t>Kenneth S. Robertson</t>
  </si>
  <si>
    <t>ksr@riversidecharitable.org</t>
  </si>
  <si>
    <t>Roseville</t>
  </si>
  <si>
    <t>General Partner</t>
  </si>
  <si>
    <t>AO Architects</t>
  </si>
  <si>
    <t>144 N. orange St.</t>
  </si>
  <si>
    <t>Orange, Ca 92866</t>
  </si>
  <si>
    <t>714-639-9860</t>
  </si>
  <si>
    <t>edwardw@aoarchitects.com</t>
  </si>
  <si>
    <t>Bocarsly Emden Cowan Esmail &amp; Arndt LLP</t>
  </si>
  <si>
    <t>633 West Fifth Street, 64th Floor</t>
  </si>
  <si>
    <t>Los Angeles, CA 90071</t>
  </si>
  <si>
    <t>Kyle Arndt</t>
  </si>
  <si>
    <t>karndt@bocarsly.com</t>
  </si>
  <si>
    <t>USA Construction Management, Inc.</t>
  </si>
  <si>
    <t>Antonio Piscitello</t>
  </si>
  <si>
    <t>tpiscitello@usapropfund.com</t>
  </si>
  <si>
    <t>Not Applicable</t>
  </si>
  <si>
    <t>USA Orange 702, Inc.</t>
  </si>
  <si>
    <t>Ed Wu</t>
  </si>
  <si>
    <t>Managing GP</t>
  </si>
  <si>
    <t>Novogradac &amp; Company LLP</t>
  </si>
  <si>
    <t>1160 Battery Street, East Bldg, 4th Floor</t>
  </si>
  <si>
    <t>San Francisco, CA 94111</t>
  </si>
  <si>
    <t>Mike Morrison</t>
  </si>
  <si>
    <t>mike.morrison@novoco.com</t>
  </si>
  <si>
    <t>WNC</t>
  </si>
  <si>
    <t>17782 Sky Park Circle</t>
  </si>
  <si>
    <t>Irvine, CA  92614</t>
  </si>
  <si>
    <t>Jessica Captanis</t>
  </si>
  <si>
    <t>jcaptanis@wncinc.com</t>
  </si>
  <si>
    <t>Kinetic Valuation</t>
  </si>
  <si>
    <t>11060 Oak Street, Suite 6</t>
  </si>
  <si>
    <t>Omaha, NE 68144</t>
  </si>
  <si>
    <t>Jay Wortmann</t>
  </si>
  <si>
    <t>jay@kvgteam.com</t>
  </si>
  <si>
    <t>California Municipal Finance Agency</t>
  </si>
  <si>
    <t>2111 Palomar Airport Road, #320</t>
  </si>
  <si>
    <t>Carlsbad, CA 92011</t>
  </si>
  <si>
    <t>Anthony Stubbs</t>
  </si>
  <si>
    <t>astubbs@cmfa-ca.com</t>
  </si>
  <si>
    <t>USA Multifamily Management, Inc.</t>
  </si>
  <si>
    <t>April Atkinson</t>
  </si>
  <si>
    <t>aatkinson@usapropfund.com</t>
  </si>
  <si>
    <t>Secured by Leasehold Interest</t>
  </si>
  <si>
    <t>Other (Specify below)</t>
  </si>
  <si>
    <t xml:space="preserve"> Three (3) buildings which are 3-4-stories in height</t>
  </si>
  <si>
    <t xml:space="preserve">Medium Density Residential		</t>
  </si>
  <si>
    <t>R3- 24 DU/AC</t>
  </si>
  <si>
    <t>R3- 43 DU/AC</t>
  </si>
  <si>
    <t>32' or 2 Stories</t>
  </si>
  <si>
    <t>2.10 City/ .50 Density Bonus Law</t>
  </si>
  <si>
    <t>Citibank, N.A. - Tax Exempt Bonds</t>
  </si>
  <si>
    <t>325 E. Hillcrest, Suite 160</t>
  </si>
  <si>
    <t>Thousand Oaks</t>
  </si>
  <si>
    <t>Mike Hemmens</t>
  </si>
  <si>
    <t>(805) 557-0933</t>
  </si>
  <si>
    <t>Tax-Exempt Bonds</t>
  </si>
  <si>
    <t>Citibank, N.A.</t>
  </si>
  <si>
    <t>Permanent Loan</t>
  </si>
  <si>
    <t>Orange County Community Resources</t>
  </si>
  <si>
    <t>Air Conditioning</t>
  </si>
  <si>
    <t>USA Multi-Family Development, Inc.</t>
  </si>
  <si>
    <t>Compliance</t>
  </si>
  <si>
    <t>Tenant Relations</t>
  </si>
  <si>
    <t>Business License and Permits</t>
  </si>
  <si>
    <t>Ground Lease Payment</t>
  </si>
  <si>
    <t>Deferred Fees</t>
  </si>
  <si>
    <t>WNC - Tax Credit Equity</t>
  </si>
  <si>
    <t>NOI During Construction</t>
  </si>
  <si>
    <t>I/O</t>
  </si>
  <si>
    <t>Variable</t>
  </si>
  <si>
    <t>Geoffrey C. Brown</t>
  </si>
  <si>
    <t>14131 Yorba St.</t>
  </si>
  <si>
    <t xml:space="preserve">Loan </t>
  </si>
  <si>
    <t>Loan</t>
  </si>
  <si>
    <t>Irvine</t>
  </si>
  <si>
    <t>(949) 439-2616</t>
  </si>
  <si>
    <t>Tax Credit Equity</t>
  </si>
  <si>
    <t>Income during construction</t>
  </si>
  <si>
    <t>NOI during construction</t>
  </si>
  <si>
    <t>Other: Interest prior to conversion</t>
  </si>
  <si>
    <t>Other: Development Expense</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</si>
  <si>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</si>
  <si>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</si>
  <si>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</si>
  <si>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</si>
  <si>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</si>
  <si>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</si>
  <si>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</si>
  <si>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</si>
  <si>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</si>
  <si>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</si>
  <si>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</si>
  <si>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</si>
  <si>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</si>
  <si>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</si>
  <si>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</si>
  <si>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</si>
  <si>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</si>
  <si>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</si>
  <si>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</si>
  <si>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</si>
  <si>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</si>
  <si>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</si>
  <si>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</si>
  <si>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</si>
  <si>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</si>
  <si>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</si>
  <si>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</si>
  <si>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</si>
  <si>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</si>
  <si>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</si>
  <si>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</si>
  <si>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</si>
  <si>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</si>
  <si>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</si>
  <si>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</si>
  <si>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</si>
  <si>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</si>
  <si>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</si>
  <si>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</si>
  <si>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</si>
  <si>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</si>
  <si>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</si>
  <si>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</si>
  <si>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</si>
  <si>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</si>
  <si>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</si>
  <si>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</si>
  <si>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</si>
  <si>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</si>
  <si>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</si>
  <si>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</si>
  <si>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</si>
  <si>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</si>
  <si>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</si>
  <si>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</si>
  <si>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July 21, 2022 Version</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</si>
  <si>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</si>
  <si>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</si>
  <si>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</si>
  <si>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</si>
  <si>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</si>
  <si>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</si>
  <si>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(CCTCAC Regulations).</t>
  </si>
  <si>
    <t xml:space="preserve">15 YEAR PROJECT CASH FLOW PROJECTIONS - Refer to CTCAC Regulation Sections 10322(h)(22), 10325(f)(5), 10326(g)(4), 10327(f) and (g). </t>
  </si>
  <si>
    <t>CCTCAC App/Allocation/Monitoring Fees</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</si>
  <si>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</si>
  <si>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</si>
  <si>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</si>
  <si>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</si>
  <si>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</si>
  <si>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</si>
  <si>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</si>
  <si>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</si>
  <si>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</si>
  <si>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</si>
  <si>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</si>
  <si>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</si>
  <si>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</si>
  <si>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</si>
  <si>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</si>
  <si>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</si>
  <si>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</si>
  <si>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</si>
  <si>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</si>
  <si>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</si>
  <si>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</si>
  <si>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</si>
  <si>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</si>
  <si>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</si>
  <si>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</si>
  <si>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</si>
  <si>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</si>
  <si>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</si>
  <si>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</si>
  <si>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</si>
  <si>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</si>
  <si>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</si>
  <si>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$500M</t>
  </si>
  <si>
    <t>Riverside Chariable Corporation</t>
  </si>
  <si>
    <t>Lease Payments during Const</t>
  </si>
  <si>
    <t>Subordinated PM Fee</t>
  </si>
  <si>
    <t>USA Orange 702, Inc. (is a wholly-owned subsidiary of USA Properties Fund, Inc.)</t>
  </si>
  <si>
    <t>Tax Exempt Recycled Bonds</t>
  </si>
  <si>
    <t>Provided</t>
  </si>
  <si>
    <t>Citibank, N.A. - Recycled Tax Exempt Bonds</t>
  </si>
  <si>
    <t>Tax Exempt Recyled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</si>
</sst>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4244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1"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2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5" borderId="3" xfId="569" applyFill="1"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13" fillId="0" borderId="0" xfId="543" applyFont="1" applyBorder="1" applyAlignment="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44" fontId="13" fillId="0" borderId="4" xfId="707" applyFont="1" applyFill="1" applyBorder="1" applyAlignment="1" applyProtection="1">
      <alignment horizontal="left" vertical="top" wrapText="1"/>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3" fillId="0" borderId="58" xfId="0" applyFont="1" applyBorder="1" applyAlignment="1">
      <alignment horizontal="left"/>
    </xf>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0" fontId="13" fillId="0" borderId="0" xfId="0" applyFont="1" applyFill="1" applyBorder="1" applyAlignment="1">
      <alignment vertical="top"/>
    </xf>
    <xf numFmtId="0" fontId="13" fillId="0" borderId="0" xfId="0" applyFont="1" applyFill="1" applyBorder="1" applyAlignment="1">
      <alignment vertical="center"/>
    </xf>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5"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19"/>
    <xf numFmtId="0" fontId="100" fillId="0" borderId="0" xfId="8719" applyFont="1"/>
    <xf numFmtId="0" fontId="3" fillId="48" borderId="67" xfId="8719" applyFill="1" applyBorder="1"/>
    <xf numFmtId="0" fontId="3" fillId="48" borderId="0" xfId="8719" applyFill="1"/>
    <xf numFmtId="0" fontId="99" fillId="48" borderId="41" xfId="8719" applyFont="1" applyFill="1" applyBorder="1" applyAlignment="1">
      <alignment horizontal="center"/>
    </xf>
    <xf numFmtId="0" fontId="99" fillId="48" borderId="0" xfId="8719" applyFont="1" applyFill="1"/>
    <xf numFmtId="182" fontId="0" fillId="48" borderId="0" xfId="8720" applyNumberFormat="1" applyFont="1" applyFill="1" applyBorder="1" applyAlignment="1"/>
    <xf numFmtId="182" fontId="100" fillId="48" borderId="0" xfId="8720" applyNumberFormat="1" applyFont="1" applyFill="1" applyBorder="1" applyAlignment="1"/>
    <xf numFmtId="182" fontId="147" fillId="48" borderId="0" xfId="8720" applyNumberFormat="1" applyFont="1" applyFill="1" applyBorder="1" applyAlignment="1"/>
    <xf numFmtId="0" fontId="3" fillId="48" borderId="41" xfId="8719" applyFill="1" applyBorder="1"/>
    <xf numFmtId="0" fontId="100" fillId="48" borderId="0" xfId="8719" applyFont="1" applyFill="1"/>
    <xf numFmtId="0" fontId="153" fillId="48" borderId="0" xfId="8719" applyFont="1" applyFill="1"/>
    <xf numFmtId="0" fontId="99" fillId="48" borderId="41" xfId="8719" applyFont="1" applyFill="1" applyBorder="1"/>
    <xf numFmtId="0" fontId="99" fillId="0" borderId="0" xfId="8719" applyFont="1"/>
    <xf numFmtId="0" fontId="99" fillId="44" borderId="0" xfId="8719" applyFont="1" applyFill="1"/>
    <xf numFmtId="0" fontId="3" fillId="44" borderId="0" xfId="8719" applyFill="1"/>
    <xf numFmtId="0" fontId="155" fillId="48" borderId="0" xfId="8719" applyFont="1" applyFill="1"/>
    <xf numFmtId="0" fontId="3" fillId="47" borderId="66" xfId="8719" applyFill="1" applyBorder="1"/>
    <xf numFmtId="0" fontId="3" fillId="47" borderId="29" xfId="8719" applyFill="1" applyBorder="1"/>
    <xf numFmtId="0" fontId="3" fillId="47" borderId="31" xfId="8719" applyFill="1" applyBorder="1"/>
    <xf numFmtId="0" fontId="3" fillId="47" borderId="67" xfId="8719" applyFill="1" applyBorder="1"/>
    <xf numFmtId="0" fontId="3" fillId="47" borderId="0" xfId="8719" applyFill="1"/>
    <xf numFmtId="0" fontId="3" fillId="47" borderId="41" xfId="8719" applyFill="1" applyBorder="1"/>
    <xf numFmtId="0" fontId="3" fillId="47" borderId="88" xfId="8719" applyFill="1" applyBorder="1"/>
    <xf numFmtId="0" fontId="3" fillId="47" borderId="42" xfId="8719" applyFill="1" applyBorder="1"/>
    <xf numFmtId="0" fontId="3" fillId="47" borderId="44" xfId="8719" applyFill="1" applyBorder="1"/>
    <xf numFmtId="0" fontId="144" fillId="47" borderId="4" xfId="8719" applyFont="1" applyFill="1" applyBorder="1" applyAlignment="1">
      <alignment horizontal="center"/>
    </xf>
    <xf numFmtId="0" fontId="144" fillId="47" borderId="81" xfId="8719" applyFont="1" applyFill="1" applyBorder="1" applyAlignment="1">
      <alignment horizontal="center"/>
    </xf>
    <xf numFmtId="0" fontId="99" fillId="48" borderId="67" xfId="8719" applyFont="1" applyFill="1" applyBorder="1"/>
    <xf numFmtId="49" fontId="99" fillId="48" borderId="67" xfId="8719" applyNumberFormat="1" applyFont="1" applyFill="1" applyBorder="1" applyAlignment="1">
      <alignment horizontal="right" vertical="top"/>
    </xf>
    <xf numFmtId="0" fontId="3" fillId="48" borderId="0" xfId="8719" applyFill="1" applyAlignment="1">
      <alignment vertical="top" wrapText="1"/>
    </xf>
    <xf numFmtId="0" fontId="3" fillId="48" borderId="88" xfId="8719" applyFill="1" applyBorder="1"/>
    <xf numFmtId="0" fontId="3" fillId="48" borderId="42" xfId="8719" applyFill="1" applyBorder="1"/>
    <xf numFmtId="0" fontId="3" fillId="48" borderId="44" xfId="8719" applyFill="1" applyBorder="1"/>
    <xf numFmtId="0" fontId="3" fillId="44" borderId="67" xfId="8719" applyFill="1" applyBorder="1"/>
    <xf numFmtId="0" fontId="3" fillId="44" borderId="41" xfId="8719" applyFill="1" applyBorder="1"/>
    <xf numFmtId="0" fontId="3" fillId="44" borderId="0" xfId="8719" applyFill="1" applyAlignment="1">
      <alignment horizontal="left"/>
    </xf>
    <xf numFmtId="0" fontId="3" fillId="44" borderId="88" xfId="8719" applyFill="1" applyBorder="1"/>
    <xf numFmtId="0" fontId="3" fillId="44" borderId="42" xfId="8719" applyFill="1" applyBorder="1"/>
    <xf numFmtId="0" fontId="3" fillId="44" borderId="44" xfId="8719" applyFill="1" applyBorder="1"/>
    <xf numFmtId="0" fontId="158" fillId="0" borderId="0" xfId="8719" applyFont="1"/>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13" fillId="5" borderId="0" xfId="569" applyFill="1" applyBorder="1" applyAlignment="1" applyProtection="1">
      <protection locked="0"/>
    </xf>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168" fontId="22" fillId="0" borderId="0" xfId="0" applyNumberFormat="1" applyFont="1" applyFill="1" applyBorder="1" applyAlignment="1" applyProtection="1"/>
    <xf numFmtId="0" fontId="50" fillId="5" borderId="11" xfId="0" applyFont="1" applyFill="1" applyBorder="1" applyAlignment="1" applyProtection="1">
      <alignment horizontal="right" vertical="top" wrapText="1"/>
      <protection locked="0"/>
    </xf>
    <xf numFmtId="44" fontId="13" fillId="0" borderId="0" xfId="707" applyFont="1" applyFill="1" applyBorder="1" applyAlignment="1" applyProtection="1">
      <alignment horizontal="left" vertical="top" wrapText="1"/>
    </xf>
    <xf numFmtId="172" fontId="13" fillId="0" borderId="8" xfId="543" applyNumberFormat="1" applyBorder="1"/>
    <xf numFmtId="172" fontId="13" fillId="0" borderId="0" xfId="543" applyNumberFormat="1"/>
    <xf numFmtId="0" fontId="13" fillId="0" borderId="0" xfId="543"/>
    <xf numFmtId="0" fontId="13" fillId="0" borderId="8" xfId="29797" applyBorder="1"/>
    <xf numFmtId="0" fontId="13" fillId="0" borderId="0" xfId="29797"/>
    <xf numFmtId="0" fontId="19" fillId="0" borderId="0" xfId="29797" applyFont="1" applyAlignment="1">
      <alignment horizontal="center" vertical="center"/>
    </xf>
    <xf numFmtId="0" fontId="20" fillId="0" borderId="0" xfId="29797" applyFont="1" applyAlignment="1">
      <alignment horizontal="left"/>
    </xf>
    <xf numFmtId="0" fontId="20" fillId="0" borderId="0" xfId="29797" applyFont="1"/>
    <xf numFmtId="0" fontId="23" fillId="0" borderId="0" xfId="29797" applyFont="1" applyAlignment="1">
      <alignment horizontal="center" vertical="center"/>
    </xf>
    <xf numFmtId="0" fontId="23" fillId="0" borderId="27" xfId="29797" applyFont="1" applyBorder="1" applyAlignment="1">
      <alignment horizontal="center" vertical="center"/>
    </xf>
    <xf numFmtId="0" fontId="23" fillId="0" borderId="46" xfId="29797" applyFont="1" applyBorder="1" applyAlignment="1">
      <alignment horizontal="center" vertical="center"/>
    </xf>
    <xf numFmtId="0" fontId="20" fillId="0" borderId="0" xfId="29797" applyFont="1" applyAlignment="1">
      <alignment horizontal="right"/>
    </xf>
    <xf numFmtId="0" fontId="31" fillId="0" borderId="0" xfId="29797" applyFont="1" applyAlignment="1">
      <alignment vertical="center"/>
    </xf>
    <xf numFmtId="0" fontId="13" fillId="0" borderId="0" xfId="1192" applyAlignment="1">
      <alignment horizontal="left"/>
    </xf>
    <xf numFmtId="0" fontId="13" fillId="0" borderId="0" xfId="1192" quotePrefix="1" applyAlignment="1">
      <alignment horizontal="center"/>
    </xf>
    <xf numFmtId="0" fontId="43" fillId="0" borderId="0" xfId="29797" applyFont="1" applyAlignment="1">
      <alignment horizontal="left" vertical="center"/>
    </xf>
    <xf numFmtId="49" fontId="21" fillId="0" borderId="0" xfId="29797" applyNumberFormat="1" applyFont="1" applyAlignment="1">
      <alignment horizontal="left" vertical="top"/>
    </xf>
    <xf numFmtId="0" fontId="13" fillId="0" borderId="47" xfId="29797" applyBorder="1" applyAlignment="1">
      <alignment horizontal="left" vertical="center"/>
    </xf>
    <xf numFmtId="0" fontId="23" fillId="0" borderId="48" xfId="29797" applyFont="1" applyBorder="1" applyAlignment="1">
      <alignment horizontal="center" vertical="center"/>
    </xf>
    <xf numFmtId="0" fontId="21" fillId="0" borderId="0" xfId="29797" applyFont="1"/>
    <xf numFmtId="0" fontId="21" fillId="0" borderId="0" xfId="29797" applyFont="1" applyAlignment="1">
      <alignment horizontal="left" vertical="top"/>
    </xf>
    <xf numFmtId="0" fontId="120" fillId="0" borderId="53" xfId="42443" applyFont="1" applyBorder="1" applyAlignment="1">
      <alignment horizontal="left" vertical="top"/>
    </xf>
    <xf numFmtId="0" fontId="119" fillId="0" borderId="0" xfId="42443" applyFont="1" applyAlignment="1">
      <alignment horizontal="left" vertical="top" wrapText="1"/>
    </xf>
    <xf numFmtId="0" fontId="119" fillId="0" borderId="54" xfId="42443" applyFont="1" applyBorder="1" applyAlignment="1">
      <alignment horizontal="left" vertical="top" wrapText="1"/>
    </xf>
    <xf numFmtId="0" fontId="31" fillId="0" borderId="0" xfId="29797" applyFont="1" applyAlignment="1">
      <alignment horizontal="left" vertical="center"/>
    </xf>
    <xf numFmtId="0" fontId="13" fillId="0" borderId="58" xfId="29797" applyBorder="1" applyAlignment="1">
      <alignment vertical="center" wrapText="1"/>
    </xf>
    <xf numFmtId="0" fontId="119" fillId="0" borderId="0" xfId="42443" applyFont="1" applyAlignment="1">
      <alignment vertical="center" wrapText="1"/>
    </xf>
    <xf numFmtId="0" fontId="121" fillId="0" borderId="0" xfId="42443" applyFont="1" applyAlignment="1">
      <alignment vertical="center"/>
    </xf>
    <xf numFmtId="0" fontId="119" fillId="0" borderId="0" xfId="42443" applyFont="1"/>
    <xf numFmtId="0" fontId="119" fillId="0" borderId="0" xfId="42443" applyFont="1" applyAlignment="1">
      <alignment vertical="center"/>
    </xf>
    <xf numFmtId="0" fontId="122" fillId="0" borderId="0" xfId="42443" applyFont="1" applyAlignment="1">
      <alignment vertical="center"/>
    </xf>
    <xf numFmtId="0" fontId="13" fillId="0" borderId="0" xfId="42443" applyFont="1" applyAlignment="1">
      <alignment vertical="center"/>
    </xf>
    <xf numFmtId="0" fontId="21" fillId="0" borderId="3" xfId="29797" applyFont="1" applyBorder="1" applyAlignment="1">
      <alignment vertical="top" wrapText="1"/>
    </xf>
    <xf numFmtId="0" fontId="21" fillId="0" borderId="4" xfId="29797" applyFont="1" applyBorder="1" applyAlignment="1">
      <alignment vertical="top" wrapText="1"/>
    </xf>
    <xf numFmtId="164" fontId="13" fillId="0" borderId="4" xfId="29797" applyNumberFormat="1" applyBorder="1" applyAlignment="1">
      <alignment horizontal="right"/>
    </xf>
    <xf numFmtId="0" fontId="21" fillId="0" borderId="4" xfId="29797" applyFont="1" applyBorder="1"/>
    <xf numFmtId="0" fontId="20" fillId="0" borderId="5" xfId="29797" applyFont="1" applyBorder="1" applyAlignment="1">
      <alignment horizontal="right"/>
    </xf>
    <xf numFmtId="0" fontId="13" fillId="0" borderId="16" xfId="29797" applyBorder="1"/>
    <xf numFmtId="0" fontId="13" fillId="0" borderId="16" xfId="29797" applyBorder="1" applyAlignment="1">
      <alignment horizontal="left" vertical="top"/>
    </xf>
    <xf numFmtId="0" fontId="21" fillId="0" borderId="16" xfId="29797" applyFont="1" applyBorder="1" applyAlignment="1">
      <alignment horizontal="left" vertical="top" wrapText="1"/>
    </xf>
    <xf numFmtId="0" fontId="21" fillId="0" borderId="45" xfId="29797" applyFont="1" applyBorder="1" applyAlignment="1">
      <alignment horizontal="left" vertical="top" wrapText="1"/>
    </xf>
    <xf numFmtId="0" fontId="21" fillId="0" borderId="0" xfId="29797" applyFont="1" applyAlignment="1">
      <alignment horizontal="left" vertical="top" wrapText="1"/>
    </xf>
    <xf numFmtId="0" fontId="21" fillId="0" borderId="0" xfId="29797" applyFont="1" applyAlignment="1">
      <alignment horizontal="right" vertical="top"/>
    </xf>
    <xf numFmtId="0" fontId="13" fillId="0" borderId="50" xfId="29797" applyBorder="1" applyAlignment="1">
      <alignment vertical="center"/>
    </xf>
    <xf numFmtId="0" fontId="13" fillId="0" borderId="51" xfId="29797" applyBorder="1" applyAlignment="1">
      <alignment vertical="center"/>
    </xf>
    <xf numFmtId="0" fontId="13" fillId="0" borderId="52" xfId="29797" applyBorder="1" applyAlignment="1">
      <alignment vertical="center"/>
    </xf>
    <xf numFmtId="0" fontId="13" fillId="0" borderId="0" xfId="29797" applyAlignment="1">
      <alignment vertical="center" wrapText="1"/>
    </xf>
    <xf numFmtId="0" fontId="13" fillId="0" borderId="0" xfId="29797" applyAlignment="1">
      <alignment horizontal="left" vertical="center" wrapText="1"/>
    </xf>
    <xf numFmtId="0" fontId="13" fillId="0" borderId="54" xfId="29797" applyBorder="1" applyAlignment="1">
      <alignment vertical="center" wrapText="1"/>
    </xf>
    <xf numFmtId="0" fontId="13" fillId="0" borderId="53" xfId="29797" applyBorder="1" applyAlignment="1">
      <alignment vertical="center" wrapText="1"/>
    </xf>
    <xf numFmtId="0" fontId="13" fillId="0" borderId="59" xfId="29797" applyBorder="1" applyAlignment="1">
      <alignment vertical="center" wrapText="1"/>
    </xf>
    <xf numFmtId="0" fontId="119" fillId="0" borderId="53" xfId="42443" applyFont="1" applyBorder="1" applyAlignment="1">
      <alignment vertical="top" wrapText="1"/>
    </xf>
    <xf numFmtId="0" fontId="119" fillId="0" borderId="0" xfId="42443" applyFont="1" applyAlignment="1">
      <alignment vertical="top" wrapText="1"/>
    </xf>
    <xf numFmtId="10" fontId="119" fillId="0" borderId="0" xfId="42443" applyNumberFormat="1" applyFont="1" applyAlignment="1">
      <alignment vertical="top" wrapText="1"/>
    </xf>
    <xf numFmtId="0" fontId="119" fillId="0" borderId="54" xfId="42443" applyFont="1" applyBorder="1" applyAlignment="1">
      <alignment vertical="top" wrapText="1"/>
    </xf>
    <xf numFmtId="0" fontId="119" fillId="0" borderId="0" xfId="42443" applyFont="1" applyAlignment="1">
      <alignment vertical="top"/>
    </xf>
    <xf numFmtId="165" fontId="119" fillId="0" borderId="0" xfId="42443" applyNumberFormat="1" applyFont="1" applyAlignment="1">
      <alignment vertical="top" wrapText="1"/>
    </xf>
    <xf numFmtId="0" fontId="20" fillId="0" borderId="57" xfId="29797" applyFont="1" applyBorder="1"/>
    <xf numFmtId="0" fontId="20" fillId="0" borderId="58" xfId="29797" applyFont="1" applyBorder="1"/>
    <xf numFmtId="0" fontId="20" fillId="0" borderId="58" xfId="29797" applyFont="1" applyBorder="1" applyAlignment="1">
      <alignment horizontal="right"/>
    </xf>
    <xf numFmtId="0" fontId="20" fillId="0" borderId="59" xfId="29797" applyFont="1" applyBorder="1" applyAlignment="1">
      <alignment horizontal="right"/>
    </xf>
    <xf numFmtId="0" fontId="119" fillId="0" borderId="53" xfId="42443" applyFont="1" applyBorder="1" applyAlignment="1">
      <alignment horizontal="left" vertical="top" wrapText="1"/>
    </xf>
    <xf numFmtId="9" fontId="13" fillId="0" borderId="0" xfId="29797" applyNumberFormat="1"/>
    <xf numFmtId="0" fontId="119" fillId="0" borderId="0" xfId="42443" applyFont="1" applyAlignment="1">
      <alignment horizontal="left" vertical="top"/>
    </xf>
    <xf numFmtId="0" fontId="13" fillId="0" borderId="0" xfId="29797" applyAlignment="1">
      <alignment horizontal="center"/>
    </xf>
    <xf numFmtId="165" fontId="13" fillId="0" borderId="0" xfId="29797" applyNumberFormat="1"/>
    <xf numFmtId="172" fontId="13" fillId="0" borderId="0" xfId="29797" applyNumberFormat="1"/>
    <xf numFmtId="165" fontId="119" fillId="0" borderId="65" xfId="42443" applyNumberFormat="1" applyFont="1" applyBorder="1" applyAlignment="1">
      <alignment horizontal="center" vertical="top" wrapText="1"/>
    </xf>
    <xf numFmtId="165" fontId="119" fillId="0" borderId="0" xfId="42443" applyNumberFormat="1" applyFont="1" applyAlignment="1">
      <alignment horizontal="center" vertical="top" wrapText="1"/>
    </xf>
    <xf numFmtId="165" fontId="119" fillId="0" borderId="53" xfId="42443" applyNumberFormat="1" applyFont="1" applyBorder="1" applyAlignment="1">
      <alignment horizontal="left" vertical="top"/>
    </xf>
    <xf numFmtId="168" fontId="119" fillId="0" borderId="0" xfId="42443" applyNumberFormat="1" applyFont="1" applyAlignment="1">
      <alignment vertical="top" wrapText="1"/>
    </xf>
    <xf numFmtId="0" fontId="119" fillId="0" borderId="0" xfId="29797" applyFont="1"/>
    <xf numFmtId="168" fontId="119" fillId="0" borderId="0" xfId="42443" applyNumberFormat="1" applyFont="1" applyAlignment="1">
      <alignment vertical="top"/>
    </xf>
    <xf numFmtId="10" fontId="119" fillId="0" borderId="0" xfId="29797" applyNumberFormat="1" applyFont="1"/>
    <xf numFmtId="165" fontId="119" fillId="0" borderId="53" xfId="42443" applyNumberFormat="1" applyFont="1" applyBorder="1" applyAlignment="1">
      <alignment horizontal="center" vertical="top" wrapText="1"/>
    </xf>
    <xf numFmtId="10" fontId="119" fillId="0" borderId="65" xfId="42443" applyNumberFormat="1" applyFont="1" applyBorder="1" applyAlignment="1">
      <alignment horizontal="center" vertical="top" wrapText="1"/>
    </xf>
    <xf numFmtId="10" fontId="119" fillId="0" borderId="0" xfId="42443" applyNumberFormat="1" applyFont="1" applyAlignment="1">
      <alignment horizontal="center" vertical="top" wrapText="1"/>
    </xf>
    <xf numFmtId="10" fontId="119" fillId="0" borderId="53" xfId="42443" applyNumberFormat="1" applyFont="1" applyBorder="1" applyAlignment="1">
      <alignment horizontal="left" vertical="top"/>
    </xf>
    <xf numFmtId="1" fontId="119" fillId="0" borderId="0" xfId="42443" applyNumberFormat="1" applyFont="1" applyAlignment="1">
      <alignment vertical="top" wrapText="1"/>
    </xf>
    <xf numFmtId="0" fontId="23" fillId="0" borderId="57" xfId="29797" applyFont="1" applyBorder="1" applyAlignment="1">
      <alignment horizontal="center" vertical="center"/>
    </xf>
    <xf numFmtId="0" fontId="23" fillId="0" borderId="58" xfId="29797" applyFont="1" applyBorder="1" applyAlignment="1">
      <alignment horizontal="center" vertical="center"/>
    </xf>
    <xf numFmtId="0" fontId="23" fillId="0" borderId="59" xfId="29797" applyFont="1" applyBorder="1" applyAlignment="1">
      <alignment horizontal="center" vertical="center"/>
    </xf>
    <xf numFmtId="10" fontId="13" fillId="0" borderId="0" xfId="29797" applyNumberFormat="1"/>
    <xf numFmtId="0" fontId="20" fillId="0" borderId="0" xfId="29797" applyFont="1" applyAlignment="1">
      <alignment horizontal="center"/>
    </xf>
    <xf numFmtId="0" fontId="20" fillId="0" borderId="8" xfId="29797" applyFont="1" applyBorder="1"/>
    <xf numFmtId="0" fontId="13" fillId="0" borderId="0" xfId="29797" applyAlignment="1">
      <alignment horizontal="left"/>
    </xf>
    <xf numFmtId="0" fontId="20" fillId="0" borderId="0" xfId="29797" applyFont="1" applyAlignment="1">
      <alignment horizontal="center" vertical="top"/>
    </xf>
    <xf numFmtId="0" fontId="13" fillId="0" borderId="0" xfId="1192" applyAlignment="1">
      <alignment horizontal="center"/>
    </xf>
    <xf numFmtId="0" fontId="13" fillId="0" borderId="3" xfId="29797" applyBorder="1"/>
    <xf numFmtId="0" fontId="13" fillId="0" borderId="4" xfId="29797" applyBorder="1"/>
    <xf numFmtId="0" fontId="50" fillId="0" borderId="8" xfId="29797" applyFont="1" applyBorder="1"/>
    <xf numFmtId="0" fontId="13" fillId="0" borderId="0" xfId="29797" applyAlignment="1">
      <alignment vertical="top" wrapText="1"/>
    </xf>
    <xf numFmtId="0" fontId="21" fillId="0" borderId="0" xfId="29797" applyFont="1" applyAlignment="1">
      <alignment vertical="top" wrapText="1"/>
    </xf>
    <xf numFmtId="0" fontId="21" fillId="0" borderId="8" xfId="29797" applyFont="1" applyBorder="1"/>
    <xf numFmtId="1" fontId="13" fillId="0" borderId="0" xfId="1192" applyNumberFormat="1"/>
    <xf numFmtId="0" fontId="13" fillId="0" borderId="0" xfId="1192" applyAlignment="1">
      <alignment wrapText="1"/>
    </xf>
    <xf numFmtId="0" fontId="21" fillId="0" borderId="0" xfId="1192" applyFont="1"/>
    <xf numFmtId="0" fontId="21" fillId="0" borderId="3" xfId="29797" applyFont="1" applyBorder="1"/>
    <xf numFmtId="0" fontId="13" fillId="0" borderId="4" xfId="29797" applyBorder="1" applyAlignment="1">
      <alignment horizontal="right"/>
    </xf>
    <xf numFmtId="1" fontId="13" fillId="0" borderId="0" xfId="29797" applyNumberFormat="1" applyAlignment="1">
      <alignment horizontal="center"/>
    </xf>
    <xf numFmtId="0" fontId="50" fillId="0" borderId="0" xfId="29797" applyFont="1"/>
    <xf numFmtId="0" fontId="13" fillId="0" borderId="0" xfId="29797" applyAlignment="1">
      <alignment horizontal="right"/>
    </xf>
    <xf numFmtId="0" fontId="21" fillId="0" borderId="0" xfId="29797" applyFont="1" applyAlignment="1">
      <alignment vertical="top"/>
    </xf>
    <xf numFmtId="0" fontId="21" fillId="0" borderId="27" xfId="29797" applyFont="1" applyBorder="1"/>
    <xf numFmtId="0" fontId="20" fillId="0" borderId="0" xfId="29797" applyFont="1" applyAlignment="1">
      <alignment vertical="top"/>
    </xf>
    <xf numFmtId="0" fontId="31" fillId="0" borderId="0" xfId="29797" applyFont="1" applyAlignment="1">
      <alignment vertical="top" wrapText="1"/>
    </xf>
    <xf numFmtId="0" fontId="20" fillId="0" borderId="0" xfId="29797" applyFont="1" applyAlignment="1">
      <alignment horizontal="left" vertical="top" wrapText="1"/>
    </xf>
    <xf numFmtId="0" fontId="13" fillId="0" borderId="0" xfId="29797" applyAlignment="1">
      <alignment horizontal="left" vertical="top"/>
    </xf>
    <xf numFmtId="0" fontId="31" fillId="0" borderId="0" xfId="29797" applyFont="1" applyAlignment="1">
      <alignment vertical="top"/>
    </xf>
    <xf numFmtId="0" fontId="13" fillId="0" borderId="10" xfId="29797" applyBorder="1" applyAlignment="1">
      <alignment horizontal="center"/>
    </xf>
    <xf numFmtId="0" fontId="13" fillId="0" borderId="16" xfId="29797" applyBorder="1" applyAlignment="1">
      <alignment horizontal="center"/>
    </xf>
    <xf numFmtId="0" fontId="29" fillId="0" borderId="16" xfId="29797" applyFont="1" applyBorder="1"/>
    <xf numFmtId="0" fontId="21" fillId="0" borderId="16" xfId="29797" applyFont="1" applyBorder="1"/>
    <xf numFmtId="0" fontId="20" fillId="0" borderId="0" xfId="1192" applyFont="1"/>
    <xf numFmtId="0" fontId="13" fillId="0" borderId="0" xfId="29797" applyAlignment="1">
      <alignment vertical="top"/>
    </xf>
    <xf numFmtId="0" fontId="43" fillId="0" borderId="0" xfId="29797" applyFont="1" applyAlignment="1">
      <alignment vertical="top" wrapText="1"/>
    </xf>
    <xf numFmtId="0" fontId="13" fillId="0" borderId="0" xfId="29797" applyAlignment="1">
      <alignment horizontal="left" vertical="top" wrapText="1"/>
    </xf>
    <xf numFmtId="0" fontId="43" fillId="0" borderId="0" xfId="1192" applyFont="1"/>
    <xf numFmtId="168" fontId="13" fillId="0" borderId="0" xfId="29797" applyNumberFormat="1"/>
    <xf numFmtId="0" fontId="20" fillId="0" borderId="0" xfId="1192" applyFont="1" applyAlignment="1">
      <alignment horizontal="right"/>
    </xf>
    <xf numFmtId="0" fontId="20" fillId="0" borderId="0" xfId="1192" applyFont="1" applyAlignment="1">
      <alignment horizontal="left"/>
    </xf>
    <xf numFmtId="0" fontId="13" fillId="0" borderId="53" xfId="29797" applyBorder="1" applyAlignment="1">
      <alignment horizontal="left"/>
    </xf>
    <xf numFmtId="0" fontId="138" fillId="0" borderId="50" xfId="1192" applyFont="1" applyBorder="1" applyAlignment="1">
      <alignment horizontal="left"/>
    </xf>
    <xf numFmtId="0" fontId="139" fillId="0" borderId="51" xfId="29797" applyFont="1" applyBorder="1" applyAlignment="1">
      <alignment vertical="top"/>
    </xf>
    <xf numFmtId="0" fontId="138" fillId="0" borderId="51" xfId="29797" applyFont="1" applyBorder="1" applyAlignment="1">
      <alignment vertical="top" wrapText="1"/>
    </xf>
    <xf numFmtId="0" fontId="139" fillId="0" borderId="51" xfId="29797" applyFont="1" applyBorder="1"/>
    <xf numFmtId="0" fontId="13" fillId="0" borderId="51" xfId="29797" applyBorder="1"/>
    <xf numFmtId="0" fontId="13" fillId="0" borderId="51" xfId="29797" applyBorder="1" applyAlignment="1">
      <alignment horizontal="left" vertical="top" wrapText="1"/>
    </xf>
    <xf numFmtId="0" fontId="13" fillId="0" borderId="51" xfId="29797" applyBorder="1" applyAlignment="1">
      <alignment horizontal="right"/>
    </xf>
    <xf numFmtId="0" fontId="13" fillId="0" borderId="52" xfId="29797" applyBorder="1" applyAlignment="1">
      <alignment horizontal="right"/>
    </xf>
    <xf numFmtId="0" fontId="139" fillId="0" borderId="53" xfId="1192" applyFont="1" applyBorder="1" applyAlignment="1">
      <alignment horizontal="left"/>
    </xf>
    <xf numFmtId="0" fontId="139" fillId="0" borderId="0" xfId="29797" applyFont="1" applyAlignment="1">
      <alignment vertical="top"/>
    </xf>
    <xf numFmtId="0" fontId="138" fillId="0" borderId="0" xfId="29797" applyFont="1" applyAlignment="1">
      <alignment vertical="top" wrapText="1"/>
    </xf>
    <xf numFmtId="0" fontId="139" fillId="0" borderId="0" xfId="29797" applyFont="1"/>
    <xf numFmtId="0" fontId="13" fillId="0" borderId="54" xfId="29797" applyBorder="1" applyAlignment="1">
      <alignment horizontal="right"/>
    </xf>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29797" applyFont="1" applyBorder="1" applyAlignment="1">
      <alignment vertical="top"/>
    </xf>
    <xf numFmtId="0" fontId="138" fillId="0" borderId="58" xfId="29797" applyFont="1" applyBorder="1" applyAlignment="1">
      <alignment vertical="top" wrapText="1"/>
    </xf>
    <xf numFmtId="0" fontId="139" fillId="0" borderId="58" xfId="29797" applyFont="1" applyBorder="1"/>
    <xf numFmtId="0" fontId="13" fillId="0" borderId="58" xfId="29797" applyBorder="1"/>
    <xf numFmtId="0" fontId="13" fillId="0" borderId="58" xfId="29797" applyBorder="1" applyAlignment="1">
      <alignment horizontal="left" vertical="top" wrapText="1"/>
    </xf>
    <xf numFmtId="0" fontId="13" fillId="0" borderId="58" xfId="29797" applyBorder="1" applyAlignment="1">
      <alignment horizontal="right"/>
    </xf>
    <xf numFmtId="0" fontId="13" fillId="0" borderId="59" xfId="29797" applyBorder="1" applyAlignment="1">
      <alignment horizontal="right"/>
    </xf>
    <xf numFmtId="0" fontId="115" fillId="0" borderId="0" xfId="1192" applyFont="1" applyAlignment="1">
      <alignment horizontal="left"/>
    </xf>
    <xf numFmtId="0" fontId="112" fillId="0" borderId="0" xfId="1192" applyFont="1" applyAlignment="1">
      <alignment horizontal="left"/>
    </xf>
    <xf numFmtId="9" fontId="13" fillId="0" borderId="0" xfId="1192" quotePrefix="1" applyNumberFormat="1" applyAlignment="1">
      <alignment horizontal="center"/>
    </xf>
    <xf numFmtId="0" fontId="112" fillId="0" borderId="0" xfId="1192" applyFont="1" applyAlignment="1">
      <alignment horizontal="center"/>
    </xf>
    <xf numFmtId="9" fontId="13" fillId="0" borderId="0" xfId="1192" applyNumberFormat="1"/>
    <xf numFmtId="168" fontId="13" fillId="0" borderId="0" xfId="1192" applyNumberFormat="1" applyAlignment="1">
      <alignment horizontal="center"/>
    </xf>
    <xf numFmtId="1" fontId="13" fillId="0" borderId="0" xfId="1192" applyNumberFormat="1" applyAlignment="1">
      <alignment horizontal="center"/>
    </xf>
    <xf numFmtId="0" fontId="13" fillId="0" borderId="0" xfId="1192" applyAlignment="1">
      <alignment horizontal="right"/>
    </xf>
    <xf numFmtId="0" fontId="20" fillId="0" borderId="0" xfId="1192" applyFont="1" applyAlignment="1">
      <alignment horizontal="left" indent="1"/>
    </xf>
    <xf numFmtId="0" fontId="13" fillId="0" borderId="0" xfId="1192" applyAlignment="1">
      <alignment horizontal="left" vertical="top"/>
    </xf>
    <xf numFmtId="0" fontId="31" fillId="0" borderId="0" xfId="1192" applyFont="1" applyAlignment="1">
      <alignment horizontal="left" vertical="top"/>
    </xf>
    <xf numFmtId="0" fontId="43" fillId="0" borderId="0" xfId="29797" applyFont="1" applyAlignment="1">
      <alignment horizontal="left" vertical="top" wrapText="1"/>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6" fontId="20" fillId="0" borderId="0" xfId="1192" applyNumberFormat="1" applyFont="1" applyAlignment="1">
      <alignment horizontal="right"/>
    </xf>
    <xf numFmtId="0" fontId="20" fillId="0" borderId="0" xfId="1192" applyFont="1" applyAlignment="1">
      <alignment vertical="center"/>
    </xf>
    <xf numFmtId="0" fontId="13" fillId="0" borderId="0" xfId="42443" applyFont="1" applyAlignment="1">
      <alignment vertical="top" wrapText="1"/>
    </xf>
    <xf numFmtId="0" fontId="13" fillId="0" borderId="0" xfId="42443" applyFont="1"/>
    <xf numFmtId="168" fontId="13" fillId="0" borderId="0" xfId="543" applyNumberFormat="1"/>
    <xf numFmtId="0" fontId="13" fillId="0" borderId="0" xfId="42443" applyFont="1" applyAlignment="1">
      <alignment horizontal="left"/>
    </xf>
    <xf numFmtId="0" fontId="13" fillId="0" borderId="0" xfId="42443" applyFont="1" applyAlignment="1">
      <alignment horizontal="right"/>
    </xf>
    <xf numFmtId="0" fontId="45" fillId="0" borderId="0" xfId="42443" applyFont="1"/>
    <xf numFmtId="9" fontId="13" fillId="0" borderId="0" xfId="543" applyNumberFormat="1" applyAlignment="1">
      <alignment horizontal="center"/>
    </xf>
    <xf numFmtId="0" fontId="21" fillId="0" borderId="0" xfId="42443" applyFont="1" applyAlignment="1">
      <alignment vertical="top" wrapText="1"/>
    </xf>
    <xf numFmtId="0" fontId="13" fillId="0" borderId="4" xfId="42443" applyFont="1" applyBorder="1"/>
    <xf numFmtId="0" fontId="20" fillId="0" borderId="4" xfId="42443" applyFont="1" applyBorder="1" applyAlignment="1">
      <alignment horizontal="right"/>
    </xf>
    <xf numFmtId="0" fontId="21" fillId="0" borderId="27" xfId="29797" applyFont="1" applyBorder="1" applyAlignment="1">
      <alignment horizontal="left" vertical="top"/>
    </xf>
    <xf numFmtId="0" fontId="13" fillId="0" borderId="27" xfId="29797" applyBorder="1" applyAlignment="1">
      <alignment horizontal="left" vertical="top"/>
    </xf>
    <xf numFmtId="0" fontId="20" fillId="0" borderId="27" xfId="29797" applyFont="1" applyBorder="1" applyAlignment="1">
      <alignment horizontal="right"/>
    </xf>
    <xf numFmtId="0" fontId="13" fillId="0" borderId="27" xfId="29797" applyBorder="1" applyAlignment="1">
      <alignment horizontal="center"/>
    </xf>
    <xf numFmtId="0" fontId="13" fillId="0" borderId="46" xfId="29797" applyBorder="1" applyAlignment="1">
      <alignment horizontal="center"/>
    </xf>
    <xf numFmtId="0" fontId="29" fillId="0" borderId="0" xfId="29797" applyFont="1"/>
    <xf numFmtId="164" fontId="21" fillId="0" borderId="0" xfId="29797" applyNumberFormat="1" applyFont="1" applyAlignment="1">
      <alignment horizontal="left" vertical="top" wrapText="1"/>
    </xf>
    <xf numFmtId="0" fontId="24" fillId="0" borderId="0" xfId="29797" applyFont="1"/>
    <xf numFmtId="0" fontId="21" fillId="0" borderId="0" xfId="29797" applyFont="1" applyAlignment="1">
      <alignment horizontal="right"/>
    </xf>
    <xf numFmtId="164" fontId="13" fillId="0" borderId="57" xfId="29797" applyNumberFormat="1" applyBorder="1" applyAlignment="1">
      <alignment vertical="top" wrapText="1"/>
    </xf>
    <xf numFmtId="164" fontId="13" fillId="0" borderId="58" xfId="29797" applyNumberFormat="1" applyBorder="1" applyAlignment="1">
      <alignment vertical="top" wrapText="1"/>
    </xf>
    <xf numFmtId="164" fontId="13" fillId="0" borderId="59" xfId="29797" applyNumberFormat="1" applyBorder="1" applyAlignment="1">
      <alignment vertical="top" wrapText="1"/>
    </xf>
    <xf numFmtId="0" fontId="13" fillId="0" borderId="8" xfId="543" applyBorder="1"/>
    <xf numFmtId="0" fontId="13" fillId="0" borderId="27" xfId="543" applyBorder="1"/>
    <xf numFmtId="0" fontId="13" fillId="0" borderId="46" xfId="543" applyBorder="1"/>
    <xf numFmtId="0" fontId="20" fillId="0" borderId="0" xfId="29797" applyFont="1" applyAlignment="1">
      <alignment horizontal="left" vertical="top"/>
    </xf>
    <xf numFmtId="1" fontId="13" fillId="0" borderId="0" xfId="29797" applyNumberFormat="1"/>
    <xf numFmtId="0" fontId="13" fillId="0" borderId="50" xfId="29797" applyBorder="1" applyAlignment="1">
      <alignment vertical="top"/>
    </xf>
    <xf numFmtId="0" fontId="13" fillId="0" borderId="51" xfId="29797" applyBorder="1" applyAlignment="1">
      <alignment vertical="top"/>
    </xf>
    <xf numFmtId="0" fontId="13" fillId="0" borderId="52" xfId="29797" applyBorder="1" applyAlignment="1">
      <alignment vertical="top"/>
    </xf>
    <xf numFmtId="1" fontId="21" fillId="0" borderId="8" xfId="29797" applyNumberFormat="1" applyFont="1" applyBorder="1"/>
    <xf numFmtId="0" fontId="13" fillId="0" borderId="0" xfId="543" applyAlignment="1">
      <alignment vertical="top"/>
    </xf>
    <xf numFmtId="0" fontId="21" fillId="0" borderId="51" xfId="29797" applyFont="1" applyBorder="1" applyAlignment="1">
      <alignment horizontal="left" vertical="top"/>
    </xf>
    <xf numFmtId="0" fontId="21" fillId="0" borderId="52" xfId="29797" applyFont="1" applyBorder="1" applyAlignment="1">
      <alignment horizontal="left" vertical="top"/>
    </xf>
    <xf numFmtId="0" fontId="13" fillId="0" borderId="0" xfId="543" applyAlignment="1">
      <alignment horizontal="center"/>
    </xf>
    <xf numFmtId="0" fontId="13" fillId="0" borderId="53" xfId="29797" applyBorder="1" applyAlignment="1">
      <alignment vertical="top"/>
    </xf>
    <xf numFmtId="0" fontId="13" fillId="0" borderId="54" xfId="29797" applyBorder="1" applyAlignment="1">
      <alignment vertical="top"/>
    </xf>
    <xf numFmtId="0" fontId="13" fillId="0" borderId="54" xfId="29797" applyBorder="1" applyAlignment="1">
      <alignment vertical="top" wrapText="1"/>
    </xf>
    <xf numFmtId="0" fontId="13" fillId="0" borderId="53" xfId="29797" applyBorder="1" applyAlignment="1">
      <alignment vertical="top" wrapText="1"/>
    </xf>
    <xf numFmtId="0" fontId="58" fillId="0" borderId="53" xfId="29797" applyFont="1" applyBorder="1"/>
    <xf numFmtId="0" fontId="21" fillId="0" borderId="54" xfId="29797" applyFont="1" applyBorder="1" applyAlignment="1">
      <alignment horizontal="left" vertical="top"/>
    </xf>
    <xf numFmtId="0" fontId="13" fillId="0" borderId="0" xfId="29797" applyAlignment="1" applyProtection="1">
      <alignment horizontal="center"/>
      <protection locked="0"/>
    </xf>
    <xf numFmtId="0" fontId="58" fillId="0" borderId="57" xfId="29797" applyFont="1" applyBorder="1"/>
    <xf numFmtId="0" fontId="21" fillId="0" borderId="58" xfId="29797" applyFont="1" applyBorder="1" applyAlignment="1">
      <alignment horizontal="left" vertical="top"/>
    </xf>
    <xf numFmtId="0" fontId="21" fillId="0" borderId="12" xfId="29797" applyFont="1" applyBorder="1"/>
    <xf numFmtId="0" fontId="13" fillId="0" borderId="57" xfId="29797" applyBorder="1" applyAlignment="1">
      <alignment vertical="center"/>
    </xf>
    <xf numFmtId="0" fontId="13" fillId="0" borderId="58" xfId="29797" applyBorder="1" applyAlignment="1">
      <alignment vertical="top"/>
    </xf>
    <xf numFmtId="0" fontId="13" fillId="0" borderId="59" xfId="29797" applyBorder="1" applyAlignment="1">
      <alignment vertical="top"/>
    </xf>
    <xf numFmtId="0" fontId="21" fillId="0" borderId="4" xfId="29797" applyFont="1" applyBorder="1" applyAlignment="1">
      <alignment horizontal="left" vertical="top"/>
    </xf>
    <xf numFmtId="0" fontId="13" fillId="0" borderId="4" xfId="29797" applyBorder="1" applyAlignment="1">
      <alignment horizontal="left" vertical="top"/>
    </xf>
    <xf numFmtId="0" fontId="127" fillId="0" borderId="0" xfId="29797" applyFont="1" applyAlignment="1">
      <alignment horizontal="left" vertical="top" wrapText="1"/>
    </xf>
    <xf numFmtId="0" fontId="21" fillId="0" borderId="6" xfId="29797" applyFont="1" applyBorder="1"/>
    <xf numFmtId="1" fontId="21" fillId="0" borderId="8" xfId="29797" applyNumberFormat="1" applyFont="1" applyBorder="1" applyAlignment="1">
      <alignment horizontal="center" vertical="top"/>
    </xf>
    <xf numFmtId="0" fontId="13" fillId="0" borderId="12" xfId="29797" applyBorder="1"/>
    <xf numFmtId="0" fontId="21" fillId="0" borderId="9" xfId="29797" applyFont="1" applyBorder="1"/>
    <xf numFmtId="0" fontId="13" fillId="0" borderId="10" xfId="29797" applyBorder="1"/>
    <xf numFmtId="0" fontId="29" fillId="0" borderId="3" xfId="29797" applyFont="1" applyBorder="1"/>
    <xf numFmtId="0" fontId="20" fillId="0" borderId="4" xfId="29797" applyFont="1" applyBorder="1"/>
    <xf numFmtId="0" fontId="127" fillId="0" borderId="0" xfId="29797" applyFont="1" applyAlignment="1">
      <alignment vertical="top" wrapText="1"/>
    </xf>
    <xf numFmtId="0" fontId="13" fillId="0" borderId="12" xfId="29797" applyBorder="1" applyAlignment="1">
      <alignment vertical="top"/>
    </xf>
    <xf numFmtId="0" fontId="29" fillId="0" borderId="1" xfId="29797" applyFont="1" applyBorder="1"/>
    <xf numFmtId="0" fontId="127" fillId="0" borderId="2" xfId="29797" applyFont="1" applyBorder="1" applyAlignment="1">
      <alignment horizontal="left" wrapText="1"/>
    </xf>
    <xf numFmtId="0" fontId="21" fillId="0" borderId="2" xfId="29797" applyFont="1" applyBorder="1"/>
    <xf numFmtId="0" fontId="127" fillId="0" borderId="2" xfId="29797" applyFont="1" applyBorder="1" applyAlignment="1">
      <alignment horizontal="left"/>
    </xf>
    <xf numFmtId="0" fontId="127" fillId="0" borderId="7" xfId="29797" applyFont="1" applyBorder="1" applyAlignment="1">
      <alignment horizontal="left" wrapText="1"/>
    </xf>
    <xf numFmtId="0" fontId="127" fillId="0" borderId="0" xfId="29797" applyFont="1" applyAlignment="1">
      <alignment horizontal="left" wrapText="1"/>
    </xf>
    <xf numFmtId="0" fontId="29" fillId="0" borderId="9" xfId="29797" applyFont="1" applyBorder="1"/>
    <xf numFmtId="0" fontId="21" fillId="0" borderId="10" xfId="29797" applyFont="1" applyBorder="1"/>
    <xf numFmtId="0" fontId="127" fillId="0" borderId="0" xfId="29797" applyFont="1" applyAlignment="1">
      <alignment wrapText="1"/>
    </xf>
    <xf numFmtId="0" fontId="29" fillId="0" borderId="0" xfId="29797" applyFont="1" applyAlignment="1">
      <alignment horizontal="center"/>
    </xf>
    <xf numFmtId="0" fontId="29" fillId="0" borderId="9" xfId="29797" applyFont="1" applyBorder="1" applyAlignment="1">
      <alignment horizontal="center"/>
    </xf>
    <xf numFmtId="0" fontId="20" fillId="0" borderId="10" xfId="29797" applyFont="1" applyBorder="1"/>
    <xf numFmtId="0" fontId="31" fillId="0" borderId="0" xfId="29797" applyFont="1"/>
    <xf numFmtId="0" fontId="21" fillId="0" borderId="50" xfId="29797" applyFont="1" applyBorder="1"/>
    <xf numFmtId="0" fontId="21" fillId="0" borderId="51" xfId="29797" applyFont="1" applyBorder="1"/>
    <xf numFmtId="1" fontId="21" fillId="0" borderId="51" xfId="29797" quotePrefix="1" applyNumberFormat="1" applyFont="1" applyBorder="1" applyAlignment="1">
      <alignment horizontal="center" vertical="top"/>
    </xf>
    <xf numFmtId="0" fontId="20" fillId="0" borderId="51" xfId="29797" applyFont="1" applyBorder="1"/>
    <xf numFmtId="0" fontId="20" fillId="0" borderId="52" xfId="29797" applyFont="1" applyBorder="1" applyAlignment="1">
      <alignment horizontal="center"/>
    </xf>
    <xf numFmtId="0" fontId="13" fillId="0" borderId="53" xfId="29797" applyBorder="1"/>
    <xf numFmtId="1" fontId="21" fillId="0" borderId="0" xfId="29797" quotePrefix="1" applyNumberFormat="1" applyFont="1" applyAlignment="1">
      <alignment horizontal="center" vertical="top"/>
    </xf>
    <xf numFmtId="0" fontId="20" fillId="0" borderId="54" xfId="29797" applyFont="1" applyBorder="1" applyAlignment="1">
      <alignment horizontal="center"/>
    </xf>
    <xf numFmtId="0" fontId="29" fillId="0" borderId="0" xfId="29797" applyFont="1" applyAlignment="1">
      <alignment vertical="top"/>
    </xf>
    <xf numFmtId="0" fontId="21" fillId="0" borderId="61" xfId="29797" applyFont="1" applyBorder="1"/>
    <xf numFmtId="0" fontId="13" fillId="0" borderId="57" xfId="29797" applyBorder="1" applyAlignment="1">
      <alignment horizontal="center"/>
    </xf>
    <xf numFmtId="0" fontId="13" fillId="0" borderId="58" xfId="29797" applyBorder="1" applyAlignment="1">
      <alignment horizontal="center"/>
    </xf>
    <xf numFmtId="1" fontId="21" fillId="0" borderId="58" xfId="29797" quotePrefix="1" applyNumberFormat="1" applyFont="1" applyBorder="1" applyAlignment="1">
      <alignment horizontal="center" vertical="top"/>
    </xf>
    <xf numFmtId="0" fontId="29" fillId="0" borderId="58" xfId="29797" applyFont="1" applyBorder="1" applyAlignment="1">
      <alignment vertical="top"/>
    </xf>
    <xf numFmtId="0" fontId="21" fillId="0" borderId="58" xfId="29797" applyFont="1" applyBorder="1" applyAlignment="1">
      <alignment vertical="top" wrapText="1"/>
    </xf>
    <xf numFmtId="0" fontId="21" fillId="0" borderId="58" xfId="29797" applyFont="1" applyBorder="1"/>
    <xf numFmtId="0" fontId="20" fillId="0" borderId="59" xfId="29797" applyFont="1" applyBorder="1" applyAlignment="1">
      <alignment horizontal="center"/>
    </xf>
    <xf numFmtId="0" fontId="13" fillId="0" borderId="61" xfId="29797" applyBorder="1"/>
    <xf numFmtId="0" fontId="13" fillId="0" borderId="53" xfId="543" applyBorder="1"/>
    <xf numFmtId="1" fontId="21" fillId="0" borderId="0" xfId="29797" applyNumberFormat="1" applyFont="1" applyAlignment="1">
      <alignment horizontal="center" vertical="top"/>
    </xf>
    <xf numFmtId="0" fontId="21" fillId="0" borderId="54" xfId="29797" applyFont="1" applyBorder="1"/>
    <xf numFmtId="0" fontId="13" fillId="0" borderId="57" xfId="543" applyBorder="1"/>
    <xf numFmtId="0" fontId="13" fillId="0" borderId="58" xfId="543" applyBorder="1"/>
    <xf numFmtId="1" fontId="21" fillId="0" borderId="58" xfId="29797" applyNumberFormat="1" applyFont="1" applyBorder="1" applyAlignment="1">
      <alignment horizontal="center" vertical="top"/>
    </xf>
    <xf numFmtId="0" fontId="29" fillId="0" borderId="58" xfId="29797" applyFont="1" applyBorder="1" applyAlignment="1">
      <alignment vertical="center"/>
    </xf>
    <xf numFmtId="0" fontId="13" fillId="0" borderId="58" xfId="29797" applyBorder="1" applyAlignment="1">
      <alignment vertical="top" wrapText="1"/>
    </xf>
    <xf numFmtId="0" fontId="21" fillId="0" borderId="59" xfId="29797" applyFont="1" applyBorder="1"/>
    <xf numFmtId="0" fontId="29" fillId="0" borderId="0" xfId="29797" applyFont="1" applyAlignment="1">
      <alignment vertical="center"/>
    </xf>
    <xf numFmtId="0" fontId="21" fillId="0" borderId="53" xfId="29797" applyFont="1" applyBorder="1"/>
    <xf numFmtId="0" fontId="21" fillId="0" borderId="58" xfId="29797" applyFont="1" applyBorder="1" applyAlignment="1">
      <alignment vertical="top"/>
    </xf>
    <xf numFmtId="0" fontId="21" fillId="0" borderId="57" xfId="29797" applyFont="1" applyBorder="1"/>
    <xf numFmtId="0" fontId="21" fillId="0" borderId="52" xfId="29797" applyFont="1" applyBorder="1"/>
    <xf numFmtId="0" fontId="13" fillId="0" borderId="50" xfId="543" applyBorder="1"/>
    <xf numFmtId="0" fontId="13" fillId="0" borderId="51" xfId="543" applyBorder="1"/>
    <xf numFmtId="0" fontId="13" fillId="0" borderId="52" xfId="543" applyBorder="1"/>
    <xf numFmtId="0" fontId="21" fillId="0" borderId="62" xfId="29797" applyFont="1" applyBorder="1"/>
    <xf numFmtId="0" fontId="21" fillId="0" borderId="0" xfId="29797" applyFont="1" applyAlignment="1">
      <alignment wrapText="1"/>
    </xf>
    <xf numFmtId="0" fontId="20" fillId="0" borderId="54" xfId="29797" applyFont="1" applyBorder="1" applyAlignment="1">
      <alignment horizontal="center" vertical="top"/>
    </xf>
    <xf numFmtId="0" fontId="13" fillId="0" borderId="53" xfId="29797" applyBorder="1" applyAlignment="1">
      <alignment horizontal="center"/>
    </xf>
    <xf numFmtId="2" fontId="21" fillId="0" borderId="0" xfId="29797" applyNumberFormat="1" applyFont="1" applyAlignment="1">
      <alignment horizontal="right"/>
    </xf>
    <xf numFmtId="2" fontId="21" fillId="0" borderId="8" xfId="29797" applyNumberFormat="1" applyFont="1" applyBorder="1" applyAlignment="1">
      <alignment horizontal="left"/>
    </xf>
    <xf numFmtId="0" fontId="21" fillId="0" borderId="8" xfId="29797" applyFont="1" applyBorder="1" applyAlignment="1">
      <alignment horizontal="right"/>
    </xf>
    <xf numFmtId="0" fontId="126" fillId="0" borderId="0" xfId="29797" applyFont="1"/>
    <xf numFmtId="0" fontId="20" fillId="0" borderId="58" xfId="29797" applyFont="1" applyBorder="1" applyAlignment="1">
      <alignment horizontal="center"/>
    </xf>
    <xf numFmtId="0" fontId="21" fillId="0" borderId="0" xfId="29797" applyFont="1" applyAlignment="1">
      <alignment horizontal="left"/>
    </xf>
    <xf numFmtId="9" fontId="21" fillId="0" borderId="0" xfId="29797" applyNumberFormat="1" applyFont="1" applyAlignment="1">
      <alignment horizontal="left"/>
    </xf>
    <xf numFmtId="0" fontId="13" fillId="0" borderId="64" xfId="29797" applyBorder="1"/>
    <xf numFmtId="0" fontId="51" fillId="0" borderId="4" xfId="29797" applyFont="1" applyBorder="1"/>
    <xf numFmtId="0" fontId="21" fillId="0" borderId="4" xfId="29797" applyFont="1" applyBorder="1" applyAlignment="1">
      <alignment horizontal="left" vertical="top" wrapText="1" shrinkToFit="1"/>
    </xf>
    <xf numFmtId="0" fontId="13" fillId="0" borderId="17" xfId="543" applyBorder="1"/>
    <xf numFmtId="0" fontId="13" fillId="0" borderId="16" xfId="543" applyBorder="1"/>
    <xf numFmtId="0" fontId="13" fillId="0" borderId="2" xfId="543" applyBorder="1"/>
    <xf numFmtId="0" fontId="21" fillId="0" borderId="0" xfId="29797" applyFont="1" applyAlignment="1">
      <alignment horizontal="center"/>
    </xf>
    <xf numFmtId="0" fontId="13" fillId="0" borderId="51" xfId="29797" quotePrefix="1" applyBorder="1" applyAlignment="1">
      <alignment horizontal="center" vertical="top"/>
    </xf>
    <xf numFmtId="0" fontId="21" fillId="0" borderId="53" xfId="29797" applyFont="1" applyBorder="1" applyAlignment="1">
      <alignment horizontal="left" vertical="top"/>
    </xf>
    <xf numFmtId="0" fontId="21" fillId="0" borderId="0" xfId="29797" applyFont="1" applyAlignment="1">
      <alignment horizontal="center" vertical="top"/>
    </xf>
    <xf numFmtId="0" fontId="21" fillId="0" borderId="57" xfId="29797" applyFont="1" applyBorder="1" applyAlignment="1">
      <alignment horizontal="left" vertical="top"/>
    </xf>
    <xf numFmtId="0" fontId="21" fillId="0" borderId="58" xfId="29797" applyFont="1" applyBorder="1" applyAlignment="1">
      <alignment horizontal="center" vertical="top"/>
    </xf>
    <xf numFmtId="0" fontId="20" fillId="0" borderId="58" xfId="29797" applyFont="1" applyBorder="1" applyAlignment="1">
      <alignment vertical="top"/>
    </xf>
    <xf numFmtId="0" fontId="20" fillId="0" borderId="58" xfId="29797" applyFont="1" applyBorder="1" applyAlignment="1">
      <alignment horizontal="left" vertical="top"/>
    </xf>
    <xf numFmtId="0" fontId="20" fillId="0" borderId="51" xfId="29797" applyFont="1" applyBorder="1" applyAlignment="1">
      <alignment horizontal="left" vertical="top"/>
    </xf>
    <xf numFmtId="0" fontId="20" fillId="0" borderId="53" xfId="29797" applyFont="1" applyBorder="1" applyAlignment="1">
      <alignment horizontal="left" vertical="top"/>
    </xf>
    <xf numFmtId="0" fontId="50" fillId="0" borderId="0" xfId="29797" applyFont="1" applyAlignment="1">
      <alignment horizontal="left" vertical="top"/>
    </xf>
    <xf numFmtId="0" fontId="21" fillId="0" borderId="0" xfId="29797" quotePrefix="1" applyFont="1" applyAlignment="1">
      <alignment horizontal="center" vertical="top"/>
    </xf>
    <xf numFmtId="0" fontId="51" fillId="0" borderId="0" xfId="29797" applyFont="1" applyAlignment="1">
      <alignment horizontal="center"/>
    </xf>
    <xf numFmtId="0" fontId="51" fillId="0" borderId="0" xfId="29797" applyFont="1" applyAlignment="1">
      <alignment vertical="top"/>
    </xf>
    <xf numFmtId="0" fontId="29" fillId="0" borderId="8" xfId="29797" applyFont="1" applyBorder="1"/>
    <xf numFmtId="0" fontId="104" fillId="0" borderId="0" xfId="29797" applyFont="1"/>
    <xf numFmtId="0" fontId="50" fillId="0" borderId="0" xfId="29797" applyFont="1" applyAlignment="1">
      <alignment vertical="top"/>
    </xf>
    <xf numFmtId="0" fontId="29" fillId="0" borderId="53" xfId="29797" applyFont="1" applyBorder="1"/>
    <xf numFmtId="2" fontId="21" fillId="0" borderId="8" xfId="29797" applyNumberFormat="1" applyFont="1" applyBorder="1" applyAlignment="1">
      <alignment horizontal="right"/>
    </xf>
    <xf numFmtId="0" fontId="20" fillId="0" borderId="50" xfId="29797" applyFont="1" applyBorder="1" applyAlignment="1">
      <alignment horizontal="left" vertical="top"/>
    </xf>
    <xf numFmtId="0" fontId="50" fillId="0" borderId="51" xfId="29797" applyFont="1" applyBorder="1" applyAlignment="1">
      <alignment horizontal="left" vertical="top"/>
    </xf>
    <xf numFmtId="0" fontId="104" fillId="0" borderId="0" xfId="29797" applyFont="1" applyAlignment="1">
      <alignment horizontal="left" vertical="top"/>
    </xf>
    <xf numFmtId="1" fontId="20" fillId="0" borderId="58" xfId="29797"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29797" applyFont="1" applyAlignment="1">
      <alignment wrapText="1"/>
    </xf>
    <xf numFmtId="0" fontId="29" fillId="0" borderId="0" xfId="29797" applyFont="1" applyAlignment="1">
      <alignment vertical="center" wrapText="1"/>
    </xf>
    <xf numFmtId="180" fontId="21" fillId="0" borderId="0" xfId="29797" applyNumberFormat="1" applyFont="1" applyAlignment="1">
      <alignment horizontal="center"/>
    </xf>
    <xf numFmtId="1" fontId="21" fillId="0" borderId="0" xfId="29797" applyNumberFormat="1" applyFont="1" applyAlignment="1">
      <alignment horizontal="center"/>
    </xf>
    <xf numFmtId="0" fontId="20" fillId="0" borderId="51" xfId="29797" applyFont="1" applyBorder="1" applyAlignment="1">
      <alignment horizontal="center"/>
    </xf>
    <xf numFmtId="0" fontId="20" fillId="0" borderId="51" xfId="29797" applyFont="1" applyBorder="1" applyAlignment="1">
      <alignment vertical="top"/>
    </xf>
    <xf numFmtId="0" fontId="20" fillId="0" borderId="53" xfId="29797" applyFont="1" applyBorder="1"/>
    <xf numFmtId="0" fontId="13" fillId="0" borderId="54" xfId="543" applyBorder="1"/>
    <xf numFmtId="49" fontId="21" fillId="0" borderId="0" xfId="29797" applyNumberFormat="1" applyFont="1" applyAlignment="1">
      <alignment horizontal="left" vertical="center" wrapText="1"/>
    </xf>
    <xf numFmtId="0" fontId="13" fillId="0" borderId="57" xfId="29797" applyBorder="1"/>
    <xf numFmtId="1" fontId="13" fillId="0" borderId="0" xfId="29797" applyNumberFormat="1" applyAlignment="1">
      <alignment vertical="center"/>
    </xf>
    <xf numFmtId="0" fontId="31" fillId="0" borderId="50" xfId="29797" applyFont="1" applyBorder="1"/>
    <xf numFmtId="0" fontId="21" fillId="0" borderId="51" xfId="29797" applyFont="1" applyBorder="1" applyAlignment="1">
      <alignment horizontal="center" vertical="top"/>
    </xf>
    <xf numFmtId="0" fontId="21" fillId="0" borderId="51" xfId="29797" applyFont="1" applyBorder="1" applyAlignment="1">
      <alignment vertical="top" wrapText="1"/>
    </xf>
    <xf numFmtId="0" fontId="21" fillId="0" borderId="51" xfId="29797" applyFont="1" applyBorder="1" applyAlignment="1">
      <alignment horizontal="left" vertical="top" wrapText="1"/>
    </xf>
    <xf numFmtId="0" fontId="13" fillId="0" borderId="0" xfId="29797" quotePrefix="1" applyAlignment="1">
      <alignment horizontal="center" vertical="top"/>
    </xf>
    <xf numFmtId="1" fontId="21" fillId="0" borderId="0" xfId="29797" quotePrefix="1" applyNumberFormat="1" applyFont="1" applyAlignment="1">
      <alignment wrapText="1"/>
    </xf>
    <xf numFmtId="0" fontId="21" fillId="0" borderId="6" xfId="29797" applyFont="1" applyBorder="1" applyAlignment="1">
      <alignment horizontal="right"/>
    </xf>
    <xf numFmtId="0" fontId="119" fillId="0" borderId="0" xfId="42443" applyFont="1" applyAlignment="1">
      <alignment wrapText="1"/>
    </xf>
    <xf numFmtId="0" fontId="13" fillId="0" borderId="0" xfId="42443" applyFont="1" applyAlignment="1">
      <alignment wrapText="1"/>
    </xf>
    <xf numFmtId="0" fontId="29" fillId="0" borderId="51" xfId="29797" applyFont="1" applyBorder="1" applyAlignment="1">
      <alignment vertical="top"/>
    </xf>
    <xf numFmtId="0" fontId="13" fillId="0" borderId="51" xfId="42443" applyFont="1" applyBorder="1" applyAlignment="1">
      <alignment wrapText="1"/>
    </xf>
    <xf numFmtId="0" fontId="20" fillId="0" borderId="51" xfId="29797" applyFont="1" applyBorder="1" applyAlignment="1">
      <alignment horizontal="right"/>
    </xf>
    <xf numFmtId="0" fontId="13" fillId="0" borderId="52" xfId="29797" applyBorder="1" applyAlignment="1">
      <alignment horizontal="center"/>
    </xf>
    <xf numFmtId="164" fontId="21" fillId="0" borderId="0" xfId="29797" applyNumberFormat="1" applyFont="1"/>
    <xf numFmtId="0" fontId="13" fillId="0" borderId="53" xfId="29797" applyBorder="1" applyAlignment="1">
      <alignment horizontal="left" vertical="top"/>
    </xf>
    <xf numFmtId="0" fontId="13" fillId="0" borderId="54" xfId="29797" applyBorder="1" applyAlignment="1">
      <alignment horizontal="left" vertical="top"/>
    </xf>
    <xf numFmtId="0" fontId="13" fillId="0" borderId="54" xfId="29797" applyBorder="1" applyAlignment="1">
      <alignment horizontal="center"/>
    </xf>
    <xf numFmtId="0" fontId="13" fillId="0" borderId="59" xfId="29797" applyBorder="1" applyAlignment="1">
      <alignment horizontal="center"/>
    </xf>
    <xf numFmtId="9" fontId="13" fillId="0" borderId="0" xfId="42443" applyNumberFormat="1" applyFont="1" applyAlignment="1">
      <alignment horizontal="center"/>
    </xf>
    <xf numFmtId="0" fontId="13" fillId="0" borderId="2" xfId="29797" applyBorder="1"/>
    <xf numFmtId="0" fontId="13" fillId="0" borderId="2" xfId="29797" applyBorder="1" applyAlignment="1">
      <alignment horizontal="center"/>
    </xf>
    <xf numFmtId="0" fontId="21" fillId="0" borderId="7" xfId="29797" applyFont="1" applyBorder="1"/>
    <xf numFmtId="0" fontId="123" fillId="0" borderId="0" xfId="29797" applyFont="1" applyAlignment="1">
      <alignment horizontal="left" vertical="top" wrapText="1"/>
    </xf>
    <xf numFmtId="0" fontId="29" fillId="0" borderId="0" xfId="29797" applyFont="1" applyAlignment="1">
      <alignment horizontal="left" vertical="top"/>
    </xf>
    <xf numFmtId="0" fontId="23" fillId="0" borderId="0" xfId="29797" applyFont="1"/>
    <xf numFmtId="0" fontId="13" fillId="0" borderId="0" xfId="29797" applyAlignment="1">
      <alignment vertical="top" wrapText="1" shrinkToFit="1"/>
    </xf>
    <xf numFmtId="0" fontId="159" fillId="0" borderId="0" xfId="29797" applyFont="1"/>
    <xf numFmtId="0" fontId="21" fillId="0" borderId="0" xfId="29797" quotePrefix="1" applyFont="1" applyAlignment="1">
      <alignment horizontal="right"/>
    </xf>
    <xf numFmtId="164" fontId="13" fillId="0" borderId="0" xfId="1192" applyNumberFormat="1" applyAlignment="1">
      <alignment horizontal="right"/>
    </xf>
    <xf numFmtId="164" fontId="13" fillId="0" borderId="0" xfId="29797" applyNumberFormat="1" applyAlignment="1">
      <alignment horizontal="right"/>
    </xf>
    <xf numFmtId="0" fontId="13" fillId="0" borderId="0" xfId="4497"/>
    <xf numFmtId="0" fontId="13" fillId="0" borderId="0" xfId="29797" applyAlignment="1">
      <alignment horizontal="left" vertical="top" wrapText="1" shrinkToFit="1"/>
    </xf>
    <xf numFmtId="0" fontId="13" fillId="0" borderId="6" xfId="29797" applyBorder="1" applyAlignment="1">
      <alignment vertical="top" wrapText="1"/>
    </xf>
    <xf numFmtId="0" fontId="13" fillId="0" borderId="6" xfId="29797" applyBorder="1" applyAlignment="1">
      <alignment horizontal="left" vertical="top" wrapText="1"/>
    </xf>
    <xf numFmtId="0" fontId="159" fillId="0" borderId="4" xfId="29797" applyFont="1" applyBorder="1"/>
    <xf numFmtId="0" fontId="13" fillId="0" borderId="4" xfId="29797" applyBorder="1" applyAlignment="1">
      <alignment horizontal="left" vertical="top" wrapText="1" shrinkToFit="1"/>
    </xf>
    <xf numFmtId="0" fontId="21" fillId="0" borderId="0" xfId="29797" applyFont="1" applyAlignment="1">
      <alignment horizontal="left" vertical="top" wrapText="1" shrinkToFit="1"/>
    </xf>
    <xf numFmtId="0" fontId="23" fillId="0" borderId="0" xfId="29797" applyFont="1" applyAlignment="1">
      <alignment horizontal="left" vertical="top"/>
    </xf>
    <xf numFmtId="0" fontId="13" fillId="0" borderId="0" xfId="29797" applyAlignment="1">
      <alignment horizontal="left" vertical="center" wrapText="1" shrinkToFit="1"/>
    </xf>
    <xf numFmtId="0" fontId="13" fillId="0" borderId="0" xfId="29797" applyAlignment="1">
      <alignment vertical="center" wrapText="1" shrinkToFit="1"/>
    </xf>
    <xf numFmtId="0" fontId="21" fillId="0" borderId="0" xfId="29797" quotePrefix="1" applyFont="1"/>
    <xf numFmtId="0" fontId="13" fillId="0" borderId="0" xfId="29797" applyAlignment="1">
      <alignment horizontal="left" vertical="center"/>
    </xf>
    <xf numFmtId="0" fontId="13" fillId="0" borderId="0" xfId="29797" applyAlignment="1">
      <alignment horizontal="left" vertical="top" shrinkToFit="1"/>
    </xf>
    <xf numFmtId="0" fontId="13" fillId="0" borderId="0" xfId="29797" applyAlignment="1">
      <alignment horizontal="left" vertical="center" shrinkToFit="1"/>
    </xf>
    <xf numFmtId="0" fontId="21" fillId="0" borderId="0" xfId="29797" applyFont="1" applyAlignment="1">
      <alignment horizontal="left" vertical="top" shrinkToFit="1"/>
    </xf>
    <xf numFmtId="0" fontId="23" fillId="0" borderId="4" xfId="29797" applyFont="1" applyBorder="1"/>
    <xf numFmtId="0" fontId="13" fillId="0" borderId="4" xfId="29797" applyBorder="1" applyAlignment="1">
      <alignment horizontal="left" vertical="top" shrinkToFit="1"/>
    </xf>
    <xf numFmtId="0" fontId="43" fillId="0" borderId="0" xfId="29797" applyFont="1"/>
    <xf numFmtId="0" fontId="13" fillId="0" borderId="0" xfId="29797" applyAlignment="1">
      <alignment vertical="center"/>
    </xf>
    <xf numFmtId="0" fontId="29" fillId="0" borderId="0" xfId="29797" applyFont="1" applyAlignment="1">
      <alignment horizontal="right"/>
    </xf>
    <xf numFmtId="0" fontId="19" fillId="0" borderId="0" xfId="29797" applyFont="1"/>
    <xf numFmtId="0" fontId="21" fillId="0" borderId="3" xfId="29797" applyFont="1" applyBorder="1" applyAlignment="1">
      <alignment horizontal="center"/>
    </xf>
    <xf numFmtId="0" fontId="23" fillId="0" borderId="0" xfId="29797" applyFont="1" applyAlignment="1">
      <alignment horizontal="center"/>
    </xf>
    <xf numFmtId="0" fontId="13" fillId="0" borderId="4" xfId="29797" applyBorder="1" applyAlignment="1">
      <alignment horizontal="left" vertical="top" wrapText="1"/>
    </xf>
    <xf numFmtId="0" fontId="20" fillId="0" borderId="8" xfId="29797" applyFont="1" applyBorder="1" applyAlignment="1">
      <alignment vertical="top"/>
    </xf>
    <xf numFmtId="164" fontId="31" fillId="0" borderId="0" xfId="29797" applyNumberFormat="1" applyFont="1" applyAlignment="1">
      <alignment horizontal="left"/>
    </xf>
    <xf numFmtId="0" fontId="23" fillId="0" borderId="0" xfId="29797" applyFont="1" applyAlignment="1">
      <alignment horizontal="left"/>
    </xf>
    <xf numFmtId="0" fontId="13" fillId="0" borderId="4" xfId="29797" applyBorder="1" applyAlignment="1">
      <alignment vertical="top" wrapText="1"/>
    </xf>
    <xf numFmtId="0" fontId="20" fillId="0" borderId="4" xfId="29797" applyFont="1" applyBorder="1" applyAlignment="1">
      <alignment horizontal="center" vertical="top"/>
    </xf>
    <xf numFmtId="0" fontId="23" fillId="0" borderId="4" xfId="29797" applyFont="1" applyBorder="1" applyAlignment="1">
      <alignment horizontal="left" vertical="top"/>
    </xf>
    <xf numFmtId="168" fontId="13" fillId="0" borderId="0" xfId="4497" applyNumberFormat="1"/>
    <xf numFmtId="0" fontId="123" fillId="0" borderId="0" xfId="29797" applyFont="1" applyAlignment="1">
      <alignment horizontal="left" vertical="top"/>
    </xf>
    <xf numFmtId="0" fontId="123" fillId="0" borderId="4" xfId="29797" applyFont="1" applyBorder="1" applyAlignment="1">
      <alignment horizontal="left" vertical="top"/>
    </xf>
    <xf numFmtId="1" fontId="13" fillId="0" borderId="0" xfId="543" applyNumberFormat="1"/>
    <xf numFmtId="0" fontId="21" fillId="0" borderId="1" xfId="29797" applyFont="1" applyBorder="1"/>
    <xf numFmtId="0" fontId="20" fillId="0" borderId="0" xfId="29797" applyFont="1" applyAlignment="1">
      <alignment horizontal="center" wrapText="1"/>
    </xf>
    <xf numFmtId="0" fontId="20" fillId="0" borderId="9" xfId="29797" applyFont="1" applyBorder="1" applyAlignment="1">
      <alignment horizontal="left"/>
    </xf>
    <xf numFmtId="0" fontId="20" fillId="0" borderId="3" xfId="29797" applyFont="1" applyBorder="1" applyAlignment="1">
      <alignment horizontal="left"/>
    </xf>
    <xf numFmtId="0" fontId="20" fillId="0" borderId="4" xfId="29797" applyFont="1" applyBorder="1" applyAlignment="1">
      <alignment horizontal="left"/>
    </xf>
    <xf numFmtId="0" fontId="13" fillId="0" borderId="2" xfId="29797" applyBorder="1" applyAlignment="1">
      <alignment horizontal="left"/>
    </xf>
    <xf numFmtId="0" fontId="20" fillId="0" borderId="2" xfId="29797" applyFont="1" applyBorder="1" applyAlignment="1">
      <alignment horizontal="left"/>
    </xf>
    <xf numFmtId="0" fontId="20" fillId="0" borderId="5" xfId="29797" applyFont="1" applyBorder="1" applyAlignment="1">
      <alignment horizontal="left"/>
    </xf>
    <xf numFmtId="180" fontId="61" fillId="0" borderId="0" xfId="29797" applyNumberFormat="1" applyFont="1" applyAlignment="1">
      <alignment horizontal="center" vertical="center"/>
    </xf>
    <xf numFmtId="0" fontId="95" fillId="0" borderId="0" xfId="42443" applyFont="1"/>
    <xf numFmtId="0" fontId="95" fillId="0" borderId="0" xfId="42443" applyFont="1" applyAlignment="1">
      <alignment wrapText="1"/>
    </xf>
    <xf numFmtId="175" fontId="13" fillId="0" borderId="0" xfId="543" applyNumberFormat="1" applyAlignment="1">
      <alignment vertical="center"/>
    </xf>
    <xf numFmtId="10" fontId="134" fillId="0" borderId="0" xfId="1022" applyNumberFormat="1" applyFont="1" applyProtection="1"/>
    <xf numFmtId="175" fontId="20" fillId="0" borderId="0" xfId="543" applyNumberFormat="1" applyFont="1" applyAlignment="1">
      <alignment vertical="center"/>
    </xf>
    <xf numFmtId="0" fontId="134" fillId="0" borderId="0" xfId="42443" applyFont="1" applyAlignment="1">
      <alignment horizontal="right"/>
    </xf>
    <xf numFmtId="0" fontId="134" fillId="0" borderId="0" xfId="42443" applyFont="1"/>
    <xf numFmtId="182" fontId="95" fillId="0" borderId="0" xfId="42443" applyNumberFormat="1" applyFont="1"/>
    <xf numFmtId="0" fontId="95" fillId="0" borderId="0" xfId="42443" applyFont="1" applyAlignment="1">
      <alignment horizontal="right"/>
    </xf>
    <xf numFmtId="2" fontId="95" fillId="45" borderId="5" xfId="42443" applyNumberFormat="1" applyFont="1" applyFill="1" applyBorder="1"/>
    <xf numFmtId="0" fontId="95" fillId="45" borderId="4" xfId="42443" applyFont="1" applyFill="1" applyBorder="1"/>
    <xf numFmtId="0" fontId="134" fillId="45" borderId="3" xfId="42443" applyFont="1" applyFill="1" applyBorder="1" applyAlignment="1">
      <alignment horizontal="left" indent="1"/>
    </xf>
    <xf numFmtId="182" fontId="134" fillId="0" borderId="0" xfId="42443" applyNumberFormat="1" applyFont="1"/>
    <xf numFmtId="182" fontId="95" fillId="0" borderId="6" xfId="42443" applyNumberFormat="1" applyFont="1" applyBorder="1"/>
    <xf numFmtId="0" fontId="169" fillId="0" borderId="0" xfId="42443" applyFont="1" applyAlignment="1">
      <alignment horizontal="right"/>
    </xf>
    <xf numFmtId="0" fontId="95" fillId="0" borderId="0" xfId="42443" applyFont="1" applyAlignment="1">
      <alignment horizontal="right" vertical="top" wrapText="1" indent="1"/>
    </xf>
    <xf numFmtId="184" fontId="95" fillId="0" borderId="0" xfId="42443" applyNumberFormat="1" applyFont="1"/>
    <xf numFmtId="0" fontId="95" fillId="0" borderId="0" xfId="42443" applyFont="1" applyAlignment="1">
      <alignment horizontal="right" indent="1"/>
    </xf>
    <xf numFmtId="0" fontId="95" fillId="43" borderId="6" xfId="42443" applyFont="1" applyFill="1" applyBorder="1" applyAlignment="1" applyProtection="1">
      <alignment horizontal="center"/>
      <protection locked="0"/>
    </xf>
    <xf numFmtId="0" fontId="95" fillId="0" borderId="0" xfId="42443" applyFont="1" applyAlignment="1">
      <alignment horizontal="left" indent="1"/>
    </xf>
    <xf numFmtId="182" fontId="95" fillId="0" borderId="95" xfId="42443" applyNumberFormat="1" applyFont="1" applyBorder="1"/>
    <xf numFmtId="182" fontId="95" fillId="0" borderId="93" xfId="42443" applyNumberFormat="1" applyFont="1" applyBorder="1"/>
    <xf numFmtId="0" fontId="95" fillId="0" borderId="0" xfId="42443" applyFont="1" applyAlignment="1">
      <alignment horizontal="center"/>
    </xf>
    <xf numFmtId="182" fontId="95" fillId="0" borderId="76" xfId="42443" applyNumberFormat="1" applyFont="1" applyBorder="1"/>
    <xf numFmtId="182" fontId="95" fillId="0" borderId="6" xfId="700" applyNumberFormat="1" applyFont="1" applyBorder="1" applyProtection="1"/>
    <xf numFmtId="0" fontId="95" fillId="0" borderId="0" xfId="42443" applyFont="1" applyAlignment="1">
      <alignment horizontal="left"/>
    </xf>
    <xf numFmtId="0" fontId="95" fillId="0" borderId="74" xfId="42443" applyFont="1" applyBorder="1" applyAlignment="1">
      <alignment horizontal="right" indent="1"/>
    </xf>
    <xf numFmtId="0" fontId="95" fillId="0" borderId="82" xfId="42443" applyFont="1" applyBorder="1" applyAlignment="1">
      <alignment horizontal="right" indent="1"/>
    </xf>
    <xf numFmtId="0" fontId="95" fillId="0" borderId="6" xfId="42443" applyFont="1" applyBorder="1" applyAlignment="1">
      <alignment horizontal="right" vertical="top" wrapText="1" indent="1"/>
    </xf>
    <xf numFmtId="0" fontId="95" fillId="0" borderId="82" xfId="42443" quotePrefix="1" applyFont="1" applyBorder="1" applyAlignment="1">
      <alignment horizontal="right" indent="1"/>
    </xf>
    <xf numFmtId="182" fontId="95" fillId="0" borderId="0" xfId="700" applyNumberFormat="1" applyFont="1" applyBorder="1" applyProtection="1"/>
    <xf numFmtId="0" fontId="95" fillId="0" borderId="71" xfId="42443" applyFont="1" applyBorder="1" applyAlignment="1">
      <alignment horizontal="right" indent="1"/>
    </xf>
    <xf numFmtId="0" fontId="95" fillId="0" borderId="0" xfId="42443" applyFont="1" applyAlignment="1">
      <alignment horizontal="right" vertical="top"/>
    </xf>
    <xf numFmtId="184" fontId="95" fillId="0" borderId="0" xfId="42443" applyNumberFormat="1" applyFont="1" applyAlignment="1">
      <alignment horizontal="center"/>
    </xf>
    <xf numFmtId="1" fontId="95" fillId="0" borderId="0" xfId="42443" applyNumberFormat="1" applyFont="1"/>
    <xf numFmtId="9" fontId="95" fillId="0" borderId="0" xfId="1022" applyFont="1" applyFill="1" applyBorder="1" applyProtection="1"/>
    <xf numFmtId="9" fontId="95" fillId="0" borderId="0" xfId="1022" applyFont="1" applyFill="1" applyProtection="1"/>
    <xf numFmtId="0" fontId="134" fillId="0" borderId="0" xfId="42443" applyFont="1" applyAlignment="1">
      <alignment horizontal="right" vertical="top"/>
    </xf>
    <xf numFmtId="184" fontId="95" fillId="0" borderId="6" xfId="42443" applyNumberFormat="1" applyFont="1" applyBorder="1"/>
    <xf numFmtId="10" fontId="95" fillId="0" borderId="0" xfId="1022" applyNumberFormat="1" applyFont="1" applyBorder="1" applyAlignment="1" applyProtection="1">
      <alignment horizontal="center"/>
    </xf>
    <xf numFmtId="0" fontId="95" fillId="0" borderId="0" xfId="42443" applyFont="1" applyAlignment="1">
      <alignment vertical="top" wrapText="1"/>
    </xf>
    <xf numFmtId="182" fontId="134" fillId="0" borderId="0" xfId="700" applyNumberFormat="1" applyFont="1" applyBorder="1" applyAlignment="1" applyProtection="1">
      <alignment horizontal="center"/>
    </xf>
    <xf numFmtId="182" fontId="95" fillId="0" borderId="6" xfId="700" applyNumberFormat="1" applyFont="1" applyBorder="1" applyAlignment="1" applyProtection="1">
      <alignment horizontal="center"/>
    </xf>
    <xf numFmtId="0" fontId="134" fillId="0" borderId="72" xfId="42443" applyFont="1" applyBorder="1" applyAlignment="1">
      <alignment horizontal="center"/>
    </xf>
    <xf numFmtId="0" fontId="134" fillId="0" borderId="72" xfId="42443" applyFont="1" applyBorder="1" applyAlignment="1">
      <alignment horizontal="center" vertical="top" wrapText="1"/>
    </xf>
    <xf numFmtId="0" fontId="95" fillId="0" borderId="15" xfId="42443" applyFont="1" applyBorder="1" applyAlignment="1">
      <alignment horizontal="center"/>
    </xf>
    <xf numFmtId="0" fontId="95" fillId="0" borderId="15" xfId="42443" applyFont="1" applyBorder="1" applyAlignment="1">
      <alignment horizontal="center" vertical="top" wrapText="1"/>
    </xf>
    <xf numFmtId="2" fontId="95" fillId="0" borderId="15" xfId="42443" applyNumberFormat="1" applyFont="1" applyBorder="1" applyAlignment="1">
      <alignment horizontal="center"/>
    </xf>
    <xf numFmtId="0" fontId="95" fillId="0" borderId="11" xfId="42443" applyFont="1" applyBorder="1" applyAlignment="1">
      <alignment horizontal="center"/>
    </xf>
    <xf numFmtId="0" fontId="95" fillId="0" borderId="11" xfId="42443" applyFont="1" applyBorder="1" applyAlignment="1">
      <alignment horizontal="center" vertical="top" wrapText="1"/>
    </xf>
    <xf numFmtId="2" fontId="95" fillId="0" borderId="11" xfId="42443" applyNumberFormat="1" applyFont="1" applyBorder="1" applyAlignment="1">
      <alignment horizontal="center"/>
    </xf>
    <xf numFmtId="181" fontId="95" fillId="0" borderId="0" xfId="42443" applyNumberFormat="1" applyFont="1"/>
    <xf numFmtId="165" fontId="135" fillId="0" borderId="0" xfId="42444" applyNumberFormat="1" applyFont="1" applyFill="1" applyBorder="1" applyProtection="1"/>
    <xf numFmtId="49" fontId="95" fillId="0" borderId="0" xfId="42443" applyNumberFormat="1" applyFont="1" applyAlignment="1">
      <alignment horizontal="center"/>
    </xf>
    <xf numFmtId="2" fontId="95" fillId="0" borderId="0" xfId="42443" applyNumberFormat="1" applyFont="1"/>
    <xf numFmtId="2" fontId="95" fillId="0" borderId="0" xfId="42443" applyNumberFormat="1" applyFont="1" applyAlignment="1">
      <alignment horizontal="center"/>
    </xf>
    <xf numFmtId="182" fontId="134" fillId="0" borderId="72" xfId="42443" applyNumberFormat="1" applyFont="1" applyBorder="1"/>
    <xf numFmtId="168" fontId="134" fillId="0" borderId="72" xfId="42444" applyNumberFormat="1" applyFont="1" applyFill="1" applyBorder="1" applyAlignment="1" applyProtection="1">
      <alignment horizontal="left" vertical="center" indent="1"/>
    </xf>
    <xf numFmtId="182" fontId="134" fillId="0" borderId="72" xfId="700" applyNumberFormat="1" applyFont="1" applyBorder="1" applyProtection="1"/>
    <xf numFmtId="49" fontId="95" fillId="0" borderId="0" xfId="42443" applyNumberFormat="1" applyFont="1" applyAlignment="1">
      <alignment horizontal="left"/>
    </xf>
    <xf numFmtId="9" fontId="95" fillId="0" borderId="15" xfId="1022" applyFont="1" applyFill="1" applyBorder="1" applyAlignment="1" applyProtection="1">
      <alignment horizontal="right"/>
    </xf>
    <xf numFmtId="182" fontId="95" fillId="0" borderId="15" xfId="42443" applyNumberFormat="1" applyFont="1" applyBorder="1"/>
    <xf numFmtId="9" fontId="95" fillId="0" borderId="11" xfId="1022" applyFont="1" applyFill="1" applyBorder="1" applyAlignment="1" applyProtection="1">
      <alignment horizontal="right"/>
    </xf>
    <xf numFmtId="168" fontId="95" fillId="0" borderId="11" xfId="42444" applyNumberFormat="1" applyFont="1" applyFill="1" applyBorder="1" applyAlignment="1" applyProtection="1">
      <alignment horizontal="left" vertical="center" indent="1"/>
    </xf>
    <xf numFmtId="182" fontId="95" fillId="0" borderId="11" xfId="42443" applyNumberFormat="1" applyFont="1" applyBorder="1"/>
    <xf numFmtId="182" fontId="95" fillId="0" borderId="11" xfId="42443" applyNumberFormat="1" applyFont="1" applyBorder="1" applyAlignment="1">
      <alignment horizontal="left"/>
    </xf>
    <xf numFmtId="0" fontId="95" fillId="0" borderId="4" xfId="42443" applyFont="1" applyBorder="1"/>
    <xf numFmtId="0" fontId="134" fillId="0" borderId="4" xfId="42443" applyFont="1" applyBorder="1" applyAlignment="1">
      <alignment horizontal="left" indent="1"/>
    </xf>
    <xf numFmtId="182" fontId="95" fillId="0" borderId="13" xfId="42443" applyNumberFormat="1" applyFont="1" applyBorder="1"/>
    <xf numFmtId="0" fontId="137" fillId="0" borderId="0" xfId="42443" applyFont="1"/>
    <xf numFmtId="182" fontId="95" fillId="0" borderId="75" xfId="42443" applyNumberFormat="1" applyFont="1" applyBorder="1"/>
    <xf numFmtId="164" fontId="95" fillId="0" borderId="0" xfId="42443" applyNumberFormat="1" applyFont="1" applyAlignment="1">
      <alignment wrapText="1"/>
    </xf>
    <xf numFmtId="182" fontId="95" fillId="0" borderId="11" xfId="700" applyNumberFormat="1" applyFont="1" applyBorder="1" applyProtection="1"/>
    <xf numFmtId="0" fontId="95" fillId="0" borderId="0" xfId="42443" applyFont="1" applyAlignment="1">
      <alignment vertical="center"/>
    </xf>
    <xf numFmtId="164" fontId="95" fillId="0" borderId="0" xfId="42443" applyNumberFormat="1" applyFont="1" applyAlignment="1">
      <alignment vertical="center" wrapText="1"/>
    </xf>
    <xf numFmtId="0" fontId="95" fillId="0" borderId="0" xfId="42443" applyFont="1" applyAlignment="1">
      <alignment horizontal="center" vertical="center"/>
    </xf>
    <xf numFmtId="9" fontId="95" fillId="0" borderId="0" xfId="42444" applyFont="1" applyFill="1" applyBorder="1" applyAlignment="1" applyProtection="1">
      <alignment vertical="center"/>
    </xf>
    <xf numFmtId="9" fontId="95" fillId="0" borderId="0" xfId="42444" applyFont="1" applyBorder="1" applyAlignment="1" applyProtection="1">
      <alignment vertical="center"/>
    </xf>
    <xf numFmtId="183" fontId="95" fillId="0" borderId="0" xfId="42443" applyNumberFormat="1" applyFont="1" applyAlignment="1">
      <alignment vertical="center" wrapText="1"/>
    </xf>
    <xf numFmtId="175" fontId="95" fillId="0" borderId="0" xfId="42444" applyNumberFormat="1" applyFont="1" applyFill="1" applyBorder="1" applyAlignment="1" applyProtection="1">
      <alignment horizontal="left" vertical="center"/>
    </xf>
    <xf numFmtId="182" fontId="95" fillId="0" borderId="0" xfId="42443" applyNumberFormat="1" applyFont="1" applyAlignment="1">
      <alignment vertical="center"/>
    </xf>
    <xf numFmtId="0" fontId="95" fillId="0" borderId="44" xfId="42443" applyFont="1" applyBorder="1" applyAlignment="1">
      <alignment vertical="center"/>
    </xf>
    <xf numFmtId="175" fontId="134" fillId="0" borderId="42" xfId="1022" applyNumberFormat="1" applyFont="1" applyFill="1" applyBorder="1" applyAlignment="1" applyProtection="1">
      <alignment horizontal="center" vertical="center"/>
    </xf>
    <xf numFmtId="9" fontId="134" fillId="0" borderId="42" xfId="42444" applyFont="1" applyFill="1" applyBorder="1" applyAlignment="1" applyProtection="1">
      <alignment vertical="center"/>
    </xf>
    <xf numFmtId="0" fontId="134" fillId="0" borderId="42" xfId="42443" applyFont="1" applyBorder="1" applyAlignment="1">
      <alignment vertical="center"/>
    </xf>
    <xf numFmtId="0" fontId="95" fillId="0" borderId="42" xfId="42443" applyFont="1" applyBorder="1" applyAlignment="1">
      <alignment vertical="center"/>
    </xf>
    <xf numFmtId="175" fontId="95" fillId="0" borderId="42" xfId="42444" applyNumberFormat="1" applyFont="1" applyFill="1" applyBorder="1" applyAlignment="1" applyProtection="1">
      <alignment horizontal="left" vertical="center"/>
    </xf>
    <xf numFmtId="182" fontId="95" fillId="0" borderId="88" xfId="42443" applyNumberFormat="1" applyFont="1" applyBorder="1" applyAlignment="1">
      <alignment vertical="center"/>
    </xf>
    <xf numFmtId="0" fontId="95" fillId="0" borderId="41" xfId="42443" applyFont="1" applyBorder="1" applyAlignment="1">
      <alignment vertical="center"/>
    </xf>
    <xf numFmtId="5" fontId="95" fillId="0" borderId="6" xfId="42443" applyNumberFormat="1" applyFont="1" applyBorder="1" applyAlignment="1">
      <alignment vertical="center"/>
    </xf>
    <xf numFmtId="0" fontId="169" fillId="0" borderId="0" xfId="42443" applyFont="1" applyAlignment="1">
      <alignment horizontal="right" vertical="center"/>
    </xf>
    <xf numFmtId="175" fontId="95" fillId="0" borderId="0" xfId="42444" applyNumberFormat="1" applyFont="1" applyFill="1" applyBorder="1" applyAlignment="1" applyProtection="1">
      <alignment horizontal="right" vertical="center"/>
    </xf>
    <xf numFmtId="0" fontId="134" fillId="0" borderId="0" xfId="42443" applyFont="1" applyAlignment="1">
      <alignment vertical="center"/>
    </xf>
    <xf numFmtId="0" fontId="95" fillId="0" borderId="67" xfId="42443" applyFont="1" applyBorder="1" applyAlignment="1">
      <alignment vertical="center"/>
    </xf>
    <xf numFmtId="0" fontId="95" fillId="0" borderId="31" xfId="42443" applyFont="1" applyBorder="1" applyAlignment="1">
      <alignment vertical="center"/>
    </xf>
    <xf numFmtId="5" fontId="95" fillId="0" borderId="29" xfId="42443" applyNumberFormat="1" applyFont="1" applyBorder="1" applyAlignment="1">
      <alignment vertical="center"/>
    </xf>
    <xf numFmtId="0" fontId="95" fillId="0" borderId="29" xfId="42443" applyFont="1" applyBorder="1" applyAlignment="1">
      <alignment vertical="center"/>
    </xf>
    <xf numFmtId="0" fontId="95" fillId="0" borderId="29" xfId="42443" applyFont="1" applyBorder="1" applyAlignment="1">
      <alignment horizontal="right" vertical="center"/>
    </xf>
    <xf numFmtId="0" fontId="134" fillId="0" borderId="29" xfId="42443" applyFont="1" applyBorder="1" applyAlignment="1">
      <alignment vertical="center"/>
    </xf>
    <xf numFmtId="0" fontId="95" fillId="0" borderId="66" xfId="42443" applyFont="1" applyBorder="1" applyAlignment="1">
      <alignment vertical="center"/>
    </xf>
    <xf numFmtId="49" fontId="95" fillId="0" borderId="0" xfId="42443" applyNumberFormat="1" applyFont="1" applyAlignment="1">
      <alignment horizontal="center" vertical="center"/>
    </xf>
    <xf numFmtId="0" fontId="136" fillId="0" borderId="0" xfId="42443" applyFont="1" applyAlignment="1">
      <alignment vertical="center" wrapText="1"/>
    </xf>
    <xf numFmtId="181" fontId="135" fillId="0" borderId="0" xfId="42445" applyNumberFormat="1" applyFont="1" applyBorder="1" applyProtection="1"/>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4" fontId="13" fillId="0" borderId="0" xfId="1192" applyNumberFormat="1" applyFont="1" applyFill="1" applyAlignment="1" applyProtection="1">
      <alignment horizontal="left" vertical="top" wrapText="1"/>
    </xf>
    <xf numFmtId="0" fontId="20" fillId="0" borderId="4" xfId="569"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13" fillId="0" borderId="0" xfId="1192" applyFont="1" applyFill="1" applyBorder="1" applyAlignment="1" applyProtection="1">
      <alignment horizontal="left" vertical="top" wrapText="1"/>
    </xf>
    <xf numFmtId="0" fontId="13" fillId="0" borderId="0" xfId="1192"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13" fillId="0" borderId="0" xfId="0"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31" fillId="0" borderId="0" xfId="569" applyFont="1" applyAlignment="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2" applyNumberFormat="1" applyFont="1" applyAlignment="1" applyProtection="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69" applyFont="1" applyBorder="1" applyAlignment="1" applyProtection="1">
      <alignment horizontal="left" vertical="top"/>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69" applyNumberFormat="1" applyFont="1" applyFill="1" applyAlignment="1" applyProtection="1">
      <alignment horizontal="left"/>
    </xf>
    <xf numFmtId="4" fontId="31" fillId="0" borderId="0" xfId="569" applyNumberFormat="1" applyFont="1" applyFill="1" applyAlignment="1" applyProtection="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2" applyFont="1" applyFill="1" applyAlignment="1">
      <alignment horizontal="left" vertical="top" wrapText="1"/>
    </xf>
    <xf numFmtId="0" fontId="20" fillId="0" borderId="0" xfId="1192"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vertical="top"/>
    </xf>
    <xf numFmtId="0" fontId="13" fillId="0" borderId="0" xfId="569" applyFont="1" applyFill="1" applyAlignment="1">
      <alignment vertical="top" wrapText="1"/>
    </xf>
    <xf numFmtId="0" fontId="13" fillId="0" borderId="0" xfId="569" applyFont="1" applyAlignment="1">
      <alignment vertical="top" wrapText="1"/>
    </xf>
    <xf numFmtId="0" fontId="13" fillId="0" borderId="0" xfId="569" applyFont="1" applyAlignment="1" applyProtection="1">
      <alignment horizontal="left"/>
    </xf>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13" fillId="0" borderId="0" xfId="569" applyFont="1" applyAlignment="1" applyProtection="1">
      <alignment horizontal="left" vertical="top" wrapText="1"/>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3" fillId="0" borderId="0" xfId="569" applyFont="1" applyBorder="1" applyAlignment="1">
      <alignment horizontal="left" vertical="top" wrapText="1"/>
    </xf>
    <xf numFmtId="0" fontId="14" fillId="0" borderId="0" xfId="244" applyNumberFormat="1" applyFill="1" applyAlignment="1" applyProtection="1">
      <alignment horizontal="left"/>
    </xf>
    <xf numFmtId="0" fontId="13" fillId="0" borderId="0" xfId="569" applyFont="1" applyFill="1" applyAlignment="1" applyProtection="1">
      <alignment horizontal="left" vertical="top" wrapText="1"/>
    </xf>
    <xf numFmtId="0" fontId="13" fillId="0" borderId="0" xfId="569" applyFill="1" applyAlignment="1" applyProtection="1"/>
    <xf numFmtId="0" fontId="13" fillId="0" borderId="0" xfId="569" applyFont="1" applyFill="1" applyAlignment="1">
      <alignment horizontal="left" vertical="center" wrapText="1"/>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31" fillId="0" borderId="0" xfId="569" applyFont="1" applyAlignment="1" applyProtection="1">
      <alignment horizontal="left"/>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4" fillId="0" borderId="0" xfId="244" applyAlignment="1" applyProtection="1">
      <alignment horizontal="left" vertical="top" wrapText="1"/>
    </xf>
    <xf numFmtId="0" fontId="13" fillId="0" borderId="0" xfId="569" applyFont="1" applyFill="1" applyAlignment="1">
      <alignment horizontal="left"/>
    </xf>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1192" applyFont="1" applyAlignment="1" applyProtection="1">
      <alignment vertical="top" wrapText="1"/>
    </xf>
    <xf numFmtId="0" fontId="31" fillId="0" borderId="0" xfId="569" applyFont="1" applyFill="1" applyAlignment="1">
      <alignment horizontal="lef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1" xfId="0" applyBorder="1" applyAlignment="1" applyProtection="1">
      <alignment horizontal="center"/>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0" fillId="0" borderId="6" xfId="0" applyFill="1" applyBorder="1" applyAlignment="1" applyProtection="1">
      <alignment horizontal="left"/>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22" fillId="45" borderId="11"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0" borderId="11" xfId="0"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2" borderId="11" xfId="0" applyFont="1" applyFill="1" applyBorder="1" applyAlignment="1" applyProtection="1">
      <alignment horizontal="center"/>
    </xf>
    <xf numFmtId="0" fontId="13"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2"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9" fontId="165" fillId="44" borderId="8" xfId="0" applyNumberFormat="1" applyFont="1" applyFill="1" applyBorder="1" applyAlignment="1" applyProtection="1">
      <alignment horizontal="center"/>
    </xf>
    <xf numFmtId="9" fontId="165" fillId="44" borderId="0" xfId="0" applyNumberFormat="1" applyFont="1" applyFill="1" applyBorder="1" applyAlignment="1" applyProtection="1">
      <alignment horizontal="center"/>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2" fillId="5" borderId="5"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3" fillId="0" borderId="1" xfId="0" applyFont="1" applyFill="1" applyBorder="1" applyAlignment="1" applyProtection="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3" fontId="41" fillId="10"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0" fillId="0" borderId="7"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10" xfId="0" applyFont="1" applyBorder="1" applyAlignment="1" applyProtection="1">
      <alignment horizontal="center" wrapText="1"/>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Font="1" applyBorder="1" applyAlignment="1" applyProtection="1">
      <alignment horizontal="center"/>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165" fillId="44" borderId="8" xfId="0" applyFont="1" applyFill="1" applyBorder="1" applyAlignment="1" applyProtection="1">
      <alignment horizontal="center" vertical="top" wrapText="1"/>
    </xf>
    <xf numFmtId="0" fontId="165"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2" fillId="5" borderId="6" xfId="0" applyFont="1" applyFill="1" applyBorder="1" applyAlignment="1" applyProtection="1">
      <alignment horizontal="left" wrapText="1"/>
      <protection locked="0"/>
    </xf>
    <xf numFmtId="0" fontId="13" fillId="0" borderId="0" xfId="0" applyFont="1" applyFill="1" applyAlignment="1" applyProtection="1">
      <alignment horizontal="left"/>
      <protection locked="0"/>
    </xf>
    <xf numFmtId="166" fontId="13" fillId="5" borderId="6" xfId="1192" applyNumberFormat="1" applyFill="1" applyBorder="1" applyAlignment="1" applyProtection="1">
      <alignment horizontal="left"/>
      <protection locked="0"/>
    </xf>
    <xf numFmtId="0" fontId="22" fillId="0" borderId="6" xfId="0" applyFont="1" applyBorder="1" applyAlignment="1" applyProtection="1">
      <alignment horizontal="left"/>
    </xf>
    <xf numFmtId="168" fontId="22" fillId="0" borderId="6" xfId="0" applyNumberFormat="1" applyFont="1" applyFill="1" applyBorder="1" applyAlignment="1" applyProtection="1">
      <alignment horizontal="center"/>
    </xf>
    <xf numFmtId="0" fontId="13" fillId="5" borderId="6" xfId="0" applyFont="1" applyFill="1" applyBorder="1" applyAlignment="1" applyProtection="1">
      <alignment horizontal="left" wrapText="1"/>
      <protection locked="0"/>
    </xf>
    <xf numFmtId="0" fontId="21" fillId="0" borderId="0" xfId="0" applyFont="1" applyAlignment="1" applyProtection="1">
      <alignment horizontal="center"/>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0" borderId="0" xfId="0" applyBorder="1" applyAlignment="1" applyProtection="1">
      <alignment horizontal="center"/>
    </xf>
    <xf numFmtId="0" fontId="13" fillId="5" borderId="0" xfId="244" applyFont="1" applyFill="1" applyBorder="1" applyAlignment="1" applyProtection="1">
      <alignment horizontal="left"/>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3" fontId="22" fillId="5" borderId="11" xfId="0" applyNumberFormat="1" applyFont="1" applyFill="1" applyBorder="1" applyAlignment="1" applyProtection="1">
      <alignment horizontal="center"/>
      <protection locked="0"/>
    </xf>
    <xf numFmtId="0" fontId="13" fillId="0" borderId="0" xfId="0" applyFont="1" applyAlignment="1" applyProtection="1">
      <alignment horizontal="left" wrapText="1"/>
    </xf>
    <xf numFmtId="168" fontId="22" fillId="0" borderId="11" xfId="0" applyNumberFormat="1" applyFont="1" applyFill="1" applyBorder="1" applyAlignment="1" applyProtection="1">
      <alignment horizontal="center"/>
    </xf>
    <xf numFmtId="0" fontId="13" fillId="43" borderId="4" xfId="0" applyFont="1" applyFill="1" applyBorder="1" applyAlignment="1" applyProtection="1">
      <alignment horizontal="left" wrapText="1"/>
      <protection locked="0"/>
    </xf>
    <xf numFmtId="0" fontId="22" fillId="5" borderId="11" xfId="0"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2" fillId="5" borderId="9"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0" fontId="20" fillId="0" borderId="11" xfId="0" applyFont="1" applyFill="1" applyBorder="1" applyAlignment="1" applyProtection="1">
      <alignment horizontal="center" vertical="top" wrapText="1"/>
    </xf>
    <xf numFmtId="0" fontId="22" fillId="5" borderId="4" xfId="0" applyFont="1" applyFill="1" applyBorder="1" applyAlignment="1" applyProtection="1">
      <alignment horizontal="right"/>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180" fontId="21" fillId="43" borderId="3" xfId="0" applyNumberFormat="1" applyFont="1" applyFill="1" applyBorder="1" applyAlignment="1" applyProtection="1">
      <alignment horizontal="center"/>
      <protection locked="0"/>
    </xf>
    <xf numFmtId="180" fontId="21" fillId="43" borderId="4" xfId="0" applyNumberFormat="1" applyFont="1" applyFill="1" applyBorder="1" applyAlignment="1" applyProtection="1">
      <alignment horizontal="center"/>
      <protection locked="0"/>
    </xf>
    <xf numFmtId="180" fontId="21" fillId="43" borderId="5" xfId="0" applyNumberFormat="1"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5" xfId="0" applyFont="1" applyFill="1" applyBorder="1" applyAlignment="1" applyProtection="1">
      <alignment horizontal="center"/>
    </xf>
    <xf numFmtId="168" fontId="13" fillId="43" borderId="3" xfId="0" applyNumberFormat="1" applyFont="1" applyFill="1" applyBorder="1" applyAlignment="1" applyProtection="1">
      <alignment horizontal="center"/>
      <protection locked="0"/>
    </xf>
    <xf numFmtId="168" fontId="13" fillId="43" borderId="4" xfId="0" applyNumberFormat="1" applyFont="1" applyFill="1" applyBorder="1" applyAlignment="1" applyProtection="1">
      <alignment horizontal="center"/>
      <protection locked="0"/>
    </xf>
    <xf numFmtId="168" fontId="13"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5" xfId="0" applyBorder="1" applyAlignment="1" applyProtection="1">
      <alignment horizontal="left"/>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8" fontId="22" fillId="5" borderId="4" xfId="0" applyNumberFormat="1" applyFont="1" applyFill="1" applyBorder="1" applyAlignment="1" applyProtection="1">
      <alignment horizontal="right"/>
      <protection locked="0"/>
    </xf>
    <xf numFmtId="0" fontId="20" fillId="0" borderId="3" xfId="29797" applyFont="1" applyBorder="1" applyAlignment="1">
      <alignment horizontal="left"/>
    </xf>
    <xf numFmtId="0" fontId="20" fillId="0" borderId="4" xfId="29797" applyFont="1" applyBorder="1" applyAlignment="1">
      <alignment horizontal="left"/>
    </xf>
    <xf numFmtId="0" fontId="20" fillId="0" borderId="5" xfId="29797" applyFont="1" applyBorder="1" applyAlignment="1">
      <alignment horizontal="left"/>
    </xf>
    <xf numFmtId="0" fontId="13" fillId="5" borderId="11" xfId="29797" applyFill="1" applyBorder="1" applyAlignment="1" applyProtection="1">
      <alignment horizontal="center"/>
      <protection locked="0"/>
    </xf>
    <xf numFmtId="0" fontId="13" fillId="0" borderId="11" xfId="29797" applyBorder="1" applyAlignment="1">
      <alignment horizontal="center"/>
    </xf>
    <xf numFmtId="0" fontId="20" fillId="0" borderId="3" xfId="29797" applyFont="1" applyBorder="1" applyAlignment="1">
      <alignment horizontal="center"/>
    </xf>
    <xf numFmtId="0" fontId="20" fillId="0" borderId="4" xfId="29797" applyFont="1" applyBorder="1" applyAlignment="1">
      <alignment horizontal="center"/>
    </xf>
    <xf numFmtId="0" fontId="20" fillId="0" borderId="5" xfId="29797" applyFont="1" applyBorder="1" applyAlignment="1">
      <alignment horizontal="center"/>
    </xf>
    <xf numFmtId="164" fontId="61" fillId="0" borderId="1" xfId="29797" applyNumberFormat="1" applyFont="1" applyBorder="1" applyAlignment="1">
      <alignment horizontal="right" vertical="center"/>
    </xf>
    <xf numFmtId="164" fontId="61" fillId="0" borderId="2" xfId="29797" applyNumberFormat="1" applyFont="1" applyBorder="1" applyAlignment="1">
      <alignment horizontal="right" vertical="center"/>
    </xf>
    <xf numFmtId="164" fontId="61" fillId="0" borderId="7" xfId="29797" applyNumberFormat="1" applyFont="1" applyBorder="1" applyAlignment="1">
      <alignment horizontal="right" vertical="center"/>
    </xf>
    <xf numFmtId="164" fontId="61" fillId="0" borderId="9" xfId="29797" applyNumberFormat="1" applyFont="1" applyBorder="1" applyAlignment="1">
      <alignment horizontal="right" vertical="center"/>
    </xf>
    <xf numFmtId="164" fontId="61" fillId="0" borderId="6" xfId="29797" applyNumberFormat="1" applyFont="1" applyBorder="1" applyAlignment="1">
      <alignment horizontal="right" vertical="center"/>
    </xf>
    <xf numFmtId="164" fontId="61" fillId="0" borderId="10" xfId="29797" applyNumberFormat="1" applyFont="1" applyBorder="1" applyAlignment="1">
      <alignment horizontal="right" vertical="center"/>
    </xf>
    <xf numFmtId="180" fontId="61" fillId="0" borderId="1" xfId="29797" applyNumberFormat="1" applyFont="1" applyBorder="1" applyAlignment="1">
      <alignment horizontal="center" vertical="center"/>
    </xf>
    <xf numFmtId="180" fontId="61" fillId="0" borderId="2" xfId="29797" applyNumberFormat="1" applyFont="1" applyBorder="1" applyAlignment="1">
      <alignment horizontal="center" vertical="center"/>
    </xf>
    <xf numFmtId="180" fontId="61" fillId="0" borderId="7" xfId="29797" applyNumberFormat="1" applyFont="1" applyBorder="1" applyAlignment="1">
      <alignment horizontal="center" vertical="center"/>
    </xf>
    <xf numFmtId="180" fontId="61" fillId="0" borderId="9" xfId="29797" applyNumberFormat="1" applyFont="1" applyBorder="1" applyAlignment="1">
      <alignment horizontal="center" vertical="center"/>
    </xf>
    <xf numFmtId="180" fontId="61" fillId="0" borderId="6" xfId="29797" applyNumberFormat="1" applyFont="1" applyBorder="1" applyAlignment="1">
      <alignment horizontal="center" vertical="center"/>
    </xf>
    <xf numFmtId="180" fontId="61" fillId="0" borderId="10" xfId="29797" applyNumberFormat="1" applyFont="1" applyBorder="1" applyAlignment="1">
      <alignment horizontal="center" vertical="center"/>
    </xf>
    <xf numFmtId="1" fontId="20" fillId="0" borderId="11" xfId="29797" applyNumberFormat="1" applyFont="1" applyBorder="1" applyAlignment="1">
      <alignment horizontal="center"/>
    </xf>
    <xf numFmtId="0" fontId="20" fillId="0" borderId="11" xfId="29797" applyFont="1" applyBorder="1" applyAlignment="1">
      <alignment horizontal="center"/>
    </xf>
    <xf numFmtId="1" fontId="13" fillId="0" borderId="11" xfId="29797" applyNumberFormat="1" applyBorder="1" applyAlignment="1">
      <alignment horizontal="center"/>
    </xf>
    <xf numFmtId="0" fontId="13" fillId="0" borderId="3" xfId="29797" applyBorder="1" applyAlignment="1">
      <alignment horizontal="center"/>
    </xf>
    <xf numFmtId="0" fontId="13" fillId="0" borderId="4" xfId="29797" applyBorder="1" applyAlignment="1">
      <alignment horizontal="center"/>
    </xf>
    <xf numFmtId="0" fontId="13" fillId="0" borderId="5" xfId="29797" applyBorder="1" applyAlignment="1">
      <alignment horizontal="center"/>
    </xf>
    <xf numFmtId="1" fontId="13" fillId="46" borderId="11" xfId="29797" applyNumberFormat="1" applyFill="1" applyBorder="1" applyAlignment="1">
      <alignment horizontal="center"/>
    </xf>
    <xf numFmtId="0" fontId="20" fillId="0" borderId="3" xfId="29797" applyFont="1" applyBorder="1" applyAlignment="1">
      <alignment horizontal="center" wrapText="1"/>
    </xf>
    <xf numFmtId="0" fontId="20" fillId="0" borderId="4" xfId="29797" applyFont="1" applyBorder="1" applyAlignment="1">
      <alignment horizontal="center" wrapText="1"/>
    </xf>
    <xf numFmtId="0" fontId="20" fillId="0" borderId="5" xfId="29797" applyFont="1" applyBorder="1" applyAlignment="1">
      <alignment horizontal="center" wrapText="1"/>
    </xf>
    <xf numFmtId="0" fontId="13" fillId="0" borderId="4" xfId="29797" applyBorder="1" applyAlignment="1">
      <alignment horizontal="left"/>
    </xf>
    <xf numFmtId="0" fontId="13" fillId="0" borderId="5" xfId="29797" applyBorder="1" applyAlignment="1">
      <alignment horizontal="left"/>
    </xf>
    <xf numFmtId="1" fontId="20" fillId="0" borderId="4" xfId="29797" applyNumberFormat="1" applyFont="1" applyBorder="1" applyAlignment="1">
      <alignment horizontal="center" wrapText="1"/>
    </xf>
    <xf numFmtId="49" fontId="19" fillId="3" borderId="2" xfId="29797" applyNumberFormat="1" applyFont="1" applyFill="1" applyBorder="1" applyAlignment="1">
      <alignment horizontal="center" vertical="center" wrapText="1"/>
    </xf>
    <xf numFmtId="49" fontId="19" fillId="3" borderId="2" xfId="29797" applyNumberFormat="1" applyFont="1" applyFill="1" applyBorder="1" applyAlignment="1">
      <alignment horizontal="center" vertical="center"/>
    </xf>
    <xf numFmtId="49" fontId="19" fillId="3" borderId="0" xfId="29797" applyNumberFormat="1" applyFont="1" applyFill="1" applyAlignment="1">
      <alignment horizontal="center" vertical="center"/>
    </xf>
    <xf numFmtId="0" fontId="20" fillId="0" borderId="0" xfId="29797" applyFont="1" applyAlignment="1">
      <alignment horizontal="center"/>
    </xf>
    <xf numFmtId="0" fontId="20" fillId="0" borderId="1" xfId="29797" applyFont="1" applyBorder="1" applyAlignment="1">
      <alignment horizontal="center" wrapText="1"/>
    </xf>
    <xf numFmtId="0" fontId="20" fillId="0" borderId="2" xfId="29797" applyFont="1" applyBorder="1" applyAlignment="1">
      <alignment horizontal="center" wrapText="1"/>
    </xf>
    <xf numFmtId="0" fontId="20" fillId="0" borderId="7" xfId="29797" applyFont="1" applyBorder="1" applyAlignment="1">
      <alignment horizontal="center" wrapText="1"/>
    </xf>
    <xf numFmtId="0" fontId="20" fillId="0" borderId="9" xfId="29797" applyFont="1" applyBorder="1" applyAlignment="1">
      <alignment horizontal="center" wrapText="1"/>
    </xf>
    <xf numFmtId="0" fontId="20" fillId="0" borderId="6" xfId="29797" applyFont="1" applyBorder="1" applyAlignment="1">
      <alignment horizontal="center" wrapText="1"/>
    </xf>
    <xf numFmtId="0" fontId="20" fillId="0" borderId="10" xfId="29797" applyFont="1" applyBorder="1" applyAlignment="1">
      <alignment horizontal="center" wrapText="1"/>
    </xf>
    <xf numFmtId="0" fontId="13" fillId="0" borderId="0" xfId="29797" applyAlignment="1">
      <alignment horizontal="left" vertical="top" wrapText="1"/>
    </xf>
    <xf numFmtId="0" fontId="20" fillId="0" borderId="0" xfId="29797" applyFont="1" applyAlignment="1">
      <alignment horizontal="center" vertical="top"/>
    </xf>
    <xf numFmtId="0" fontId="13" fillId="5" borderId="6" xfId="29797" applyFill="1" applyBorder="1" applyAlignment="1" applyProtection="1">
      <alignment horizontal="center" vertical="center" wrapText="1" shrinkToFit="1"/>
      <protection locked="0"/>
    </xf>
    <xf numFmtId="0" fontId="20" fillId="0" borderId="0" xfId="29797" applyFont="1" applyAlignment="1">
      <alignment horizontal="left" vertical="top" wrapText="1"/>
    </xf>
    <xf numFmtId="0" fontId="13" fillId="0" borderId="0" xfId="29797" applyAlignment="1">
      <alignment horizontal="left" vertical="top" wrapText="1" shrinkToFit="1"/>
    </xf>
    <xf numFmtId="44" fontId="13" fillId="0" borderId="0" xfId="707" applyFont="1" applyFill="1" applyBorder="1" applyAlignment="1" applyProtection="1">
      <alignment horizontal="left" vertical="top" wrapText="1"/>
    </xf>
    <xf numFmtId="0" fontId="21" fillId="0" borderId="0" xfId="29797" applyFont="1" applyAlignment="1">
      <alignment horizontal="center"/>
    </xf>
    <xf numFmtId="0" fontId="13" fillId="5" borderId="6" xfId="29797" applyFill="1" applyBorder="1" applyAlignment="1" applyProtection="1">
      <alignment horizontal="center"/>
      <protection locked="0"/>
    </xf>
    <xf numFmtId="0" fontId="13" fillId="0" borderId="0" xfId="29797" applyAlignment="1">
      <alignment horizontal="left" vertical="center" wrapText="1" shrinkToFit="1"/>
    </xf>
    <xf numFmtId="0" fontId="13" fillId="43" borderId="6" xfId="1192" applyFill="1" applyBorder="1" applyAlignment="1" applyProtection="1">
      <alignment horizontal="left" vertical="top"/>
      <protection locked="0"/>
    </xf>
    <xf numFmtId="0" fontId="13" fillId="5" borderId="6" xfId="29797" applyFill="1" applyBorder="1" applyAlignment="1" applyProtection="1">
      <alignment horizontal="left" wrapText="1" shrinkToFit="1"/>
      <protection locked="0"/>
    </xf>
    <xf numFmtId="1" fontId="13" fillId="0" borderId="4" xfId="42443" applyNumberFormat="1" applyFont="1" applyBorder="1" applyAlignment="1">
      <alignment horizontal="center"/>
    </xf>
    <xf numFmtId="1" fontId="13" fillId="0" borderId="5" xfId="42443" applyNumberFormat="1" applyFont="1" applyBorder="1" applyAlignment="1">
      <alignment horizontal="center"/>
    </xf>
    <xf numFmtId="4" fontId="21" fillId="0" borderId="3" xfId="29797" applyNumberFormat="1" applyFont="1" applyBorder="1" applyAlignment="1">
      <alignment horizontal="center"/>
    </xf>
    <xf numFmtId="4" fontId="21" fillId="0" borderId="4" xfId="29797" applyNumberFormat="1" applyFont="1" applyBorder="1" applyAlignment="1">
      <alignment horizontal="center"/>
    </xf>
    <xf numFmtId="4" fontId="21" fillId="0" borderId="5" xfId="29797" applyNumberFormat="1" applyFont="1" applyBorder="1" applyAlignment="1">
      <alignment horizontal="center"/>
    </xf>
    <xf numFmtId="0" fontId="20" fillId="0" borderId="0" xfId="29797" applyFont="1" applyAlignment="1">
      <alignment horizontal="right"/>
    </xf>
    <xf numFmtId="9" fontId="13" fillId="0" borderId="4" xfId="42443" applyNumberFormat="1" applyFont="1" applyBorder="1" applyAlignment="1">
      <alignment horizontal="center"/>
    </xf>
    <xf numFmtId="4" fontId="21" fillId="0" borderId="6" xfId="29797" applyNumberFormat="1" applyFont="1" applyBorder="1" applyAlignment="1">
      <alignment horizontal="center"/>
    </xf>
    <xf numFmtId="10" fontId="21" fillId="0" borderId="2" xfId="29797" applyNumberFormat="1" applyFont="1" applyBorder="1" applyAlignment="1">
      <alignment horizontal="center"/>
    </xf>
    <xf numFmtId="0" fontId="13" fillId="0" borderId="50" xfId="42443" applyFont="1" applyBorder="1" applyAlignment="1">
      <alignment horizontal="left" wrapText="1"/>
    </xf>
    <xf numFmtId="0" fontId="13" fillId="0" borderId="51" xfId="42443" applyFont="1" applyBorder="1" applyAlignment="1">
      <alignment horizontal="left" wrapText="1"/>
    </xf>
    <xf numFmtId="0" fontId="13" fillId="0" borderId="52" xfId="42443" applyFont="1" applyBorder="1" applyAlignment="1">
      <alignment horizontal="left" wrapText="1"/>
    </xf>
    <xf numFmtId="0" fontId="13" fillId="0" borderId="53" xfId="42443" applyFont="1" applyBorder="1" applyAlignment="1">
      <alignment horizontal="left" wrapText="1"/>
    </xf>
    <xf numFmtId="0" fontId="13" fillId="0" borderId="0" xfId="42443" applyFont="1" applyAlignment="1">
      <alignment horizontal="left" wrapText="1"/>
    </xf>
    <xf numFmtId="0" fontId="13" fillId="0" borderId="54" xfId="42443" applyFont="1" applyBorder="1" applyAlignment="1">
      <alignment horizontal="left" wrapText="1"/>
    </xf>
    <xf numFmtId="0" fontId="13" fillId="0" borderId="57" xfId="42443" applyFont="1" applyBorder="1" applyAlignment="1">
      <alignment horizontal="left" wrapText="1"/>
    </xf>
    <xf numFmtId="0" fontId="13" fillId="0" borderId="58" xfId="42443" applyFont="1" applyBorder="1" applyAlignment="1">
      <alignment horizontal="left" wrapText="1"/>
    </xf>
    <xf numFmtId="0" fontId="13" fillId="0" borderId="59" xfId="42443" applyFont="1" applyBorder="1" applyAlignment="1">
      <alignment horizontal="left" wrapText="1"/>
    </xf>
    <xf numFmtId="4" fontId="21" fillId="0" borderId="0" xfId="29797" applyNumberFormat="1" applyFont="1" applyAlignment="1">
      <alignment horizontal="center"/>
    </xf>
    <xf numFmtId="0" fontId="13" fillId="0" borderId="53" xfId="29797" applyBorder="1" applyAlignment="1">
      <alignment horizontal="left" vertical="top" wrapText="1"/>
    </xf>
    <xf numFmtId="0" fontId="13" fillId="0" borderId="54" xfId="29797" applyBorder="1" applyAlignment="1">
      <alignment horizontal="left" vertical="top" wrapText="1"/>
    </xf>
    <xf numFmtId="0" fontId="13" fillId="0" borderId="57" xfId="29797" applyBorder="1" applyAlignment="1">
      <alignment horizontal="left" vertical="top" wrapText="1"/>
    </xf>
    <xf numFmtId="0" fontId="13" fillId="0" borderId="58" xfId="29797" applyBorder="1" applyAlignment="1">
      <alignment horizontal="left" vertical="top" wrapText="1"/>
    </xf>
    <xf numFmtId="168" fontId="13" fillId="0" borderId="6" xfId="42443" applyNumberFormat="1" applyFont="1" applyBorder="1" applyAlignment="1">
      <alignment horizontal="center"/>
    </xf>
    <xf numFmtId="168" fontId="13" fillId="0" borderId="4" xfId="42443" applyNumberFormat="1" applyFont="1" applyBorder="1" applyAlignment="1">
      <alignment horizontal="center"/>
    </xf>
    <xf numFmtId="0" fontId="13" fillId="5" borderId="55" xfId="29797" applyFill="1" applyBorder="1" applyAlignment="1">
      <alignment horizontal="center"/>
    </xf>
    <xf numFmtId="0" fontId="13" fillId="5" borderId="6" xfId="29797" applyFill="1" applyBorder="1" applyAlignment="1">
      <alignment horizontal="center"/>
    </xf>
    <xf numFmtId="0" fontId="21" fillId="5" borderId="0" xfId="29797" applyFont="1" applyFill="1" applyAlignment="1">
      <alignment horizontal="left" vertical="top" wrapText="1"/>
    </xf>
    <xf numFmtId="0" fontId="21" fillId="5" borderId="58" xfId="29797" applyFont="1" applyFill="1" applyBorder="1" applyAlignment="1">
      <alignment horizontal="left" vertical="top" wrapText="1"/>
    </xf>
    <xf numFmtId="0" fontId="119" fillId="0" borderId="50" xfId="42443" applyFont="1" applyBorder="1" applyAlignment="1">
      <alignment horizontal="left" wrapText="1"/>
    </xf>
    <xf numFmtId="0" fontId="119" fillId="0" borderId="51" xfId="42443" applyFont="1" applyBorder="1" applyAlignment="1">
      <alignment horizontal="left" wrapText="1"/>
    </xf>
    <xf numFmtId="0" fontId="119" fillId="0" borderId="52" xfId="42443" applyFont="1" applyBorder="1" applyAlignment="1">
      <alignment horizontal="left" wrapText="1"/>
    </xf>
    <xf numFmtId="0" fontId="119" fillId="0" borderId="57" xfId="42443" applyFont="1" applyBorder="1" applyAlignment="1">
      <alignment horizontal="left" wrapText="1"/>
    </xf>
    <xf numFmtId="0" fontId="119" fillId="0" borderId="58" xfId="42443" applyFont="1" applyBorder="1" applyAlignment="1">
      <alignment horizontal="left" wrapText="1"/>
    </xf>
    <xf numFmtId="0" fontId="119" fillId="0" borderId="59" xfId="42443" applyFont="1" applyBorder="1" applyAlignment="1">
      <alignment horizontal="left" wrapText="1"/>
    </xf>
    <xf numFmtId="0" fontId="13" fillId="5" borderId="50" xfId="29797" applyFill="1" applyBorder="1" applyAlignment="1">
      <alignment horizontal="center"/>
    </xf>
    <xf numFmtId="0" fontId="13" fillId="5" borderId="51" xfId="29797" applyFill="1" applyBorder="1" applyAlignment="1">
      <alignment horizontal="center"/>
    </xf>
    <xf numFmtId="0" fontId="13" fillId="0" borderId="53" xfId="29797" applyBorder="1" applyAlignment="1">
      <alignment horizontal="center"/>
    </xf>
    <xf numFmtId="0" fontId="13" fillId="0" borderId="0" xfId="29797" applyAlignment="1">
      <alignment horizontal="center"/>
    </xf>
    <xf numFmtId="0" fontId="21" fillId="5" borderId="0" xfId="29797" applyFont="1" applyFill="1" applyAlignment="1">
      <alignment horizontal="left" vertical="top"/>
    </xf>
    <xf numFmtId="0" fontId="13" fillId="5" borderId="53" xfId="29797" applyFill="1" applyBorder="1" applyAlignment="1">
      <alignment horizontal="center"/>
    </xf>
    <xf numFmtId="0" fontId="13" fillId="5" borderId="0" xfId="29797" applyFill="1" applyAlignment="1">
      <alignment horizontal="center"/>
    </xf>
    <xf numFmtId="0" fontId="21" fillId="0" borderId="0" xfId="29797" applyFont="1" applyAlignment="1">
      <alignment horizontal="left" vertical="top" wrapText="1"/>
    </xf>
    <xf numFmtId="0" fontId="21" fillId="0" borderId="58" xfId="29797" applyFont="1" applyBorder="1" applyAlignment="1">
      <alignment horizontal="left" vertical="top" wrapText="1"/>
    </xf>
    <xf numFmtId="0" fontId="50" fillId="0" borderId="51" xfId="29797" applyFont="1" applyBorder="1" applyAlignment="1">
      <alignment horizontal="left" wrapText="1"/>
    </xf>
    <xf numFmtId="0" fontId="50" fillId="0" borderId="0" xfId="29797" applyFont="1" applyAlignment="1">
      <alignment horizontal="left" wrapText="1"/>
    </xf>
    <xf numFmtId="0" fontId="21" fillId="5" borderId="58" xfId="29797" applyFont="1" applyFill="1" applyBorder="1" applyAlignment="1">
      <alignment horizontal="left"/>
    </xf>
    <xf numFmtId="0" fontId="50" fillId="0" borderId="51" xfId="29797" applyFont="1" applyBorder="1" applyAlignment="1">
      <alignment horizontal="left" vertical="top" wrapText="1"/>
    </xf>
    <xf numFmtId="0" fontId="50" fillId="0" borderId="0" xfId="29797" applyFont="1" applyAlignment="1">
      <alignment horizontal="left" vertical="top" wrapText="1"/>
    </xf>
    <xf numFmtId="9" fontId="21" fillId="5" borderId="58" xfId="29797" applyNumberFormat="1" applyFont="1" applyFill="1" applyBorder="1" applyAlignment="1">
      <alignment horizontal="left"/>
    </xf>
    <xf numFmtId="9" fontId="21" fillId="5" borderId="6" xfId="29797" applyNumberFormat="1" applyFont="1" applyFill="1" applyBorder="1" applyAlignment="1">
      <alignment horizontal="left"/>
    </xf>
    <xf numFmtId="0" fontId="21" fillId="5" borderId="6" xfId="29797" applyFont="1" applyFill="1" applyBorder="1" applyAlignment="1">
      <alignment horizontal="left"/>
    </xf>
    <xf numFmtId="0" fontId="13" fillId="5" borderId="63" xfId="29797" applyFill="1" applyBorder="1" applyAlignment="1">
      <alignment horizontal="center"/>
    </xf>
    <xf numFmtId="0" fontId="13" fillId="5" borderId="64" xfId="29797" applyFill="1" applyBorder="1" applyAlignment="1">
      <alignment horizontal="center"/>
    </xf>
    <xf numFmtId="0" fontId="13" fillId="5" borderId="55" xfId="29797" applyFill="1" applyBorder="1" applyAlignment="1" applyProtection="1">
      <alignment horizontal="center"/>
      <protection locked="0"/>
    </xf>
    <xf numFmtId="0" fontId="21" fillId="0" borderId="51" xfId="29797" applyFont="1" applyBorder="1" applyAlignment="1">
      <alignment horizontal="left" vertical="top" wrapText="1"/>
    </xf>
    <xf numFmtId="0" fontId="20" fillId="0" borderId="51" xfId="29797" applyFont="1" applyBorder="1" applyAlignment="1">
      <alignment horizontal="center" vertical="top"/>
    </xf>
    <xf numFmtId="0" fontId="20" fillId="0" borderId="52" xfId="29797" applyFont="1" applyBorder="1" applyAlignment="1">
      <alignment horizontal="center" vertical="top"/>
    </xf>
    <xf numFmtId="0" fontId="20" fillId="0" borderId="54" xfId="29797" applyFont="1" applyBorder="1" applyAlignment="1">
      <alignment horizontal="center"/>
    </xf>
    <xf numFmtId="0" fontId="20" fillId="0" borderId="54" xfId="29797" applyFont="1" applyBorder="1" applyAlignment="1">
      <alignment horizontal="center" vertical="top"/>
    </xf>
    <xf numFmtId="0" fontId="13" fillId="5" borderId="63" xfId="29797" applyFill="1" applyBorder="1" applyAlignment="1" applyProtection="1">
      <alignment horizontal="center"/>
      <protection locked="0"/>
    </xf>
    <xf numFmtId="0" fontId="13" fillId="5" borderId="64" xfId="29797" applyFill="1" applyBorder="1" applyAlignment="1" applyProtection="1">
      <alignment horizontal="center"/>
      <protection locked="0"/>
    </xf>
    <xf numFmtId="0" fontId="29" fillId="42" borderId="2" xfId="29797" applyFont="1" applyFill="1" applyBorder="1" applyAlignment="1">
      <alignment horizontal="center"/>
    </xf>
    <xf numFmtId="0" fontId="29" fillId="42" borderId="6" xfId="29797" applyFont="1" applyFill="1" applyBorder="1" applyAlignment="1">
      <alignment horizontal="center"/>
    </xf>
    <xf numFmtId="0" fontId="13" fillId="45" borderId="11" xfId="29797" applyFill="1" applyBorder="1" applyAlignment="1">
      <alignment horizontal="center"/>
    </xf>
    <xf numFmtId="0" fontId="127" fillId="0" borderId="0" xfId="29797" applyFont="1" applyAlignment="1">
      <alignment horizontal="left" vertical="center" wrapText="1"/>
    </xf>
    <xf numFmtId="0" fontId="127" fillId="0" borderId="0" xfId="29797" applyFont="1" applyAlignment="1">
      <alignment horizontal="left" vertical="top" wrapText="1"/>
    </xf>
    <xf numFmtId="0" fontId="13" fillId="43" borderId="53" xfId="29797" applyFill="1" applyBorder="1" applyAlignment="1" applyProtection="1">
      <alignment vertical="top" wrapText="1"/>
      <protection locked="0"/>
    </xf>
    <xf numFmtId="0" fontId="13" fillId="43" borderId="0" xfId="29797" applyFill="1" applyAlignment="1" applyProtection="1">
      <alignment vertical="top" wrapText="1"/>
      <protection locked="0"/>
    </xf>
    <xf numFmtId="0" fontId="13" fillId="43" borderId="54" xfId="29797" applyFill="1" applyBorder="1" applyAlignment="1" applyProtection="1">
      <alignment vertical="top" wrapText="1"/>
      <protection locked="0"/>
    </xf>
    <xf numFmtId="0" fontId="13" fillId="43" borderId="55" xfId="29797" applyFill="1" applyBorder="1" applyAlignment="1" applyProtection="1">
      <alignment vertical="top" wrapText="1"/>
      <protection locked="0"/>
    </xf>
    <xf numFmtId="0" fontId="13" fillId="43" borderId="6" xfId="29797" applyFill="1" applyBorder="1" applyAlignment="1" applyProtection="1">
      <alignment vertical="top" wrapText="1"/>
      <protection locked="0"/>
    </xf>
    <xf numFmtId="0" fontId="13" fillId="43" borderId="56" xfId="29797" applyFill="1" applyBorder="1" applyAlignment="1" applyProtection="1">
      <alignment vertical="top" wrapText="1"/>
      <protection locked="0"/>
    </xf>
    <xf numFmtId="0" fontId="13" fillId="43" borderId="0" xfId="29797" applyFill="1" applyAlignment="1" applyProtection="1">
      <alignment horizontal="left" vertical="center" wrapText="1"/>
      <protection locked="0"/>
    </xf>
    <xf numFmtId="0" fontId="13" fillId="43" borderId="54" xfId="29797" applyFill="1" applyBorder="1" applyAlignment="1" applyProtection="1">
      <alignment horizontal="left" vertical="center" wrapText="1"/>
      <protection locked="0"/>
    </xf>
    <xf numFmtId="0" fontId="13" fillId="43" borderId="6" xfId="29797" applyFill="1" applyBorder="1" applyAlignment="1" applyProtection="1">
      <alignment horizontal="left" vertical="center" wrapText="1"/>
      <protection locked="0"/>
    </xf>
    <xf numFmtId="0" fontId="13" fillId="43" borderId="56" xfId="29797" applyFill="1" applyBorder="1" applyAlignment="1" applyProtection="1">
      <alignment horizontal="left" vertical="center" wrapText="1"/>
      <protection locked="0"/>
    </xf>
    <xf numFmtId="0" fontId="13" fillId="0" borderId="0" xfId="543" applyAlignment="1">
      <alignment horizontal="center"/>
    </xf>
    <xf numFmtId="0" fontId="13" fillId="0" borderId="50" xfId="29797" applyBorder="1" applyAlignment="1">
      <alignment horizontal="left" vertical="center" wrapText="1"/>
    </xf>
    <xf numFmtId="0" fontId="13" fillId="0" borderId="51" xfId="29797" applyBorder="1" applyAlignment="1">
      <alignment horizontal="left" vertical="center" wrapText="1"/>
    </xf>
    <xf numFmtId="0" fontId="13" fillId="0" borderId="52" xfId="29797" applyBorder="1" applyAlignment="1">
      <alignment horizontal="left" vertical="center" wrapText="1"/>
    </xf>
    <xf numFmtId="0" fontId="13" fillId="0" borderId="53" xfId="29797" applyBorder="1" applyAlignment="1">
      <alignment horizontal="left" vertical="center" wrapText="1"/>
    </xf>
    <xf numFmtId="0" fontId="13" fillId="0" borderId="0" xfId="29797" applyAlignment="1">
      <alignment horizontal="left" vertical="center" wrapText="1"/>
    </xf>
    <xf numFmtId="0" fontId="13" fillId="0" borderId="54" xfId="29797" applyBorder="1" applyAlignment="1">
      <alignment horizontal="left" vertical="center" wrapText="1"/>
    </xf>
    <xf numFmtId="0" fontId="13" fillId="0" borderId="59" xfId="29797" applyBorder="1" applyAlignment="1">
      <alignment horizontal="left" vertical="top" wrapText="1"/>
    </xf>
    <xf numFmtId="0" fontId="13" fillId="0" borderId="57" xfId="29797" applyBorder="1" applyAlignment="1">
      <alignment horizontal="left" vertical="center" wrapText="1"/>
    </xf>
    <xf numFmtId="0" fontId="13" fillId="0" borderId="58" xfId="29797" applyBorder="1" applyAlignment="1">
      <alignment horizontal="left" vertical="center" wrapText="1"/>
    </xf>
    <xf numFmtId="0" fontId="13" fillId="0" borderId="59" xfId="29797" applyBorder="1" applyAlignment="1">
      <alignment horizontal="left" vertical="center" wrapText="1"/>
    </xf>
    <xf numFmtId="0" fontId="13" fillId="0" borderId="4" xfId="42443" applyFont="1" applyBorder="1" applyAlignment="1">
      <alignment horizontal="center"/>
    </xf>
    <xf numFmtId="0" fontId="13" fillId="0" borderId="5" xfId="42443" applyFont="1" applyBorder="1" applyAlignment="1">
      <alignment horizontal="center"/>
    </xf>
    <xf numFmtId="0" fontId="13" fillId="0" borderId="50" xfId="29797" applyBorder="1" applyAlignment="1">
      <alignment horizontal="left" vertical="top" wrapText="1"/>
    </xf>
    <xf numFmtId="0" fontId="13" fillId="0" borderId="51" xfId="29797" applyBorder="1" applyAlignment="1">
      <alignment horizontal="left" vertical="top" wrapText="1"/>
    </xf>
    <xf numFmtId="0" fontId="13" fillId="0" borderId="52" xfId="29797" applyBorder="1" applyAlignment="1">
      <alignment horizontal="left" vertical="top" wrapText="1"/>
    </xf>
    <xf numFmtId="0" fontId="20" fillId="0" borderId="0" xfId="29797" applyFont="1"/>
    <xf numFmtId="164" fontId="13" fillId="0" borderId="50" xfId="29797" applyNumberFormat="1" applyBorder="1" applyAlignment="1">
      <alignment horizontal="left" vertical="top" wrapText="1"/>
    </xf>
    <xf numFmtId="164" fontId="13" fillId="0" borderId="51" xfId="29797" applyNumberFormat="1" applyBorder="1" applyAlignment="1">
      <alignment horizontal="left" vertical="top" wrapText="1"/>
    </xf>
    <xf numFmtId="164" fontId="13" fillId="0" borderId="52" xfId="29797" applyNumberFormat="1" applyBorder="1" applyAlignment="1">
      <alignment horizontal="left" vertical="top" wrapText="1"/>
    </xf>
    <xf numFmtId="164" fontId="13" fillId="0" borderId="53" xfId="29797" applyNumberFormat="1" applyBorder="1" applyAlignment="1">
      <alignment horizontal="left" vertical="top" wrapText="1"/>
    </xf>
    <xf numFmtId="164" fontId="13" fillId="0" borderId="0" xfId="29797" applyNumberFormat="1" applyAlignment="1">
      <alignment horizontal="left" vertical="top" wrapText="1"/>
    </xf>
    <xf numFmtId="164" fontId="13" fillId="0" borderId="54" xfId="29797" applyNumberFormat="1" applyBorder="1" applyAlignment="1">
      <alignment horizontal="left" vertical="top" wrapText="1"/>
    </xf>
    <xf numFmtId="164" fontId="13" fillId="0" borderId="57" xfId="29797" applyNumberFormat="1" applyBorder="1" applyAlignment="1">
      <alignment horizontal="left" vertical="top" wrapText="1"/>
    </xf>
    <xf numFmtId="164" fontId="13" fillId="0" borderId="58" xfId="29797" applyNumberFormat="1" applyBorder="1" applyAlignment="1">
      <alignment horizontal="left" vertical="top" wrapText="1"/>
    </xf>
    <xf numFmtId="164" fontId="13" fillId="0" borderId="59" xfId="29797" applyNumberFormat="1" applyBorder="1" applyAlignment="1">
      <alignment horizontal="left" vertical="top" wrapText="1"/>
    </xf>
    <xf numFmtId="0" fontId="20" fillId="0" borderId="0" xfId="29797" applyFont="1" applyAlignment="1">
      <alignment horizontal="left" vertical="top"/>
    </xf>
    <xf numFmtId="0" fontId="13" fillId="0" borderId="0" xfId="29797" applyAlignment="1" applyProtection="1">
      <alignment horizontal="center"/>
      <protection locked="0"/>
    </xf>
    <xf numFmtId="2" fontId="13" fillId="0" borderId="0" xfId="1192" applyNumberFormat="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5" fontId="13" fillId="43" borderId="3" xfId="29797" applyNumberFormat="1" applyFill="1" applyBorder="1" applyAlignment="1" applyProtection="1">
      <alignment horizontal="center"/>
      <protection locked="0"/>
    </xf>
    <xf numFmtId="165" fontId="13" fillId="43" borderId="4" xfId="29797" applyNumberFormat="1" applyFill="1" applyBorder="1" applyAlignment="1" applyProtection="1">
      <alignment horizontal="center"/>
      <protection locked="0"/>
    </xf>
    <xf numFmtId="165" fontId="13" fillId="43" borderId="5" xfId="29797" applyNumberFormat="1" applyFill="1" applyBorder="1" applyAlignment="1" applyProtection="1">
      <alignment horizontal="center"/>
      <protection locked="0"/>
    </xf>
    <xf numFmtId="9" fontId="13" fillId="0" borderId="4" xfId="543" applyNumberFormat="1" applyBorder="1" applyAlignment="1">
      <alignment horizontal="center"/>
    </xf>
    <xf numFmtId="168" fontId="13" fillId="0" borderId="0" xfId="1192" applyNumberFormat="1" applyAlignment="1">
      <alignment horizontal="right"/>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0" borderId="0" xfId="1192" applyAlignment="1">
      <alignment horizontal="right"/>
    </xf>
    <xf numFmtId="165" fontId="13" fillId="0" borderId="0" xfId="1192" applyNumberFormat="1" applyAlignment="1">
      <alignment horizontal="right"/>
    </xf>
    <xf numFmtId="168" fontId="13" fillId="43" borderId="6" xfId="1192" applyNumberFormat="1" applyFill="1" applyBorder="1" applyAlignment="1" applyProtection="1">
      <alignment horizontal="right"/>
      <protection locked="0"/>
    </xf>
    <xf numFmtId="3" fontId="13" fillId="43" borderId="6" xfId="1192" applyNumberFormat="1" applyFill="1" applyBorder="1" applyAlignment="1" applyProtection="1">
      <alignment horizontal="right"/>
      <protection locked="0"/>
    </xf>
    <xf numFmtId="168" fontId="13" fillId="0" borderId="4" xfId="1192" applyNumberFormat="1" applyBorder="1" applyAlignment="1">
      <alignment horizontal="right"/>
    </xf>
    <xf numFmtId="168" fontId="13" fillId="0" borderId="6" xfId="1192" applyNumberFormat="1" applyBorder="1" applyAlignment="1">
      <alignment horizontal="right"/>
    </xf>
    <xf numFmtId="9" fontId="13" fillId="5" borderId="4" xfId="1192" applyNumberFormat="1" applyFill="1" applyBorder="1" applyAlignment="1" applyProtection="1">
      <alignment horizontal="left"/>
      <protection locked="0"/>
    </xf>
    <xf numFmtId="1" fontId="13" fillId="5" borderId="2" xfId="1192"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168" fontId="13" fillId="43" borderId="6" xfId="543" applyNumberFormat="1" applyFill="1" applyBorder="1" applyAlignment="1" applyProtection="1">
      <alignment horizontal="center"/>
      <protection locked="0"/>
    </xf>
    <xf numFmtId="1" fontId="13" fillId="5" borderId="4" xfId="1192" applyNumberFormat="1" applyFill="1" applyBorder="1" applyAlignment="1" applyProtection="1">
      <alignment horizontal="center"/>
      <protection locked="0"/>
    </xf>
    <xf numFmtId="168" fontId="13" fillId="0" borderId="4" xfId="29797" applyNumberFormat="1" applyBorder="1" applyAlignment="1">
      <alignment horizontal="right"/>
    </xf>
    <xf numFmtId="9" fontId="13" fillId="0" borderId="0" xfId="1192" quotePrefix="1" applyNumberFormat="1" applyAlignment="1">
      <alignment horizontal="center"/>
    </xf>
    <xf numFmtId="0" fontId="139" fillId="0" borderId="0" xfId="1192" applyFont="1" applyAlignment="1">
      <alignment horizontal="center"/>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0" fontId="139" fillId="0" borderId="6" xfId="1192" applyFont="1" applyBorder="1" applyAlignment="1">
      <alignment horizontal="center"/>
    </xf>
    <xf numFmtId="0" fontId="13" fillId="0" borderId="6" xfId="1192" applyBorder="1" applyAlignment="1">
      <alignment horizontal="right"/>
    </xf>
    <xf numFmtId="0" fontId="13" fillId="5" borderId="6" xfId="1192" applyFill="1" applyBorder="1" applyAlignment="1" applyProtection="1">
      <alignment horizontal="left"/>
      <protection locked="0"/>
    </xf>
    <xf numFmtId="168" fontId="13" fillId="43" borderId="6" xfId="29797" applyNumberFormat="1" applyFill="1" applyBorder="1" applyAlignment="1" applyProtection="1">
      <alignment horizontal="right"/>
      <protection locked="0"/>
    </xf>
    <xf numFmtId="0" fontId="13" fillId="0" borderId="6" xfId="1192" applyBorder="1" applyAlignment="1">
      <alignment horizontal="left"/>
    </xf>
    <xf numFmtId="168" fontId="13" fillId="0" borderId="6" xfId="29797" applyNumberFormat="1" applyBorder="1" applyAlignment="1">
      <alignment horizontal="right"/>
    </xf>
    <xf numFmtId="0" fontId="115" fillId="0" borderId="4" xfId="1192" applyFont="1" applyBorder="1" applyAlignment="1">
      <alignment horizontal="left"/>
    </xf>
    <xf numFmtId="168" fontId="115" fillId="0" borderId="6" xfId="29797" applyNumberFormat="1" applyFont="1" applyBorder="1" applyAlignment="1">
      <alignment horizontal="right"/>
    </xf>
    <xf numFmtId="0" fontId="21" fillId="5" borderId="6" xfId="29797" applyFont="1" applyFill="1" applyBorder="1" applyAlignment="1" applyProtection="1">
      <alignment horizontal="left"/>
      <protection locked="0"/>
    </xf>
    <xf numFmtId="0" fontId="13" fillId="0" borderId="0" xfId="29797" applyAlignment="1">
      <alignment horizontal="left"/>
    </xf>
    <xf numFmtId="0" fontId="13" fillId="5" borderId="6" xfId="29797" applyFill="1" applyBorder="1" applyAlignment="1" applyProtection="1">
      <alignment horizontal="left"/>
      <protection locked="0"/>
    </xf>
    <xf numFmtId="0" fontId="50" fillId="5" borderId="6" xfId="29797" applyFont="1" applyFill="1" applyBorder="1" applyAlignment="1" applyProtection="1">
      <alignment horizontal="left"/>
      <protection locked="0"/>
    </xf>
    <xf numFmtId="1" fontId="13" fillId="0" borderId="3" xfId="29797" applyNumberFormat="1" applyBorder="1" applyAlignment="1">
      <alignment horizontal="center"/>
    </xf>
    <xf numFmtId="1" fontId="13" fillId="0" borderId="4" xfId="29797" applyNumberFormat="1" applyBorder="1" applyAlignment="1">
      <alignment horizontal="center"/>
    </xf>
    <xf numFmtId="1" fontId="13" fillId="0" borderId="5" xfId="29797" applyNumberFormat="1" applyBorder="1" applyAlignment="1">
      <alignment horizontal="center"/>
    </xf>
    <xf numFmtId="165" fontId="119" fillId="0" borderId="3" xfId="42443" applyNumberFormat="1" applyFont="1" applyBorder="1" applyAlignment="1">
      <alignment horizontal="center" vertical="top" wrapText="1"/>
    </xf>
    <xf numFmtId="165" fontId="119" fillId="0" borderId="4" xfId="42443" applyNumberFormat="1" applyFont="1" applyBorder="1" applyAlignment="1">
      <alignment horizontal="center" vertical="top" wrapText="1"/>
    </xf>
    <xf numFmtId="165" fontId="119" fillId="0" borderId="5" xfId="42443" applyNumberFormat="1" applyFont="1" applyBorder="1" applyAlignment="1">
      <alignment horizontal="center" vertical="top" wrapText="1"/>
    </xf>
    <xf numFmtId="10" fontId="119" fillId="0" borderId="3" xfId="42443" applyNumberFormat="1" applyFont="1" applyBorder="1" applyAlignment="1">
      <alignment horizontal="center" vertical="top" wrapText="1"/>
    </xf>
    <xf numFmtId="10" fontId="119" fillId="0" borderId="4" xfId="42443" applyNumberFormat="1" applyFont="1" applyBorder="1" applyAlignment="1">
      <alignment horizontal="center" vertical="top" wrapText="1"/>
    </xf>
    <xf numFmtId="10" fontId="119" fillId="0" borderId="5" xfId="42443" applyNumberFormat="1" applyFont="1" applyBorder="1" applyAlignment="1">
      <alignment horizontal="center" vertical="top" wrapText="1"/>
    </xf>
    <xf numFmtId="168" fontId="119" fillId="0" borderId="55" xfId="42443" applyNumberFormat="1" applyFont="1" applyBorder="1" applyAlignment="1">
      <alignment horizontal="center" vertical="top"/>
    </xf>
    <xf numFmtId="168" fontId="119" fillId="0" borderId="6" xfId="42443" applyNumberFormat="1" applyFont="1" applyBorder="1" applyAlignment="1">
      <alignment horizontal="center" vertical="top"/>
    </xf>
    <xf numFmtId="168" fontId="119" fillId="43" borderId="55" xfId="42443" applyNumberFormat="1" applyFont="1" applyFill="1" applyBorder="1" applyAlignment="1" applyProtection="1">
      <alignment horizontal="center" vertical="top" wrapText="1"/>
      <protection locked="0"/>
    </xf>
    <xf numFmtId="168" fontId="119" fillId="43" borderId="6" xfId="42443" applyNumberFormat="1" applyFont="1" applyFill="1" applyBorder="1" applyAlignment="1" applyProtection="1">
      <alignment horizontal="center" vertical="top" wrapText="1"/>
      <protection locked="0"/>
    </xf>
    <xf numFmtId="165" fontId="119" fillId="0" borderId="55" xfId="42443" applyNumberFormat="1" applyFont="1" applyBorder="1" applyAlignment="1">
      <alignment horizontal="center" vertical="top" wrapText="1"/>
    </xf>
    <xf numFmtId="165" fontId="119" fillId="0" borderId="6" xfId="42443" applyNumberFormat="1" applyFont="1" applyBorder="1" applyAlignment="1">
      <alignment horizontal="center" vertical="top" wrapText="1"/>
    </xf>
    <xf numFmtId="1" fontId="119" fillId="0" borderId="55" xfId="42443" applyNumberFormat="1" applyFont="1" applyBorder="1" applyAlignment="1">
      <alignment horizontal="center" vertical="top" wrapText="1"/>
    </xf>
    <xf numFmtId="1" fontId="119" fillId="0" borderId="6" xfId="42443" applyNumberFormat="1" applyFont="1" applyBorder="1" applyAlignment="1">
      <alignment horizontal="center" vertical="top" wrapText="1"/>
    </xf>
    <xf numFmtId="0" fontId="119" fillId="5" borderId="6" xfId="42443" applyFont="1" applyFill="1" applyBorder="1" applyAlignment="1" applyProtection="1">
      <alignment horizontal="center"/>
      <protection locked="0"/>
    </xf>
    <xf numFmtId="0" fontId="119" fillId="0" borderId="50" xfId="42443" applyFont="1" applyBorder="1" applyAlignment="1">
      <alignment horizontal="left" vertical="top" wrapText="1"/>
    </xf>
    <xf numFmtId="0" fontId="119" fillId="0" borderId="51" xfId="42443" applyFont="1" applyBorder="1" applyAlignment="1">
      <alignment horizontal="left" vertical="top" wrapText="1"/>
    </xf>
    <xf numFmtId="0" fontId="119" fillId="0" borderId="52" xfId="42443" applyFont="1" applyBorder="1" applyAlignment="1">
      <alignment horizontal="left" vertical="top" wrapText="1"/>
    </xf>
    <xf numFmtId="0" fontId="119" fillId="0" borderId="53" xfId="42443" applyFont="1" applyBorder="1" applyAlignment="1">
      <alignment horizontal="left" vertical="top" wrapText="1"/>
    </xf>
    <xf numFmtId="0" fontId="119" fillId="0" borderId="0" xfId="42443" applyFont="1" applyAlignment="1">
      <alignment horizontal="left" vertical="top" wrapText="1"/>
    </xf>
    <xf numFmtId="0" fontId="119" fillId="0" borderId="54" xfId="42443" applyFont="1" applyBorder="1" applyAlignment="1">
      <alignment horizontal="left" vertical="top" wrapText="1"/>
    </xf>
    <xf numFmtId="165" fontId="119" fillId="0" borderId="60" xfId="42443" applyNumberFormat="1" applyFont="1" applyBorder="1" applyAlignment="1">
      <alignment horizontal="center" vertical="top" wrapText="1"/>
    </xf>
    <xf numFmtId="0" fontId="119" fillId="0" borderId="55" xfId="42443" applyFont="1" applyBorder="1" applyAlignment="1">
      <alignment horizontal="center" vertical="top" wrapText="1"/>
    </xf>
    <xf numFmtId="0" fontId="119" fillId="0" borderId="6" xfId="42443" applyFont="1" applyBorder="1" applyAlignment="1">
      <alignment horizontal="center" vertical="top" wrapText="1"/>
    </xf>
    <xf numFmtId="0" fontId="119" fillId="5" borderId="55" xfId="42443" applyFont="1" applyFill="1" applyBorder="1" applyAlignment="1" applyProtection="1">
      <alignment horizontal="center"/>
      <protection locked="0"/>
    </xf>
    <xf numFmtId="0" fontId="119" fillId="0" borderId="57" xfId="42443" applyFont="1" applyBorder="1" applyAlignment="1">
      <alignment horizontal="left" vertical="top" wrapText="1"/>
    </xf>
    <xf numFmtId="0" fontId="119" fillId="0" borderId="58" xfId="42443" applyFont="1" applyBorder="1" applyAlignment="1">
      <alignment horizontal="left" vertical="top" wrapText="1"/>
    </xf>
    <xf numFmtId="0" fontId="119" fillId="0" borderId="59" xfId="42443" applyFont="1" applyBorder="1" applyAlignment="1">
      <alignment horizontal="left" vertical="top" wrapText="1"/>
    </xf>
    <xf numFmtId="0" fontId="119" fillId="5" borderId="60" xfId="42443" applyFont="1" applyFill="1" applyBorder="1" applyAlignment="1" applyProtection="1">
      <alignment horizontal="center"/>
      <protection locked="0"/>
    </xf>
    <xf numFmtId="0" fontId="119" fillId="5" borderId="4" xfId="42443" applyFont="1" applyFill="1" applyBorder="1" applyAlignment="1" applyProtection="1">
      <alignment horizontal="center"/>
      <protection locked="0"/>
    </xf>
    <xf numFmtId="0" fontId="119" fillId="0" borderId="47" xfId="42443" applyFont="1" applyBorder="1"/>
    <xf numFmtId="0" fontId="119" fillId="0" borderId="48" xfId="42443" applyFont="1" applyBorder="1"/>
    <xf numFmtId="0" fontId="119" fillId="0" borderId="49" xfId="42443" applyFont="1" applyBorder="1"/>
    <xf numFmtId="0" fontId="119" fillId="43" borderId="55" xfId="42443" applyFont="1" applyFill="1" applyBorder="1" applyAlignment="1" applyProtection="1">
      <alignment horizontal="left" vertical="top" wrapText="1"/>
      <protection locked="0"/>
    </xf>
    <xf numFmtId="0" fontId="119" fillId="43" borderId="6" xfId="42443" applyFont="1" applyFill="1" applyBorder="1" applyAlignment="1" applyProtection="1">
      <alignment horizontal="left" vertical="top" wrapText="1"/>
      <protection locked="0"/>
    </xf>
    <xf numFmtId="0" fontId="119" fillId="43" borderId="56" xfId="42443" applyFont="1" applyFill="1" applyBorder="1" applyAlignment="1" applyProtection="1">
      <alignment horizontal="left" vertical="top" wrapText="1"/>
      <protection locked="0"/>
    </xf>
    <xf numFmtId="0" fontId="13" fillId="0" borderId="50" xfId="29797" applyBorder="1" applyAlignment="1">
      <alignment vertical="center" wrapText="1"/>
    </xf>
    <xf numFmtId="0" fontId="13" fillId="0" borderId="51" xfId="29797" applyBorder="1" applyAlignment="1">
      <alignment vertical="center" wrapText="1"/>
    </xf>
    <xf numFmtId="0" fontId="13" fillId="0" borderId="52" xfId="29797" applyBorder="1" applyAlignment="1">
      <alignment vertical="center" wrapText="1"/>
    </xf>
    <xf numFmtId="0" fontId="13" fillId="0" borderId="57" xfId="29797" applyBorder="1" applyAlignment="1">
      <alignment vertical="center" wrapText="1"/>
    </xf>
    <xf numFmtId="0" fontId="13" fillId="0" borderId="58" xfId="29797" applyBorder="1" applyAlignment="1">
      <alignment vertical="center" wrapText="1"/>
    </xf>
    <xf numFmtId="0" fontId="13" fillId="0" borderId="59" xfId="29797" applyBorder="1" applyAlignment="1">
      <alignment vertical="center" wrapText="1"/>
    </xf>
    <xf numFmtId="0" fontId="19" fillId="3" borderId="2" xfId="29797" applyFont="1" applyFill="1" applyBorder="1" applyAlignment="1">
      <alignment horizontal="center" vertical="center"/>
    </xf>
    <xf numFmtId="0" fontId="19" fillId="3" borderId="16" xfId="29797" applyFont="1" applyFill="1" applyBorder="1" applyAlignment="1">
      <alignment horizontal="center" vertical="center"/>
    </xf>
    <xf numFmtId="0" fontId="20" fillId="0" borderId="48" xfId="29797" applyFont="1" applyBorder="1" applyAlignment="1">
      <alignment horizontal="left" vertical="top"/>
    </xf>
    <xf numFmtId="0" fontId="20" fillId="0" borderId="49" xfId="29797" applyFont="1" applyBorder="1" applyAlignment="1">
      <alignment horizontal="left" vertical="top"/>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4" borderId="0" xfId="8719" applyFont="1" applyFill="1" applyAlignment="1">
      <alignment horizontal="left"/>
    </xf>
    <xf numFmtId="0" fontId="3" fillId="43" borderId="68" xfId="8719" applyFill="1" applyBorder="1" applyAlignment="1" applyProtection="1">
      <alignment horizontal="center"/>
      <protection locked="0"/>
    </xf>
    <xf numFmtId="0" fontId="3" fillId="43" borderId="69" xfId="8719" applyFill="1" applyBorder="1" applyAlignment="1" applyProtection="1">
      <alignment horizontal="center"/>
      <protection locked="0"/>
    </xf>
    <xf numFmtId="0" fontId="3" fillId="43" borderId="70" xfId="8719" applyFill="1" applyBorder="1" applyAlignment="1" applyProtection="1">
      <alignment horizontal="center"/>
      <protection locked="0"/>
    </xf>
    <xf numFmtId="0" fontId="20" fillId="44" borderId="0" xfId="8719" applyFont="1" applyFill="1" applyAlignment="1">
      <alignment horizontal="left" vertical="top"/>
    </xf>
    <xf numFmtId="0" fontId="99" fillId="44" borderId="0" xfId="4503" applyFont="1" applyFill="1" applyBorder="1" applyAlignment="1">
      <alignment horizontal="left" vertical="top"/>
    </xf>
    <xf numFmtId="0" fontId="99" fillId="48" borderId="0" xfId="8719" applyFont="1" applyFill="1" applyAlignment="1">
      <alignment horizontal="left" vertical="top" wrapText="1"/>
    </xf>
    <xf numFmtId="0" fontId="99" fillId="48" borderId="42" xfId="8719" applyFont="1" applyFill="1" applyBorder="1" applyAlignment="1">
      <alignment horizontal="center"/>
    </xf>
    <xf numFmtId="0" fontId="61" fillId="48" borderId="66" xfId="8719" applyFont="1" applyFill="1" applyBorder="1" applyAlignment="1">
      <alignment horizontal="center"/>
    </xf>
    <xf numFmtId="0" fontId="61" fillId="48" borderId="29" xfId="8719" applyFont="1" applyFill="1" applyBorder="1" applyAlignment="1">
      <alignment horizontal="center"/>
    </xf>
    <xf numFmtId="0" fontId="61" fillId="48" borderId="31" xfId="8719" applyFont="1" applyFill="1" applyBorder="1" applyAlignment="1">
      <alignment horizontal="center"/>
    </xf>
    <xf numFmtId="0" fontId="3" fillId="48" borderId="67" xfId="8719" applyFill="1" applyBorder="1" applyAlignment="1">
      <alignment horizontal="center"/>
    </xf>
    <xf numFmtId="0" fontId="3" fillId="48" borderId="0" xfId="8719" applyFill="1" applyAlignment="1">
      <alignment horizontal="center"/>
    </xf>
    <xf numFmtId="0" fontId="3" fillId="48" borderId="41" xfId="8719" applyFill="1" applyBorder="1" applyAlignment="1">
      <alignment horizontal="center"/>
    </xf>
    <xf numFmtId="0" fontId="20" fillId="48" borderId="67" xfId="8719" applyFont="1" applyFill="1" applyBorder="1" applyAlignment="1">
      <alignment horizontal="center"/>
    </xf>
    <xf numFmtId="0" fontId="20" fillId="48" borderId="0" xfId="8719" applyFont="1" applyFill="1" applyAlignment="1">
      <alignment horizontal="center"/>
    </xf>
    <xf numFmtId="0" fontId="20" fillId="48" borderId="41" xfId="8719" applyFont="1" applyFill="1" applyBorder="1" applyAlignment="1">
      <alignment horizontal="center"/>
    </xf>
    <xf numFmtId="0" fontId="99" fillId="48" borderId="67" xfId="8719" applyFont="1" applyFill="1" applyBorder="1" applyAlignment="1">
      <alignment horizontal="center"/>
    </xf>
    <xf numFmtId="0" fontId="99" fillId="48" borderId="0" xfId="8719" applyFont="1" applyFill="1" applyAlignment="1">
      <alignment horizontal="center"/>
    </xf>
    <xf numFmtId="0" fontId="99" fillId="48" borderId="41" xfId="8719" applyFont="1" applyFill="1" applyBorder="1" applyAlignment="1">
      <alignment horizontal="center"/>
    </xf>
    <xf numFmtId="0" fontId="99" fillId="48" borderId="0" xfId="8719" applyFont="1" applyFill="1" applyAlignment="1">
      <alignment horizontal="left"/>
    </xf>
    <xf numFmtId="0" fontId="99" fillId="45" borderId="74" xfId="8719" applyFont="1" applyFill="1" applyBorder="1" applyAlignment="1">
      <alignment horizontal="center"/>
    </xf>
    <xf numFmtId="0" fontId="99" fillId="45" borderId="75" xfId="8719" applyFont="1" applyFill="1" applyBorder="1" applyAlignment="1">
      <alignment horizontal="center"/>
    </xf>
    <xf numFmtId="182" fontId="148" fillId="44" borderId="75" xfId="700" applyNumberFormat="1" applyFont="1" applyFill="1" applyBorder="1" applyAlignment="1">
      <alignment horizontal="center"/>
    </xf>
    <xf numFmtId="182" fontId="148" fillId="44" borderId="95" xfId="700" applyNumberFormat="1" applyFont="1" applyFill="1" applyBorder="1" applyAlignment="1">
      <alignment horizontal="center"/>
    </xf>
    <xf numFmtId="0" fontId="144" fillId="43" borderId="82" xfId="8719" applyFont="1" applyFill="1" applyBorder="1" applyAlignment="1">
      <alignment horizontal="left"/>
    </xf>
    <xf numFmtId="0" fontId="144" fillId="43" borderId="11" xfId="8719" applyFont="1" applyFill="1" applyBorder="1" applyAlignment="1">
      <alignment horizontal="left"/>
    </xf>
    <xf numFmtId="182" fontId="50" fillId="43" borderId="11" xfId="700" applyNumberFormat="1" applyFont="1" applyFill="1" applyBorder="1" applyAlignment="1" applyProtection="1">
      <alignment horizontal="center"/>
      <protection locked="0"/>
    </xf>
    <xf numFmtId="182" fontId="50" fillId="43" borderId="93" xfId="700" applyNumberFormat="1" applyFont="1" applyFill="1" applyBorder="1" applyAlignment="1" applyProtection="1">
      <alignment horizontal="center"/>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182" fontId="51" fillId="44" borderId="75" xfId="700" applyNumberFormat="1" applyFont="1" applyFill="1" applyBorder="1" applyAlignment="1" applyProtection="1">
      <alignment horizontal="center"/>
      <protection locked="0"/>
    </xf>
    <xf numFmtId="182" fontId="51" fillId="44" borderId="95" xfId="700" applyNumberFormat="1" applyFont="1" applyFill="1" applyBorder="1" applyAlignment="1" applyProtection="1">
      <alignment horizontal="center"/>
      <protection locked="0"/>
    </xf>
    <xf numFmtId="0" fontId="157" fillId="45" borderId="67" xfId="8719" applyFont="1" applyFill="1" applyBorder="1" applyAlignment="1">
      <alignment horizontal="center"/>
    </xf>
    <xf numFmtId="0" fontId="157" fillId="45" borderId="0" xfId="8719" applyFont="1" applyFill="1" applyAlignment="1">
      <alignment horizontal="center"/>
    </xf>
    <xf numFmtId="0" fontId="157" fillId="45" borderId="12" xfId="8719" applyFont="1" applyFill="1" applyBorder="1" applyAlignment="1">
      <alignment horizontal="center"/>
    </xf>
    <xf numFmtId="182" fontId="148" fillId="44" borderId="105" xfId="700" applyNumberFormat="1" applyFont="1" applyFill="1" applyBorder="1" applyAlignment="1">
      <alignment horizontal="center"/>
    </xf>
    <xf numFmtId="182" fontId="148" fillId="44" borderId="29" xfId="700" applyNumberFormat="1" applyFont="1" applyFill="1" applyBorder="1" applyAlignment="1">
      <alignment horizontal="center"/>
    </xf>
    <xf numFmtId="182" fontId="148" fillId="44" borderId="31" xfId="700" applyNumberFormat="1" applyFont="1" applyFill="1" applyBorder="1" applyAlignment="1">
      <alignment horizontal="center"/>
    </xf>
    <xf numFmtId="0" fontId="144" fillId="43" borderId="83" xfId="8719" applyFont="1" applyFill="1" applyBorder="1" applyAlignment="1" applyProtection="1">
      <alignment horizontal="center"/>
      <protection locked="0"/>
    </xf>
    <xf numFmtId="0" fontId="144" fillId="43" borderId="84" xfId="8719" applyFont="1" applyFill="1" applyBorder="1" applyAlignment="1" applyProtection="1">
      <alignment horizontal="center"/>
      <protection locked="0"/>
    </xf>
    <xf numFmtId="0" fontId="51" fillId="43" borderId="75" xfId="8719" applyFont="1" applyFill="1" applyBorder="1" applyAlignment="1" applyProtection="1">
      <alignment horizontal="center"/>
      <protection locked="0"/>
    </xf>
    <xf numFmtId="0" fontId="51" fillId="43" borderId="95" xfId="8719" applyFont="1" applyFill="1" applyBorder="1" applyAlignment="1" applyProtection="1">
      <alignment horizontal="center"/>
      <protection locked="0"/>
    </xf>
    <xf numFmtId="182" fontId="3" fillId="43" borderId="84" xfId="700" applyNumberFormat="1" applyFont="1" applyFill="1" applyBorder="1" applyAlignment="1" applyProtection="1">
      <alignment horizontal="center"/>
      <protection locked="0"/>
    </xf>
    <xf numFmtId="182" fontId="3" fillId="43" borderId="87" xfId="700" applyNumberFormat="1" applyFont="1" applyFill="1" applyBorder="1" applyAlignment="1" applyProtection="1">
      <alignment horizontal="center"/>
      <protection locked="0"/>
    </xf>
    <xf numFmtId="0" fontId="3" fillId="43" borderId="83" xfId="8719" applyFill="1" applyBorder="1" applyAlignment="1" applyProtection="1">
      <alignment horizontal="center"/>
      <protection locked="0"/>
    </xf>
    <xf numFmtId="0" fontId="3" fillId="43" borderId="84" xfId="8719" applyFill="1" applyBorder="1" applyAlignment="1" applyProtection="1">
      <alignment horizontal="center"/>
      <protection locked="0"/>
    </xf>
    <xf numFmtId="0" fontId="3" fillId="43" borderId="87" xfId="8719" applyFill="1" applyBorder="1" applyAlignment="1" applyProtection="1">
      <alignment horizontal="center"/>
      <protection locked="0"/>
    </xf>
    <xf numFmtId="0" fontId="144" fillId="43" borderId="94" xfId="8719" applyFont="1" applyFill="1" applyBorder="1" applyAlignment="1" applyProtection="1">
      <alignment horizontal="center"/>
      <protection locked="0"/>
    </xf>
    <xf numFmtId="0" fontId="144" fillId="43" borderId="4" xfId="8719" applyFont="1" applyFill="1" applyBorder="1" applyAlignment="1" applyProtection="1">
      <alignment horizontal="center"/>
      <protection locked="0"/>
    </xf>
    <xf numFmtId="0" fontId="51" fillId="43" borderId="11" xfId="8719" applyFont="1" applyFill="1" applyBorder="1" applyAlignment="1" applyProtection="1">
      <alignment horizontal="center"/>
      <protection locked="0"/>
    </xf>
    <xf numFmtId="0" fontId="51" fillId="43" borderId="93" xfId="8719" applyFont="1" applyFill="1" applyBorder="1" applyAlignment="1" applyProtection="1">
      <alignment horizontal="center"/>
      <protection locked="0"/>
    </xf>
    <xf numFmtId="182" fontId="3" fillId="43" borderId="4" xfId="700" applyNumberFormat="1" applyFont="1" applyFill="1" applyBorder="1" applyAlignment="1" applyProtection="1">
      <alignment horizontal="center"/>
    </xf>
    <xf numFmtId="182" fontId="3" fillId="43" borderId="81" xfId="700" applyNumberFormat="1" applyFont="1" applyFill="1" applyBorder="1" applyAlignment="1" applyProtection="1">
      <alignment horizontal="center"/>
    </xf>
    <xf numFmtId="0" fontId="3" fillId="43" borderId="94" xfId="8719" applyFill="1" applyBorder="1" applyAlignment="1" applyProtection="1">
      <alignment horizontal="center"/>
      <protection locked="0"/>
    </xf>
    <xf numFmtId="0" fontId="3" fillId="43" borderId="4" xfId="8719" applyFill="1" applyBorder="1" applyAlignment="1" applyProtection="1">
      <alignment horizontal="center"/>
      <protection locked="0"/>
    </xf>
    <xf numFmtId="0" fontId="3" fillId="43" borderId="81" xfId="8719" applyFill="1" applyBorder="1" applyAlignment="1" applyProtection="1">
      <alignment horizontal="center"/>
      <protection locked="0"/>
    </xf>
    <xf numFmtId="0" fontId="51" fillId="43" borderId="94" xfId="8719" applyFont="1" applyFill="1" applyBorder="1" applyAlignment="1" applyProtection="1">
      <alignment horizontal="center"/>
      <protection locked="0"/>
    </xf>
    <xf numFmtId="0" fontId="51" fillId="43" borderId="4" xfId="8719" applyFont="1" applyFill="1" applyBorder="1" applyAlignment="1" applyProtection="1">
      <alignment horizontal="center"/>
      <protection locked="0"/>
    </xf>
    <xf numFmtId="0" fontId="144" fillId="45" borderId="94" xfId="8719" applyFont="1" applyFill="1" applyBorder="1" applyAlignment="1">
      <alignment horizontal="center"/>
    </xf>
    <xf numFmtId="0" fontId="144" fillId="45" borderId="4" xfId="8719" applyFont="1" applyFill="1" applyBorder="1" applyAlignment="1">
      <alignment horizontal="center"/>
    </xf>
    <xf numFmtId="0" fontId="144" fillId="45" borderId="81" xfId="8719" applyFont="1" applyFill="1" applyBorder="1" applyAlignment="1">
      <alignment horizontal="center"/>
    </xf>
    <xf numFmtId="0" fontId="144" fillId="45" borderId="71" xfId="8719" applyFont="1" applyFill="1" applyBorder="1" applyAlignment="1">
      <alignment horizontal="center"/>
    </xf>
    <xf numFmtId="0" fontId="144" fillId="45" borderId="72" xfId="8719" applyFont="1" applyFill="1" applyBorder="1" applyAlignment="1">
      <alignment horizontal="center"/>
    </xf>
    <xf numFmtId="164" fontId="50" fillId="45" borderId="72" xfId="8720" applyNumberFormat="1" applyFont="1" applyFill="1" applyBorder="1" applyAlignment="1" applyProtection="1">
      <alignment horizontal="center"/>
      <protection locked="0"/>
    </xf>
    <xf numFmtId="164" fontId="50" fillId="45" borderId="76" xfId="8720" applyNumberFormat="1" applyFont="1" applyFill="1" applyBorder="1" applyAlignment="1" applyProtection="1">
      <alignment horizontal="center"/>
      <protection locked="0"/>
    </xf>
    <xf numFmtId="182" fontId="3" fillId="44" borderId="4" xfId="700" applyNumberFormat="1" applyFont="1" applyFill="1" applyBorder="1" applyAlignment="1">
      <alignment horizontal="center"/>
    </xf>
    <xf numFmtId="182" fontId="3" fillId="44" borderId="81" xfId="700" applyNumberFormat="1" applyFont="1" applyFill="1" applyBorder="1" applyAlignment="1">
      <alignment horizontal="center"/>
    </xf>
    <xf numFmtId="0" fontId="143" fillId="45" borderId="83" xfId="8719" applyFont="1" applyFill="1" applyBorder="1" applyAlignment="1">
      <alignment horizontal="center"/>
    </xf>
    <xf numFmtId="0" fontId="143" fillId="45" borderId="84" xfId="8719" applyFont="1" applyFill="1" applyBorder="1" applyAlignment="1">
      <alignment horizontal="center"/>
    </xf>
    <xf numFmtId="168" fontId="162" fillId="44" borderId="11" xfId="8720" applyNumberFormat="1" applyFont="1" applyFill="1" applyBorder="1" applyAlignment="1">
      <alignment horizontal="center"/>
    </xf>
    <xf numFmtId="0" fontId="99" fillId="45" borderId="94" xfId="8719" applyFont="1" applyFill="1" applyBorder="1" applyAlignment="1">
      <alignment horizontal="center"/>
    </xf>
    <xf numFmtId="0" fontId="99" fillId="45" borderId="4" xfId="8719" applyFont="1" applyFill="1" applyBorder="1" applyAlignment="1">
      <alignment horizontal="center"/>
    </xf>
    <xf numFmtId="0" fontId="99" fillId="45" borderId="81" xfId="8719" applyFont="1" applyFill="1" applyBorder="1" applyAlignment="1">
      <alignment horizontal="center"/>
    </xf>
    <xf numFmtId="182" fontId="50" fillId="44" borderId="4" xfId="700" applyNumberFormat="1" applyFont="1" applyFill="1" applyBorder="1" applyAlignment="1">
      <alignment horizontal="center"/>
    </xf>
    <xf numFmtId="182" fontId="50" fillId="44" borderId="81" xfId="700" applyNumberFormat="1" applyFont="1" applyFill="1" applyBorder="1" applyAlignment="1">
      <alignment horizontal="center"/>
    </xf>
    <xf numFmtId="0" fontId="144" fillId="45" borderId="5" xfId="8719" applyFont="1" applyFill="1" applyBorder="1" applyAlignment="1">
      <alignment horizontal="center"/>
    </xf>
    <xf numFmtId="168" fontId="50" fillId="43" borderId="11" xfId="8720" applyNumberFormat="1"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182" fontId="50" fillId="43" borderId="4" xfId="700" applyNumberFormat="1" applyFont="1" applyFill="1" applyBorder="1" applyAlignment="1" applyProtection="1">
      <alignment horizontal="center"/>
      <protection locked="0"/>
    </xf>
    <xf numFmtId="182" fontId="50" fillId="43" borderId="81" xfId="700" applyNumberFormat="1" applyFont="1" applyFill="1" applyBorder="1" applyAlignment="1" applyProtection="1">
      <alignment horizontal="center"/>
      <protection locked="0"/>
    </xf>
    <xf numFmtId="0" fontId="144" fillId="43" borderId="81" xfId="8719" applyFont="1" applyFill="1" applyBorder="1" applyAlignment="1" applyProtection="1">
      <alignment horizontal="center"/>
      <protection locked="0"/>
    </xf>
    <xf numFmtId="0" fontId="144" fillId="47" borderId="94" xfId="8719" applyFont="1" applyFill="1" applyBorder="1" applyAlignment="1">
      <alignment horizontal="center"/>
    </xf>
    <xf numFmtId="0" fontId="144" fillId="47" borderId="4" xfId="8719" applyFont="1" applyFill="1" applyBorder="1" applyAlignment="1">
      <alignment horizontal="center"/>
    </xf>
    <xf numFmtId="0" fontId="144" fillId="47" borderId="5" xfId="8719" applyFont="1" applyFill="1" applyBorder="1" applyAlignment="1">
      <alignment horizontal="center"/>
    </xf>
    <xf numFmtId="168" fontId="148" fillId="47" borderId="3" xfId="8720" applyNumberFormat="1" applyFont="1" applyFill="1" applyBorder="1" applyAlignment="1">
      <alignment horizontal="center"/>
    </xf>
    <xf numFmtId="168" fontId="148" fillId="47" borderId="4" xfId="8720" applyNumberFormat="1" applyFont="1" applyFill="1" applyBorder="1" applyAlignment="1">
      <alignment horizontal="center"/>
    </xf>
    <xf numFmtId="168" fontId="148" fillId="47" borderId="5" xfId="8720" applyNumberFormat="1" applyFont="1" applyFill="1" applyBorder="1" applyAlignment="1">
      <alignment horizontal="center"/>
    </xf>
    <xf numFmtId="0" fontId="144" fillId="47" borderId="81" xfId="8719" applyFont="1" applyFill="1" applyBorder="1" applyAlignment="1">
      <alignment horizontal="center"/>
    </xf>
    <xf numFmtId="0" fontId="144" fillId="45" borderId="82" xfId="8719" applyFont="1" applyFill="1" applyBorder="1" applyAlignment="1">
      <alignment horizontal="center"/>
    </xf>
    <xf numFmtId="0" fontId="144" fillId="45" borderId="11" xfId="8719" applyFont="1" applyFill="1" applyBorder="1" applyAlignment="1">
      <alignment horizontal="center"/>
    </xf>
    <xf numFmtId="0" fontId="3" fillId="43" borderId="11" xfId="8719" applyFill="1" applyBorder="1" applyAlignment="1" applyProtection="1">
      <alignment horizontal="center"/>
      <protection locked="0"/>
    </xf>
    <xf numFmtId="14" fontId="3" fillId="43" borderId="11" xfId="8719" applyNumberFormat="1" applyFill="1" applyBorder="1" applyAlignment="1" applyProtection="1">
      <alignment horizontal="center"/>
      <protection locked="0"/>
    </xf>
    <xf numFmtId="0" fontId="3" fillId="45" borderId="77" xfId="8719" applyFill="1" applyBorder="1" applyAlignment="1">
      <alignment horizontal="center"/>
    </xf>
    <xf numFmtId="0" fontId="3" fillId="45" borderId="78" xfId="8719" applyFill="1" applyBorder="1" applyAlignment="1">
      <alignment horizontal="center"/>
    </xf>
    <xf numFmtId="0" fontId="3" fillId="45" borderId="79" xfId="8719" applyFill="1" applyBorder="1" applyAlignment="1">
      <alignment horizontal="center"/>
    </xf>
    <xf numFmtId="0" fontId="144" fillId="45" borderId="78" xfId="8719" applyFont="1" applyFill="1" applyBorder="1" applyAlignment="1">
      <alignment horizontal="center"/>
    </xf>
    <xf numFmtId="0" fontId="144" fillId="45" borderId="79" xfId="8719" applyFont="1" applyFill="1" applyBorder="1" applyAlignment="1">
      <alignment horizontal="center"/>
    </xf>
    <xf numFmtId="0" fontId="51" fillId="45" borderId="77" xfId="8719" applyFont="1" applyFill="1" applyBorder="1" applyAlignment="1">
      <alignment horizontal="center"/>
    </xf>
    <xf numFmtId="0" fontId="51" fillId="45" borderId="78" xfId="8719" applyFont="1" applyFill="1" applyBorder="1" applyAlignment="1">
      <alignment horizontal="center"/>
    </xf>
    <xf numFmtId="0" fontId="51" fillId="45" borderId="79" xfId="8719" applyFont="1" applyFill="1" applyBorder="1" applyAlignment="1">
      <alignment horizontal="center"/>
    </xf>
    <xf numFmtId="0" fontId="99" fillId="45" borderId="68" xfId="8719" applyFont="1" applyFill="1" applyBorder="1" applyAlignment="1">
      <alignment horizontal="center"/>
    </xf>
    <xf numFmtId="0" fontId="99" fillId="45" borderId="69" xfId="8719" applyFont="1" applyFill="1" applyBorder="1" applyAlignment="1">
      <alignment horizontal="center"/>
    </xf>
    <xf numFmtId="0" fontId="99" fillId="45" borderId="70" xfId="8719" applyFont="1" applyFill="1" applyBorder="1" applyAlignment="1">
      <alignment horizontal="center"/>
    </xf>
    <xf numFmtId="0" fontId="143" fillId="45" borderId="71" xfId="8719" applyFont="1" applyFill="1" applyBorder="1" applyAlignment="1">
      <alignment horizontal="left"/>
    </xf>
    <xf numFmtId="0" fontId="143" fillId="45" borderId="72" xfId="8719" applyFont="1" applyFill="1" applyBorder="1" applyAlignment="1">
      <alignment horizontal="left"/>
    </xf>
    <xf numFmtId="0" fontId="143" fillId="45" borderId="76" xfId="8719" applyFont="1" applyFill="1" applyBorder="1" applyAlignment="1">
      <alignment horizontal="left"/>
    </xf>
    <xf numFmtId="0" fontId="99" fillId="45" borderId="66" xfId="8719" applyFont="1" applyFill="1" applyBorder="1" applyAlignment="1">
      <alignment horizontal="center"/>
    </xf>
    <xf numFmtId="0" fontId="99" fillId="45" borderId="29" xfId="8719" applyFont="1" applyFill="1" applyBorder="1" applyAlignment="1">
      <alignment horizontal="center"/>
    </xf>
    <xf numFmtId="0" fontId="99" fillId="45" borderId="31" xfId="8719" applyFont="1" applyFill="1" applyBorder="1" applyAlignment="1">
      <alignment horizontal="center"/>
    </xf>
    <xf numFmtId="0" fontId="3" fillId="43" borderId="82" xfId="8719" applyFill="1" applyBorder="1" applyAlignment="1" applyProtection="1">
      <alignment horizontal="left" vertical="top"/>
      <protection locked="0"/>
    </xf>
    <xf numFmtId="0" fontId="3" fillId="43" borderId="11" xfId="8719" applyFill="1" applyBorder="1" applyAlignment="1" applyProtection="1">
      <alignment horizontal="left" vertical="top"/>
      <protection locked="0"/>
    </xf>
    <xf numFmtId="0" fontId="3" fillId="43" borderId="93" xfId="8719" applyFill="1" applyBorder="1" applyAlignment="1" applyProtection="1">
      <alignment horizontal="left" vertical="top"/>
      <protection locked="0"/>
    </xf>
    <xf numFmtId="0" fontId="3" fillId="43" borderId="74" xfId="8719" applyFill="1" applyBorder="1" applyAlignment="1" applyProtection="1">
      <alignment horizontal="left" vertical="top"/>
      <protection locked="0"/>
    </xf>
    <xf numFmtId="0" fontId="3" fillId="43" borderId="75" xfId="8719" applyFill="1" applyBorder="1" applyAlignment="1" applyProtection="1">
      <alignment horizontal="left" vertical="top"/>
      <protection locked="0"/>
    </xf>
    <xf numFmtId="0" fontId="3" fillId="43" borderId="95" xfId="8719" applyFill="1" applyBorder="1" applyAlignment="1" applyProtection="1">
      <alignment horizontal="left" vertical="top"/>
      <protection locked="0"/>
    </xf>
    <xf numFmtId="0" fontId="144" fillId="45" borderId="74" xfId="8719" applyFont="1" applyFill="1" applyBorder="1" applyAlignment="1">
      <alignment horizontal="center"/>
    </xf>
    <xf numFmtId="0" fontId="144" fillId="45" borderId="75" xfId="8719" applyFont="1" applyFill="1" applyBorder="1" applyAlignment="1">
      <alignment horizontal="center"/>
    </xf>
    <xf numFmtId="0" fontId="148" fillId="43" borderId="11" xfId="8719" applyFont="1" applyFill="1" applyBorder="1" applyAlignment="1" applyProtection="1">
      <alignment horizontal="center"/>
      <protection locked="0"/>
    </xf>
    <xf numFmtId="14" fontId="148" fillId="43" borderId="11" xfId="8719" applyNumberFormat="1" applyFont="1" applyFill="1" applyBorder="1" applyAlignment="1" applyProtection="1">
      <alignment horizontal="center"/>
      <protection locked="0"/>
    </xf>
    <xf numFmtId="182" fontId="148" fillId="43" borderId="3" xfId="8720" applyNumberFormat="1" applyFont="1" applyFill="1" applyBorder="1" applyAlignment="1" applyProtection="1">
      <alignment horizontal="center"/>
      <protection locked="0"/>
    </xf>
    <xf numFmtId="182" fontId="148" fillId="43" borderId="4" xfId="8720" applyNumberFormat="1" applyFont="1" applyFill="1" applyBorder="1" applyAlignment="1" applyProtection="1">
      <alignment horizontal="center"/>
      <protection locked="0"/>
    </xf>
    <xf numFmtId="182" fontId="148" fillId="43" borderId="81" xfId="8720" applyNumberFormat="1" applyFont="1" applyFill="1" applyBorder="1" applyAlignment="1" applyProtection="1">
      <alignment horizontal="center"/>
      <protection locked="0"/>
    </xf>
    <xf numFmtId="0" fontId="148" fillId="43" borderId="75" xfId="8719" applyFont="1" applyFill="1" applyBorder="1" applyAlignment="1" applyProtection="1">
      <alignment horizontal="center"/>
      <protection locked="0"/>
    </xf>
    <xf numFmtId="14" fontId="148" fillId="43" borderId="75" xfId="8719" applyNumberFormat="1" applyFont="1" applyFill="1" applyBorder="1" applyAlignment="1" applyProtection="1">
      <alignment horizontal="center"/>
      <protection locked="0"/>
    </xf>
    <xf numFmtId="182" fontId="148" fillId="43" borderId="86" xfId="8720" applyNumberFormat="1" applyFont="1" applyFill="1" applyBorder="1" applyAlignment="1" applyProtection="1">
      <alignment horizontal="center"/>
      <protection locked="0"/>
    </xf>
    <xf numFmtId="182" fontId="148" fillId="43" borderId="84" xfId="8720" applyNumberFormat="1" applyFont="1" applyFill="1" applyBorder="1" applyAlignment="1" applyProtection="1">
      <alignment horizontal="center"/>
      <protection locked="0"/>
    </xf>
    <xf numFmtId="182" fontId="148" fillId="43" borderId="87" xfId="8720" applyNumberFormat="1" applyFont="1" applyFill="1" applyBorder="1" applyAlignment="1" applyProtection="1">
      <alignment horizontal="center"/>
      <protection locked="0"/>
    </xf>
    <xf numFmtId="182" fontId="148" fillId="43" borderId="92" xfId="8720" applyNumberFormat="1" applyFont="1" applyFill="1" applyBorder="1" applyAlignment="1" applyProtection="1">
      <alignment horizontal="center"/>
      <protection locked="0"/>
    </xf>
    <xf numFmtId="182" fontId="148" fillId="43" borderId="78" xfId="8720" applyNumberFormat="1" applyFont="1" applyFill="1" applyBorder="1" applyAlignment="1" applyProtection="1">
      <alignment horizontal="center"/>
      <protection locked="0"/>
    </xf>
    <xf numFmtId="182" fontId="148" fillId="43" borderId="79" xfId="8720" applyNumberFormat="1" applyFont="1" applyFill="1" applyBorder="1" applyAlignment="1" applyProtection="1">
      <alignment horizontal="center"/>
      <protection locked="0"/>
    </xf>
    <xf numFmtId="0" fontId="148" fillId="43" borderId="3" xfId="8719" applyFont="1" applyFill="1" applyBorder="1" applyAlignment="1" applyProtection="1">
      <alignment horizontal="center"/>
      <protection locked="0"/>
    </xf>
    <xf numFmtId="0" fontId="148" fillId="43" borderId="4" xfId="8719" applyFont="1" applyFill="1" applyBorder="1" applyAlignment="1" applyProtection="1">
      <alignment horizontal="center"/>
      <protection locked="0"/>
    </xf>
    <xf numFmtId="0" fontId="148" fillId="43" borderId="5" xfId="8719" applyFont="1" applyFill="1" applyBorder="1" applyAlignment="1" applyProtection="1">
      <alignment horizontal="center"/>
      <protection locked="0"/>
    </xf>
    <xf numFmtId="14" fontId="3" fillId="43" borderId="3" xfId="8719" applyNumberFormat="1" applyFill="1" applyBorder="1" applyAlignment="1" applyProtection="1">
      <alignment horizontal="center"/>
      <protection locked="0"/>
    </xf>
    <xf numFmtId="14" fontId="3" fillId="43" borderId="4" xfId="8719" applyNumberFormat="1" applyFill="1" applyBorder="1" applyAlignment="1" applyProtection="1">
      <alignment horizontal="center"/>
      <protection locked="0"/>
    </xf>
    <xf numFmtId="14" fontId="3" fillId="43" borderId="5" xfId="8719" applyNumberFormat="1" applyFill="1" applyBorder="1" applyAlignment="1" applyProtection="1">
      <alignment horizontal="center"/>
      <protection locked="0"/>
    </xf>
    <xf numFmtId="14" fontId="148" fillId="43" borderId="3" xfId="8719" applyNumberFormat="1" applyFont="1" applyFill="1" applyBorder="1" applyAlignment="1" applyProtection="1">
      <alignment horizontal="center"/>
      <protection locked="0"/>
    </xf>
    <xf numFmtId="14" fontId="148" fillId="43" borderId="4" xfId="8719" applyNumberFormat="1" applyFont="1" applyFill="1" applyBorder="1" applyAlignment="1" applyProtection="1">
      <alignment horizontal="center"/>
      <protection locked="0"/>
    </xf>
    <xf numFmtId="0" fontId="164" fillId="45" borderId="102" xfId="8719" applyFont="1" applyFill="1" applyBorder="1" applyAlignment="1">
      <alignment horizontal="left"/>
    </xf>
    <xf numFmtId="0" fontId="164" fillId="45" borderId="103" xfId="8719" applyFont="1" applyFill="1" applyBorder="1" applyAlignment="1">
      <alignment horizontal="left"/>
    </xf>
    <xf numFmtId="0" fontId="164" fillId="45" borderId="104" xfId="8719" applyFont="1" applyFill="1" applyBorder="1" applyAlignment="1">
      <alignment horizontal="left"/>
    </xf>
    <xf numFmtId="0" fontId="99" fillId="43" borderId="3" xfId="8719" applyFont="1" applyFill="1" applyBorder="1" applyAlignment="1" applyProtection="1">
      <alignment horizontal="center"/>
      <protection locked="0"/>
    </xf>
    <xf numFmtId="0" fontId="99" fillId="43" borderId="4" xfId="8719" applyFont="1" applyFill="1" applyBorder="1" applyAlignment="1" applyProtection="1">
      <alignment horizontal="center"/>
      <protection locked="0"/>
    </xf>
    <xf numFmtId="0" fontId="99" fillId="43" borderId="5" xfId="8719" applyFont="1" applyFill="1" applyBorder="1" applyAlignment="1" applyProtection="1">
      <alignment horizontal="center"/>
      <protection locked="0"/>
    </xf>
    <xf numFmtId="0" fontId="143" fillId="45" borderId="77" xfId="8719" applyFont="1"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99" fillId="45" borderId="5" xfId="8719" applyFont="1" applyFill="1" applyBorder="1" applyAlignment="1">
      <alignment horizontal="center"/>
    </xf>
    <xf numFmtId="0" fontId="99" fillId="45" borderId="3" xfId="8719" applyFont="1" applyFill="1" applyBorder="1" applyAlignment="1">
      <alignment horizontal="center"/>
    </xf>
    <xf numFmtId="0" fontId="152" fillId="45" borderId="3" xfId="8719" applyFont="1" applyFill="1" applyBorder="1" applyAlignment="1">
      <alignment horizontal="center"/>
    </xf>
    <xf numFmtId="0" fontId="152" fillId="45" borderId="4" xfId="8719" applyFont="1" applyFill="1" applyBorder="1" applyAlignment="1">
      <alignment horizontal="center"/>
    </xf>
    <xf numFmtId="0" fontId="152" fillId="45" borderId="5" xfId="8719" applyFont="1" applyFill="1" applyBorder="1" applyAlignment="1">
      <alignment horizontal="center"/>
    </xf>
    <xf numFmtId="0" fontId="99" fillId="45" borderId="86" xfId="8719" applyFont="1" applyFill="1" applyBorder="1" applyAlignment="1">
      <alignment horizontal="center"/>
    </xf>
    <xf numFmtId="0" fontId="99" fillId="45" borderId="84" xfId="8719" applyFont="1" applyFill="1" applyBorder="1" applyAlignment="1">
      <alignment horizontal="center"/>
    </xf>
    <xf numFmtId="0" fontId="99" fillId="45" borderId="87" xfId="8719" applyFont="1" applyFill="1" applyBorder="1" applyAlignment="1">
      <alignment horizontal="center"/>
    </xf>
    <xf numFmtId="0" fontId="99" fillId="45" borderId="80" xfId="8719" applyFont="1" applyFill="1" applyBorder="1" applyAlignment="1">
      <alignment horizontal="center"/>
    </xf>
    <xf numFmtId="0" fontId="99" fillId="45" borderId="2" xfId="8719" applyFont="1" applyFill="1" applyBorder="1" applyAlignment="1">
      <alignment horizontal="center"/>
    </xf>
    <xf numFmtId="0" fontId="99" fillId="45" borderId="7" xfId="8719" applyFont="1" applyFill="1" applyBorder="1" applyAlignment="1">
      <alignment horizontal="center"/>
    </xf>
    <xf numFmtId="0" fontId="99" fillId="45" borderId="88" xfId="8719" applyFont="1" applyFill="1" applyBorder="1" applyAlignment="1">
      <alignment horizontal="center"/>
    </xf>
    <xf numFmtId="0" fontId="99" fillId="45" borderId="42" xfId="8719" applyFont="1" applyFill="1" applyBorder="1" applyAlignment="1">
      <alignment horizontal="center"/>
    </xf>
    <xf numFmtId="0" fontId="99" fillId="45" borderId="89" xfId="8719" applyFont="1" applyFill="1" applyBorder="1" applyAlignment="1">
      <alignment horizontal="center"/>
    </xf>
    <xf numFmtId="0" fontId="143" fillId="45" borderId="1" xfId="8719" applyFont="1" applyFill="1" applyBorder="1" applyAlignment="1">
      <alignment horizontal="center" wrapText="1"/>
    </xf>
    <xf numFmtId="0" fontId="143" fillId="45" borderId="2" xfId="8719" applyFont="1" applyFill="1" applyBorder="1" applyAlignment="1">
      <alignment horizontal="center" wrapText="1"/>
    </xf>
    <xf numFmtId="0" fontId="143" fillId="45" borderId="7" xfId="8719" applyFont="1" applyFill="1" applyBorder="1" applyAlignment="1">
      <alignment horizontal="center" wrapText="1"/>
    </xf>
    <xf numFmtId="0" fontId="143" fillId="45" borderId="9" xfId="8719" applyFont="1" applyFill="1" applyBorder="1" applyAlignment="1">
      <alignment horizontal="center" wrapText="1"/>
    </xf>
    <xf numFmtId="0" fontId="143" fillId="45" borderId="6" xfId="8719" applyFont="1" applyFill="1" applyBorder="1" applyAlignment="1">
      <alignment horizontal="center" wrapText="1"/>
    </xf>
    <xf numFmtId="0" fontId="143" fillId="45" borderId="10" xfId="8719" applyFont="1" applyFill="1" applyBorder="1" applyAlignment="1">
      <alignment horizontal="center" wrapText="1"/>
    </xf>
    <xf numFmtId="0" fontId="152" fillId="45" borderId="1" xfId="8719" applyFont="1" applyFill="1" applyBorder="1" applyAlignment="1">
      <alignment horizontal="center" wrapText="1"/>
    </xf>
    <xf numFmtId="0" fontId="152" fillId="45" borderId="2" xfId="8719" applyFont="1" applyFill="1" applyBorder="1" applyAlignment="1">
      <alignment horizontal="center" wrapText="1"/>
    </xf>
    <xf numFmtId="0" fontId="152" fillId="45" borderId="7" xfId="8719" applyFont="1" applyFill="1" applyBorder="1" applyAlignment="1">
      <alignment horizontal="center" wrapText="1"/>
    </xf>
    <xf numFmtId="0" fontId="152" fillId="45" borderId="9" xfId="8719" applyFont="1" applyFill="1" applyBorder="1" applyAlignment="1">
      <alignment horizontal="center" wrapText="1"/>
    </xf>
    <xf numFmtId="0" fontId="152" fillId="45" borderId="6" xfId="8719" applyFont="1" applyFill="1" applyBorder="1" applyAlignment="1">
      <alignment horizontal="center" wrapText="1"/>
    </xf>
    <xf numFmtId="0" fontId="152" fillId="45" borderId="10" xfId="8719" applyFont="1" applyFill="1" applyBorder="1" applyAlignment="1">
      <alignment horizontal="center" wrapText="1"/>
    </xf>
    <xf numFmtId="0" fontId="143" fillId="45" borderId="68" xfId="8719" applyFont="1" applyFill="1" applyBorder="1" applyAlignment="1">
      <alignment horizontal="center"/>
    </xf>
    <xf numFmtId="0" fontId="143" fillId="45" borderId="69" xfId="8719" applyFont="1" applyFill="1" applyBorder="1" applyAlignment="1">
      <alignment horizontal="center"/>
    </xf>
    <xf numFmtId="0" fontId="143" fillId="45" borderId="29" xfId="8719" applyFont="1" applyFill="1" applyBorder="1" applyAlignment="1">
      <alignment horizontal="center"/>
    </xf>
    <xf numFmtId="0" fontId="148" fillId="43" borderId="29" xfId="8719" applyFont="1" applyFill="1" applyBorder="1" applyAlignment="1" applyProtection="1">
      <alignment horizontal="center"/>
      <protection locked="0"/>
    </xf>
    <xf numFmtId="0" fontId="148" fillId="43" borderId="31" xfId="8719" applyFont="1" applyFill="1" applyBorder="1" applyAlignment="1" applyProtection="1">
      <alignment horizontal="center"/>
      <protection locked="0"/>
    </xf>
    <xf numFmtId="0" fontId="156" fillId="45" borderId="68" xfId="8719" applyFont="1" applyFill="1" applyBorder="1" applyAlignment="1">
      <alignment horizontal="center"/>
    </xf>
    <xf numFmtId="0" fontId="156" fillId="45" borderId="69" xfId="8719" applyFont="1" applyFill="1" applyBorder="1" applyAlignment="1">
      <alignment horizontal="center"/>
    </xf>
    <xf numFmtId="0" fontId="156" fillId="45" borderId="70" xfId="8719" applyFont="1" applyFill="1" applyBorder="1" applyAlignment="1">
      <alignment horizontal="center"/>
    </xf>
    <xf numFmtId="0" fontId="167" fillId="43" borderId="68" xfId="8719" applyFont="1" applyFill="1" applyBorder="1" applyAlignment="1" applyProtection="1">
      <alignment horizontal="left"/>
      <protection locked="0"/>
    </xf>
    <xf numFmtId="0" fontId="167" fillId="43" borderId="69" xfId="8719" applyFont="1" applyFill="1" applyBorder="1" applyAlignment="1" applyProtection="1">
      <alignment horizontal="left"/>
      <protection locked="0"/>
    </xf>
    <xf numFmtId="0" fontId="167" fillId="43" borderId="70" xfId="8719" applyFont="1" applyFill="1" applyBorder="1" applyAlignment="1" applyProtection="1">
      <alignment horizontal="left"/>
      <protection locked="0"/>
    </xf>
    <xf numFmtId="0" fontId="168" fillId="43" borderId="66" xfId="8719" applyFont="1" applyFill="1" applyBorder="1" applyAlignment="1" applyProtection="1">
      <alignment horizontal="left" vertical="top"/>
      <protection locked="0"/>
    </xf>
    <xf numFmtId="0" fontId="168" fillId="43" borderId="29" xfId="8719" applyFont="1" applyFill="1" applyBorder="1" applyAlignment="1" applyProtection="1">
      <alignment horizontal="left" vertical="top"/>
      <protection locked="0"/>
    </xf>
    <xf numFmtId="0" fontId="168" fillId="43" borderId="31" xfId="8719" applyFont="1" applyFill="1" applyBorder="1" applyAlignment="1" applyProtection="1">
      <alignment horizontal="left" vertical="top"/>
      <protection locked="0"/>
    </xf>
    <xf numFmtId="0" fontId="168" fillId="43" borderId="67" xfId="8719" applyFont="1" applyFill="1" applyBorder="1" applyAlignment="1" applyProtection="1">
      <alignment horizontal="left" vertical="top"/>
      <protection locked="0"/>
    </xf>
    <xf numFmtId="0" fontId="168" fillId="43" borderId="0" xfId="8719" applyFont="1" applyFill="1" applyAlignment="1" applyProtection="1">
      <alignment horizontal="left" vertical="top"/>
      <protection locked="0"/>
    </xf>
    <xf numFmtId="0" fontId="168" fillId="43" borderId="41" xfId="8719" applyFont="1" applyFill="1" applyBorder="1" applyAlignment="1" applyProtection="1">
      <alignment horizontal="left" vertical="top"/>
      <protection locked="0"/>
    </xf>
    <xf numFmtId="0" fontId="168" fillId="43" borderId="88" xfId="8719" applyFont="1" applyFill="1" applyBorder="1" applyAlignment="1" applyProtection="1">
      <alignment horizontal="left" vertical="top"/>
      <protection locked="0"/>
    </xf>
    <xf numFmtId="0" fontId="168" fillId="43" borderId="42" xfId="8719" applyFont="1" applyFill="1" applyBorder="1" applyAlignment="1" applyProtection="1">
      <alignment horizontal="left" vertical="top"/>
      <protection locked="0"/>
    </xf>
    <xf numFmtId="0" fontId="168" fillId="43" borderId="44" xfId="8719" applyFont="1" applyFill="1" applyBorder="1" applyAlignment="1" applyProtection="1">
      <alignment horizontal="left" vertical="top"/>
      <protection locked="0"/>
    </xf>
    <xf numFmtId="0" fontId="143" fillId="45" borderId="91" xfId="8719" applyFont="1" applyFill="1" applyBorder="1" applyAlignment="1">
      <alignment horizontal="center"/>
    </xf>
    <xf numFmtId="0" fontId="99" fillId="43" borderId="85" xfId="8719" applyFont="1" applyFill="1" applyBorder="1" applyAlignment="1" applyProtection="1">
      <alignment horizontal="center"/>
      <protection locked="0"/>
    </xf>
    <xf numFmtId="0" fontId="99" fillId="43" borderId="75" xfId="8719" applyFont="1" applyFill="1" applyBorder="1" applyAlignment="1" applyProtection="1">
      <alignment horizontal="center"/>
      <protection locked="0"/>
    </xf>
    <xf numFmtId="0" fontId="99" fillId="47" borderId="75" xfId="8719" applyFont="1" applyFill="1" applyBorder="1" applyAlignment="1" applyProtection="1">
      <alignment horizontal="center"/>
      <protection locked="0"/>
    </xf>
    <xf numFmtId="0" fontId="99" fillId="47" borderId="95" xfId="8719" applyFont="1" applyFill="1" applyBorder="1" applyAlignment="1" applyProtection="1">
      <alignment horizontal="center"/>
      <protection locked="0"/>
    </xf>
    <xf numFmtId="0" fontId="99" fillId="45" borderId="71" xfId="8719" applyFont="1" applyFill="1" applyBorder="1" applyAlignment="1">
      <alignment horizontal="left" wrapText="1"/>
    </xf>
    <xf numFmtId="0" fontId="99" fillId="45" borderId="72" xfId="8719" applyFont="1" applyFill="1" applyBorder="1" applyAlignment="1">
      <alignment horizontal="left" wrapText="1"/>
    </xf>
    <xf numFmtId="0" fontId="99" fillId="45" borderId="76" xfId="8719" applyFont="1" applyFill="1" applyBorder="1" applyAlignment="1">
      <alignment horizontal="left" wrapText="1"/>
    </xf>
    <xf numFmtId="0" fontId="99" fillId="45" borderId="82" xfId="8719" applyFont="1" applyFill="1" applyBorder="1" applyAlignment="1">
      <alignment horizontal="left" wrapText="1"/>
    </xf>
    <xf numFmtId="0" fontId="99" fillId="45" borderId="11" xfId="8719" applyFont="1" applyFill="1" applyBorder="1" applyAlignment="1">
      <alignment horizontal="left" wrapText="1"/>
    </xf>
    <xf numFmtId="0" fontId="99" fillId="45" borderId="93" xfId="8719" applyFont="1" applyFill="1" applyBorder="1" applyAlignment="1">
      <alignment horizontal="left" wrapText="1"/>
    </xf>
    <xf numFmtId="0" fontId="163" fillId="45" borderId="68" xfId="8719" applyFont="1" applyFill="1" applyBorder="1" applyAlignment="1">
      <alignment horizontal="left"/>
    </xf>
    <xf numFmtId="0" fontId="163" fillId="45" borderId="69" xfId="8719" applyFont="1" applyFill="1" applyBorder="1" applyAlignment="1">
      <alignment horizontal="left"/>
    </xf>
    <xf numFmtId="0" fontId="163" fillId="45" borderId="70" xfId="8719" applyFont="1" applyFill="1" applyBorder="1" applyAlignment="1">
      <alignment horizontal="left"/>
    </xf>
    <xf numFmtId="0" fontId="166" fillId="43" borderId="82" xfId="8719" applyFont="1" applyFill="1" applyBorder="1" applyAlignment="1" applyProtection="1">
      <alignment horizontal="left" vertical="top"/>
      <protection locked="0"/>
    </xf>
    <xf numFmtId="0" fontId="166" fillId="43" borderId="11" xfId="8719" applyFont="1" applyFill="1" applyBorder="1" applyAlignment="1" applyProtection="1">
      <alignment horizontal="left" vertical="top"/>
      <protection locked="0"/>
    </xf>
    <xf numFmtId="0" fontId="166" fillId="43" borderId="93" xfId="8719" applyFont="1" applyFill="1" applyBorder="1" applyAlignment="1" applyProtection="1">
      <alignment horizontal="left" vertical="top"/>
      <protection locked="0"/>
    </xf>
    <xf numFmtId="0" fontId="166" fillId="43" borderId="74" xfId="8719" applyFont="1" applyFill="1" applyBorder="1" applyAlignment="1" applyProtection="1">
      <alignment horizontal="left" vertical="top"/>
      <protection locked="0"/>
    </xf>
    <xf numFmtId="0" fontId="166" fillId="43" borderId="75" xfId="8719" applyFont="1" applyFill="1" applyBorder="1" applyAlignment="1" applyProtection="1">
      <alignment horizontal="left" vertical="top"/>
      <protection locked="0"/>
    </xf>
    <xf numFmtId="0" fontId="166" fillId="43" borderId="95" xfId="8719" applyFont="1" applyFill="1" applyBorder="1" applyAlignment="1" applyProtection="1">
      <alignment horizontal="left" vertical="top"/>
      <protection locked="0"/>
    </xf>
    <xf numFmtId="0" fontId="99" fillId="43" borderId="10" xfId="8719" applyFont="1" applyFill="1" applyBorder="1" applyAlignment="1" applyProtection="1">
      <alignment horizontal="center"/>
      <protection locked="0"/>
    </xf>
    <xf numFmtId="0" fontId="99" fillId="43" borderId="13" xfId="8719" applyFont="1" applyFill="1" applyBorder="1" applyAlignment="1" applyProtection="1">
      <alignment horizontal="center"/>
      <protection locked="0"/>
    </xf>
    <xf numFmtId="0" fontId="99" fillId="43" borderId="98" xfId="8719" applyFont="1" applyFill="1" applyBorder="1" applyAlignment="1" applyProtection="1">
      <alignment horizontal="center"/>
      <protection locked="0"/>
    </xf>
    <xf numFmtId="0" fontId="166" fillId="43" borderId="66" xfId="8719" applyFont="1" applyFill="1" applyBorder="1" applyAlignment="1">
      <alignment horizontal="left" vertical="top"/>
    </xf>
    <xf numFmtId="0" fontId="166" fillId="43" borderId="29" xfId="8719" applyFont="1" applyFill="1" applyBorder="1" applyAlignment="1">
      <alignment horizontal="left" vertical="top"/>
    </xf>
    <xf numFmtId="0" fontId="166" fillId="43" borderId="31" xfId="8719" applyFont="1" applyFill="1" applyBorder="1" applyAlignment="1">
      <alignment horizontal="left" vertical="top"/>
    </xf>
    <xf numFmtId="0" fontId="166" fillId="43" borderId="88" xfId="8719" applyFont="1" applyFill="1" applyBorder="1" applyAlignment="1">
      <alignment horizontal="left" vertical="top"/>
    </xf>
    <xf numFmtId="0" fontId="166" fillId="43" borderId="42" xfId="8719" applyFont="1" applyFill="1" applyBorder="1" applyAlignment="1">
      <alignment horizontal="left" vertical="top"/>
    </xf>
    <xf numFmtId="0" fontId="166" fillId="43" borderId="44" xfId="8719" applyFont="1" applyFill="1" applyBorder="1" applyAlignment="1">
      <alignment horizontal="left" vertical="top"/>
    </xf>
    <xf numFmtId="0" fontId="99" fillId="45" borderId="102" xfId="8719" applyFont="1" applyFill="1" applyBorder="1" applyAlignment="1">
      <alignment horizontal="center"/>
    </xf>
    <xf numFmtId="0" fontId="99" fillId="45" borderId="103" xfId="8719" applyFont="1" applyFill="1" applyBorder="1" applyAlignment="1">
      <alignment horizontal="center"/>
    </xf>
    <xf numFmtId="0" fontId="99" fillId="45" borderId="73" xfId="8719" applyFont="1" applyFill="1" applyBorder="1" applyAlignment="1">
      <alignment horizontal="center"/>
    </xf>
    <xf numFmtId="0" fontId="99" fillId="43" borderId="74" xfId="8719" applyFont="1" applyFill="1" applyBorder="1" applyAlignment="1" applyProtection="1">
      <alignment horizontal="center"/>
      <protection locked="0"/>
    </xf>
    <xf numFmtId="0" fontId="99" fillId="43" borderId="86" xfId="8719" applyFont="1" applyFill="1" applyBorder="1" applyAlignment="1" applyProtection="1">
      <alignment horizontal="center"/>
      <protection locked="0"/>
    </xf>
    <xf numFmtId="0" fontId="3" fillId="43" borderId="75" xfId="8719" applyFill="1" applyBorder="1" applyAlignment="1" applyProtection="1">
      <alignment horizontal="center"/>
      <protection locked="0"/>
    </xf>
    <xf numFmtId="0" fontId="3" fillId="43" borderId="95" xfId="8719" applyFill="1" applyBorder="1" applyAlignment="1" applyProtection="1">
      <alignment horizontal="center"/>
      <protection locked="0"/>
    </xf>
    <xf numFmtId="0" fontId="99" fillId="43" borderId="9" xfId="8719" applyFont="1" applyFill="1" applyBorder="1" applyAlignment="1" applyProtection="1">
      <alignment horizontal="center"/>
      <protection locked="0"/>
    </xf>
    <xf numFmtId="0" fontId="3" fillId="43" borderId="13" xfId="8719" applyFill="1" applyBorder="1" applyAlignment="1" applyProtection="1">
      <alignment horizontal="center"/>
      <protection locked="0"/>
    </xf>
    <xf numFmtId="0" fontId="3" fillId="43" borderId="98" xfId="8719" applyFill="1" applyBorder="1" applyAlignment="1" applyProtection="1">
      <alignment horizontal="center"/>
      <protection locked="0"/>
    </xf>
    <xf numFmtId="0" fontId="99" fillId="43" borderId="97" xfId="8719" applyFont="1" applyFill="1" applyBorder="1" applyAlignment="1" applyProtection="1">
      <alignment horizontal="center"/>
      <protection locked="0"/>
    </xf>
    <xf numFmtId="0" fontId="99" fillId="45" borderId="66" xfId="8719" applyFont="1" applyFill="1" applyBorder="1" applyAlignment="1">
      <alignment horizontal="left" wrapText="1"/>
    </xf>
    <xf numFmtId="0" fontId="99" fillId="45" borderId="29" xfId="8719" applyFont="1" applyFill="1" applyBorder="1" applyAlignment="1">
      <alignment horizontal="left" wrapText="1"/>
    </xf>
    <xf numFmtId="0" fontId="99" fillId="45" borderId="67" xfId="8719" applyFont="1" applyFill="1" applyBorder="1" applyAlignment="1">
      <alignment horizontal="left" wrapText="1"/>
    </xf>
    <xf numFmtId="0" fontId="99" fillId="45" borderId="0" xfId="8719" applyFont="1" applyFill="1" applyAlignment="1">
      <alignment horizontal="left" wrapText="1"/>
    </xf>
    <xf numFmtId="0" fontId="99" fillId="45" borderId="88" xfId="8719" applyFont="1" applyFill="1" applyBorder="1" applyAlignment="1">
      <alignment horizontal="left" wrapText="1"/>
    </xf>
    <xf numFmtId="0" fontId="99" fillId="45" borderId="42" xfId="8719" applyFont="1" applyFill="1" applyBorder="1" applyAlignment="1">
      <alignment horizontal="left" wrapText="1"/>
    </xf>
    <xf numFmtId="0" fontId="148" fillId="43" borderId="0" xfId="8719" applyFont="1" applyFill="1" applyAlignment="1" applyProtection="1">
      <alignment horizontal="center"/>
      <protection locked="0"/>
    </xf>
    <xf numFmtId="0" fontId="148" fillId="43" borderId="41" xfId="8719" applyFont="1" applyFill="1" applyBorder="1" applyAlignment="1" applyProtection="1">
      <alignment horizontal="center"/>
      <protection locked="0"/>
    </xf>
    <xf numFmtId="0" fontId="148" fillId="43" borderId="42" xfId="8719" applyFont="1" applyFill="1" applyBorder="1" applyAlignment="1" applyProtection="1">
      <alignment horizontal="center"/>
      <protection locked="0"/>
    </xf>
    <xf numFmtId="0" fontId="148" fillId="43" borderId="44" xfId="8719" applyFont="1" applyFill="1" applyBorder="1" applyAlignment="1" applyProtection="1">
      <alignment horizontal="center"/>
      <protection locked="0"/>
    </xf>
    <xf numFmtId="0" fontId="99" fillId="45" borderId="71" xfId="8719" applyFont="1" applyFill="1" applyBorder="1" applyAlignment="1">
      <alignment horizontal="center"/>
    </xf>
    <xf numFmtId="0" fontId="99" fillId="45" borderId="72" xfId="8719" applyFont="1" applyFill="1" applyBorder="1" applyAlignment="1">
      <alignment horizontal="center"/>
    </xf>
    <xf numFmtId="0" fontId="99" fillId="45" borderId="82" xfId="8719" applyFont="1" applyFill="1" applyBorder="1" applyAlignment="1">
      <alignment horizontal="center"/>
    </xf>
    <xf numFmtId="0" fontId="99" fillId="45" borderId="11" xfId="8719" applyFont="1" applyFill="1" applyBorder="1" applyAlignment="1">
      <alignment horizontal="center"/>
    </xf>
    <xf numFmtId="0" fontId="99" fillId="45" borderId="72" xfId="8719" applyFont="1" applyFill="1" applyBorder="1" applyAlignment="1">
      <alignment horizontal="center" wrapText="1"/>
    </xf>
    <xf numFmtId="0" fontId="99" fillId="45" borderId="11" xfId="8719" applyFont="1" applyFill="1" applyBorder="1" applyAlignment="1">
      <alignment horizontal="center" wrapText="1"/>
    </xf>
    <xf numFmtId="0" fontId="143" fillId="45" borderId="72" xfId="8719" applyFont="1" applyFill="1" applyBorder="1" applyAlignment="1">
      <alignment horizontal="center"/>
    </xf>
    <xf numFmtId="0" fontId="143" fillId="45" borderId="76" xfId="8719" applyFont="1" applyFill="1" applyBorder="1" applyAlignment="1">
      <alignment horizontal="center"/>
    </xf>
    <xf numFmtId="0" fontId="143" fillId="45" borderId="11" xfId="8719" applyFont="1" applyFill="1" applyBorder="1" applyAlignment="1">
      <alignment horizontal="center"/>
    </xf>
    <xf numFmtId="0" fontId="143" fillId="45" borderId="93" xfId="8719" applyFont="1" applyFill="1" applyBorder="1" applyAlignment="1">
      <alignment horizontal="center"/>
    </xf>
    <xf numFmtId="0" fontId="99" fillId="45" borderId="104" xfId="8719" applyFont="1" applyFill="1" applyBorder="1" applyAlignment="1">
      <alignment horizontal="center"/>
    </xf>
    <xf numFmtId="0" fontId="99" fillId="43" borderId="95"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99" fillId="43" borderId="93" xfId="8719" applyFont="1" applyFill="1" applyBorder="1" applyAlignment="1" applyProtection="1">
      <alignment horizontal="center"/>
      <protection locked="0"/>
    </xf>
    <xf numFmtId="0" fontId="99" fillId="45" borderId="66" xfId="8719" applyFont="1" applyFill="1" applyBorder="1" applyAlignment="1">
      <alignment horizontal="center" wrapText="1"/>
    </xf>
    <xf numFmtId="0" fontId="99" fillId="45" borderId="29" xfId="8719" applyFont="1" applyFill="1" applyBorder="1" applyAlignment="1">
      <alignment horizontal="center" wrapText="1"/>
    </xf>
    <xf numFmtId="0" fontId="99" fillId="45" borderId="31" xfId="8719" applyFont="1" applyFill="1" applyBorder="1" applyAlignment="1">
      <alignment horizontal="center" wrapText="1"/>
    </xf>
    <xf numFmtId="0" fontId="99" fillId="45" borderId="44" xfId="8719" applyFont="1" applyFill="1" applyBorder="1" applyAlignment="1">
      <alignment horizontal="center"/>
    </xf>
    <xf numFmtId="0" fontId="3" fillId="43" borderId="82" xfId="8719" applyFill="1" applyBorder="1" applyAlignment="1" applyProtection="1">
      <alignment horizontal="center"/>
      <protection locked="0"/>
    </xf>
    <xf numFmtId="182" fontId="148" fillId="43" borderId="11" xfId="700" applyNumberFormat="1" applyFont="1" applyFill="1" applyBorder="1" applyAlignment="1" applyProtection="1">
      <alignment horizontal="center"/>
      <protection locked="0"/>
    </xf>
    <xf numFmtId="182" fontId="148" fillId="43" borderId="93" xfId="700" applyNumberFormat="1" applyFont="1" applyFill="1" applyBorder="1" applyAlignment="1" applyProtection="1">
      <alignment horizontal="center"/>
      <protection locked="0"/>
    </xf>
    <xf numFmtId="0" fontId="143" fillId="45" borderId="71" xfId="8719" applyFont="1" applyFill="1" applyBorder="1" applyAlignment="1">
      <alignment horizontal="center"/>
    </xf>
    <xf numFmtId="182" fontId="148" fillId="43" borderId="99" xfId="700" applyNumberFormat="1" applyFont="1" applyFill="1" applyBorder="1" applyAlignment="1" applyProtection="1">
      <alignment horizontal="center"/>
      <protection locked="0"/>
    </xf>
    <xf numFmtId="182" fontId="148" fillId="43" borderId="100" xfId="700" applyNumberFormat="1" applyFont="1" applyFill="1" applyBorder="1" applyAlignment="1" applyProtection="1">
      <alignment horizontal="center"/>
      <protection locked="0"/>
    </xf>
    <xf numFmtId="0" fontId="143" fillId="45" borderId="96" xfId="8719" applyFont="1" applyFill="1" applyBorder="1" applyAlignment="1">
      <alignment horizontal="right"/>
    </xf>
    <xf numFmtId="0" fontId="143" fillId="45" borderId="43" xfId="8719" applyFont="1" applyFill="1" applyBorder="1" applyAlignment="1">
      <alignment horizontal="right"/>
    </xf>
    <xf numFmtId="44" fontId="143" fillId="45" borderId="43" xfId="8719" applyNumberFormat="1" applyFont="1" applyFill="1" applyBorder="1" applyAlignment="1">
      <alignment horizontal="center"/>
    </xf>
    <xf numFmtId="0" fontId="143" fillId="45" borderId="43" xfId="8719" applyFont="1" applyFill="1" applyBorder="1" applyAlignment="1">
      <alignment horizontal="center"/>
    </xf>
    <xf numFmtId="0" fontId="143" fillId="45" borderId="101" xfId="8719" applyFont="1" applyFill="1" applyBorder="1" applyAlignment="1">
      <alignment horizontal="center"/>
    </xf>
    <xf numFmtId="0" fontId="100" fillId="43" borderId="82" xfId="8719" applyFont="1" applyFill="1" applyBorder="1" applyAlignment="1" applyProtection="1">
      <alignment horizontal="center"/>
      <protection locked="0"/>
    </xf>
    <xf numFmtId="0" fontId="100" fillId="43" borderId="11" xfId="8719" applyFont="1" applyFill="1" applyBorder="1" applyAlignment="1" applyProtection="1">
      <alignment horizontal="center"/>
      <protection locked="0"/>
    </xf>
    <xf numFmtId="0" fontId="143" fillId="45" borderId="97" xfId="8719" applyFont="1" applyFill="1" applyBorder="1" applyAlignment="1">
      <alignment horizontal="center"/>
    </xf>
    <xf numFmtId="0" fontId="143" fillId="45" borderId="13" xfId="8719" applyFont="1" applyFill="1" applyBorder="1" applyAlignment="1">
      <alignment horizontal="center"/>
    </xf>
    <xf numFmtId="0" fontId="148" fillId="43" borderId="72" xfId="8719" applyFont="1" applyFill="1" applyBorder="1" applyAlignment="1" applyProtection="1">
      <alignment horizontal="center"/>
      <protection locked="0"/>
    </xf>
    <xf numFmtId="0" fontId="148" fillId="43" borderId="76" xfId="8719" applyFont="1" applyFill="1" applyBorder="1" applyAlignment="1" applyProtection="1">
      <alignment horizontal="center"/>
      <protection locked="0"/>
    </xf>
    <xf numFmtId="0" fontId="143" fillId="45" borderId="82" xfId="8719" applyFont="1" applyFill="1" applyBorder="1" applyAlignment="1">
      <alignment horizontal="center"/>
    </xf>
    <xf numFmtId="0" fontId="143" fillId="45" borderId="3" xfId="8719" applyFont="1" applyFill="1" applyBorder="1" applyAlignment="1">
      <alignment horizontal="center"/>
    </xf>
    <xf numFmtId="0" fontId="148" fillId="43" borderId="95" xfId="8719" applyFont="1" applyFill="1" applyBorder="1" applyAlignment="1" applyProtection="1">
      <alignment horizontal="center"/>
      <protection locked="0"/>
    </xf>
    <xf numFmtId="0" fontId="154" fillId="43" borderId="82" xfId="8719" applyFont="1" applyFill="1" applyBorder="1" applyAlignment="1" applyProtection="1">
      <alignment horizontal="center"/>
      <protection locked="0"/>
    </xf>
    <xf numFmtId="0" fontId="154" fillId="43" borderId="11" xfId="8719" applyFont="1" applyFill="1" applyBorder="1" applyAlignment="1" applyProtection="1">
      <alignment horizontal="center"/>
      <protection locked="0"/>
    </xf>
    <xf numFmtId="0" fontId="154" fillId="43" borderId="93" xfId="8719" applyFont="1" applyFill="1" applyBorder="1" applyAlignment="1" applyProtection="1">
      <alignment horizontal="center"/>
      <protection locked="0"/>
    </xf>
    <xf numFmtId="0" fontId="154" fillId="43" borderId="5" xfId="8719" applyFont="1" applyFill="1" applyBorder="1" applyAlignment="1" applyProtection="1">
      <alignment horizontal="center"/>
      <protection locked="0"/>
    </xf>
    <xf numFmtId="0" fontId="154" fillId="43" borderId="74" xfId="8719" applyFont="1" applyFill="1" applyBorder="1" applyAlignment="1" applyProtection="1">
      <alignment horizontal="center"/>
      <protection locked="0"/>
    </xf>
    <xf numFmtId="0" fontId="154" fillId="43" borderId="75" xfId="8719" applyFont="1" applyFill="1" applyBorder="1" applyAlignment="1" applyProtection="1">
      <alignment horizontal="center"/>
      <protection locked="0"/>
    </xf>
    <xf numFmtId="0" fontId="154" fillId="43" borderId="95" xfId="8719" applyFont="1" applyFill="1" applyBorder="1" applyAlignment="1" applyProtection="1">
      <alignment horizontal="center"/>
      <protection locked="0"/>
    </xf>
    <xf numFmtId="0" fontId="154" fillId="43" borderId="85" xfId="8719" applyFont="1" applyFill="1" applyBorder="1" applyAlignment="1" applyProtection="1">
      <alignment horizontal="center"/>
      <protection locked="0"/>
    </xf>
    <xf numFmtId="0" fontId="51" fillId="45" borderId="66" xfId="8719" applyFont="1" applyFill="1" applyBorder="1" applyAlignment="1">
      <alignment horizontal="center"/>
    </xf>
    <xf numFmtId="0" fontId="51" fillId="45" borderId="29" xfId="8719" applyFont="1" applyFill="1" applyBorder="1" applyAlignment="1">
      <alignment horizontal="center"/>
    </xf>
    <xf numFmtId="0" fontId="51" fillId="45" borderId="31" xfId="8719" applyFont="1" applyFill="1" applyBorder="1" applyAlignment="1">
      <alignment horizontal="center"/>
    </xf>
    <xf numFmtId="182" fontId="154" fillId="43" borderId="75" xfId="8720" applyNumberFormat="1" applyFont="1" applyFill="1" applyBorder="1" applyAlignment="1" applyProtection="1">
      <alignment horizontal="center"/>
      <protection locked="0"/>
    </xf>
    <xf numFmtId="180" fontId="154" fillId="43" borderId="75" xfId="8719" applyNumberFormat="1" applyFont="1" applyFill="1" applyBorder="1" applyAlignment="1" applyProtection="1">
      <alignment horizontal="center"/>
      <protection locked="0"/>
    </xf>
    <xf numFmtId="182" fontId="154" fillId="43" borderId="75" xfId="700" applyNumberFormat="1" applyFont="1" applyFill="1" applyBorder="1" applyAlignment="1" applyProtection="1">
      <alignment horizontal="center"/>
      <protection locked="0"/>
    </xf>
    <xf numFmtId="182" fontId="154" fillId="43" borderId="95" xfId="700" applyNumberFormat="1" applyFont="1" applyFill="1" applyBorder="1" applyAlignment="1" applyProtection="1">
      <alignment horizontal="center"/>
      <protection locked="0"/>
    </xf>
    <xf numFmtId="0" fontId="144" fillId="45" borderId="96" xfId="8719" applyFont="1" applyFill="1" applyBorder="1" applyAlignment="1">
      <alignment horizontal="center"/>
    </xf>
    <xf numFmtId="0" fontId="144" fillId="45" borderId="43" xfId="8719" applyFont="1" applyFill="1" applyBorder="1" applyAlignment="1">
      <alignment horizontal="center"/>
    </xf>
    <xf numFmtId="182" fontId="144" fillId="45" borderId="43" xfId="8720" applyNumberFormat="1" applyFont="1" applyFill="1" applyBorder="1" applyAlignment="1">
      <alignment horizontal="center"/>
    </xf>
    <xf numFmtId="180" fontId="144" fillId="45" borderId="43" xfId="8720" applyNumberFormat="1" applyFont="1" applyFill="1" applyBorder="1" applyAlignment="1">
      <alignment horizontal="center"/>
    </xf>
    <xf numFmtId="44" fontId="144" fillId="45" borderId="43" xfId="8720" applyFont="1" applyFill="1" applyBorder="1" applyAlignment="1">
      <alignment horizontal="center"/>
    </xf>
    <xf numFmtId="182" fontId="154" fillId="43" borderId="11" xfId="8720" applyNumberFormat="1" applyFont="1" applyFill="1" applyBorder="1" applyAlignment="1" applyProtection="1">
      <alignment horizontal="center"/>
      <protection locked="0"/>
    </xf>
    <xf numFmtId="180" fontId="154" fillId="43" borderId="11" xfId="8719" applyNumberFormat="1" applyFont="1" applyFill="1" applyBorder="1" applyAlignment="1" applyProtection="1">
      <alignment horizontal="center"/>
      <protection locked="0"/>
    </xf>
    <xf numFmtId="182" fontId="154" fillId="43" borderId="11" xfId="700" applyNumberFormat="1" applyFont="1" applyFill="1" applyBorder="1" applyAlignment="1" applyProtection="1">
      <alignment horizontal="center"/>
      <protection locked="0"/>
    </xf>
    <xf numFmtId="182" fontId="154" fillId="43" borderId="93" xfId="700" applyNumberFormat="1" applyFont="1" applyFill="1" applyBorder="1" applyAlignment="1" applyProtection="1">
      <alignment horizontal="center"/>
      <protection locked="0"/>
    </xf>
    <xf numFmtId="0" fontId="143" fillId="45" borderId="70" xfId="8719" applyFont="1" applyFill="1" applyBorder="1" applyAlignment="1">
      <alignment horizontal="center"/>
    </xf>
    <xf numFmtId="0" fontId="144" fillId="45" borderId="66" xfId="8719" applyFont="1" applyFill="1" applyBorder="1" applyAlignment="1">
      <alignment horizontal="center"/>
    </xf>
    <xf numFmtId="0" fontId="144" fillId="45" borderId="29" xfId="8719" applyFont="1" applyFill="1" applyBorder="1" applyAlignment="1">
      <alignment horizontal="center"/>
    </xf>
    <xf numFmtId="0" fontId="144" fillId="45" borderId="31" xfId="8719" applyFont="1" applyFill="1" applyBorder="1" applyAlignment="1">
      <alignment horizontal="center"/>
    </xf>
    <xf numFmtId="0" fontId="51" fillId="45" borderId="66" xfId="8719" applyFont="1" applyFill="1" applyBorder="1" applyAlignment="1">
      <alignment horizontal="center" vertical="center" wrapText="1"/>
    </xf>
    <xf numFmtId="0" fontId="51" fillId="45" borderId="29" xfId="8719" applyFont="1" applyFill="1" applyBorder="1" applyAlignment="1">
      <alignment horizontal="center" vertical="center" wrapText="1"/>
    </xf>
    <xf numFmtId="0" fontId="51" fillId="45" borderId="31" xfId="8719" applyFont="1" applyFill="1" applyBorder="1" applyAlignment="1">
      <alignment horizontal="center" vertical="center" wrapText="1"/>
    </xf>
    <xf numFmtId="0" fontId="29" fillId="45" borderId="66" xfId="8719" applyFont="1" applyFill="1" applyBorder="1" applyAlignment="1">
      <alignment horizontal="center" vertical="center" wrapText="1"/>
    </xf>
    <xf numFmtId="0" fontId="29" fillId="45" borderId="29" xfId="8719" applyFont="1" applyFill="1" applyBorder="1" applyAlignment="1">
      <alignment horizontal="center" vertical="center" wrapText="1"/>
    </xf>
    <xf numFmtId="0" fontId="29" fillId="45" borderId="31" xfId="8719" applyFont="1" applyFill="1" applyBorder="1" applyAlignment="1">
      <alignment horizontal="center" vertical="center" wrapText="1"/>
    </xf>
    <xf numFmtId="1" fontId="3" fillId="43" borderId="11" xfId="8719" applyNumberFormat="1" applyFill="1" applyBorder="1" applyAlignment="1" applyProtection="1">
      <alignment horizontal="center"/>
      <protection locked="0"/>
    </xf>
    <xf numFmtId="1" fontId="148" fillId="44" borderId="13" xfId="8719" applyNumberFormat="1" applyFont="1" applyFill="1" applyBorder="1" applyAlignment="1">
      <alignment horizontal="center"/>
    </xf>
    <xf numFmtId="9" fontId="148" fillId="44" borderId="13" xfId="8721" applyFont="1" applyFill="1" applyBorder="1" applyAlignment="1">
      <alignment horizontal="center"/>
    </xf>
    <xf numFmtId="0" fontId="144" fillId="43" borderId="74" xfId="8719" applyFont="1" applyFill="1" applyBorder="1" applyAlignment="1" applyProtection="1">
      <alignment horizontal="right"/>
      <protection locked="0"/>
    </xf>
    <xf numFmtId="0" fontId="144" fillId="43" borderId="75" xfId="8719" applyFont="1" applyFill="1" applyBorder="1" applyAlignment="1" applyProtection="1">
      <alignment horizontal="right"/>
      <protection locked="0"/>
    </xf>
    <xf numFmtId="0" fontId="144" fillId="43" borderId="95" xfId="8719" applyFont="1" applyFill="1" applyBorder="1" applyAlignment="1" applyProtection="1">
      <alignment horizontal="right"/>
      <protection locked="0"/>
    </xf>
    <xf numFmtId="0" fontId="3" fillId="43" borderId="85" xfId="8719" applyFill="1" applyBorder="1" applyAlignment="1" applyProtection="1">
      <alignment horizontal="center"/>
      <protection locked="0"/>
    </xf>
    <xf numFmtId="0" fontId="3" fillId="43" borderId="74" xfId="8719" applyFill="1" applyBorder="1" applyAlignment="1" applyProtection="1">
      <alignment horizontal="center"/>
      <protection locked="0"/>
    </xf>
    <xf numFmtId="0" fontId="3" fillId="43" borderId="86" xfId="8719" applyFill="1" applyBorder="1" applyAlignment="1" applyProtection="1">
      <alignment horizontal="center"/>
      <protection locked="0"/>
    </xf>
    <xf numFmtId="0" fontId="144" fillId="43" borderId="82" xfId="8719" applyFont="1" applyFill="1" applyBorder="1" applyAlignment="1" applyProtection="1">
      <alignment horizontal="right"/>
      <protection locked="0"/>
    </xf>
    <xf numFmtId="0" fontId="144" fillId="43" borderId="11" xfId="8719" applyFont="1" applyFill="1" applyBorder="1" applyAlignment="1" applyProtection="1">
      <alignment horizontal="right"/>
      <protection locked="0"/>
    </xf>
    <xf numFmtId="0" fontId="144" fillId="43" borderId="93" xfId="8719" applyFont="1" applyFill="1" applyBorder="1" applyAlignment="1" applyProtection="1">
      <alignment horizontal="right"/>
      <protection locked="0"/>
    </xf>
    <xf numFmtId="0" fontId="3" fillId="43" borderId="5" xfId="8719" applyFill="1" applyBorder="1" applyAlignment="1" applyProtection="1">
      <alignment horizontal="center"/>
      <protection locked="0"/>
    </xf>
    <xf numFmtId="0" fontId="3" fillId="43" borderId="93" xfId="8719" applyFill="1" applyBorder="1" applyAlignment="1" applyProtection="1">
      <alignment horizontal="center"/>
      <protection locked="0"/>
    </xf>
    <xf numFmtId="0" fontId="146" fillId="43" borderId="82"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3" fillId="43" borderId="3" xfId="8719" applyFill="1" applyBorder="1" applyAlignment="1" applyProtection="1">
      <alignment horizontal="center"/>
      <protection locked="0"/>
    </xf>
    <xf numFmtId="0" fontId="144" fillId="43" borderId="94" xfId="8719" applyFont="1" applyFill="1" applyBorder="1" applyAlignment="1" applyProtection="1">
      <alignment horizontal="right"/>
      <protection locked="0"/>
    </xf>
    <xf numFmtId="0" fontId="144" fillId="43" borderId="4" xfId="8719" applyFont="1" applyFill="1" applyBorder="1" applyAlignment="1" applyProtection="1">
      <alignment horizontal="right"/>
      <protection locked="0"/>
    </xf>
    <xf numFmtId="0" fontId="144" fillId="43" borderId="81" xfId="8719" applyFont="1" applyFill="1" applyBorder="1" applyAlignment="1" applyProtection="1">
      <alignment horizontal="right"/>
      <protection locked="0"/>
    </xf>
    <xf numFmtId="0" fontId="152" fillId="43" borderId="82" xfId="8719" applyFont="1" applyFill="1" applyBorder="1" applyAlignment="1" applyProtection="1">
      <alignment horizontal="right"/>
      <protection locked="0"/>
    </xf>
    <xf numFmtId="0" fontId="152" fillId="43" borderId="11" xfId="8719" applyFont="1" applyFill="1" applyBorder="1" applyAlignment="1" applyProtection="1">
      <alignment horizontal="right"/>
      <protection locked="0"/>
    </xf>
    <xf numFmtId="0" fontId="152" fillId="43" borderId="93" xfId="8719" applyFont="1" applyFill="1" applyBorder="1" applyAlignment="1" applyProtection="1">
      <alignment horizontal="right"/>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146" fillId="43" borderId="5" xfId="8719" applyFont="1" applyFill="1" applyBorder="1" applyAlignment="1" applyProtection="1">
      <alignment horizontal="center"/>
      <protection locked="0"/>
    </xf>
    <xf numFmtId="0" fontId="146" fillId="43" borderId="93" xfId="8719" applyFont="1" applyFill="1" applyBorder="1" applyAlignment="1" applyProtection="1">
      <alignment horizontal="center"/>
      <protection locked="0"/>
    </xf>
    <xf numFmtId="1" fontId="146" fillId="43" borderId="13" xfId="8719" applyNumberFormat="1" applyFont="1" applyFill="1" applyBorder="1" applyAlignment="1" applyProtection="1">
      <alignment horizontal="center"/>
      <protection locked="0"/>
    </xf>
    <xf numFmtId="1" fontId="3" fillId="43" borderId="13" xfId="8719" applyNumberFormat="1" applyFill="1" applyBorder="1" applyAlignment="1" applyProtection="1">
      <alignment horizontal="center"/>
      <protection locked="0"/>
    </xf>
    <xf numFmtId="0" fontId="51" fillId="43" borderId="71" xfId="8719" applyFont="1" applyFill="1" applyBorder="1" applyAlignment="1" applyProtection="1">
      <alignment horizontal="right"/>
      <protection locked="0"/>
    </xf>
    <xf numFmtId="0" fontId="51" fillId="43" borderId="72" xfId="8719" applyFont="1" applyFill="1" applyBorder="1" applyAlignment="1" applyProtection="1">
      <alignment horizontal="right"/>
      <protection locked="0"/>
    </xf>
    <xf numFmtId="0" fontId="51" fillId="43" borderId="76" xfId="8719" applyFont="1" applyFill="1" applyBorder="1" applyAlignment="1" applyProtection="1">
      <alignment horizontal="right"/>
      <protection locked="0"/>
    </xf>
    <xf numFmtId="0" fontId="151" fillId="43" borderId="91" xfId="8719" applyFont="1" applyFill="1" applyBorder="1" applyAlignment="1" applyProtection="1">
      <alignment horizontal="center"/>
      <protection locked="0"/>
    </xf>
    <xf numFmtId="0" fontId="151" fillId="43" borderId="72" xfId="8719" applyFont="1" applyFill="1" applyBorder="1" applyAlignment="1" applyProtection="1">
      <alignment horizontal="center"/>
      <protection locked="0"/>
    </xf>
    <xf numFmtId="0" fontId="151" fillId="43" borderId="76" xfId="8719" applyFont="1" applyFill="1" applyBorder="1" applyAlignment="1" applyProtection="1">
      <alignment horizontal="center"/>
      <protection locked="0"/>
    </xf>
    <xf numFmtId="0" fontId="146" fillId="43" borderId="71" xfId="8719" applyFont="1" applyFill="1" applyBorder="1" applyAlignment="1" applyProtection="1">
      <alignment horizontal="center"/>
      <protection locked="0"/>
    </xf>
    <xf numFmtId="0" fontId="146" fillId="43" borderId="72" xfId="8719" applyFont="1" applyFill="1" applyBorder="1" applyAlignment="1" applyProtection="1">
      <alignment horizontal="center"/>
      <protection locked="0"/>
    </xf>
    <xf numFmtId="0" fontId="146" fillId="43" borderId="92" xfId="8719" applyFont="1" applyFill="1" applyBorder="1" applyAlignment="1" applyProtection="1">
      <alignment horizontal="center"/>
      <protection locked="0"/>
    </xf>
    <xf numFmtId="9" fontId="3" fillId="43" borderId="68" xfId="8719" applyNumberFormat="1" applyFill="1" applyBorder="1" applyAlignment="1" applyProtection="1">
      <alignment horizontal="center"/>
      <protection locked="0"/>
    </xf>
    <xf numFmtId="9" fontId="3" fillId="43" borderId="69" xfId="8719" applyNumberFormat="1" applyFill="1" applyBorder="1" applyAlignment="1" applyProtection="1">
      <alignment horizontal="center"/>
      <protection locked="0"/>
    </xf>
    <xf numFmtId="9" fontId="3" fillId="43" borderId="70" xfId="8719" applyNumberFormat="1" applyFill="1" applyBorder="1" applyAlignment="1" applyProtection="1">
      <alignment horizontal="center"/>
      <protection locked="0"/>
    </xf>
    <xf numFmtId="0" fontId="148" fillId="44" borderId="68" xfId="8719" applyFont="1" applyFill="1" applyBorder="1" applyAlignment="1">
      <alignment horizontal="center"/>
    </xf>
    <xf numFmtId="0" fontId="148" fillId="44" borderId="69" xfId="8719" applyFont="1" applyFill="1" applyBorder="1" applyAlignment="1">
      <alignment horizontal="center"/>
    </xf>
    <xf numFmtId="0" fontId="148" fillId="44" borderId="70" xfId="8719" applyFont="1" applyFill="1" applyBorder="1" applyAlignment="1">
      <alignment horizontal="center"/>
    </xf>
    <xf numFmtId="0" fontId="149" fillId="44" borderId="90" xfId="8719" applyFont="1" applyFill="1" applyBorder="1" applyAlignment="1">
      <alignment horizontal="center"/>
    </xf>
    <xf numFmtId="0" fontId="149" fillId="44" borderId="42" xfId="8719" applyFont="1" applyFill="1" applyBorder="1" applyAlignment="1">
      <alignment horizontal="center"/>
    </xf>
    <xf numFmtId="0" fontId="149" fillId="44" borderId="89" xfId="8719" applyFont="1" applyFill="1" applyBorder="1" applyAlignment="1">
      <alignment horizontal="center"/>
    </xf>
    <xf numFmtId="9" fontId="149" fillId="44" borderId="90" xfId="1022" applyFont="1" applyFill="1" applyBorder="1" applyAlignment="1">
      <alignment horizontal="center"/>
    </xf>
    <xf numFmtId="9" fontId="149" fillId="44" borderId="42" xfId="1022" applyFont="1" applyFill="1" applyBorder="1" applyAlignment="1">
      <alignment horizontal="center"/>
    </xf>
    <xf numFmtId="9" fontId="149" fillId="44" borderId="44" xfId="1022" applyFont="1" applyFill="1" applyBorder="1" applyAlignment="1">
      <alignment horizontal="center"/>
    </xf>
    <xf numFmtId="0" fontId="62" fillId="45" borderId="68" xfId="8719" applyFont="1" applyFill="1" applyBorder="1" applyAlignment="1">
      <alignment horizontal="center"/>
    </xf>
    <xf numFmtId="0" fontId="62" fillId="45" borderId="69" xfId="8719" applyFont="1" applyFill="1" applyBorder="1" applyAlignment="1">
      <alignment horizontal="center"/>
    </xf>
    <xf numFmtId="0" fontId="62" fillId="45" borderId="70" xfId="8719" applyFont="1" applyFill="1" applyBorder="1" applyAlignment="1">
      <alignment horizontal="center"/>
    </xf>
    <xf numFmtId="0" fontId="150" fillId="45" borderId="67" xfId="8719" applyFont="1" applyFill="1" applyBorder="1" applyAlignment="1">
      <alignment horizontal="center" vertical="center" wrapText="1"/>
    </xf>
    <xf numFmtId="0" fontId="150" fillId="45" borderId="0" xfId="8719" applyFont="1" applyFill="1" applyAlignment="1">
      <alignment horizontal="center" vertical="center"/>
    </xf>
    <xf numFmtId="0" fontId="150" fillId="45" borderId="41" xfId="8719" applyFont="1" applyFill="1" applyBorder="1" applyAlignment="1">
      <alignment horizontal="center" vertical="center"/>
    </xf>
    <xf numFmtId="0" fontId="150" fillId="45" borderId="67" xfId="8719" applyFont="1" applyFill="1" applyBorder="1" applyAlignment="1">
      <alignment horizontal="center" vertical="center"/>
    </xf>
    <xf numFmtId="0" fontId="144" fillId="45" borderId="67" xfId="8719" applyFont="1" applyFill="1" applyBorder="1" applyAlignment="1">
      <alignment horizontal="center" vertical="center" wrapText="1"/>
    </xf>
    <xf numFmtId="0" fontId="144" fillId="45" borderId="0" xfId="8719" applyFont="1" applyFill="1" applyAlignment="1">
      <alignment horizontal="center" vertical="center"/>
    </xf>
    <xf numFmtId="0" fontId="144" fillId="45" borderId="41" xfId="8719" applyFont="1" applyFill="1" applyBorder="1" applyAlignment="1">
      <alignment horizontal="center" vertical="center"/>
    </xf>
    <xf numFmtId="0" fontId="144" fillId="45" borderId="67" xfId="8719" applyFont="1" applyFill="1" applyBorder="1" applyAlignment="1">
      <alignment horizontal="center" vertic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44" fillId="45" borderId="29" xfId="8719" applyFont="1" applyFill="1" applyBorder="1" applyAlignment="1">
      <alignment horizontal="center" vertical="center" wrapText="1"/>
    </xf>
    <xf numFmtId="0" fontId="144" fillId="45" borderId="31" xfId="8719" applyFont="1" applyFill="1" applyBorder="1" applyAlignment="1">
      <alignment horizontal="center" vertical="center" wrapText="1"/>
    </xf>
    <xf numFmtId="0" fontId="144" fillId="45" borderId="88" xfId="8719" applyFont="1" applyFill="1" applyBorder="1" applyAlignment="1">
      <alignment horizontal="center" vertical="center" wrapText="1"/>
    </xf>
    <xf numFmtId="0" fontId="144" fillId="45" borderId="42" xfId="8719" applyFont="1" applyFill="1" applyBorder="1" applyAlignment="1">
      <alignment horizontal="center" vertical="center" wrapText="1"/>
    </xf>
    <xf numFmtId="0" fontId="144" fillId="45" borderId="44" xfId="8719" applyFont="1" applyFill="1" applyBorder="1" applyAlignment="1">
      <alignment horizontal="center" vertical="center" wrapText="1"/>
    </xf>
    <xf numFmtId="0" fontId="149" fillId="44" borderId="88" xfId="8719" applyFont="1" applyFill="1" applyBorder="1" applyAlignment="1">
      <alignment horizontal="center"/>
    </xf>
    <xf numFmtId="0" fontId="149" fillId="44" borderId="3" xfId="8719" applyFont="1" applyFill="1" applyBorder="1" applyAlignment="1">
      <alignment horizontal="center"/>
    </xf>
    <xf numFmtId="0" fontId="149" fillId="44" borderId="4" xfId="8719" applyFont="1" applyFill="1" applyBorder="1" applyAlignment="1">
      <alignment horizontal="center"/>
    </xf>
    <xf numFmtId="0" fontId="149" fillId="44" borderId="5" xfId="8719" applyFont="1" applyFill="1" applyBorder="1" applyAlignment="1">
      <alignment horizontal="center"/>
    </xf>
    <xf numFmtId="9" fontId="149" fillId="44" borderId="3" xfId="8719" applyNumberFormat="1" applyFont="1" applyFill="1" applyBorder="1" applyAlignment="1">
      <alignment horizontal="center"/>
    </xf>
    <xf numFmtId="9" fontId="149" fillId="44" borderId="4" xfId="8719" applyNumberFormat="1" applyFont="1" applyFill="1" applyBorder="1" applyAlignment="1">
      <alignment horizontal="center"/>
    </xf>
    <xf numFmtId="9" fontId="149" fillId="44" borderId="81" xfId="8719" applyNumberFormat="1" applyFont="1" applyFill="1" applyBorder="1" applyAlignment="1">
      <alignment horizontal="center"/>
    </xf>
    <xf numFmtId="0" fontId="149" fillId="44" borderId="83" xfId="8719" applyFont="1" applyFill="1" applyBorder="1" applyAlignment="1">
      <alignment horizontal="center"/>
    </xf>
    <xf numFmtId="0" fontId="149" fillId="44" borderId="84" xfId="8719" applyFont="1" applyFill="1" applyBorder="1" applyAlignment="1">
      <alignment horizontal="center"/>
    </xf>
    <xf numFmtId="0" fontId="149" fillId="44" borderId="85" xfId="8719" applyFont="1" applyFill="1" applyBorder="1" applyAlignment="1">
      <alignment horizontal="center"/>
    </xf>
    <xf numFmtId="9" fontId="149" fillId="43" borderId="82" xfId="8719" applyNumberFormat="1" applyFont="1" applyFill="1" applyBorder="1" applyAlignment="1">
      <alignment horizontal="center"/>
    </xf>
    <xf numFmtId="0" fontId="149" fillId="43" borderId="11" xfId="8719" applyFont="1" applyFill="1" applyBorder="1" applyAlignment="1">
      <alignment horizontal="center"/>
    </xf>
    <xf numFmtId="0" fontId="149" fillId="45" borderId="80" xfId="8719" applyFont="1" applyFill="1" applyBorder="1" applyAlignment="1">
      <alignment horizontal="center"/>
    </xf>
    <xf numFmtId="0" fontId="149" fillId="45" borderId="2" xfId="8719" applyFont="1" applyFill="1" applyBorder="1" applyAlignment="1">
      <alignment horizontal="center"/>
    </xf>
    <xf numFmtId="0" fontId="149" fillId="45" borderId="7" xfId="8719" applyFont="1" applyFill="1" applyBorder="1" applyAlignment="1">
      <alignment horizontal="center"/>
    </xf>
    <xf numFmtId="0" fontId="149" fillId="45" borderId="3" xfId="8719" applyFont="1" applyFill="1" applyBorder="1" applyAlignment="1">
      <alignment horizontal="center"/>
    </xf>
    <xf numFmtId="0" fontId="149" fillId="45" borderId="4" xfId="8719" applyFont="1" applyFill="1" applyBorder="1" applyAlignment="1">
      <alignment horizontal="center"/>
    </xf>
    <xf numFmtId="0" fontId="149" fillId="45" borderId="5" xfId="8719" applyFont="1" applyFill="1" applyBorder="1" applyAlignment="1">
      <alignment horizontal="center"/>
    </xf>
    <xf numFmtId="0" fontId="149" fillId="45" borderId="81" xfId="8719" applyFont="1" applyFill="1" applyBorder="1" applyAlignment="1">
      <alignment horizontal="center"/>
    </xf>
    <xf numFmtId="0" fontId="148" fillId="43" borderId="68" xfId="8719" applyFont="1" applyFill="1" applyBorder="1" applyAlignment="1" applyProtection="1">
      <alignment horizontal="center"/>
      <protection locked="0"/>
    </xf>
    <xf numFmtId="0" fontId="148" fillId="43" borderId="69" xfId="8719" applyFont="1" applyFill="1" applyBorder="1" applyAlignment="1" applyProtection="1">
      <alignment horizontal="center"/>
      <protection locked="0"/>
    </xf>
    <xf numFmtId="0" fontId="148" fillId="43" borderId="70" xfId="8719" applyFont="1" applyFill="1" applyBorder="1" applyAlignment="1" applyProtection="1">
      <alignment horizontal="center"/>
      <protection locked="0"/>
    </xf>
    <xf numFmtId="0" fontId="99" fillId="45" borderId="0" xfId="8719" applyFont="1" applyFill="1" applyAlignment="1">
      <alignment horizontal="center"/>
    </xf>
    <xf numFmtId="0" fontId="99" fillId="45" borderId="41" xfId="8719" applyFont="1" applyFill="1" applyBorder="1" applyAlignment="1">
      <alignment horizontal="center"/>
    </xf>
    <xf numFmtId="0" fontId="3" fillId="44" borderId="72" xfId="8719" applyFill="1" applyBorder="1" applyAlignment="1">
      <alignment horizontal="center"/>
    </xf>
    <xf numFmtId="0" fontId="3" fillId="44" borderId="76" xfId="8719" applyFill="1" applyBorder="1" applyAlignment="1">
      <alignment horizontal="center"/>
    </xf>
    <xf numFmtId="0" fontId="148" fillId="44" borderId="68" xfId="8719" applyFont="1" applyFill="1" applyBorder="1" applyAlignment="1">
      <alignment horizontal="left"/>
    </xf>
    <xf numFmtId="0" fontId="148" fillId="44" borderId="69" xfId="8719" applyFont="1" applyFill="1" applyBorder="1" applyAlignment="1">
      <alignment horizontal="left"/>
    </xf>
    <xf numFmtId="0" fontId="148" fillId="44" borderId="70" xfId="8719" applyFont="1" applyFill="1" applyBorder="1" applyAlignment="1">
      <alignment horizontal="left"/>
    </xf>
    <xf numFmtId="0" fontId="3" fillId="44" borderId="68" xfId="8719" applyFill="1" applyBorder="1" applyAlignment="1">
      <alignment horizontal="center"/>
    </xf>
    <xf numFmtId="0" fontId="3" fillId="44" borderId="69" xfId="8719" applyFill="1" applyBorder="1" applyAlignment="1">
      <alignment horizontal="center"/>
    </xf>
    <xf numFmtId="0" fontId="3"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5" fillId="45" borderId="68" xfId="8719" applyFont="1" applyFill="1" applyBorder="1" applyAlignment="1">
      <alignment horizontal="center" wrapText="1"/>
    </xf>
    <xf numFmtId="0" fontId="145" fillId="45" borderId="69" xfId="8719" applyFont="1" applyFill="1" applyBorder="1" applyAlignment="1">
      <alignment horizontal="center" wrapText="1"/>
    </xf>
    <xf numFmtId="0" fontId="145" fillId="45" borderId="70" xfId="8719" applyFont="1" applyFill="1" applyBorder="1" applyAlignment="1">
      <alignment horizontal="center" wrapText="1"/>
    </xf>
    <xf numFmtId="0" fontId="142" fillId="47" borderId="66" xfId="8719" applyFont="1" applyFill="1" applyBorder="1" applyAlignment="1">
      <alignment horizontal="center"/>
    </xf>
    <xf numFmtId="0" fontId="142" fillId="47" borderId="29" xfId="8719" applyFont="1" applyFill="1" applyBorder="1" applyAlignment="1">
      <alignment horizontal="center"/>
    </xf>
    <xf numFmtId="0" fontId="142" fillId="47" borderId="31" xfId="8719" applyFont="1" applyFill="1" applyBorder="1" applyAlignment="1">
      <alignment horizontal="center"/>
    </xf>
    <xf numFmtId="0" fontId="143" fillId="48" borderId="67" xfId="8719" applyFont="1" applyFill="1" applyBorder="1" applyAlignment="1">
      <alignment horizontal="center"/>
    </xf>
    <xf numFmtId="0" fontId="143" fillId="48" borderId="0" xfId="8719" applyFont="1" applyFill="1" applyAlignment="1">
      <alignment horizontal="center"/>
    </xf>
    <xf numFmtId="0" fontId="143" fillId="48" borderId="41" xfId="8719" applyFont="1" applyFill="1" applyBorder="1" applyAlignment="1">
      <alignment horizontal="center"/>
    </xf>
    <xf numFmtId="14" fontId="148" fillId="43" borderId="73" xfId="8719" applyNumberFormat="1" applyFont="1" applyFill="1" applyBorder="1" applyAlignment="1" applyProtection="1">
      <alignment horizontal="center"/>
      <protection locked="0"/>
    </xf>
    <xf numFmtId="14" fontId="148" fillId="43" borderId="68" xfId="8719" applyNumberFormat="1" applyFont="1" applyFill="1" applyBorder="1" applyAlignment="1" applyProtection="1">
      <alignment horizontal="center" vertical="center"/>
      <protection locked="0"/>
    </xf>
    <xf numFmtId="0" fontId="148" fillId="43" borderId="69" xfId="8719" applyFont="1" applyFill="1" applyBorder="1" applyAlignment="1" applyProtection="1">
      <alignment horizontal="center" vertical="center"/>
      <protection locked="0"/>
    </xf>
    <xf numFmtId="0" fontId="148" fillId="43" borderId="70" xfId="8719" applyFont="1" applyFill="1" applyBorder="1" applyAlignment="1" applyProtection="1">
      <alignment horizontal="center" vertical="center"/>
      <protection locked="0"/>
    </xf>
    <xf numFmtId="1" fontId="3" fillId="44" borderId="68" xfId="8719" applyNumberFormat="1" applyFill="1" applyBorder="1" applyAlignment="1">
      <alignment horizontal="center"/>
    </xf>
    <xf numFmtId="49" fontId="95" fillId="45" borderId="15" xfId="42443" applyNumberFormat="1" applyFont="1" applyFill="1" applyBorder="1" applyAlignment="1">
      <alignment horizontal="center" vertical="center" wrapText="1"/>
    </xf>
    <xf numFmtId="49" fontId="95" fillId="45" borderId="13" xfId="42443" applyNumberFormat="1" applyFont="1" applyFill="1" applyBorder="1" applyAlignment="1">
      <alignment horizontal="center" vertical="center" wrapText="1"/>
    </xf>
    <xf numFmtId="168" fontId="95" fillId="0" borderId="86" xfId="42444" applyNumberFormat="1" applyFont="1" applyFill="1" applyBorder="1" applyAlignment="1" applyProtection="1">
      <alignment horizontal="left" vertical="center" indent="1"/>
    </xf>
    <xf numFmtId="168" fontId="95" fillId="0" borderId="85" xfId="42444" applyNumberFormat="1" applyFont="1" applyFill="1" applyBorder="1" applyAlignment="1" applyProtection="1">
      <alignment horizontal="left" vertical="center" indent="1"/>
    </xf>
    <xf numFmtId="0" fontId="134" fillId="0" borderId="72" xfId="42443" applyFont="1" applyBorder="1" applyAlignment="1">
      <alignment horizontal="left" indent="1"/>
    </xf>
    <xf numFmtId="0" fontId="95" fillId="0" borderId="11" xfId="42443" applyFont="1" applyBorder="1" applyAlignment="1">
      <alignment horizontal="left" indent="1"/>
    </xf>
    <xf numFmtId="0" fontId="95" fillId="0" borderId="15" xfId="42443" applyFont="1" applyBorder="1" applyAlignment="1">
      <alignment horizontal="left" indent="1"/>
    </xf>
    <xf numFmtId="168" fontId="95" fillId="0" borderId="11" xfId="42444" applyNumberFormat="1" applyFont="1" applyFill="1" applyBorder="1" applyAlignment="1" applyProtection="1">
      <alignment horizontal="left" vertical="center" indent="1"/>
    </xf>
    <xf numFmtId="168" fontId="95" fillId="0" borderId="13" xfId="42444" applyNumberFormat="1" applyFont="1" applyFill="1" applyBorder="1" applyAlignment="1" applyProtection="1">
      <alignment horizontal="left" vertical="center" indent="1"/>
    </xf>
    <xf numFmtId="0" fontId="134" fillId="0" borderId="92" xfId="42443" applyFont="1" applyBorder="1" applyAlignment="1">
      <alignment horizontal="center" vertical="top" wrapText="1"/>
    </xf>
    <xf numFmtId="0" fontId="134" fillId="0" borderId="91" xfId="42443" applyFont="1" applyBorder="1" applyAlignment="1">
      <alignment horizontal="center" vertical="top" wrapText="1"/>
    </xf>
    <xf numFmtId="0" fontId="95" fillId="0" borderId="72" xfId="42443" applyFont="1" applyBorder="1"/>
    <xf numFmtId="0" fontId="95" fillId="0" borderId="76" xfId="42443" applyFont="1" applyBorder="1"/>
    <xf numFmtId="0" fontId="95" fillId="0" borderId="11" xfId="42443" applyFont="1" applyBorder="1"/>
    <xf numFmtId="0" fontId="95" fillId="0" borderId="93" xfId="42443" applyFont="1" applyBorder="1"/>
    <xf numFmtId="49" fontId="133" fillId="3" borderId="0" xfId="1192" applyNumberFormat="1" applyFont="1" applyFill="1" applyAlignment="1">
      <alignment horizontal="center" vertical="center"/>
    </xf>
    <xf numFmtId="0" fontId="134" fillId="45" borderId="3" xfId="42443" applyFont="1" applyFill="1" applyBorder="1" applyAlignment="1">
      <alignment horizontal="center" vertical="center"/>
    </xf>
    <xf numFmtId="0" fontId="134" fillId="45" borderId="4" xfId="42443" applyFont="1" applyFill="1" applyBorder="1" applyAlignment="1">
      <alignment horizontal="center" vertical="center"/>
    </xf>
    <xf numFmtId="0" fontId="134" fillId="45" borderId="5" xfId="42443" applyFont="1" applyFill="1" applyBorder="1" applyAlignment="1">
      <alignment horizontal="center" vertical="center"/>
    </xf>
    <xf numFmtId="9" fontId="134" fillId="45" borderId="3" xfId="42444" applyFont="1" applyFill="1" applyBorder="1" applyAlignment="1" applyProtection="1">
      <alignment horizontal="center" vertical="center"/>
    </xf>
    <xf numFmtId="9" fontId="134" fillId="45" borderId="4" xfId="42444" applyFont="1" applyFill="1" applyBorder="1" applyAlignment="1" applyProtection="1">
      <alignment horizontal="center" vertical="center"/>
    </xf>
    <xf numFmtId="9" fontId="134" fillId="45" borderId="5" xfId="42444" applyFont="1" applyFill="1" applyBorder="1" applyAlignment="1" applyProtection="1">
      <alignment horizontal="center" vertical="center"/>
    </xf>
    <xf numFmtId="0" fontId="95" fillId="0" borderId="82" xfId="42443" applyFont="1" applyBorder="1" applyAlignment="1">
      <alignment horizontal="right"/>
    </xf>
    <xf numFmtId="0" fontId="95" fillId="0" borderId="11" xfId="42443" applyFont="1" applyBorder="1" applyAlignment="1">
      <alignment horizontal="right"/>
    </xf>
    <xf numFmtId="0" fontId="95" fillId="0" borderId="74" xfId="42443" applyFont="1" applyBorder="1" applyAlignment="1">
      <alignment horizontal="right"/>
    </xf>
    <xf numFmtId="0" fontId="95" fillId="0" borderId="75" xfId="42443" applyFont="1" applyBorder="1" applyAlignment="1">
      <alignment horizontal="right"/>
    </xf>
    <xf numFmtId="0" fontId="95" fillId="0" borderId="75" xfId="42443" applyFont="1" applyBorder="1"/>
    <xf numFmtId="0" fontId="95" fillId="0" borderId="95" xfId="42443" applyFont="1" applyBorder="1"/>
    <xf numFmtId="0" fontId="95" fillId="0" borderId="71" xfId="42443" applyFont="1" applyBorder="1" applyAlignment="1">
      <alignment horizontal="right"/>
    </xf>
    <xf numFmtId="0" fontId="95" fillId="0" borderId="72" xfId="42443" applyFont="1" applyBorder="1" applyAlignment="1">
      <alignment horizontal="right"/>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168" fontId="13" fillId="0" borderId="11" xfId="569" applyNumberFormat="1" applyFill="1" applyBorder="1" applyAlignment="1">
      <alignment horizontal="right"/>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Border="1" applyAlignment="1">
      <alignment horizontal="left" wrapText="1"/>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68" fontId="13" fillId="0" borderId="5" xfId="569" applyNumberFormat="1" applyFill="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8" fontId="13" fillId="0" borderId="11" xfId="569" applyNumberFormat="1" applyFill="1" applyBorder="1" applyAlignment="1">
      <alignment horizontal="center"/>
    </xf>
    <xf numFmtId="165" fontId="13" fillId="0" borderId="11" xfId="569" applyNumberFormat="1" applyFill="1" applyBorder="1" applyAlignment="1" applyProtection="1">
      <alignment horizontal="center"/>
      <protection locked="0"/>
    </xf>
    <xf numFmtId="0" fontId="50" fillId="0" borderId="0" xfId="569" applyFont="1" applyBorder="1" applyAlignment="1">
      <alignment horizontal="left"/>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0" fontId="21" fillId="5" borderId="4" xfId="569" applyFont="1" applyFill="1" applyBorder="1" applyAlignment="1" applyProtection="1">
      <alignment horizontal="left"/>
      <protection locked="0"/>
    </xf>
    <xf numFmtId="0" fontId="21" fillId="5" borderId="5" xfId="569" applyFont="1" applyFill="1" applyBorder="1" applyAlignment="1" applyProtection="1">
      <alignment horizontal="left"/>
      <protection locked="0"/>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Fill="1" applyBorder="1" applyAlignment="1" applyProtection="1">
      <alignment horizontal="center" wrapText="1"/>
    </xf>
    <xf numFmtId="164" fontId="20" fillId="0" borderId="0" xfId="569" applyNumberFormat="1" applyFont="1" applyFill="1" applyBorder="1" applyAlignment="1" applyProtection="1">
      <alignment horizontal="center" wrapText="1"/>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8" fillId="0" borderId="6" xfId="271" applyFont="1" applyBorder="1" applyAlignment="1" applyProtection="1">
      <alignment horizontal="center"/>
    </xf>
  </cellXfs>
  <cellStyles count="42446">
    <cellStyle name="20% - Accent1" xfId="1" builtinId="30" customBuiltin="1"/>
    <cellStyle name="20% - Accent1 10" xfId="4505" xr:uid="{00000000-0005-0000-0000-000001000000}"/>
    <cellStyle name="20% - Accent1 10 2" xfId="29804" xr:uid="{A1572A24-FBD0-4497-AF34-6D326C5B47FA}"/>
    <cellStyle name="20% - Accent1 10 3" xfId="21375" xr:uid="{6A1A5A44-8AB1-4CF8-91EA-154809E8F083}"/>
    <cellStyle name="20% - Accent1 10 4" xfId="38232" xr:uid="{DA5471D5-CFD3-4326-B4D6-9E04F2FF9A56}"/>
    <cellStyle name="20% - Accent1 10 5" xfId="12940" xr:uid="{3AAB56A5-E76D-42DE-8C14-D03CFCCA34A2}"/>
    <cellStyle name="20% - Accent1 11" xfId="25586" xr:uid="{3445CF51-5D8D-42DC-81A2-276F9033B6EC}"/>
    <cellStyle name="20% - Accent1 12" xfId="17157" xr:uid="{A6FFABD9-5407-4E95-9E2A-08739470F432}"/>
    <cellStyle name="20% - Accent1 13" xfId="34015" xr:uid="{8BBAFEB3-1440-4E3C-904C-B5516231A0D8}"/>
    <cellStyle name="20% - Accent1 14" xfId="8722" xr:uid="{726A449E-AD4A-4022-A9C6-CE0A77938C03}"/>
    <cellStyle name="20% - Accent1 2" xfId="2" xr:uid="{00000000-0005-0000-0000-000002000000}"/>
    <cellStyle name="20% - Accent1 2 10" xfId="25587" xr:uid="{F618D970-A885-469E-A3BC-8E1C406FBD9A}"/>
    <cellStyle name="20% - Accent1 2 11" xfId="17158" xr:uid="{5B981A11-CDE1-4C22-B2B6-E09FCD2E39DD}"/>
    <cellStyle name="20% - Accent1 2 12" xfId="34016" xr:uid="{6D4B8634-77BF-4790-BC8B-7DB617A6740D}"/>
    <cellStyle name="20% - Accent1 2 13" xfId="8723" xr:uid="{D8353BBD-ACD0-4164-9891-0ABC29BA39CB}"/>
    <cellStyle name="20% - Accent1 2 2" xfId="3" xr:uid="{00000000-0005-0000-0000-000003000000}"/>
    <cellStyle name="20% - Accent1 2 2 10" xfId="17159" xr:uid="{32D470F5-2F8A-4E5C-8435-3A849AA5327F}"/>
    <cellStyle name="20% - Accent1 2 2 11" xfId="34017" xr:uid="{F9850738-D310-4F98-BDB4-8940D1044428}"/>
    <cellStyle name="20% - Accent1 2 2 12" xfId="8724" xr:uid="{22C3E014-135C-43DB-A4EE-E11D0818D3BB}"/>
    <cellStyle name="20% - Accent1 2 2 2" xfId="4" xr:uid="{00000000-0005-0000-0000-000004000000}"/>
    <cellStyle name="20% - Accent1 2 2 2 10" xfId="34018" xr:uid="{F22322F2-8C53-468D-A8F9-43359D9754E9}"/>
    <cellStyle name="20% - Accent1 2 2 2 11" xfId="8725" xr:uid="{6846DAE9-7BD7-4F85-8786-D0D35FFE066B}"/>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32366" xr:uid="{ACD583BF-5DDC-452F-9F6E-22D25B75F453}"/>
    <cellStyle name="20% - Accent1 2 2 2 2 2 2 3" xfId="23937" xr:uid="{004AE478-C86E-4D00-9754-29BAE82CC335}"/>
    <cellStyle name="20% - Accent1 2 2 2 2 2 2 4" xfId="40794" xr:uid="{49D2D6B0-8F72-4EE0-A5DC-929F411EEB57}"/>
    <cellStyle name="20% - Accent1 2 2 2 2 2 2 5" xfId="15502" xr:uid="{BF2D0BDC-1C1B-41BA-9BB6-3ACB5F6A39DB}"/>
    <cellStyle name="20% - Accent1 2 2 2 2 2 3" xfId="28148" xr:uid="{AC5E5DA9-EC69-40FD-9CE0-52377C1E22D1}"/>
    <cellStyle name="20% - Accent1 2 2 2 2 2 4" xfId="19719" xr:uid="{57F1E619-7299-482D-AF09-679BBA726CA3}"/>
    <cellStyle name="20% - Accent1 2 2 2 2 2 5" xfId="36577" xr:uid="{A594282A-C3BD-4E20-AA46-57B85D077C58}"/>
    <cellStyle name="20% - Accent1 2 2 2 2 2 6" xfId="11284" xr:uid="{E48D0618-1763-4DD3-9445-DE2BEE6EB3D7}"/>
    <cellStyle name="20% - Accent1 2 2 2 2 3" xfId="4922" xr:uid="{00000000-0005-0000-0000-000008000000}"/>
    <cellStyle name="20% - Accent1 2 2 2 2 3 2" xfId="30221" xr:uid="{B24BF0C0-14EE-4054-9D8D-99A89F6A647D}"/>
    <cellStyle name="20% - Accent1 2 2 2 2 3 3" xfId="21792" xr:uid="{5CA3717B-1123-4D81-A4F9-B62A0CE15C16}"/>
    <cellStyle name="20% - Accent1 2 2 2 2 3 4" xfId="38649" xr:uid="{C9905687-F512-42DE-BC63-E582F60CB559}"/>
    <cellStyle name="20% - Accent1 2 2 2 2 3 5" xfId="13357" xr:uid="{07A993EC-77B6-4EB5-9CDF-7BA20EBFA3F9}"/>
    <cellStyle name="20% - Accent1 2 2 2 2 4" xfId="26003" xr:uid="{ED882824-0312-474C-8D24-E3383086DE6B}"/>
    <cellStyle name="20% - Accent1 2 2 2 2 5" xfId="17574" xr:uid="{D62E6AEC-64F8-42FE-B201-DA7E80D1C469}"/>
    <cellStyle name="20% - Accent1 2 2 2 2 6" xfId="34432" xr:uid="{32F5C015-C924-48F7-9328-4FAC7BB8F9AD}"/>
    <cellStyle name="20% - Accent1 2 2 2 2 7" xfId="9139" xr:uid="{E31A9024-C4CE-4BDA-8FFE-BE37EFBC4F7F}"/>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32779" xr:uid="{741961EE-6E3A-4157-B013-6138BDDCDDFC}"/>
    <cellStyle name="20% - Accent1 2 2 2 3 2 2 3" xfId="24350" xr:uid="{79C750E2-1C8F-43C9-8C95-9C01CB9A877A}"/>
    <cellStyle name="20% - Accent1 2 2 2 3 2 2 4" xfId="41207" xr:uid="{58C84F7A-A7F6-4057-B11B-15017114F3CC}"/>
    <cellStyle name="20% - Accent1 2 2 2 3 2 2 5" xfId="15915" xr:uid="{9FF6494A-2550-4D5A-93E6-92283C2C958F}"/>
    <cellStyle name="20% - Accent1 2 2 2 3 2 3" xfId="28561" xr:uid="{C00FFC78-FF60-4A8F-90F7-37990F9766FF}"/>
    <cellStyle name="20% - Accent1 2 2 2 3 2 4" xfId="20132" xr:uid="{F5C7E0BC-4594-47C3-B71B-7641D368310B}"/>
    <cellStyle name="20% - Accent1 2 2 2 3 2 5" xfId="36990" xr:uid="{C2C271B6-4087-4229-AD30-2D0C94E2604C}"/>
    <cellStyle name="20% - Accent1 2 2 2 3 2 6" xfId="11697" xr:uid="{1A1319F5-C0A0-43E6-83F1-29C2796A314D}"/>
    <cellStyle name="20% - Accent1 2 2 2 3 3" xfId="5335" xr:uid="{00000000-0005-0000-0000-00000C000000}"/>
    <cellStyle name="20% - Accent1 2 2 2 3 3 2" xfId="30634" xr:uid="{DD5CFC5A-9404-40F3-A73C-6BE5232ECEAB}"/>
    <cellStyle name="20% - Accent1 2 2 2 3 3 3" xfId="22205" xr:uid="{B0FA201C-10D8-4B3A-9883-F0410106C017}"/>
    <cellStyle name="20% - Accent1 2 2 2 3 3 4" xfId="39062" xr:uid="{F57C5831-CB5C-49E3-91A3-181D0FD47CF8}"/>
    <cellStyle name="20% - Accent1 2 2 2 3 3 5" xfId="13770" xr:uid="{5BF418CB-E914-41B8-B65D-047D155B9C10}"/>
    <cellStyle name="20% - Accent1 2 2 2 3 4" xfId="26416" xr:uid="{DF918C30-63A7-4295-A229-862324197B3F}"/>
    <cellStyle name="20% - Accent1 2 2 2 3 5" xfId="17987" xr:uid="{9A8E4919-FCF4-468A-B096-44B1C575BF09}"/>
    <cellStyle name="20% - Accent1 2 2 2 3 6" xfId="34845" xr:uid="{3AE29828-DBEC-4CBA-B25B-13521E0F762F}"/>
    <cellStyle name="20% - Accent1 2 2 2 3 7" xfId="9552" xr:uid="{5E420220-9D89-4105-B1C9-97F5FBFCAB8E}"/>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33192" xr:uid="{8CD1D5EB-8561-4CD2-A3C6-C71264081775}"/>
    <cellStyle name="20% - Accent1 2 2 2 4 2 2 3" xfId="24763" xr:uid="{73CE6A55-ADB2-45B7-AB33-86C483DEBA88}"/>
    <cellStyle name="20% - Accent1 2 2 2 4 2 2 4" xfId="41620" xr:uid="{7B2E2A8E-6E52-400A-8DB1-D5D46DEFF14F}"/>
    <cellStyle name="20% - Accent1 2 2 2 4 2 2 5" xfId="16328" xr:uid="{068EC62A-79EA-4E84-81D6-0FD379104A44}"/>
    <cellStyle name="20% - Accent1 2 2 2 4 2 3" xfId="28974" xr:uid="{DC77ECD7-AD0A-4E06-9072-6CC1B49C51F0}"/>
    <cellStyle name="20% - Accent1 2 2 2 4 2 4" xfId="20545" xr:uid="{7C3F61E0-6C2F-4914-A0DE-6703742F2197}"/>
    <cellStyle name="20% - Accent1 2 2 2 4 2 5" xfId="37403" xr:uid="{93CD6962-E6E5-424F-93BA-A017021CAAC1}"/>
    <cellStyle name="20% - Accent1 2 2 2 4 2 6" xfId="12110" xr:uid="{EFCA937B-4084-431B-AC0A-9BF8341D7B16}"/>
    <cellStyle name="20% - Accent1 2 2 2 4 3" xfId="5748" xr:uid="{00000000-0005-0000-0000-000010000000}"/>
    <cellStyle name="20% - Accent1 2 2 2 4 3 2" xfId="31047" xr:uid="{D652299F-B230-4EEE-9B91-0B9156B6C944}"/>
    <cellStyle name="20% - Accent1 2 2 2 4 3 3" xfId="22618" xr:uid="{2B8CCF38-15DA-46EE-B69A-DFB1D74DABF1}"/>
    <cellStyle name="20% - Accent1 2 2 2 4 3 4" xfId="39475" xr:uid="{51FF9D20-0EB9-45C2-A63B-F67B793EED36}"/>
    <cellStyle name="20% - Accent1 2 2 2 4 3 5" xfId="14183" xr:uid="{81028084-FF74-43D6-AA12-01DCADB61289}"/>
    <cellStyle name="20% - Accent1 2 2 2 4 4" xfId="26829" xr:uid="{26E60AC3-B753-49FC-8CEC-71B351E87412}"/>
    <cellStyle name="20% - Accent1 2 2 2 4 5" xfId="18400" xr:uid="{40A82615-AD3A-4DC6-932E-59616A6595F1}"/>
    <cellStyle name="20% - Accent1 2 2 2 4 6" xfId="35258" xr:uid="{6EC2B8F2-46CB-44C4-AB9C-12C99CC7FDC9}"/>
    <cellStyle name="20% - Accent1 2 2 2 4 7" xfId="9965" xr:uid="{EA2BC483-5722-466D-93B6-97516F40D59B}"/>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33605" xr:uid="{AA2F14AD-E906-47F4-9760-29B64883B126}"/>
    <cellStyle name="20% - Accent1 2 2 2 5 2 2 3" xfId="25176" xr:uid="{AD47ECCA-E2EF-4551-96E4-B10867AAB759}"/>
    <cellStyle name="20% - Accent1 2 2 2 5 2 2 4" xfId="42033" xr:uid="{AAB711DB-C9EC-4E67-9933-13A5F84904F4}"/>
    <cellStyle name="20% - Accent1 2 2 2 5 2 2 5" xfId="16741" xr:uid="{13FED49A-159C-4B13-91E0-4AD476B30079}"/>
    <cellStyle name="20% - Accent1 2 2 2 5 2 3" xfId="29387" xr:uid="{B1D27D69-1372-4CC7-9655-9501FABB028E}"/>
    <cellStyle name="20% - Accent1 2 2 2 5 2 4" xfId="20958" xr:uid="{73A77C89-6956-4E2D-B908-A5B8E9A5CBB3}"/>
    <cellStyle name="20% - Accent1 2 2 2 5 2 5" xfId="37816" xr:uid="{418966AC-7532-44D9-8E91-CF457F09733F}"/>
    <cellStyle name="20% - Accent1 2 2 2 5 2 6" xfId="12523" xr:uid="{3E187FBA-82B0-4FA5-9C36-A3AC923AAF6D}"/>
    <cellStyle name="20% - Accent1 2 2 2 5 3" xfId="6161" xr:uid="{00000000-0005-0000-0000-000014000000}"/>
    <cellStyle name="20% - Accent1 2 2 2 5 3 2" xfId="31460" xr:uid="{F1BF7BAC-9D1F-4C50-B270-ACA4142E0DC0}"/>
    <cellStyle name="20% - Accent1 2 2 2 5 3 3" xfId="23031" xr:uid="{93503DFC-6F87-4D21-9E72-0781AAB7EE95}"/>
    <cellStyle name="20% - Accent1 2 2 2 5 3 4" xfId="39888" xr:uid="{D5B2F551-7FE4-4925-9231-72AE4E419DE0}"/>
    <cellStyle name="20% - Accent1 2 2 2 5 3 5" xfId="14596" xr:uid="{4FB2C49B-AD24-42FD-BBAC-B32CCF04EB10}"/>
    <cellStyle name="20% - Accent1 2 2 2 5 4" xfId="27242" xr:uid="{08A559FC-FFAC-4A45-AA3F-9E4E50A91AFD}"/>
    <cellStyle name="20% - Accent1 2 2 2 5 5" xfId="18813" xr:uid="{8C989636-0A52-4FFE-89F7-C2E798CF38D5}"/>
    <cellStyle name="20% - Accent1 2 2 2 5 6" xfId="35671" xr:uid="{000A8CEE-84CB-4CCB-8939-D8F86CF6397C}"/>
    <cellStyle name="20% - Accent1 2 2 2 5 7" xfId="10378" xr:uid="{D1362F50-845B-4810-A485-703396A63AF1}"/>
    <cellStyle name="20% - Accent1 2 2 2 6" xfId="2267" xr:uid="{00000000-0005-0000-0000-000015000000}"/>
    <cellStyle name="20% - Accent1 2 2 2 6 2" xfId="6574" xr:uid="{00000000-0005-0000-0000-000016000000}"/>
    <cellStyle name="20% - Accent1 2 2 2 6 2 2" xfId="31873" xr:uid="{C87B6AFE-4EDD-453E-975C-C4FAE4A88879}"/>
    <cellStyle name="20% - Accent1 2 2 2 6 2 3" xfId="23444" xr:uid="{6CB9723A-5918-406B-9CE0-A5B31B413B1D}"/>
    <cellStyle name="20% - Accent1 2 2 2 6 2 4" xfId="40301" xr:uid="{3074CD01-1F8F-4D9C-BF87-8B9FF76EA1CB}"/>
    <cellStyle name="20% - Accent1 2 2 2 6 2 5" xfId="15009" xr:uid="{0418BF09-DFE6-45F2-A59D-D56898DD711E}"/>
    <cellStyle name="20% - Accent1 2 2 2 6 3" xfId="27655" xr:uid="{90B827BA-E2F1-4730-8AB3-08AD6ADF16FF}"/>
    <cellStyle name="20% - Accent1 2 2 2 6 4" xfId="19226" xr:uid="{C8A4799E-5442-4AAB-9BDE-EC47799D6DF1}"/>
    <cellStyle name="20% - Accent1 2 2 2 6 5" xfId="36084" xr:uid="{641C82D1-312F-4687-85C2-E8AF47C69057}"/>
    <cellStyle name="20% - Accent1 2 2 2 6 6" xfId="10791" xr:uid="{E787C8EA-250E-43E0-AAAD-11456ABD28E9}"/>
    <cellStyle name="20% - Accent1 2 2 2 7" xfId="4508" xr:uid="{00000000-0005-0000-0000-000017000000}"/>
    <cellStyle name="20% - Accent1 2 2 2 7 2" xfId="29807" xr:uid="{EED2217B-1B18-45EF-AD8B-799216077ACC}"/>
    <cellStyle name="20% - Accent1 2 2 2 7 3" xfId="21378" xr:uid="{D4E5F263-2133-45D4-A632-1158DF808DBB}"/>
    <cellStyle name="20% - Accent1 2 2 2 7 4" xfId="38235" xr:uid="{10B8D148-6E2F-41D8-AF18-41D99F3DE13A}"/>
    <cellStyle name="20% - Accent1 2 2 2 7 5" xfId="12943" xr:uid="{A551B2E5-3D3D-41BB-8D08-F3EEEA2C9979}"/>
    <cellStyle name="20% - Accent1 2 2 2 8" xfId="25589" xr:uid="{500CF99F-F08C-4CEA-9B2C-0F54A1227C2A}"/>
    <cellStyle name="20% - Accent1 2 2 2 9" xfId="17160" xr:uid="{F6C8EE92-C24A-4DA7-B532-92EBEEDBD32D}"/>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32365" xr:uid="{9D21B4B5-90CD-494D-B1C6-3BE895DD2E3D}"/>
    <cellStyle name="20% - Accent1 2 2 3 2 2 3" xfId="23936" xr:uid="{70B8A4C3-DA18-49B3-9A78-75D410F4DDBC}"/>
    <cellStyle name="20% - Accent1 2 2 3 2 2 4" xfId="40793" xr:uid="{1A525901-CA29-45E8-BA25-52C093ABB853}"/>
    <cellStyle name="20% - Accent1 2 2 3 2 2 5" xfId="15501" xr:uid="{A2E2FF3E-E7C4-4DAD-B26E-6FCFFB235BB3}"/>
    <cellStyle name="20% - Accent1 2 2 3 2 3" xfId="28147" xr:uid="{E5B0FD79-34F6-437F-AE74-8F648F771D63}"/>
    <cellStyle name="20% - Accent1 2 2 3 2 4" xfId="19718" xr:uid="{E60CE892-AA4D-45AB-A4BF-9BC9192020AC}"/>
    <cellStyle name="20% - Accent1 2 2 3 2 5" xfId="36576" xr:uid="{7E90316B-8674-43D3-9E28-6CBFF52AD934}"/>
    <cellStyle name="20% - Accent1 2 2 3 2 6" xfId="11283" xr:uid="{A970B20F-5487-4FC3-A82D-2E7A4B4AAD55}"/>
    <cellStyle name="20% - Accent1 2 2 3 3" xfId="4921" xr:uid="{00000000-0005-0000-0000-00001B000000}"/>
    <cellStyle name="20% - Accent1 2 2 3 3 2" xfId="30220" xr:uid="{A44746EA-707E-46FA-B42F-30233B91FF5D}"/>
    <cellStyle name="20% - Accent1 2 2 3 3 3" xfId="21791" xr:uid="{F8CE8342-2A19-457E-941A-96FA10317389}"/>
    <cellStyle name="20% - Accent1 2 2 3 3 4" xfId="38648" xr:uid="{EAE9E4B2-71C2-4F66-A51F-73A13227EDC6}"/>
    <cellStyle name="20% - Accent1 2 2 3 3 5" xfId="13356" xr:uid="{F414EDFC-01A5-4321-BAD3-44C02D2F16C9}"/>
    <cellStyle name="20% - Accent1 2 2 3 4" xfId="26002" xr:uid="{491C722A-4717-4E34-8A97-CCDB0C5F9009}"/>
    <cellStyle name="20% - Accent1 2 2 3 5" xfId="17573" xr:uid="{5EB3000F-3743-4859-9F54-2AE248C0F015}"/>
    <cellStyle name="20% - Accent1 2 2 3 6" xfId="34431" xr:uid="{71BA2F24-5F65-4649-A348-74BBA319F3DE}"/>
    <cellStyle name="20% - Accent1 2 2 3 7" xfId="9138" xr:uid="{7138863B-1306-4B87-A012-FBDCFE4FD84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32778" xr:uid="{E3DA1298-83EE-49A5-8C6A-F2D4DEB237CB}"/>
    <cellStyle name="20% - Accent1 2 2 4 2 2 3" xfId="24349" xr:uid="{39B5A145-EF7E-43D9-A4BC-5D21B06CD461}"/>
    <cellStyle name="20% - Accent1 2 2 4 2 2 4" xfId="41206" xr:uid="{E91F3EEB-55A3-465D-B704-3F7A76AE0C83}"/>
    <cellStyle name="20% - Accent1 2 2 4 2 2 5" xfId="15914" xr:uid="{644E781B-88D3-40C9-B4CC-9AE3B109BEDF}"/>
    <cellStyle name="20% - Accent1 2 2 4 2 3" xfId="28560" xr:uid="{AFDF6800-0F6B-4EE4-AC4D-6CE7295BA5CD}"/>
    <cellStyle name="20% - Accent1 2 2 4 2 4" xfId="20131" xr:uid="{CF6BB8DF-0416-4052-9F2E-CDCDF25141E8}"/>
    <cellStyle name="20% - Accent1 2 2 4 2 5" xfId="36989" xr:uid="{6D07FB58-D790-4372-87A0-FC2D9E8A1602}"/>
    <cellStyle name="20% - Accent1 2 2 4 2 6" xfId="11696" xr:uid="{801D502D-9389-4F1D-8721-74986556A960}"/>
    <cellStyle name="20% - Accent1 2 2 4 3" xfId="5334" xr:uid="{00000000-0005-0000-0000-00001F000000}"/>
    <cellStyle name="20% - Accent1 2 2 4 3 2" xfId="30633" xr:uid="{94A23690-8ED4-4B1D-B8E6-A5AE037C4157}"/>
    <cellStyle name="20% - Accent1 2 2 4 3 3" xfId="22204" xr:uid="{6CE18687-E0AF-4C54-BD5F-B97205B11B5E}"/>
    <cellStyle name="20% - Accent1 2 2 4 3 4" xfId="39061" xr:uid="{FA244456-537A-4B76-A126-E73232F87E7C}"/>
    <cellStyle name="20% - Accent1 2 2 4 3 5" xfId="13769" xr:uid="{0E3EC5DF-FE06-48DF-9EBA-B924A456D83B}"/>
    <cellStyle name="20% - Accent1 2 2 4 4" xfId="26415" xr:uid="{8A10E21A-3EA3-498F-9965-89547502B37D}"/>
    <cellStyle name="20% - Accent1 2 2 4 5" xfId="17986" xr:uid="{8D02F8B1-923B-40D2-B0B7-5C030413C467}"/>
    <cellStyle name="20% - Accent1 2 2 4 6" xfId="34844" xr:uid="{B9973BE4-6FB5-426B-912A-527AA7F29F05}"/>
    <cellStyle name="20% - Accent1 2 2 4 7" xfId="9551" xr:uid="{0AE4E5AE-8CC4-4BE1-93EE-449C81044D2B}"/>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33191" xr:uid="{5EEDA852-4B90-4BD9-8039-972A0C061C18}"/>
    <cellStyle name="20% - Accent1 2 2 5 2 2 3" xfId="24762" xr:uid="{30ED2422-A6C5-493A-AB80-2C5119926736}"/>
    <cellStyle name="20% - Accent1 2 2 5 2 2 4" xfId="41619" xr:uid="{29428B00-2A85-46ED-8798-5B2D50C57BFB}"/>
    <cellStyle name="20% - Accent1 2 2 5 2 2 5" xfId="16327" xr:uid="{B803045C-0680-4812-941F-570BB8A924EE}"/>
    <cellStyle name="20% - Accent1 2 2 5 2 3" xfId="28973" xr:uid="{76B4B886-CD5F-4677-A693-AD7319107FE1}"/>
    <cellStyle name="20% - Accent1 2 2 5 2 4" xfId="20544" xr:uid="{7E0A8873-DDBD-4622-835B-E18BE90FDB5A}"/>
    <cellStyle name="20% - Accent1 2 2 5 2 5" xfId="37402" xr:uid="{1CA62510-1AA6-4846-9C7B-153C1530DA2E}"/>
    <cellStyle name="20% - Accent1 2 2 5 2 6" xfId="12109" xr:uid="{DD286C1C-DC9E-475A-8146-C20307B5D485}"/>
    <cellStyle name="20% - Accent1 2 2 5 3" xfId="5747" xr:uid="{00000000-0005-0000-0000-000023000000}"/>
    <cellStyle name="20% - Accent1 2 2 5 3 2" xfId="31046" xr:uid="{EE2F787B-8766-4997-86CD-21C4BFA03B34}"/>
    <cellStyle name="20% - Accent1 2 2 5 3 3" xfId="22617" xr:uid="{A73F31DE-4E1E-4A16-9C31-AC7F84C84402}"/>
    <cellStyle name="20% - Accent1 2 2 5 3 4" xfId="39474" xr:uid="{B5FBF776-C0EB-4FE6-9E5F-C1C8DD926317}"/>
    <cellStyle name="20% - Accent1 2 2 5 3 5" xfId="14182" xr:uid="{E7EF6E4F-85C6-429D-ACBA-8D29D48B6BB0}"/>
    <cellStyle name="20% - Accent1 2 2 5 4" xfId="26828" xr:uid="{EE224A23-B258-4030-985A-7529F07E0814}"/>
    <cellStyle name="20% - Accent1 2 2 5 5" xfId="18399" xr:uid="{25EA2C77-09AB-4F21-A772-76E268363562}"/>
    <cellStyle name="20% - Accent1 2 2 5 6" xfId="35257" xr:uid="{DF5F2E49-E6C2-43D8-B342-4070953D32D5}"/>
    <cellStyle name="20% - Accent1 2 2 5 7" xfId="9964" xr:uid="{05BEE621-B9B9-4283-BE1A-E86315EEE965}"/>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33604" xr:uid="{A05BEAE2-D21D-4C2C-BED3-D862AD23DAA4}"/>
    <cellStyle name="20% - Accent1 2 2 6 2 2 3" xfId="25175" xr:uid="{26B7D6F3-8D79-4B86-9670-7365BE8F60BF}"/>
    <cellStyle name="20% - Accent1 2 2 6 2 2 4" xfId="42032" xr:uid="{46C42226-2AC0-43DC-9E7B-460E9288C2D4}"/>
    <cellStyle name="20% - Accent1 2 2 6 2 2 5" xfId="16740" xr:uid="{1935B3BE-6D46-4FD6-91D8-829416BCA362}"/>
    <cellStyle name="20% - Accent1 2 2 6 2 3" xfId="29386" xr:uid="{B9590C88-44E5-4616-AFA1-A2E3EC25D8DE}"/>
    <cellStyle name="20% - Accent1 2 2 6 2 4" xfId="20957" xr:uid="{1BAC5EA8-107A-4859-BE0A-5FBDA2C0B9CF}"/>
    <cellStyle name="20% - Accent1 2 2 6 2 5" xfId="37815" xr:uid="{29379D69-E320-4178-AA61-306ECBA88304}"/>
    <cellStyle name="20% - Accent1 2 2 6 2 6" xfId="12522" xr:uid="{E39B8B11-3549-40CD-B3EC-A2045C8C07D9}"/>
    <cellStyle name="20% - Accent1 2 2 6 3" xfId="6160" xr:uid="{00000000-0005-0000-0000-000027000000}"/>
    <cellStyle name="20% - Accent1 2 2 6 3 2" xfId="31459" xr:uid="{81A02C89-DBD6-43A9-8795-34D1EC5020E8}"/>
    <cellStyle name="20% - Accent1 2 2 6 3 3" xfId="23030" xr:uid="{DC21A6A3-3D46-4A2E-AA43-FF02E95823D8}"/>
    <cellStyle name="20% - Accent1 2 2 6 3 4" xfId="39887" xr:uid="{C10BBF60-9869-4544-BA57-BAC710085434}"/>
    <cellStyle name="20% - Accent1 2 2 6 3 5" xfId="14595" xr:uid="{5FA12FDE-1487-43E7-A713-A6FBD384C4A1}"/>
    <cellStyle name="20% - Accent1 2 2 6 4" xfId="27241" xr:uid="{A17BE830-25FB-42EE-A89D-B0BE06DCD640}"/>
    <cellStyle name="20% - Accent1 2 2 6 5" xfId="18812" xr:uid="{EADBCA05-34B7-4E2A-9B4D-67B02D1CB21B}"/>
    <cellStyle name="20% - Accent1 2 2 6 6" xfId="35670" xr:uid="{E1BB1A73-D066-4618-8D56-221771D82211}"/>
    <cellStyle name="20% - Accent1 2 2 6 7" xfId="10377" xr:uid="{25380EDA-DFDA-427F-ACB7-AB02CBF60CCA}"/>
    <cellStyle name="20% - Accent1 2 2 7" xfId="2266" xr:uid="{00000000-0005-0000-0000-000028000000}"/>
    <cellStyle name="20% - Accent1 2 2 7 2" xfId="6573" xr:uid="{00000000-0005-0000-0000-000029000000}"/>
    <cellStyle name="20% - Accent1 2 2 7 2 2" xfId="31872" xr:uid="{61149E9D-D461-4C28-8E1D-2D4842274F19}"/>
    <cellStyle name="20% - Accent1 2 2 7 2 3" xfId="23443" xr:uid="{0489FD40-705D-47DE-BB6F-D9E1BF9C257D}"/>
    <cellStyle name="20% - Accent1 2 2 7 2 4" xfId="40300" xr:uid="{E1AA3092-0D42-4268-8B3A-2FB0468C3828}"/>
    <cellStyle name="20% - Accent1 2 2 7 2 5" xfId="15008" xr:uid="{E7890A3D-84E9-4F3A-AB7B-678B340AA5F2}"/>
    <cellStyle name="20% - Accent1 2 2 7 3" xfId="27654" xr:uid="{5A94F4C3-43D9-437B-A83D-E28ACC4E9D9C}"/>
    <cellStyle name="20% - Accent1 2 2 7 4" xfId="19225" xr:uid="{D641F0CF-1BA7-4F3E-BFA2-3C74682DF63B}"/>
    <cellStyle name="20% - Accent1 2 2 7 5" xfId="36083" xr:uid="{E5CA821D-6672-45B9-87B4-CBB33147D127}"/>
    <cellStyle name="20% - Accent1 2 2 7 6" xfId="10790" xr:uid="{166F09B4-17E2-493E-BFD5-8AD10CB23CCA}"/>
    <cellStyle name="20% - Accent1 2 2 8" xfId="4507" xr:uid="{00000000-0005-0000-0000-00002A000000}"/>
    <cellStyle name="20% - Accent1 2 2 8 2" xfId="29806" xr:uid="{CEDC6D6F-65A8-47C1-A1A4-94109E4B9F64}"/>
    <cellStyle name="20% - Accent1 2 2 8 3" xfId="21377" xr:uid="{31EB43AF-A987-488B-85B0-E384B8F7AE74}"/>
    <cellStyle name="20% - Accent1 2 2 8 4" xfId="38234" xr:uid="{78119F79-E0C7-480E-ACA9-6D545D4CF78C}"/>
    <cellStyle name="20% - Accent1 2 2 8 5" xfId="12942" xr:uid="{1948686D-DB64-4B80-9971-694BA5748409}"/>
    <cellStyle name="20% - Accent1 2 2 9" xfId="25588" xr:uid="{DF304D6A-5768-4F6A-B507-5F08A96C4654}"/>
    <cellStyle name="20% - Accent1 2 3" xfId="5" xr:uid="{00000000-0005-0000-0000-00002B000000}"/>
    <cellStyle name="20% - Accent1 2 3 10" xfId="34019" xr:uid="{FBF358A3-60A6-4A1E-AF1C-17621AF26ACF}"/>
    <cellStyle name="20% - Accent1 2 3 11" xfId="8726" xr:uid="{97BBFF98-D88F-4B3E-AC07-289F66038758}"/>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32367" xr:uid="{263E61FF-24B3-4046-AAFD-F6487053C559}"/>
    <cellStyle name="20% - Accent1 2 3 2 2 2 3" xfId="23938" xr:uid="{BC439A54-6F33-41C6-AB36-8CE3B9665EDC}"/>
    <cellStyle name="20% - Accent1 2 3 2 2 2 4" xfId="40795" xr:uid="{412C288E-519B-40E0-BD9E-3A4CC2FC3B28}"/>
    <cellStyle name="20% - Accent1 2 3 2 2 2 5" xfId="15503" xr:uid="{8552D3EE-A795-4323-B501-46A3C5B9F9C1}"/>
    <cellStyle name="20% - Accent1 2 3 2 2 3" xfId="28149" xr:uid="{0C53E79D-2B46-4E8E-82B8-9DB7A22C38AD}"/>
    <cellStyle name="20% - Accent1 2 3 2 2 4" xfId="19720" xr:uid="{827D6E7D-CD54-47F2-A927-0D228E2C08D5}"/>
    <cellStyle name="20% - Accent1 2 3 2 2 5" xfId="36578" xr:uid="{E1914241-A1CA-4761-9F76-B8C15CDBFA5B}"/>
    <cellStyle name="20% - Accent1 2 3 2 2 6" xfId="11285" xr:uid="{EEFA0913-25D6-4321-A12A-3EE8F7781C10}"/>
    <cellStyle name="20% - Accent1 2 3 2 3" xfId="4923" xr:uid="{00000000-0005-0000-0000-00002F000000}"/>
    <cellStyle name="20% - Accent1 2 3 2 3 2" xfId="30222" xr:uid="{54C9EC02-5DA8-4117-809C-4C0458344CFE}"/>
    <cellStyle name="20% - Accent1 2 3 2 3 3" xfId="21793" xr:uid="{599400B2-73C7-424F-822C-0E4EF830414C}"/>
    <cellStyle name="20% - Accent1 2 3 2 3 4" xfId="38650" xr:uid="{AF5F451C-5915-4333-A088-DDC19D9C730E}"/>
    <cellStyle name="20% - Accent1 2 3 2 3 5" xfId="13358" xr:uid="{9EEF3749-D7EC-4C9A-9F53-5332828CDC58}"/>
    <cellStyle name="20% - Accent1 2 3 2 4" xfId="26004" xr:uid="{2B713212-F8D3-42A8-A113-D5A405391C12}"/>
    <cellStyle name="20% - Accent1 2 3 2 5" xfId="17575" xr:uid="{77EC321F-F87A-423F-A285-E0DD938BB54D}"/>
    <cellStyle name="20% - Accent1 2 3 2 6" xfId="34433" xr:uid="{9810C00D-32A7-4735-AE41-008917C1DC4A}"/>
    <cellStyle name="20% - Accent1 2 3 2 7" xfId="9140" xr:uid="{DE9537C6-4262-4F93-A7FA-255CA4F100E8}"/>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32780" xr:uid="{03B421B3-AD21-4710-B65F-C79D22FD0E57}"/>
    <cellStyle name="20% - Accent1 2 3 3 2 2 3" xfId="24351" xr:uid="{1F0A23C3-B808-4E56-9569-B8A16258A096}"/>
    <cellStyle name="20% - Accent1 2 3 3 2 2 4" xfId="41208" xr:uid="{C35F8864-21A5-427F-A5EA-BA9EE66CA781}"/>
    <cellStyle name="20% - Accent1 2 3 3 2 2 5" xfId="15916" xr:uid="{30760C32-4124-4997-AA19-00C95325EB2F}"/>
    <cellStyle name="20% - Accent1 2 3 3 2 3" xfId="28562" xr:uid="{CD1817FF-CCAC-4785-99F1-E14F8FD3F9E4}"/>
    <cellStyle name="20% - Accent1 2 3 3 2 4" xfId="20133" xr:uid="{AFD9644A-F1E0-4138-B22C-0FB26B968455}"/>
    <cellStyle name="20% - Accent1 2 3 3 2 5" xfId="36991" xr:uid="{7AAE3C12-682D-4C7E-AAB9-4264F76CC0C1}"/>
    <cellStyle name="20% - Accent1 2 3 3 2 6" xfId="11698" xr:uid="{111ACDDC-F3A6-40FD-AB83-0F5672CC4EA2}"/>
    <cellStyle name="20% - Accent1 2 3 3 3" xfId="5336" xr:uid="{00000000-0005-0000-0000-000033000000}"/>
    <cellStyle name="20% - Accent1 2 3 3 3 2" xfId="30635" xr:uid="{A544C680-ADBB-4709-9F2A-F2A66A5BE7F9}"/>
    <cellStyle name="20% - Accent1 2 3 3 3 3" xfId="22206" xr:uid="{6A473A96-7E15-4D76-9F58-8CBEA4726F6A}"/>
    <cellStyle name="20% - Accent1 2 3 3 3 4" xfId="39063" xr:uid="{958EA43A-1205-4934-822B-82640ABABB38}"/>
    <cellStyle name="20% - Accent1 2 3 3 3 5" xfId="13771" xr:uid="{9AA2D61E-1645-4C3D-AE6E-B1C0248B9513}"/>
    <cellStyle name="20% - Accent1 2 3 3 4" xfId="26417" xr:uid="{B9331E40-7B11-4C08-9297-76106969051A}"/>
    <cellStyle name="20% - Accent1 2 3 3 5" xfId="17988" xr:uid="{EE537CFB-FE7F-4ADE-BE31-E0D5004CC1B7}"/>
    <cellStyle name="20% - Accent1 2 3 3 6" xfId="34846" xr:uid="{9DFF6D8F-5072-4A88-BA76-D71C00CA50A2}"/>
    <cellStyle name="20% - Accent1 2 3 3 7" xfId="9553" xr:uid="{7F3F037E-A659-4615-B5BF-D5ECED856A73}"/>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33193" xr:uid="{62500674-B494-41BE-B80F-0B25946122FE}"/>
    <cellStyle name="20% - Accent1 2 3 4 2 2 3" xfId="24764" xr:uid="{E7A4AA1B-A3B1-4E9E-8830-A8A7BAB2751E}"/>
    <cellStyle name="20% - Accent1 2 3 4 2 2 4" xfId="41621" xr:uid="{47D3C404-5730-454D-87D7-3D2E9E546237}"/>
    <cellStyle name="20% - Accent1 2 3 4 2 2 5" xfId="16329" xr:uid="{BB671F36-91F6-4135-864B-0C62EA9C870F}"/>
    <cellStyle name="20% - Accent1 2 3 4 2 3" xfId="28975" xr:uid="{8239DA95-1394-4A0A-B099-7D0F6FF8CC4D}"/>
    <cellStyle name="20% - Accent1 2 3 4 2 4" xfId="20546" xr:uid="{3010EE17-FF2E-4733-AB56-B3DF0A36B5B5}"/>
    <cellStyle name="20% - Accent1 2 3 4 2 5" xfId="37404" xr:uid="{B7610B77-6ABE-4263-8F94-FFD214CAFCD8}"/>
    <cellStyle name="20% - Accent1 2 3 4 2 6" xfId="12111" xr:uid="{CB818F34-007F-4657-BC8D-26AB44E5D6AA}"/>
    <cellStyle name="20% - Accent1 2 3 4 3" xfId="5749" xr:uid="{00000000-0005-0000-0000-000037000000}"/>
    <cellStyle name="20% - Accent1 2 3 4 3 2" xfId="31048" xr:uid="{D47CD706-7DA3-4DA2-89E9-E1A83CD4B03E}"/>
    <cellStyle name="20% - Accent1 2 3 4 3 3" xfId="22619" xr:uid="{D1AC46E6-2490-4A27-BADC-39C22A4384AD}"/>
    <cellStyle name="20% - Accent1 2 3 4 3 4" xfId="39476" xr:uid="{89523A1D-980D-488D-BB60-6F73EC036D89}"/>
    <cellStyle name="20% - Accent1 2 3 4 3 5" xfId="14184" xr:uid="{F74F2E04-3507-473D-8F0A-B1856F311BFD}"/>
    <cellStyle name="20% - Accent1 2 3 4 4" xfId="26830" xr:uid="{4D612C00-EF91-4695-A1DF-AD6E23514104}"/>
    <cellStyle name="20% - Accent1 2 3 4 5" xfId="18401" xr:uid="{E1A694BE-B4F7-472A-919E-2FAB774B5136}"/>
    <cellStyle name="20% - Accent1 2 3 4 6" xfId="35259" xr:uid="{94DE2EFD-643B-48FA-A660-5A498CE1E687}"/>
    <cellStyle name="20% - Accent1 2 3 4 7" xfId="9966" xr:uid="{71C51D31-D44D-4A5E-9844-FA6B9FFD551F}"/>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33606" xr:uid="{6E75CD3D-3845-4BC4-BD0E-5EAAFB590217}"/>
    <cellStyle name="20% - Accent1 2 3 5 2 2 3" xfId="25177" xr:uid="{C0E3134A-356A-4FC1-8917-097F85028F19}"/>
    <cellStyle name="20% - Accent1 2 3 5 2 2 4" xfId="42034" xr:uid="{6DA0AF11-52A4-4802-97A9-78F6975A4546}"/>
    <cellStyle name="20% - Accent1 2 3 5 2 2 5" xfId="16742" xr:uid="{8967E317-1532-4542-80AA-7BA710FDC08B}"/>
    <cellStyle name="20% - Accent1 2 3 5 2 3" xfId="29388" xr:uid="{D89B39C2-A672-44FE-B3AC-0B0AAB3941DC}"/>
    <cellStyle name="20% - Accent1 2 3 5 2 4" xfId="20959" xr:uid="{8155DFE0-D1CB-46FE-B759-0630BFA7E511}"/>
    <cellStyle name="20% - Accent1 2 3 5 2 5" xfId="37817" xr:uid="{8E62AD27-8E9E-47DF-B8F1-D2A5183E6240}"/>
    <cellStyle name="20% - Accent1 2 3 5 2 6" xfId="12524" xr:uid="{0241214D-C1C7-4BEB-A348-1045CE30B65A}"/>
    <cellStyle name="20% - Accent1 2 3 5 3" xfId="6162" xr:uid="{00000000-0005-0000-0000-00003B000000}"/>
    <cellStyle name="20% - Accent1 2 3 5 3 2" xfId="31461" xr:uid="{EE1DD00B-C71B-49F1-AB94-DCF7284C37F8}"/>
    <cellStyle name="20% - Accent1 2 3 5 3 3" xfId="23032" xr:uid="{8B2FC6AA-C363-4F96-B4BA-460A3C5A5026}"/>
    <cellStyle name="20% - Accent1 2 3 5 3 4" xfId="39889" xr:uid="{5FACA282-3581-4FD8-9726-1F6F6E14203E}"/>
    <cellStyle name="20% - Accent1 2 3 5 3 5" xfId="14597" xr:uid="{1D287222-423C-4B82-8F00-321C5D2C9B3F}"/>
    <cellStyle name="20% - Accent1 2 3 5 4" xfId="27243" xr:uid="{34A9F640-CE63-498B-9D90-EFA3BD74F5CE}"/>
    <cellStyle name="20% - Accent1 2 3 5 5" xfId="18814" xr:uid="{E9801DD7-7A3A-4D43-ACA8-DA3935838BA3}"/>
    <cellStyle name="20% - Accent1 2 3 5 6" xfId="35672" xr:uid="{E8909ED7-3F09-4B0F-B4E5-D3491AAD389A}"/>
    <cellStyle name="20% - Accent1 2 3 5 7" xfId="10379" xr:uid="{301F7347-6401-4A31-B955-E64E6E6F2F8F}"/>
    <cellStyle name="20% - Accent1 2 3 6" xfId="2268" xr:uid="{00000000-0005-0000-0000-00003C000000}"/>
    <cellStyle name="20% - Accent1 2 3 6 2" xfId="6575" xr:uid="{00000000-0005-0000-0000-00003D000000}"/>
    <cellStyle name="20% - Accent1 2 3 6 2 2" xfId="31874" xr:uid="{B4CC474F-D074-4F85-933D-B57F33387CED}"/>
    <cellStyle name="20% - Accent1 2 3 6 2 3" xfId="23445" xr:uid="{959AB7CC-0374-4CAD-AB18-984BB3E6302E}"/>
    <cellStyle name="20% - Accent1 2 3 6 2 4" xfId="40302" xr:uid="{487248A1-A872-496E-B2B3-3F7F17F78E99}"/>
    <cellStyle name="20% - Accent1 2 3 6 2 5" xfId="15010" xr:uid="{C9718E60-9305-4A31-916A-6B6F13C51507}"/>
    <cellStyle name="20% - Accent1 2 3 6 3" xfId="27656" xr:uid="{358B42B0-65C9-43F8-956B-5D5746827559}"/>
    <cellStyle name="20% - Accent1 2 3 6 4" xfId="19227" xr:uid="{C31F0394-963F-43DE-A4C2-385C3B34E669}"/>
    <cellStyle name="20% - Accent1 2 3 6 5" xfId="36085" xr:uid="{D45EC05A-C1F1-4846-97DB-A54926F1B9F0}"/>
    <cellStyle name="20% - Accent1 2 3 6 6" xfId="10792" xr:uid="{A60CC06C-5EBF-4406-8F21-C9801DBC0724}"/>
    <cellStyle name="20% - Accent1 2 3 7" xfId="4509" xr:uid="{00000000-0005-0000-0000-00003E000000}"/>
    <cellStyle name="20% - Accent1 2 3 7 2" xfId="29808" xr:uid="{A8FD43A3-3664-4B22-9904-A279F1FF6B15}"/>
    <cellStyle name="20% - Accent1 2 3 7 3" xfId="21379" xr:uid="{4C6DFA06-4A76-4D5C-9C98-8762956522FC}"/>
    <cellStyle name="20% - Accent1 2 3 7 4" xfId="38236" xr:uid="{183CC7AC-FF7E-42C7-BAC6-92AC1841B434}"/>
    <cellStyle name="20% - Accent1 2 3 7 5" xfId="12944" xr:uid="{805360D7-5F29-4626-880D-77A757B7A949}"/>
    <cellStyle name="20% - Accent1 2 3 8" xfId="25590" xr:uid="{7778E09A-4066-4A16-8101-F3CEC7590ECC}"/>
    <cellStyle name="20% - Accent1 2 3 9" xfId="17161" xr:uid="{101AB611-E88B-4226-A44B-26E6E918FFF8}"/>
    <cellStyle name="20% - Accent1 2 4" xfId="571" xr:uid="{00000000-0005-0000-0000-00003F000000}"/>
    <cellStyle name="20% - Accent1 2 4 2" xfId="2842" xr:uid="{00000000-0005-0000-0000-000040000000}"/>
    <cellStyle name="20% - Accent1 2 4 2 2" xfId="7065" xr:uid="{00000000-0005-0000-0000-000041000000}"/>
    <cellStyle name="20% - Accent1 2 4 2 2 2" xfId="32364" xr:uid="{A23A1F70-23C5-49CB-9CD6-216418247438}"/>
    <cellStyle name="20% - Accent1 2 4 2 2 3" xfId="23935" xr:uid="{7616963B-EB07-41FF-A294-AEA678BCF4F4}"/>
    <cellStyle name="20% - Accent1 2 4 2 2 4" xfId="40792" xr:uid="{52081F9B-18B3-4CB3-A8AA-DA5BA343125A}"/>
    <cellStyle name="20% - Accent1 2 4 2 2 5" xfId="15500" xr:uid="{D2277413-19EF-4835-9D8D-3B395E6F0CAD}"/>
    <cellStyle name="20% - Accent1 2 4 2 3" xfId="28146" xr:uid="{D0D15498-D162-4ECC-8133-55BFFB9732AE}"/>
    <cellStyle name="20% - Accent1 2 4 2 4" xfId="19717" xr:uid="{4486840B-94D5-434C-93E9-6117A4805628}"/>
    <cellStyle name="20% - Accent1 2 4 2 5" xfId="36575" xr:uid="{33A6E279-025C-4EE5-95E2-F7EABF476266}"/>
    <cellStyle name="20% - Accent1 2 4 2 6" xfId="11282" xr:uid="{11FDC427-323C-431B-A956-13D9E9503CA8}"/>
    <cellStyle name="20% - Accent1 2 4 3" xfId="4920" xr:uid="{00000000-0005-0000-0000-000042000000}"/>
    <cellStyle name="20% - Accent1 2 4 3 2" xfId="30219" xr:uid="{0D17BC08-DEF4-4482-9F50-44990777DAE9}"/>
    <cellStyle name="20% - Accent1 2 4 3 3" xfId="21790" xr:uid="{D4F417F0-3766-48A4-B09E-D8D3D085FD29}"/>
    <cellStyle name="20% - Accent1 2 4 3 4" xfId="38647" xr:uid="{7464FB27-C5D0-4F5D-A6AC-728038CA52BA}"/>
    <cellStyle name="20% - Accent1 2 4 3 5" xfId="13355" xr:uid="{F7897C58-F7F3-453F-BF22-B586C11E8227}"/>
    <cellStyle name="20% - Accent1 2 4 4" xfId="26001" xr:uid="{99402007-B79D-4451-A29A-FA1775DC0960}"/>
    <cellStyle name="20% - Accent1 2 4 5" xfId="17572" xr:uid="{BBB62DFF-0037-475F-A69F-5BBB835AACDA}"/>
    <cellStyle name="20% - Accent1 2 4 6" xfId="34430" xr:uid="{63C116BD-7026-426B-9A8E-DC899DB0EAFE}"/>
    <cellStyle name="20% - Accent1 2 4 7" xfId="9137" xr:uid="{1FE903F2-0684-44C6-BB6E-2C2E327CDB3F}"/>
    <cellStyle name="20% - Accent1 2 5" xfId="1024" xr:uid="{00000000-0005-0000-0000-000043000000}"/>
    <cellStyle name="20% - Accent1 2 5 2" xfId="3255" xr:uid="{00000000-0005-0000-0000-000044000000}"/>
    <cellStyle name="20% - Accent1 2 5 2 2" xfId="7478" xr:uid="{00000000-0005-0000-0000-000045000000}"/>
    <cellStyle name="20% - Accent1 2 5 2 2 2" xfId="32777" xr:uid="{B53E3396-6E9F-4518-A681-2CC810B73C14}"/>
    <cellStyle name="20% - Accent1 2 5 2 2 3" xfId="24348" xr:uid="{1A138798-ECDF-4831-A0B2-B873E26302FE}"/>
    <cellStyle name="20% - Accent1 2 5 2 2 4" xfId="41205" xr:uid="{3FC0ED60-DCD6-40CB-97E6-752042AC53D9}"/>
    <cellStyle name="20% - Accent1 2 5 2 2 5" xfId="15913" xr:uid="{B89C8BA3-DD37-4AF0-AAF3-84801C451B36}"/>
    <cellStyle name="20% - Accent1 2 5 2 3" xfId="28559" xr:uid="{4FE5F488-FFDF-4EAC-8206-9951B379EB03}"/>
    <cellStyle name="20% - Accent1 2 5 2 4" xfId="20130" xr:uid="{4C24F765-F371-42E4-AD0E-1DB893D2E23D}"/>
    <cellStyle name="20% - Accent1 2 5 2 5" xfId="36988" xr:uid="{21F75AD2-7769-402C-8C11-BE89F4FFF0FD}"/>
    <cellStyle name="20% - Accent1 2 5 2 6" xfId="11695" xr:uid="{DDA097E5-3258-4365-AC29-888AFFA84F5F}"/>
    <cellStyle name="20% - Accent1 2 5 3" xfId="5333" xr:uid="{00000000-0005-0000-0000-000046000000}"/>
    <cellStyle name="20% - Accent1 2 5 3 2" xfId="30632" xr:uid="{B886A624-7810-4A85-99D3-05DA96BF65D7}"/>
    <cellStyle name="20% - Accent1 2 5 3 3" xfId="22203" xr:uid="{8EA641FC-C28E-4758-BF18-05BD44774CD0}"/>
    <cellStyle name="20% - Accent1 2 5 3 4" xfId="39060" xr:uid="{3EF4F272-06CD-4A59-92D0-AC9705B5278E}"/>
    <cellStyle name="20% - Accent1 2 5 3 5" xfId="13768" xr:uid="{5B04C6A6-5E4E-4C67-829D-392D4CFFC54F}"/>
    <cellStyle name="20% - Accent1 2 5 4" xfId="26414" xr:uid="{2ECA969D-6B50-4E46-8141-4EC72DF530E6}"/>
    <cellStyle name="20% - Accent1 2 5 5" xfId="17985" xr:uid="{BAFD1B14-D4BC-4E32-9BC9-E54F693153D3}"/>
    <cellStyle name="20% - Accent1 2 5 6" xfId="34843" xr:uid="{32E97636-6638-498B-8F48-9CD8CF9ADD6A}"/>
    <cellStyle name="20% - Accent1 2 5 7" xfId="9550" xr:uid="{08AF3D98-2072-44C4-8876-2BB7C2377260}"/>
    <cellStyle name="20% - Accent1 2 6" xfId="1438" xr:uid="{00000000-0005-0000-0000-000047000000}"/>
    <cellStyle name="20% - Accent1 2 6 2" xfId="3668" xr:uid="{00000000-0005-0000-0000-000048000000}"/>
    <cellStyle name="20% - Accent1 2 6 2 2" xfId="7891" xr:uid="{00000000-0005-0000-0000-000049000000}"/>
    <cellStyle name="20% - Accent1 2 6 2 2 2" xfId="33190" xr:uid="{5F105698-AA30-4F2F-BA40-C88AB46CC1C8}"/>
    <cellStyle name="20% - Accent1 2 6 2 2 3" xfId="24761" xr:uid="{C6A57CC3-A68C-42C0-8608-8D233DDBA990}"/>
    <cellStyle name="20% - Accent1 2 6 2 2 4" xfId="41618" xr:uid="{049F8F38-8FF2-4C98-ACE8-98542BA346EE}"/>
    <cellStyle name="20% - Accent1 2 6 2 2 5" xfId="16326" xr:uid="{B22A1763-32E0-4849-B18B-4090C504E6EA}"/>
    <cellStyle name="20% - Accent1 2 6 2 3" xfId="28972" xr:uid="{D7BD29C7-03E5-4819-B82B-531191BED331}"/>
    <cellStyle name="20% - Accent1 2 6 2 4" xfId="20543" xr:uid="{572E8345-C969-498B-97FE-1465053A7757}"/>
    <cellStyle name="20% - Accent1 2 6 2 5" xfId="37401" xr:uid="{FC023179-5940-4A02-8F75-7D5187CB6C57}"/>
    <cellStyle name="20% - Accent1 2 6 2 6" xfId="12108" xr:uid="{9D209CE7-0D71-4A02-B3A5-77D80CA5613D}"/>
    <cellStyle name="20% - Accent1 2 6 3" xfId="5746" xr:uid="{00000000-0005-0000-0000-00004A000000}"/>
    <cellStyle name="20% - Accent1 2 6 3 2" xfId="31045" xr:uid="{53464E57-2137-43DF-BDE9-6AACD8DA844F}"/>
    <cellStyle name="20% - Accent1 2 6 3 3" xfId="22616" xr:uid="{4EFAD949-C9E5-401D-A08B-B153E3B56D22}"/>
    <cellStyle name="20% - Accent1 2 6 3 4" xfId="39473" xr:uid="{DEA83DD1-D430-4E62-853E-371873A8D8BD}"/>
    <cellStyle name="20% - Accent1 2 6 3 5" xfId="14181" xr:uid="{18ADCDA1-F362-40AF-BF1E-C50F77D11A91}"/>
    <cellStyle name="20% - Accent1 2 6 4" xfId="26827" xr:uid="{174C4FA5-45AC-45DB-AF26-987B606A3CFF}"/>
    <cellStyle name="20% - Accent1 2 6 5" xfId="18398" xr:uid="{3D55CBDA-EE4A-4625-B564-DDBD257D1100}"/>
    <cellStyle name="20% - Accent1 2 6 6" xfId="35256" xr:uid="{D19E638A-3F90-421D-B7D0-6A08C8D30CC4}"/>
    <cellStyle name="20% - Accent1 2 6 7" xfId="9963" xr:uid="{33D4DBA4-A7A5-41B1-96CD-8911B650C4FF}"/>
    <cellStyle name="20% - Accent1 2 7" xfId="1852" xr:uid="{00000000-0005-0000-0000-00004B000000}"/>
    <cellStyle name="20% - Accent1 2 7 2" xfId="4081" xr:uid="{00000000-0005-0000-0000-00004C000000}"/>
    <cellStyle name="20% - Accent1 2 7 2 2" xfId="8304" xr:uid="{00000000-0005-0000-0000-00004D000000}"/>
    <cellStyle name="20% - Accent1 2 7 2 2 2" xfId="33603" xr:uid="{145CB1C3-C504-4DEB-AABA-6F7B7C2D4039}"/>
    <cellStyle name="20% - Accent1 2 7 2 2 3" xfId="25174" xr:uid="{F2753AE2-C0ED-4BCF-81D9-DEE71235D34D}"/>
    <cellStyle name="20% - Accent1 2 7 2 2 4" xfId="42031" xr:uid="{3CDCA079-810E-4BDE-8932-96F5F9774C3D}"/>
    <cellStyle name="20% - Accent1 2 7 2 2 5" xfId="16739" xr:uid="{2C056879-FFD8-401E-8A30-9C449E0199D2}"/>
    <cellStyle name="20% - Accent1 2 7 2 3" xfId="29385" xr:uid="{11D7C4F7-D997-4AC8-9316-A4DB4A5CA576}"/>
    <cellStyle name="20% - Accent1 2 7 2 4" xfId="20956" xr:uid="{BFD663BE-E2C4-4781-A672-92B95F6246C7}"/>
    <cellStyle name="20% - Accent1 2 7 2 5" xfId="37814" xr:uid="{27D919F6-39AF-4C8E-8A19-0F876639206F}"/>
    <cellStyle name="20% - Accent1 2 7 2 6" xfId="12521" xr:uid="{0A5A6BFF-861F-4794-B83A-0E5A0410D229}"/>
    <cellStyle name="20% - Accent1 2 7 3" xfId="6159" xr:uid="{00000000-0005-0000-0000-00004E000000}"/>
    <cellStyle name="20% - Accent1 2 7 3 2" xfId="31458" xr:uid="{5732A6BE-13B6-4DAB-A233-4432D4669194}"/>
    <cellStyle name="20% - Accent1 2 7 3 3" xfId="23029" xr:uid="{BC2DAF1C-5293-4A8B-A0BF-DA1384830F4E}"/>
    <cellStyle name="20% - Accent1 2 7 3 4" xfId="39886" xr:uid="{AE8B182B-642A-4AE5-955C-F68DEEAEEDD9}"/>
    <cellStyle name="20% - Accent1 2 7 3 5" xfId="14594" xr:uid="{5C00B3C3-115C-4198-9BCE-7C04D001A8DC}"/>
    <cellStyle name="20% - Accent1 2 7 4" xfId="27240" xr:uid="{777830B0-27E8-43AD-A9DC-2A84AB4CFB7F}"/>
    <cellStyle name="20% - Accent1 2 7 5" xfId="18811" xr:uid="{E9C6C065-DEB5-4EB0-990B-4656C2C07CB6}"/>
    <cellStyle name="20% - Accent1 2 7 6" xfId="35669" xr:uid="{C0CFA7E1-C87F-456B-8605-0761DF9AC7BC}"/>
    <cellStyle name="20% - Accent1 2 7 7" xfId="10376" xr:uid="{62205341-33C1-4AF2-90C3-CD22CCD315F0}"/>
    <cellStyle name="20% - Accent1 2 8" xfId="2265" xr:uid="{00000000-0005-0000-0000-00004F000000}"/>
    <cellStyle name="20% - Accent1 2 8 2" xfId="6572" xr:uid="{00000000-0005-0000-0000-000050000000}"/>
    <cellStyle name="20% - Accent1 2 8 2 2" xfId="31871" xr:uid="{438D4C04-09F0-493F-B61E-0223A404EAE9}"/>
    <cellStyle name="20% - Accent1 2 8 2 3" xfId="23442" xr:uid="{C9ABC6D7-CFB5-4F2C-B1DE-DD7AF466C159}"/>
    <cellStyle name="20% - Accent1 2 8 2 4" xfId="40299" xr:uid="{F5A4079B-251F-472B-9ED7-0457AFF5637B}"/>
    <cellStyle name="20% - Accent1 2 8 2 5" xfId="15007" xr:uid="{7DCEC1E1-862B-40C5-BF46-9277C22D8186}"/>
    <cellStyle name="20% - Accent1 2 8 3" xfId="27653" xr:uid="{93069451-2A87-47E1-99BD-2807FE9FEFA5}"/>
    <cellStyle name="20% - Accent1 2 8 4" xfId="19224" xr:uid="{45287CD2-574C-4FA3-B745-ACB8D3FBD4CD}"/>
    <cellStyle name="20% - Accent1 2 8 5" xfId="36082" xr:uid="{5707B74E-2144-4C6F-A2FA-9F314AFE4B58}"/>
    <cellStyle name="20% - Accent1 2 8 6" xfId="10789" xr:uid="{438F17C5-A500-4566-AE21-E32902438F97}"/>
    <cellStyle name="20% - Accent1 2 9" xfId="4506" xr:uid="{00000000-0005-0000-0000-000051000000}"/>
    <cellStyle name="20% - Accent1 2 9 2" xfId="29805" xr:uid="{F777B311-F283-49DF-8491-92BC3DC5FBF4}"/>
    <cellStyle name="20% - Accent1 2 9 3" xfId="21376" xr:uid="{49082FEB-228A-46EC-B977-EEB366832498}"/>
    <cellStyle name="20% - Accent1 2 9 4" xfId="38233" xr:uid="{87480E1C-72A2-42C1-A5F8-47EBE09892F2}"/>
    <cellStyle name="20% - Accent1 2 9 5" xfId="12941" xr:uid="{13C3022F-5980-4F4A-BCB3-F03B4705B714}"/>
    <cellStyle name="20% - Accent1 3" xfId="6" xr:uid="{00000000-0005-0000-0000-000052000000}"/>
    <cellStyle name="20% - Accent1 3 10" xfId="17162" xr:uid="{10DCB732-4324-4819-A372-F46BC00EC75C}"/>
    <cellStyle name="20% - Accent1 3 11" xfId="34020" xr:uid="{536D87D3-3CBB-4B4B-8EDE-B72144433ED4}"/>
    <cellStyle name="20% - Accent1 3 12" xfId="8727" xr:uid="{DFD54351-BBDC-4461-BC46-1E1AC5E34E27}"/>
    <cellStyle name="20% - Accent1 3 2" xfId="7" xr:uid="{00000000-0005-0000-0000-000053000000}"/>
    <cellStyle name="20% - Accent1 3 2 10" xfId="34021" xr:uid="{458B4C6F-1682-4C78-B3BC-3AD849D28A7A}"/>
    <cellStyle name="20% - Accent1 3 2 11" xfId="8728" xr:uid="{8DF1A0B8-3EF7-464E-9688-92479D10B807}"/>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32369" xr:uid="{471F1CDF-D329-4AEE-9541-5BE280406D13}"/>
    <cellStyle name="20% - Accent1 3 2 2 2 2 3" xfId="23940" xr:uid="{C7D38417-B8B6-4A5A-82A9-706EB2E31630}"/>
    <cellStyle name="20% - Accent1 3 2 2 2 2 4" xfId="40797" xr:uid="{BCB349A4-B3A2-476E-9C75-92CC0AEE9519}"/>
    <cellStyle name="20% - Accent1 3 2 2 2 2 5" xfId="15505" xr:uid="{A4BD8860-E386-4A48-93CE-AD2B4B409E48}"/>
    <cellStyle name="20% - Accent1 3 2 2 2 3" xfId="28151" xr:uid="{557BBD2D-792E-41B2-929B-DB268A63C97D}"/>
    <cellStyle name="20% - Accent1 3 2 2 2 4" xfId="19722" xr:uid="{BE3F2DDD-824F-4492-B847-3137AED76CFF}"/>
    <cellStyle name="20% - Accent1 3 2 2 2 5" xfId="36580" xr:uid="{3719D64E-183D-4C60-A04D-78772191407E}"/>
    <cellStyle name="20% - Accent1 3 2 2 2 6" xfId="11287" xr:uid="{FE0B3C8B-FF38-4C26-A958-C8D6788DFB86}"/>
    <cellStyle name="20% - Accent1 3 2 2 3" xfId="4925" xr:uid="{00000000-0005-0000-0000-000057000000}"/>
    <cellStyle name="20% - Accent1 3 2 2 3 2" xfId="30224" xr:uid="{A6E6A50F-CE2F-4C2E-976D-EC2B054AC2C6}"/>
    <cellStyle name="20% - Accent1 3 2 2 3 3" xfId="21795" xr:uid="{3E63CFE5-88F3-4930-BF7D-8086AFF22472}"/>
    <cellStyle name="20% - Accent1 3 2 2 3 4" xfId="38652" xr:uid="{204B40B5-4FF7-4BB5-87D3-FBA37AC0F51E}"/>
    <cellStyle name="20% - Accent1 3 2 2 3 5" xfId="13360" xr:uid="{23FA3F56-E6EE-4949-AAA7-81154749A7D6}"/>
    <cellStyle name="20% - Accent1 3 2 2 4" xfId="26006" xr:uid="{963F99B4-38B7-4F6B-A2D6-284AC35DEA6B}"/>
    <cellStyle name="20% - Accent1 3 2 2 5" xfId="17577" xr:uid="{D637DB05-FA3E-44ED-A9FE-71CB51B628FD}"/>
    <cellStyle name="20% - Accent1 3 2 2 6" xfId="34435" xr:uid="{1A516BA6-506F-4FE5-8D66-42DFC1C80DB2}"/>
    <cellStyle name="20% - Accent1 3 2 2 7" xfId="9142" xr:uid="{AB22E89D-AE63-4C02-8B0F-459A8BB4DDF2}"/>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32782" xr:uid="{6E0C42D5-B789-4F56-AD65-8F9ABBF5A4A9}"/>
    <cellStyle name="20% - Accent1 3 2 3 2 2 3" xfId="24353" xr:uid="{C56C0E6D-E81C-4787-9A7A-15C1D55EC7A9}"/>
    <cellStyle name="20% - Accent1 3 2 3 2 2 4" xfId="41210" xr:uid="{5C9493F0-A92C-448E-B5E5-FCAD8E1E4692}"/>
    <cellStyle name="20% - Accent1 3 2 3 2 2 5" xfId="15918" xr:uid="{232C9732-104D-46E4-88E8-5E9F2344F7F7}"/>
    <cellStyle name="20% - Accent1 3 2 3 2 3" xfId="28564" xr:uid="{C04D5082-1842-4DCC-9055-64E03E6128ED}"/>
    <cellStyle name="20% - Accent1 3 2 3 2 4" xfId="20135" xr:uid="{3FB66406-1C88-44A8-98B1-53B71CF19C80}"/>
    <cellStyle name="20% - Accent1 3 2 3 2 5" xfId="36993" xr:uid="{F101B82A-EFFC-4CA2-9869-38330355371F}"/>
    <cellStyle name="20% - Accent1 3 2 3 2 6" xfId="11700" xr:uid="{9B36E3EE-2BED-49DD-A8C4-7880A250FF98}"/>
    <cellStyle name="20% - Accent1 3 2 3 3" xfId="5338" xr:uid="{00000000-0005-0000-0000-00005B000000}"/>
    <cellStyle name="20% - Accent1 3 2 3 3 2" xfId="30637" xr:uid="{BC7ADE33-6AFD-4BB1-9BB7-24BF1E642C07}"/>
    <cellStyle name="20% - Accent1 3 2 3 3 3" xfId="22208" xr:uid="{6A17AF2D-DC28-44FE-9EB5-E48E934CED41}"/>
    <cellStyle name="20% - Accent1 3 2 3 3 4" xfId="39065" xr:uid="{8E9F80BD-C77E-423F-9D46-9C3D1F5934BE}"/>
    <cellStyle name="20% - Accent1 3 2 3 3 5" xfId="13773" xr:uid="{7499B2CE-468D-40AE-AF86-D233049C8791}"/>
    <cellStyle name="20% - Accent1 3 2 3 4" xfId="26419" xr:uid="{83F5A3D4-1AAC-4CC1-9B4E-432899B43B83}"/>
    <cellStyle name="20% - Accent1 3 2 3 5" xfId="17990" xr:uid="{ABB680D5-2A54-4A3A-9B06-5347F9B90511}"/>
    <cellStyle name="20% - Accent1 3 2 3 6" xfId="34848" xr:uid="{C74D46D4-DD91-459C-A0D6-15D2DB863CBB}"/>
    <cellStyle name="20% - Accent1 3 2 3 7" xfId="9555" xr:uid="{6721FE59-790C-4FC8-BEF4-60AB4108D7AF}"/>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33195" xr:uid="{E2D25369-4C89-4560-84EA-E265B8AA164F}"/>
    <cellStyle name="20% - Accent1 3 2 4 2 2 3" xfId="24766" xr:uid="{EBB87D29-FCBF-48A2-8AC5-334DD8B0A88C}"/>
    <cellStyle name="20% - Accent1 3 2 4 2 2 4" xfId="41623" xr:uid="{F86E876C-ECB8-412A-8B45-D9D4AA6BE6F7}"/>
    <cellStyle name="20% - Accent1 3 2 4 2 2 5" xfId="16331" xr:uid="{3A15DD22-D9BA-4652-B369-A1DB21AA3F6A}"/>
    <cellStyle name="20% - Accent1 3 2 4 2 3" xfId="28977" xr:uid="{5FB0A435-51A8-48A4-8919-71E65F2ED71F}"/>
    <cellStyle name="20% - Accent1 3 2 4 2 4" xfId="20548" xr:uid="{B9C11C54-3FDB-46C3-98C4-7DF34BBC6D67}"/>
    <cellStyle name="20% - Accent1 3 2 4 2 5" xfId="37406" xr:uid="{60251A21-DC52-4AEF-86C0-587EDC128D68}"/>
    <cellStyle name="20% - Accent1 3 2 4 2 6" xfId="12113" xr:uid="{64BE2BBF-F078-48B1-A2F4-491954E7C008}"/>
    <cellStyle name="20% - Accent1 3 2 4 3" xfId="5751" xr:uid="{00000000-0005-0000-0000-00005F000000}"/>
    <cellStyle name="20% - Accent1 3 2 4 3 2" xfId="31050" xr:uid="{E21D2E8C-F542-4532-98CB-DD35C70FE4B6}"/>
    <cellStyle name="20% - Accent1 3 2 4 3 3" xfId="22621" xr:uid="{24C31D75-56A8-41E8-8659-AE7D355914C4}"/>
    <cellStyle name="20% - Accent1 3 2 4 3 4" xfId="39478" xr:uid="{D4DF5BCA-2416-4C11-A728-E6F3A53B13C9}"/>
    <cellStyle name="20% - Accent1 3 2 4 3 5" xfId="14186" xr:uid="{D0353722-3C47-474E-9205-37B59131165A}"/>
    <cellStyle name="20% - Accent1 3 2 4 4" xfId="26832" xr:uid="{4298E8BF-E1CD-41D6-9532-5140F2A129F6}"/>
    <cellStyle name="20% - Accent1 3 2 4 5" xfId="18403" xr:uid="{A6C9EBCD-DDF7-4F64-A460-C18820FD681E}"/>
    <cellStyle name="20% - Accent1 3 2 4 6" xfId="35261" xr:uid="{34074D9A-D31A-44A8-AC34-CD1B51FB8C15}"/>
    <cellStyle name="20% - Accent1 3 2 4 7" xfId="9968" xr:uid="{FA5F859C-75F9-47B7-A3E1-5F822DEC7532}"/>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33608" xr:uid="{99E750C4-C643-4210-8D8D-FB655F901071}"/>
    <cellStyle name="20% - Accent1 3 2 5 2 2 3" xfId="25179" xr:uid="{A1B846A8-9267-4EE0-A32E-280FD576E8A6}"/>
    <cellStyle name="20% - Accent1 3 2 5 2 2 4" xfId="42036" xr:uid="{D00726BD-2D66-4586-8F67-36A7524FC899}"/>
    <cellStyle name="20% - Accent1 3 2 5 2 2 5" xfId="16744" xr:uid="{55053194-A07D-42A2-8ACF-A3EF9B34E366}"/>
    <cellStyle name="20% - Accent1 3 2 5 2 3" xfId="29390" xr:uid="{0CB0D65A-8FE7-4E23-BA72-77B208D29C5A}"/>
    <cellStyle name="20% - Accent1 3 2 5 2 4" xfId="20961" xr:uid="{4DBDAFF0-F5C1-49B9-BF58-13BB7E4F458E}"/>
    <cellStyle name="20% - Accent1 3 2 5 2 5" xfId="37819" xr:uid="{F13D4CF1-4E37-4F88-89D2-E68B338F4A31}"/>
    <cellStyle name="20% - Accent1 3 2 5 2 6" xfId="12526" xr:uid="{AB782320-7A6A-4CC8-9817-FFE26770562E}"/>
    <cellStyle name="20% - Accent1 3 2 5 3" xfId="6164" xr:uid="{00000000-0005-0000-0000-000063000000}"/>
    <cellStyle name="20% - Accent1 3 2 5 3 2" xfId="31463" xr:uid="{B6824CDA-424F-4699-BE78-4B327BA01814}"/>
    <cellStyle name="20% - Accent1 3 2 5 3 3" xfId="23034" xr:uid="{7397A84F-5E57-42EC-828B-DCAF99DB3765}"/>
    <cellStyle name="20% - Accent1 3 2 5 3 4" xfId="39891" xr:uid="{0A22F4B5-10D6-4154-8AF4-E0E155337D15}"/>
    <cellStyle name="20% - Accent1 3 2 5 3 5" xfId="14599" xr:uid="{159C0FFE-34D7-458E-8B6A-91DAB2B7D0D7}"/>
    <cellStyle name="20% - Accent1 3 2 5 4" xfId="27245" xr:uid="{A6B3960B-D108-4F5A-BB04-564A49C64EF4}"/>
    <cellStyle name="20% - Accent1 3 2 5 5" xfId="18816" xr:uid="{BF11A565-83A3-41F8-8BA9-533EBC4B8AB6}"/>
    <cellStyle name="20% - Accent1 3 2 5 6" xfId="35674" xr:uid="{26C14DA3-0BE5-4D9B-A5F3-65198A0A2C29}"/>
    <cellStyle name="20% - Accent1 3 2 5 7" xfId="10381" xr:uid="{F7CB86F3-682E-4AC2-A4E6-F11E20F9C2A1}"/>
    <cellStyle name="20% - Accent1 3 2 6" xfId="2270" xr:uid="{00000000-0005-0000-0000-000064000000}"/>
    <cellStyle name="20% - Accent1 3 2 6 2" xfId="6577" xr:uid="{00000000-0005-0000-0000-000065000000}"/>
    <cellStyle name="20% - Accent1 3 2 6 2 2" xfId="31876" xr:uid="{CA1FEEE2-3DF1-44A4-8F35-5A738B35243B}"/>
    <cellStyle name="20% - Accent1 3 2 6 2 3" xfId="23447" xr:uid="{564F35EB-55D1-4451-A51A-593B062E2E25}"/>
    <cellStyle name="20% - Accent1 3 2 6 2 4" xfId="40304" xr:uid="{AD762F20-B75C-48D0-95C4-5F308B4866B9}"/>
    <cellStyle name="20% - Accent1 3 2 6 2 5" xfId="15012" xr:uid="{9BC78D93-9A56-4632-9322-336D54EAD403}"/>
    <cellStyle name="20% - Accent1 3 2 6 3" xfId="27658" xr:uid="{EDD346A5-49D9-43C7-A904-7DCF4CF0CD11}"/>
    <cellStyle name="20% - Accent1 3 2 6 4" xfId="19229" xr:uid="{A685C016-A200-40F3-986D-CCDC3E4514BD}"/>
    <cellStyle name="20% - Accent1 3 2 6 5" xfId="36087" xr:uid="{E2E5E2AC-FABB-4EA1-A26E-0506DBA5E593}"/>
    <cellStyle name="20% - Accent1 3 2 6 6" xfId="10794" xr:uid="{DA87B64D-574C-4850-A021-6A69C9573169}"/>
    <cellStyle name="20% - Accent1 3 2 7" xfId="4511" xr:uid="{00000000-0005-0000-0000-000066000000}"/>
    <cellStyle name="20% - Accent1 3 2 7 2" xfId="29810" xr:uid="{B4D2E14E-F775-450E-954C-22C4E4030F58}"/>
    <cellStyle name="20% - Accent1 3 2 7 3" xfId="21381" xr:uid="{79B1EAF7-2522-4E26-9AC5-2FF2CF20C1E8}"/>
    <cellStyle name="20% - Accent1 3 2 7 4" xfId="38238" xr:uid="{5E87C899-6D37-4E7C-9E82-43732737B8D0}"/>
    <cellStyle name="20% - Accent1 3 2 7 5" xfId="12946" xr:uid="{EF0C277C-BD09-46EC-A8A3-D5004E830E41}"/>
    <cellStyle name="20% - Accent1 3 2 8" xfId="25592" xr:uid="{91E4A8AE-0BEF-4267-BC16-ED3778A19061}"/>
    <cellStyle name="20% - Accent1 3 2 9" xfId="17163" xr:uid="{3C362D2D-1E98-43E3-A790-2507149C5E1C}"/>
    <cellStyle name="20% - Accent1 3 3" xfId="575" xr:uid="{00000000-0005-0000-0000-000067000000}"/>
    <cellStyle name="20% - Accent1 3 3 2" xfId="2846" xr:uid="{00000000-0005-0000-0000-000068000000}"/>
    <cellStyle name="20% - Accent1 3 3 2 2" xfId="7069" xr:uid="{00000000-0005-0000-0000-000069000000}"/>
    <cellStyle name="20% - Accent1 3 3 2 2 2" xfId="32368" xr:uid="{A78FDF6F-4341-4FC3-9D40-76B9F8055C40}"/>
    <cellStyle name="20% - Accent1 3 3 2 2 3" xfId="23939" xr:uid="{F205A8DD-8C6B-42F0-9EBD-37E2F956B2C3}"/>
    <cellStyle name="20% - Accent1 3 3 2 2 4" xfId="40796" xr:uid="{A1F1A831-686E-45A2-B2B6-C835D93B9146}"/>
    <cellStyle name="20% - Accent1 3 3 2 2 5" xfId="15504" xr:uid="{F1E7C157-23E8-4646-B79B-3C3B61754A8C}"/>
    <cellStyle name="20% - Accent1 3 3 2 3" xfId="28150" xr:uid="{68350A25-CD88-4FBB-8ABE-D0F444CA185C}"/>
    <cellStyle name="20% - Accent1 3 3 2 4" xfId="19721" xr:uid="{C6A5BA78-FABF-4A71-8CB1-1C55237E227A}"/>
    <cellStyle name="20% - Accent1 3 3 2 5" xfId="36579" xr:uid="{AEDF3B4F-353B-43C5-BB6C-EA48608A47AA}"/>
    <cellStyle name="20% - Accent1 3 3 2 6" xfId="11286" xr:uid="{2874239E-2827-4D5B-B58E-B19D6DBE52FA}"/>
    <cellStyle name="20% - Accent1 3 3 3" xfId="4924" xr:uid="{00000000-0005-0000-0000-00006A000000}"/>
    <cellStyle name="20% - Accent1 3 3 3 2" xfId="30223" xr:uid="{0FFBE163-3864-49BB-873F-8AC278A9A141}"/>
    <cellStyle name="20% - Accent1 3 3 3 3" xfId="21794" xr:uid="{CD1F3E08-043F-4701-B30E-BD462588A5EE}"/>
    <cellStyle name="20% - Accent1 3 3 3 4" xfId="38651" xr:uid="{CFED378D-5264-446A-83AC-EC253BB97B4E}"/>
    <cellStyle name="20% - Accent1 3 3 3 5" xfId="13359" xr:uid="{3D8107EC-73D8-4F4D-A957-96CCAFA9615D}"/>
    <cellStyle name="20% - Accent1 3 3 4" xfId="26005" xr:uid="{6E3C068A-06D8-4230-9578-74892247F157}"/>
    <cellStyle name="20% - Accent1 3 3 5" xfId="17576" xr:uid="{181BF2EA-CE88-4DF9-A181-0606B9B045DB}"/>
    <cellStyle name="20% - Accent1 3 3 6" xfId="34434" xr:uid="{94EC06C7-05AE-464B-8165-A8693E0C9316}"/>
    <cellStyle name="20% - Accent1 3 3 7" xfId="9141" xr:uid="{47F19189-F082-444B-91E4-7DE95ABDD717}"/>
    <cellStyle name="20% - Accent1 3 4" xfId="1028" xr:uid="{00000000-0005-0000-0000-00006B000000}"/>
    <cellStyle name="20% - Accent1 3 4 2" xfId="3259" xr:uid="{00000000-0005-0000-0000-00006C000000}"/>
    <cellStyle name="20% - Accent1 3 4 2 2" xfId="7482" xr:uid="{00000000-0005-0000-0000-00006D000000}"/>
    <cellStyle name="20% - Accent1 3 4 2 2 2" xfId="32781" xr:uid="{72B6B1D7-EF20-4819-8BB1-74DC8BB11E7E}"/>
    <cellStyle name="20% - Accent1 3 4 2 2 3" xfId="24352" xr:uid="{BBFE2727-F453-481A-945F-594628CEA6FA}"/>
    <cellStyle name="20% - Accent1 3 4 2 2 4" xfId="41209" xr:uid="{C885BC45-2C6B-4E15-A487-3806A541E537}"/>
    <cellStyle name="20% - Accent1 3 4 2 2 5" xfId="15917" xr:uid="{944311DC-9FE6-483D-974D-BA4136E7CE26}"/>
    <cellStyle name="20% - Accent1 3 4 2 3" xfId="28563" xr:uid="{546DD309-DDCD-441F-A0F3-DDB7CB2852A4}"/>
    <cellStyle name="20% - Accent1 3 4 2 4" xfId="20134" xr:uid="{B063EB17-B4C0-4DE2-9189-D668B288B226}"/>
    <cellStyle name="20% - Accent1 3 4 2 5" xfId="36992" xr:uid="{9A426F19-616B-49E4-B23A-34728FE6FED1}"/>
    <cellStyle name="20% - Accent1 3 4 2 6" xfId="11699" xr:uid="{A7102C98-0659-4483-B4E8-47F0C8ACE6C3}"/>
    <cellStyle name="20% - Accent1 3 4 3" xfId="5337" xr:uid="{00000000-0005-0000-0000-00006E000000}"/>
    <cellStyle name="20% - Accent1 3 4 3 2" xfId="30636" xr:uid="{06EE9A6A-82B9-46BB-AA95-A00545C1A25D}"/>
    <cellStyle name="20% - Accent1 3 4 3 3" xfId="22207" xr:uid="{2E862A8C-6403-4461-B9A0-F5DC6CF525EE}"/>
    <cellStyle name="20% - Accent1 3 4 3 4" xfId="39064" xr:uid="{CF2FA738-6746-4CF5-B2E6-FFA8BAFA085C}"/>
    <cellStyle name="20% - Accent1 3 4 3 5" xfId="13772" xr:uid="{767C00E2-28F3-4114-A129-AAECC176EA27}"/>
    <cellStyle name="20% - Accent1 3 4 4" xfId="26418" xr:uid="{6E580603-B204-4B15-A339-4F69F54DF55A}"/>
    <cellStyle name="20% - Accent1 3 4 5" xfId="17989" xr:uid="{8600A8CC-F74D-4B03-8470-5067B016E1D4}"/>
    <cellStyle name="20% - Accent1 3 4 6" xfId="34847" xr:uid="{2F61ECAB-0649-43BF-9745-0A3FDA1AC53A}"/>
    <cellStyle name="20% - Accent1 3 4 7" xfId="9554" xr:uid="{798C7803-1892-43E0-BBCD-F0F998F83468}"/>
    <cellStyle name="20% - Accent1 3 5" xfId="1442" xr:uid="{00000000-0005-0000-0000-00006F000000}"/>
    <cellStyle name="20% - Accent1 3 5 2" xfId="3672" xr:uid="{00000000-0005-0000-0000-000070000000}"/>
    <cellStyle name="20% - Accent1 3 5 2 2" xfId="7895" xr:uid="{00000000-0005-0000-0000-000071000000}"/>
    <cellStyle name="20% - Accent1 3 5 2 2 2" xfId="33194" xr:uid="{5CB3DC83-E6F8-4F8B-B54C-F0BB0EA1E352}"/>
    <cellStyle name="20% - Accent1 3 5 2 2 3" xfId="24765" xr:uid="{3F366883-9267-40E6-B765-D5A89CE7EA19}"/>
    <cellStyle name="20% - Accent1 3 5 2 2 4" xfId="41622" xr:uid="{E3D03D0C-83F8-44E5-A5A4-96F3F8527F21}"/>
    <cellStyle name="20% - Accent1 3 5 2 2 5" xfId="16330" xr:uid="{79D27BC7-7142-446D-A621-3FC969BAEB18}"/>
    <cellStyle name="20% - Accent1 3 5 2 3" xfId="28976" xr:uid="{05366FDA-A7A0-4B6D-A525-F3A0F5FC9EA1}"/>
    <cellStyle name="20% - Accent1 3 5 2 4" xfId="20547" xr:uid="{EA4A359C-64AC-4074-940B-ABCD83B72EDD}"/>
    <cellStyle name="20% - Accent1 3 5 2 5" xfId="37405" xr:uid="{4C957B0C-7972-421A-92CB-264393191BAE}"/>
    <cellStyle name="20% - Accent1 3 5 2 6" xfId="12112" xr:uid="{0CB46B32-CCD3-4A6E-A4AA-2557BB40A913}"/>
    <cellStyle name="20% - Accent1 3 5 3" xfId="5750" xr:uid="{00000000-0005-0000-0000-000072000000}"/>
    <cellStyle name="20% - Accent1 3 5 3 2" xfId="31049" xr:uid="{D898268B-6E1B-4E5D-918F-E1E4041DDF22}"/>
    <cellStyle name="20% - Accent1 3 5 3 3" xfId="22620" xr:uid="{40DBB205-6F9F-45FB-9186-B7B730942F2C}"/>
    <cellStyle name="20% - Accent1 3 5 3 4" xfId="39477" xr:uid="{28CA6945-7B6C-4D6F-8F89-22E08CB6D2E3}"/>
    <cellStyle name="20% - Accent1 3 5 3 5" xfId="14185" xr:uid="{F60532FA-FA60-463F-B00F-96309F77CC64}"/>
    <cellStyle name="20% - Accent1 3 5 4" xfId="26831" xr:uid="{6D336CD1-218F-4672-8F66-33F3E0BE6509}"/>
    <cellStyle name="20% - Accent1 3 5 5" xfId="18402" xr:uid="{82B7BDA4-7DC1-4524-8ADA-51552C67B27B}"/>
    <cellStyle name="20% - Accent1 3 5 6" xfId="35260" xr:uid="{1DFD6E0B-11D2-4572-B784-072715A5A937}"/>
    <cellStyle name="20% - Accent1 3 5 7" xfId="9967" xr:uid="{B8703921-F34A-4883-94F3-0D8369746738}"/>
    <cellStyle name="20% - Accent1 3 6" xfId="1856" xr:uid="{00000000-0005-0000-0000-000073000000}"/>
    <cellStyle name="20% - Accent1 3 6 2" xfId="4085" xr:uid="{00000000-0005-0000-0000-000074000000}"/>
    <cellStyle name="20% - Accent1 3 6 2 2" xfId="8308" xr:uid="{00000000-0005-0000-0000-000075000000}"/>
    <cellStyle name="20% - Accent1 3 6 2 2 2" xfId="33607" xr:uid="{96C1558B-E779-40FC-BCD2-5096AD1ABDE1}"/>
    <cellStyle name="20% - Accent1 3 6 2 2 3" xfId="25178" xr:uid="{685A7D2E-6A37-498D-B60B-546087543AE8}"/>
    <cellStyle name="20% - Accent1 3 6 2 2 4" xfId="42035" xr:uid="{8E10F52E-0495-4545-AA5F-EE4F0E9B7774}"/>
    <cellStyle name="20% - Accent1 3 6 2 2 5" xfId="16743" xr:uid="{DFBAB38D-59DF-4B48-A54E-D3D4B5456C1D}"/>
    <cellStyle name="20% - Accent1 3 6 2 3" xfId="29389" xr:uid="{AA232B30-8A88-4D5A-9703-C3554251AEE3}"/>
    <cellStyle name="20% - Accent1 3 6 2 4" xfId="20960" xr:uid="{D6FDA6CD-5D20-4592-80C5-72337233558D}"/>
    <cellStyle name="20% - Accent1 3 6 2 5" xfId="37818" xr:uid="{00553522-21EB-4A4E-ABF5-EE40FBD37409}"/>
    <cellStyle name="20% - Accent1 3 6 2 6" xfId="12525" xr:uid="{1B886FFC-C4CC-4B72-9A8E-4E0F2530DF6F}"/>
    <cellStyle name="20% - Accent1 3 6 3" xfId="6163" xr:uid="{00000000-0005-0000-0000-000076000000}"/>
    <cellStyle name="20% - Accent1 3 6 3 2" xfId="31462" xr:uid="{05C36188-E8C5-4263-A49B-20EE05077152}"/>
    <cellStyle name="20% - Accent1 3 6 3 3" xfId="23033" xr:uid="{BA18BB9C-8022-4B7E-BF58-1182F80D4F11}"/>
    <cellStyle name="20% - Accent1 3 6 3 4" xfId="39890" xr:uid="{FCD70D88-CAA3-4E64-A080-53B2C41E3080}"/>
    <cellStyle name="20% - Accent1 3 6 3 5" xfId="14598" xr:uid="{2B357ACD-69EE-44DD-B9FA-4E0DAA0BAD88}"/>
    <cellStyle name="20% - Accent1 3 6 4" xfId="27244" xr:uid="{96DE84F5-86FC-460E-ACC3-F265373783D7}"/>
    <cellStyle name="20% - Accent1 3 6 5" xfId="18815" xr:uid="{5C904282-8ACC-4BAE-B8B4-BD1FD36A4B0F}"/>
    <cellStyle name="20% - Accent1 3 6 6" xfId="35673" xr:uid="{157F8C43-357D-4704-AB1A-30F53BAA7BA1}"/>
    <cellStyle name="20% - Accent1 3 6 7" xfId="10380" xr:uid="{CD08A224-EA82-4345-AC74-B45C79C915E8}"/>
    <cellStyle name="20% - Accent1 3 7" xfId="2269" xr:uid="{00000000-0005-0000-0000-000077000000}"/>
    <cellStyle name="20% - Accent1 3 7 2" xfId="6576" xr:uid="{00000000-0005-0000-0000-000078000000}"/>
    <cellStyle name="20% - Accent1 3 7 2 2" xfId="31875" xr:uid="{F43E410D-ABD8-43D4-8E56-06373FEC284D}"/>
    <cellStyle name="20% - Accent1 3 7 2 3" xfId="23446" xr:uid="{9905DDB3-A7EA-4E07-96CB-0253258B510C}"/>
    <cellStyle name="20% - Accent1 3 7 2 4" xfId="40303" xr:uid="{7FF9F846-8BA1-4E1F-ADEA-15BEE973A08E}"/>
    <cellStyle name="20% - Accent1 3 7 2 5" xfId="15011" xr:uid="{B604149A-D578-4BF2-A2D1-0FD1A7221F1A}"/>
    <cellStyle name="20% - Accent1 3 7 3" xfId="27657" xr:uid="{395484C1-03A8-459D-818E-20072D45A744}"/>
    <cellStyle name="20% - Accent1 3 7 4" xfId="19228" xr:uid="{CA55EEE4-7CA9-4397-BFBE-1AC0BE118A5C}"/>
    <cellStyle name="20% - Accent1 3 7 5" xfId="36086" xr:uid="{15CE673F-6D98-4093-8BC9-CCCCE6DB4546}"/>
    <cellStyle name="20% - Accent1 3 7 6" xfId="10793" xr:uid="{7D02E1FF-C97B-4431-A986-0F4A99DC351D}"/>
    <cellStyle name="20% - Accent1 3 8" xfId="4510" xr:uid="{00000000-0005-0000-0000-000079000000}"/>
    <cellStyle name="20% - Accent1 3 8 2" xfId="29809" xr:uid="{6A24C5BB-F1B1-49D1-93A9-4A8A822F0293}"/>
    <cellStyle name="20% - Accent1 3 8 3" xfId="21380" xr:uid="{8A0F9C3A-5BBB-4D06-8774-8B48EEA4A903}"/>
    <cellStyle name="20% - Accent1 3 8 4" xfId="38237" xr:uid="{B50BA624-43DE-472A-BE2D-5643CFD5FB65}"/>
    <cellStyle name="20% - Accent1 3 8 5" xfId="12945" xr:uid="{EFE6EE2D-4CCD-4A05-838F-AE552C3F0796}"/>
    <cellStyle name="20% - Accent1 3 9" xfId="25591" xr:uid="{772F9F60-B15E-484E-9CDF-8018EE8DF6CD}"/>
    <cellStyle name="20% - Accent1 4" xfId="8" xr:uid="{00000000-0005-0000-0000-00007A000000}"/>
    <cellStyle name="20% - Accent1 4 10" xfId="34022" xr:uid="{D6CE42AD-E6F9-45CF-BA71-DAE4E17FD54D}"/>
    <cellStyle name="20% - Accent1 4 11" xfId="8729" xr:uid="{2B0B59FD-133C-4304-8312-FF8E330362B6}"/>
    <cellStyle name="20% - Accent1 4 2" xfId="577" xr:uid="{00000000-0005-0000-0000-00007B000000}"/>
    <cellStyle name="20% - Accent1 4 2 2" xfId="2848" xr:uid="{00000000-0005-0000-0000-00007C000000}"/>
    <cellStyle name="20% - Accent1 4 2 2 2" xfId="7071" xr:uid="{00000000-0005-0000-0000-00007D000000}"/>
    <cellStyle name="20% - Accent1 4 2 2 2 2" xfId="32370" xr:uid="{B3CD9E55-1273-4616-8283-60F0C5A40860}"/>
    <cellStyle name="20% - Accent1 4 2 2 2 3" xfId="23941" xr:uid="{FDBC1931-59BD-4F68-B9DD-994FE933178C}"/>
    <cellStyle name="20% - Accent1 4 2 2 2 4" xfId="40798" xr:uid="{CB4E7F88-3A03-46F3-8499-E8EC08B7A24F}"/>
    <cellStyle name="20% - Accent1 4 2 2 2 5" xfId="15506" xr:uid="{BA3B17B8-DF20-49E9-A09D-9B1D529D8BB8}"/>
    <cellStyle name="20% - Accent1 4 2 2 3" xfId="28152" xr:uid="{4DE16CDB-00B3-4DC8-B8CA-803E611AFF49}"/>
    <cellStyle name="20% - Accent1 4 2 2 4" xfId="19723" xr:uid="{69266C49-634E-423A-A2DA-B9905FF5B78C}"/>
    <cellStyle name="20% - Accent1 4 2 2 5" xfId="36581" xr:uid="{7B97A30F-BDC7-4A57-BB66-EA2F72C59785}"/>
    <cellStyle name="20% - Accent1 4 2 2 6" xfId="11288" xr:uid="{69275659-D738-45AC-B4C1-E3C4F8021FD0}"/>
    <cellStyle name="20% - Accent1 4 2 3" xfId="4926" xr:uid="{00000000-0005-0000-0000-00007E000000}"/>
    <cellStyle name="20% - Accent1 4 2 3 2" xfId="30225" xr:uid="{12E0169F-DB60-43E5-836A-692E728B72EE}"/>
    <cellStyle name="20% - Accent1 4 2 3 3" xfId="21796" xr:uid="{7FC6841E-5411-4670-94F1-4F784F8E822D}"/>
    <cellStyle name="20% - Accent1 4 2 3 4" xfId="38653" xr:uid="{7C6BF003-B2ED-4D57-A27F-C5ED5E6332FE}"/>
    <cellStyle name="20% - Accent1 4 2 3 5" xfId="13361" xr:uid="{9EC48DF2-3888-4A41-93E2-FE4895466AB1}"/>
    <cellStyle name="20% - Accent1 4 2 4" xfId="26007" xr:uid="{AA0F8789-CE29-46A9-BA2D-37C4756F142C}"/>
    <cellStyle name="20% - Accent1 4 2 5" xfId="17578" xr:uid="{704DA41A-4CD1-40FD-B4DB-1E3E3A5C665E}"/>
    <cellStyle name="20% - Accent1 4 2 6" xfId="34436" xr:uid="{6D6F5097-9DA6-4484-9449-D860705566BF}"/>
    <cellStyle name="20% - Accent1 4 2 7" xfId="9143" xr:uid="{DDF3514B-E936-43CB-AF2E-1217DE37145A}"/>
    <cellStyle name="20% - Accent1 4 3" xfId="1030" xr:uid="{00000000-0005-0000-0000-00007F000000}"/>
    <cellStyle name="20% - Accent1 4 3 2" xfId="3261" xr:uid="{00000000-0005-0000-0000-000080000000}"/>
    <cellStyle name="20% - Accent1 4 3 2 2" xfId="7484" xr:uid="{00000000-0005-0000-0000-000081000000}"/>
    <cellStyle name="20% - Accent1 4 3 2 2 2" xfId="32783" xr:uid="{0C08416E-F97C-4F20-AF47-A8514B4A67F0}"/>
    <cellStyle name="20% - Accent1 4 3 2 2 3" xfId="24354" xr:uid="{AD43FF89-C5CC-4093-99EB-E4A7832792E9}"/>
    <cellStyle name="20% - Accent1 4 3 2 2 4" xfId="41211" xr:uid="{7A7EEE38-E09C-40D7-9AAB-03466EA6E2EB}"/>
    <cellStyle name="20% - Accent1 4 3 2 2 5" xfId="15919" xr:uid="{270BAAAB-6351-4F63-AD81-D2BA321EA248}"/>
    <cellStyle name="20% - Accent1 4 3 2 3" xfId="28565" xr:uid="{998A8D17-657C-4AAA-AA0B-B88704ACEBFD}"/>
    <cellStyle name="20% - Accent1 4 3 2 4" xfId="20136" xr:uid="{FFEEAC69-C5AD-408F-BCDD-553BBA809292}"/>
    <cellStyle name="20% - Accent1 4 3 2 5" xfId="36994" xr:uid="{65B7D9BE-14A8-4B0A-B8C9-004A42DEA847}"/>
    <cellStyle name="20% - Accent1 4 3 2 6" xfId="11701" xr:uid="{2457EA86-4186-40A3-AE2F-107FEED7AC50}"/>
    <cellStyle name="20% - Accent1 4 3 3" xfId="5339" xr:uid="{00000000-0005-0000-0000-000082000000}"/>
    <cellStyle name="20% - Accent1 4 3 3 2" xfId="30638" xr:uid="{4F9D5C91-61CF-4435-B1F7-CA2DCB119988}"/>
    <cellStyle name="20% - Accent1 4 3 3 3" xfId="22209" xr:uid="{732C3882-0BEF-4C07-8AD8-54929010B2FF}"/>
    <cellStyle name="20% - Accent1 4 3 3 4" xfId="39066" xr:uid="{23C4BC46-8A8D-48AB-B3B1-30DD3E6FD591}"/>
    <cellStyle name="20% - Accent1 4 3 3 5" xfId="13774" xr:uid="{7E2D4854-088C-4AB6-9C6F-FC9789C2C2D5}"/>
    <cellStyle name="20% - Accent1 4 3 4" xfId="26420" xr:uid="{1D8CE7D9-B9BB-4DB5-8664-EC370A85598E}"/>
    <cellStyle name="20% - Accent1 4 3 5" xfId="17991" xr:uid="{1E3CCB69-B068-4631-80F4-255C6F55704E}"/>
    <cellStyle name="20% - Accent1 4 3 6" xfId="34849" xr:uid="{8AD415C4-7FCF-4416-BCE9-F06BF86AC839}"/>
    <cellStyle name="20% - Accent1 4 3 7" xfId="9556" xr:uid="{2464A80D-98AC-44CD-9978-2D4488F976AF}"/>
    <cellStyle name="20% - Accent1 4 4" xfId="1444" xr:uid="{00000000-0005-0000-0000-000083000000}"/>
    <cellStyle name="20% - Accent1 4 4 2" xfId="3674" xr:uid="{00000000-0005-0000-0000-000084000000}"/>
    <cellStyle name="20% - Accent1 4 4 2 2" xfId="7897" xr:uid="{00000000-0005-0000-0000-000085000000}"/>
    <cellStyle name="20% - Accent1 4 4 2 2 2" xfId="33196" xr:uid="{0125CF6D-7DF5-4A94-A7A2-3E24149B7D91}"/>
    <cellStyle name="20% - Accent1 4 4 2 2 3" xfId="24767" xr:uid="{ECEAD5C6-D1DD-4A40-AC08-F43D7F2546D0}"/>
    <cellStyle name="20% - Accent1 4 4 2 2 4" xfId="41624" xr:uid="{89AF991D-A91B-471C-9C63-FCFEF3694FF1}"/>
    <cellStyle name="20% - Accent1 4 4 2 2 5" xfId="16332" xr:uid="{F2FBB746-143A-4B85-9024-BED0D1735B73}"/>
    <cellStyle name="20% - Accent1 4 4 2 3" xfId="28978" xr:uid="{02137CF9-58C5-46BB-AA8F-372E13C41286}"/>
    <cellStyle name="20% - Accent1 4 4 2 4" xfId="20549" xr:uid="{00944370-FF8E-4F69-9EE5-447A5144442B}"/>
    <cellStyle name="20% - Accent1 4 4 2 5" xfId="37407" xr:uid="{21179E5F-2709-4281-B3E6-4E2D77DCCA82}"/>
    <cellStyle name="20% - Accent1 4 4 2 6" xfId="12114" xr:uid="{2FBF6777-3392-49AF-9307-C59FD0F1381E}"/>
    <cellStyle name="20% - Accent1 4 4 3" xfId="5752" xr:uid="{00000000-0005-0000-0000-000086000000}"/>
    <cellStyle name="20% - Accent1 4 4 3 2" xfId="31051" xr:uid="{99EC903C-AD86-4BA5-B5BC-FC1C4F69F780}"/>
    <cellStyle name="20% - Accent1 4 4 3 3" xfId="22622" xr:uid="{EE861EFB-3F5F-4398-A483-9B2FA8BCFCBD}"/>
    <cellStyle name="20% - Accent1 4 4 3 4" xfId="39479" xr:uid="{01F3509D-9016-475A-8201-7AE0CE66BD7A}"/>
    <cellStyle name="20% - Accent1 4 4 3 5" xfId="14187" xr:uid="{B561931C-737E-4C14-A946-ACC1579C4A7F}"/>
    <cellStyle name="20% - Accent1 4 4 4" xfId="26833" xr:uid="{B36B89FA-A6DB-4226-B1A2-499BD00C9176}"/>
    <cellStyle name="20% - Accent1 4 4 5" xfId="18404" xr:uid="{6BDE36CA-2020-4E2A-A698-905125DC4034}"/>
    <cellStyle name="20% - Accent1 4 4 6" xfId="35262" xr:uid="{3E0DC1E9-D15E-42B0-94D2-4D14EFC5E5A6}"/>
    <cellStyle name="20% - Accent1 4 4 7" xfId="9969" xr:uid="{5F290B5C-C5D8-46F5-A7AC-2D9569C89B16}"/>
    <cellStyle name="20% - Accent1 4 5" xfId="1858" xr:uid="{00000000-0005-0000-0000-000087000000}"/>
    <cellStyle name="20% - Accent1 4 5 2" xfId="4087" xr:uid="{00000000-0005-0000-0000-000088000000}"/>
    <cellStyle name="20% - Accent1 4 5 2 2" xfId="8310" xr:uid="{00000000-0005-0000-0000-000089000000}"/>
    <cellStyle name="20% - Accent1 4 5 2 2 2" xfId="33609" xr:uid="{F36FFAE5-6A3B-42E8-8AC4-708F4037BE1D}"/>
    <cellStyle name="20% - Accent1 4 5 2 2 3" xfId="25180" xr:uid="{1DA00D1D-AA74-4FAD-AD2F-A62825615310}"/>
    <cellStyle name="20% - Accent1 4 5 2 2 4" xfId="42037" xr:uid="{B8208B0E-811D-4AAD-B3A2-8F4E30E5A106}"/>
    <cellStyle name="20% - Accent1 4 5 2 2 5" xfId="16745" xr:uid="{CCC7F2BD-D43D-4FAB-B0A4-A2F9750B2B09}"/>
    <cellStyle name="20% - Accent1 4 5 2 3" xfId="29391" xr:uid="{53C8532B-6057-4E0A-A4A2-2E0C96D0D74D}"/>
    <cellStyle name="20% - Accent1 4 5 2 4" xfId="20962" xr:uid="{4973A0AF-00BF-445C-815A-C98E139E6D7B}"/>
    <cellStyle name="20% - Accent1 4 5 2 5" xfId="37820" xr:uid="{A760BA73-43EB-4F71-8097-790EE2BD0869}"/>
    <cellStyle name="20% - Accent1 4 5 2 6" xfId="12527" xr:uid="{69686EBF-E663-4D6C-B9E5-31D751AC22B9}"/>
    <cellStyle name="20% - Accent1 4 5 3" xfId="6165" xr:uid="{00000000-0005-0000-0000-00008A000000}"/>
    <cellStyle name="20% - Accent1 4 5 3 2" xfId="31464" xr:uid="{95895B39-B844-4B06-97C4-7C01D9AE5C51}"/>
    <cellStyle name="20% - Accent1 4 5 3 3" xfId="23035" xr:uid="{274DE9EA-CFC4-4552-9910-BF85B5F97654}"/>
    <cellStyle name="20% - Accent1 4 5 3 4" xfId="39892" xr:uid="{A13A1090-F106-4D16-AC7C-5F205D0ACE33}"/>
    <cellStyle name="20% - Accent1 4 5 3 5" xfId="14600" xr:uid="{9BE66F32-98BF-4C9B-AB60-8BC991B049FA}"/>
    <cellStyle name="20% - Accent1 4 5 4" xfId="27246" xr:uid="{88EF9335-FED8-46AF-8DFB-BA61DC7A717D}"/>
    <cellStyle name="20% - Accent1 4 5 5" xfId="18817" xr:uid="{E738AB22-A4DF-426A-8043-C8587EA8E81F}"/>
    <cellStyle name="20% - Accent1 4 5 6" xfId="35675" xr:uid="{CD6BDF2A-CB02-4F8B-83C3-4D643A74EE99}"/>
    <cellStyle name="20% - Accent1 4 5 7" xfId="10382" xr:uid="{0F666757-0F0B-41FA-9D9C-B58DAE88E6C0}"/>
    <cellStyle name="20% - Accent1 4 6" xfId="2271" xr:uid="{00000000-0005-0000-0000-00008B000000}"/>
    <cellStyle name="20% - Accent1 4 6 2" xfId="6578" xr:uid="{00000000-0005-0000-0000-00008C000000}"/>
    <cellStyle name="20% - Accent1 4 6 2 2" xfId="31877" xr:uid="{6F9705DC-1519-4A2B-AA5C-93D4A905DB61}"/>
    <cellStyle name="20% - Accent1 4 6 2 3" xfId="23448" xr:uid="{634AE12A-1825-4EED-BD1A-7AF1194F2EA8}"/>
    <cellStyle name="20% - Accent1 4 6 2 4" xfId="40305" xr:uid="{DF5B96D2-35BC-4FF4-8F95-8A037BCDEFC7}"/>
    <cellStyle name="20% - Accent1 4 6 2 5" xfId="15013" xr:uid="{68B4585C-AC49-458E-9F54-C64140E847C8}"/>
    <cellStyle name="20% - Accent1 4 6 3" xfId="27659" xr:uid="{6DCE93BB-3940-4B34-BFFC-1B8D9BA7E711}"/>
    <cellStyle name="20% - Accent1 4 6 4" xfId="19230" xr:uid="{EB6E06E0-78BE-4210-B5D4-C62026DE292E}"/>
    <cellStyle name="20% - Accent1 4 6 5" xfId="36088" xr:uid="{5AB417FE-D0C1-4B0E-AC26-E8CAC0788392}"/>
    <cellStyle name="20% - Accent1 4 6 6" xfId="10795" xr:uid="{DEEEF015-349C-450E-8CAD-F7947047188C}"/>
    <cellStyle name="20% - Accent1 4 7" xfId="4512" xr:uid="{00000000-0005-0000-0000-00008D000000}"/>
    <cellStyle name="20% - Accent1 4 7 2" xfId="29811" xr:uid="{07E4078F-688E-437A-A01A-5E979C2CBA23}"/>
    <cellStyle name="20% - Accent1 4 7 3" xfId="21382" xr:uid="{35093389-B39E-4110-93D2-19991443CC38}"/>
    <cellStyle name="20% - Accent1 4 7 4" xfId="38239" xr:uid="{ECB75F8A-220D-41FA-941B-0F4A9A829776}"/>
    <cellStyle name="20% - Accent1 4 7 5" xfId="12947" xr:uid="{0B710C9F-6E77-4980-9CBD-FF0B3E2FAE24}"/>
    <cellStyle name="20% - Accent1 4 8" xfId="25593" xr:uid="{8C311C2E-10C3-4803-93BE-C5E6D33758A2}"/>
    <cellStyle name="20% - Accent1 4 9" xfId="17164" xr:uid="{F3B6932D-1C3B-453B-96A9-1E26FEA6C522}"/>
    <cellStyle name="20% - Accent1 5" xfId="570" xr:uid="{00000000-0005-0000-0000-00008E000000}"/>
    <cellStyle name="20% - Accent1 5 2" xfId="2841" xr:uid="{00000000-0005-0000-0000-00008F000000}"/>
    <cellStyle name="20% - Accent1 5 2 2" xfId="7064" xr:uid="{00000000-0005-0000-0000-000090000000}"/>
    <cellStyle name="20% - Accent1 5 2 2 2" xfId="32363" xr:uid="{7EF68404-6EAF-4389-A02E-4DDBABBBBEC4}"/>
    <cellStyle name="20% - Accent1 5 2 2 3" xfId="23934" xr:uid="{1F6C3417-0BEC-4E4C-ABCF-F25C6272C02A}"/>
    <cellStyle name="20% - Accent1 5 2 2 4" xfId="40791" xr:uid="{0E38C61F-A7E1-4718-B9D6-B2D159B04260}"/>
    <cellStyle name="20% - Accent1 5 2 2 5" xfId="15499" xr:uid="{42435553-B7CF-47F1-B290-B46B76EC6883}"/>
    <cellStyle name="20% - Accent1 5 2 3" xfId="28145" xr:uid="{BB0554C9-2CD0-4C8C-9703-EB77E90BDBEE}"/>
    <cellStyle name="20% - Accent1 5 2 4" xfId="19716" xr:uid="{57832451-CE71-4C78-B94B-09C76EF320B8}"/>
    <cellStyle name="20% - Accent1 5 2 5" xfId="36574" xr:uid="{06207E86-9FC6-443F-A544-A8D440E23193}"/>
    <cellStyle name="20% - Accent1 5 2 6" xfId="11281" xr:uid="{AD188F08-E931-4CDB-8F77-21C24B616EF8}"/>
    <cellStyle name="20% - Accent1 5 3" xfId="4919" xr:uid="{00000000-0005-0000-0000-000091000000}"/>
    <cellStyle name="20% - Accent1 5 3 2" xfId="30218" xr:uid="{F0A20E43-DAB6-4A70-816D-FDDE8650B272}"/>
    <cellStyle name="20% - Accent1 5 3 3" xfId="21789" xr:uid="{41B4F1CB-8854-499E-A12F-600703D990C4}"/>
    <cellStyle name="20% - Accent1 5 3 4" xfId="38646" xr:uid="{A1C39212-BA3C-4CE0-BBC7-96A89FBCB3C0}"/>
    <cellStyle name="20% - Accent1 5 3 5" xfId="13354" xr:uid="{8C637D7D-57F6-40C3-8D64-4480472C90F4}"/>
    <cellStyle name="20% - Accent1 5 4" xfId="26000" xr:uid="{A8145B9B-F268-4C58-8983-26A67693674B}"/>
    <cellStyle name="20% - Accent1 5 5" xfId="17571" xr:uid="{22D1C9E6-4825-4B98-9D05-B7F0350B9ED5}"/>
    <cellStyle name="20% - Accent1 5 6" xfId="34429" xr:uid="{055BF379-E805-4374-8B96-2A70BA93DCB5}"/>
    <cellStyle name="20% - Accent1 5 7" xfId="9136" xr:uid="{F9E08740-73CF-4CDD-AC5A-8C40DCEA0A24}"/>
    <cellStyle name="20% - Accent1 6" xfId="1023" xr:uid="{00000000-0005-0000-0000-000092000000}"/>
    <cellStyle name="20% - Accent1 6 2" xfId="3254" xr:uid="{00000000-0005-0000-0000-000093000000}"/>
    <cellStyle name="20% - Accent1 6 2 2" xfId="7477" xr:uid="{00000000-0005-0000-0000-000094000000}"/>
    <cellStyle name="20% - Accent1 6 2 2 2" xfId="32776" xr:uid="{ED878122-EF9F-4EE2-AAE6-10820582473B}"/>
    <cellStyle name="20% - Accent1 6 2 2 3" xfId="24347" xr:uid="{C860A197-BCDC-41F6-ADAE-D91F64A238C3}"/>
    <cellStyle name="20% - Accent1 6 2 2 4" xfId="41204" xr:uid="{98CFE681-0A01-4CAB-AEFF-2A3FCC76B951}"/>
    <cellStyle name="20% - Accent1 6 2 2 5" xfId="15912" xr:uid="{4BBB6F23-3BEF-49FB-BDDE-F4166D5379C3}"/>
    <cellStyle name="20% - Accent1 6 2 3" xfId="28558" xr:uid="{1D9FC182-468B-401F-9799-4D34842B763D}"/>
    <cellStyle name="20% - Accent1 6 2 4" xfId="20129" xr:uid="{F5BB2A92-E6B0-4142-8134-2A09955C0F60}"/>
    <cellStyle name="20% - Accent1 6 2 5" xfId="36987" xr:uid="{FE34F0F3-FDAA-4AB5-9521-E2CE7DA63EF1}"/>
    <cellStyle name="20% - Accent1 6 2 6" xfId="11694" xr:uid="{9DF5F87D-CDA5-4D4C-B465-B2809259C095}"/>
    <cellStyle name="20% - Accent1 6 3" xfId="5332" xr:uid="{00000000-0005-0000-0000-000095000000}"/>
    <cellStyle name="20% - Accent1 6 3 2" xfId="30631" xr:uid="{9462E7D9-8DEB-453D-B312-0DBAB00EB64A}"/>
    <cellStyle name="20% - Accent1 6 3 3" xfId="22202" xr:uid="{4A9642B5-1BDB-485C-B128-D806D93BC6B8}"/>
    <cellStyle name="20% - Accent1 6 3 4" xfId="39059" xr:uid="{040C3466-EE3B-467C-B8F9-441944979413}"/>
    <cellStyle name="20% - Accent1 6 3 5" xfId="13767" xr:uid="{5359A8C5-EE8B-40AD-94AF-87838E423D7A}"/>
    <cellStyle name="20% - Accent1 6 4" xfId="26413" xr:uid="{54CBA995-0039-4544-8029-FE9A60CD84E7}"/>
    <cellStyle name="20% - Accent1 6 5" xfId="17984" xr:uid="{31209C04-0B93-4134-843C-BC2C22ECFE61}"/>
    <cellStyle name="20% - Accent1 6 6" xfId="34842" xr:uid="{37CA1A51-368A-4561-90B2-784BC7A9CFA9}"/>
    <cellStyle name="20% - Accent1 6 7" xfId="9549" xr:uid="{D95C36DA-B4DD-4AEF-BE96-D10D4C5E355A}"/>
    <cellStyle name="20% - Accent1 7" xfId="1437" xr:uid="{00000000-0005-0000-0000-000096000000}"/>
    <cellStyle name="20% - Accent1 7 2" xfId="3667" xr:uid="{00000000-0005-0000-0000-000097000000}"/>
    <cellStyle name="20% - Accent1 7 2 2" xfId="7890" xr:uid="{00000000-0005-0000-0000-000098000000}"/>
    <cellStyle name="20% - Accent1 7 2 2 2" xfId="33189" xr:uid="{ABB619BB-D331-4B16-87C7-5094AE31FD4B}"/>
    <cellStyle name="20% - Accent1 7 2 2 3" xfId="24760" xr:uid="{42C8FDB2-8EEC-456B-A3C1-AD7013E86CE4}"/>
    <cellStyle name="20% - Accent1 7 2 2 4" xfId="41617" xr:uid="{160580B2-A660-43B8-A6CA-66DB3F2427E3}"/>
    <cellStyle name="20% - Accent1 7 2 2 5" xfId="16325" xr:uid="{396BF04C-9650-4465-9932-7A468EFD267D}"/>
    <cellStyle name="20% - Accent1 7 2 3" xfId="28971" xr:uid="{A0C08409-423E-4B91-9C99-8FC1CBB3F0E6}"/>
    <cellStyle name="20% - Accent1 7 2 4" xfId="20542" xr:uid="{3F57E392-23BA-4B05-B02B-45D3156FDB87}"/>
    <cellStyle name="20% - Accent1 7 2 5" xfId="37400" xr:uid="{5923A5D5-CFE0-43A6-8FCE-8E4D202B2985}"/>
    <cellStyle name="20% - Accent1 7 2 6" xfId="12107" xr:uid="{668F4DAB-2306-4ED2-8A39-7F2685A742DD}"/>
    <cellStyle name="20% - Accent1 7 3" xfId="5745" xr:uid="{00000000-0005-0000-0000-000099000000}"/>
    <cellStyle name="20% - Accent1 7 3 2" xfId="31044" xr:uid="{367361E8-2BD3-40E7-8A9C-ADDA51BAA6EF}"/>
    <cellStyle name="20% - Accent1 7 3 3" xfId="22615" xr:uid="{8A658718-9CE1-461A-A0EC-2AE73D3FEA1D}"/>
    <cellStyle name="20% - Accent1 7 3 4" xfId="39472" xr:uid="{18D9CD63-8D53-4A31-B010-3AAA4E9B5D9D}"/>
    <cellStyle name="20% - Accent1 7 3 5" xfId="14180" xr:uid="{CF8A75A4-6B99-454F-B046-FB2396F6B7C1}"/>
    <cellStyle name="20% - Accent1 7 4" xfId="26826" xr:uid="{6F828C6C-64B5-4618-AD09-9F87A9D98609}"/>
    <cellStyle name="20% - Accent1 7 5" xfId="18397" xr:uid="{FAC04394-1C35-472F-818A-25D683BEB7E4}"/>
    <cellStyle name="20% - Accent1 7 6" xfId="35255" xr:uid="{696BBA87-A92C-45AD-871B-B1CDE354A4F0}"/>
    <cellStyle name="20% - Accent1 7 7" xfId="9962" xr:uid="{CED53AF6-21F9-4557-A1F5-8ED1808ABEC8}"/>
    <cellStyle name="20% - Accent1 8" xfId="1851" xr:uid="{00000000-0005-0000-0000-00009A000000}"/>
    <cellStyle name="20% - Accent1 8 2" xfId="4080" xr:uid="{00000000-0005-0000-0000-00009B000000}"/>
    <cellStyle name="20% - Accent1 8 2 2" xfId="8303" xr:uid="{00000000-0005-0000-0000-00009C000000}"/>
    <cellStyle name="20% - Accent1 8 2 2 2" xfId="33602" xr:uid="{5562AABE-3630-4C04-938E-F53256C27C6F}"/>
    <cellStyle name="20% - Accent1 8 2 2 3" xfId="25173" xr:uid="{EE6E5542-3CA4-43DA-96BE-E63B951917D8}"/>
    <cellStyle name="20% - Accent1 8 2 2 4" xfId="42030" xr:uid="{BE186422-BFDA-4DDC-A623-39F06B56C32D}"/>
    <cellStyle name="20% - Accent1 8 2 2 5" xfId="16738" xr:uid="{930077DC-6923-4F00-AB71-FDB43DB0B94D}"/>
    <cellStyle name="20% - Accent1 8 2 3" xfId="29384" xr:uid="{1081EFDF-A91B-4726-A6C6-CA62A3628BD8}"/>
    <cellStyle name="20% - Accent1 8 2 4" xfId="20955" xr:uid="{43277ABE-043F-452D-B443-32D728379259}"/>
    <cellStyle name="20% - Accent1 8 2 5" xfId="37813" xr:uid="{79F3E5AD-F390-4269-9E2F-F01DA740E7A1}"/>
    <cellStyle name="20% - Accent1 8 2 6" xfId="12520" xr:uid="{B702BD50-0921-40D2-A63B-92963E051107}"/>
    <cellStyle name="20% - Accent1 8 3" xfId="6158" xr:uid="{00000000-0005-0000-0000-00009D000000}"/>
    <cellStyle name="20% - Accent1 8 3 2" xfId="31457" xr:uid="{9896E2CA-1DD3-4456-A909-074353ABE8D7}"/>
    <cellStyle name="20% - Accent1 8 3 3" xfId="23028" xr:uid="{D9B7BF78-3285-41C9-8BD2-8F81A586431F}"/>
    <cellStyle name="20% - Accent1 8 3 4" xfId="39885" xr:uid="{DECE9B0C-504A-4A48-BEAB-A05CF470C9A5}"/>
    <cellStyle name="20% - Accent1 8 3 5" xfId="14593" xr:uid="{6754D01C-3317-49CC-AB41-B94071DFC1EF}"/>
    <cellStyle name="20% - Accent1 8 4" xfId="27239" xr:uid="{21A2128D-0FCB-43A0-91AE-14A3E48204BD}"/>
    <cellStyle name="20% - Accent1 8 5" xfId="18810" xr:uid="{967D41E4-4FD3-4BB6-B662-1E7174DE9454}"/>
    <cellStyle name="20% - Accent1 8 6" xfId="35668" xr:uid="{1B3D2651-F1A0-475E-9C2B-AB6F1F25FB1B}"/>
    <cellStyle name="20% - Accent1 8 7" xfId="10375" xr:uid="{B4E76068-6494-4C2B-A735-F43ED8FF83BB}"/>
    <cellStyle name="20% - Accent1 9" xfId="2264" xr:uid="{00000000-0005-0000-0000-00009E000000}"/>
    <cellStyle name="20% - Accent1 9 2" xfId="6571" xr:uid="{00000000-0005-0000-0000-00009F000000}"/>
    <cellStyle name="20% - Accent1 9 2 2" xfId="31870" xr:uid="{D80D9FA8-A6A1-4AB6-8B48-082470BE79BD}"/>
    <cellStyle name="20% - Accent1 9 2 3" xfId="23441" xr:uid="{4053FF2B-91E0-49E9-8811-714438FB51DB}"/>
    <cellStyle name="20% - Accent1 9 2 4" xfId="40298" xr:uid="{AC4BEDF3-2857-4840-B065-DC8D8287C7BA}"/>
    <cellStyle name="20% - Accent1 9 2 5" xfId="15006" xr:uid="{0BD98DB1-4E9A-4BEC-87F4-B749CB94FF59}"/>
    <cellStyle name="20% - Accent1 9 3" xfId="27652" xr:uid="{FF988C66-FAB9-471B-B9F7-9AC90597F560}"/>
    <cellStyle name="20% - Accent1 9 4" xfId="19223" xr:uid="{D6B9C042-65F1-420E-AD39-7E845F9EB25C}"/>
    <cellStyle name="20% - Accent1 9 5" xfId="36081" xr:uid="{2F8BBB6C-58F1-4065-A7A0-6C755CF86F08}"/>
    <cellStyle name="20% - Accent1 9 6" xfId="10788" xr:uid="{595C83A0-E17B-447D-88CF-B071C0B728EF}"/>
    <cellStyle name="20% - Accent2" xfId="9" builtinId="34" customBuiltin="1"/>
    <cellStyle name="20% - Accent2 10" xfId="4513" xr:uid="{00000000-0005-0000-0000-0000A1000000}"/>
    <cellStyle name="20% - Accent2 10 2" xfId="29812" xr:uid="{002117A1-C641-4394-A485-87D9CA682F42}"/>
    <cellStyle name="20% - Accent2 10 3" xfId="21383" xr:uid="{465C6AE4-73CA-4F93-AF52-1E4BEBB82587}"/>
    <cellStyle name="20% - Accent2 10 4" xfId="38240" xr:uid="{71C8FAF0-910C-4259-8FFB-A72C206311EB}"/>
    <cellStyle name="20% - Accent2 10 5" xfId="12948" xr:uid="{BB193D25-E0F1-4E6D-8BD7-D1706E6CF82F}"/>
    <cellStyle name="20% - Accent2 11" xfId="25594" xr:uid="{BA538663-70C7-4F30-8BB9-6B1A93C9B3CA}"/>
    <cellStyle name="20% - Accent2 12" xfId="17165" xr:uid="{6F82FE36-D0DC-4A6A-B743-B853223637EE}"/>
    <cellStyle name="20% - Accent2 13" xfId="34023" xr:uid="{A1775771-40DA-498F-8A1A-FEA4F24FE069}"/>
    <cellStyle name="20% - Accent2 14" xfId="8730" xr:uid="{6ADE6B05-FB84-4CD9-92B2-29C1F802EF14}"/>
    <cellStyle name="20% - Accent2 2" xfId="10" xr:uid="{00000000-0005-0000-0000-0000A2000000}"/>
    <cellStyle name="20% - Accent2 2 10" xfId="25595" xr:uid="{444C61A8-5152-43F0-8FE9-22A0A5B3AD5A}"/>
    <cellStyle name="20% - Accent2 2 11" xfId="17166" xr:uid="{1B02C556-97A1-4391-A91E-83C42117571B}"/>
    <cellStyle name="20% - Accent2 2 12" xfId="34024" xr:uid="{B046A172-F4C4-4630-873A-6403ABB0F6F7}"/>
    <cellStyle name="20% - Accent2 2 13" xfId="8731" xr:uid="{98182B59-FB2E-4308-9605-4B9492136C6B}"/>
    <cellStyle name="20% - Accent2 2 2" xfId="11" xr:uid="{00000000-0005-0000-0000-0000A3000000}"/>
    <cellStyle name="20% - Accent2 2 2 10" xfId="17167" xr:uid="{94E70A3F-52A0-4E80-8766-9CC8F5AEF3DC}"/>
    <cellStyle name="20% - Accent2 2 2 11" xfId="34025" xr:uid="{2B20CBC6-4A89-4AC1-900B-109977FD9D59}"/>
    <cellStyle name="20% - Accent2 2 2 12" xfId="8732" xr:uid="{7B2C188F-2DA9-49B4-BCA6-C623ECED8AEA}"/>
    <cellStyle name="20% - Accent2 2 2 2" xfId="12" xr:uid="{00000000-0005-0000-0000-0000A4000000}"/>
    <cellStyle name="20% - Accent2 2 2 2 10" xfId="34026" xr:uid="{054FB52E-AB71-4014-9ABE-07F14374FE29}"/>
    <cellStyle name="20% - Accent2 2 2 2 11" xfId="8733" xr:uid="{7AE85EC4-C17A-474E-932D-FBE7802698CB}"/>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32374" xr:uid="{D25A59BF-C6E7-4F14-8FAF-D450ACC4D50E}"/>
    <cellStyle name="20% - Accent2 2 2 2 2 2 2 3" xfId="23945" xr:uid="{9430F386-C289-41FD-93D7-9F18F4CE7296}"/>
    <cellStyle name="20% - Accent2 2 2 2 2 2 2 4" xfId="40802" xr:uid="{AE755FDB-CFB3-47C3-AE56-5DB04216F5F7}"/>
    <cellStyle name="20% - Accent2 2 2 2 2 2 2 5" xfId="15510" xr:uid="{EE0BB148-A375-40F1-ABB5-A686969E5226}"/>
    <cellStyle name="20% - Accent2 2 2 2 2 2 3" xfId="28156" xr:uid="{C7CB346D-B845-4888-9CFA-58591EA089E3}"/>
    <cellStyle name="20% - Accent2 2 2 2 2 2 4" xfId="19727" xr:uid="{A4490220-3A04-4379-B643-86EBF6F18A9D}"/>
    <cellStyle name="20% - Accent2 2 2 2 2 2 5" xfId="36585" xr:uid="{179A2F18-8A10-435C-A282-4059E1768EE9}"/>
    <cellStyle name="20% - Accent2 2 2 2 2 2 6" xfId="11292" xr:uid="{F5AD59FF-DEE0-4A53-BBD4-8D4CA9E3DE25}"/>
    <cellStyle name="20% - Accent2 2 2 2 2 3" xfId="4930" xr:uid="{00000000-0005-0000-0000-0000A8000000}"/>
    <cellStyle name="20% - Accent2 2 2 2 2 3 2" xfId="30229" xr:uid="{885DD52D-2E0B-4A9D-805C-36B38A4C13FE}"/>
    <cellStyle name="20% - Accent2 2 2 2 2 3 3" xfId="21800" xr:uid="{1D79CC24-E757-4E91-AC95-2FC40CDBE383}"/>
    <cellStyle name="20% - Accent2 2 2 2 2 3 4" xfId="38657" xr:uid="{C6C129F3-4045-41A4-B43B-D2FCC8DC07F7}"/>
    <cellStyle name="20% - Accent2 2 2 2 2 3 5" xfId="13365" xr:uid="{9E96D689-4BD2-446C-A43C-648632804CA4}"/>
    <cellStyle name="20% - Accent2 2 2 2 2 4" xfId="26011" xr:uid="{60600A5E-5A8B-4023-BF8C-735E975AB871}"/>
    <cellStyle name="20% - Accent2 2 2 2 2 5" xfId="17582" xr:uid="{D8E1194C-2BD1-4CA4-ACDD-797614ED09F7}"/>
    <cellStyle name="20% - Accent2 2 2 2 2 6" xfId="34440" xr:uid="{841FADC3-36BF-4910-87DA-E19AA0F6602A}"/>
    <cellStyle name="20% - Accent2 2 2 2 2 7" xfId="9147" xr:uid="{C2215605-3098-47E0-B34A-C44236F12B41}"/>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32787" xr:uid="{B8F95C92-8F42-4E1E-8125-58356E86D2A8}"/>
    <cellStyle name="20% - Accent2 2 2 2 3 2 2 3" xfId="24358" xr:uid="{EA4A08C1-403E-4B0F-893B-B75B3365C5B1}"/>
    <cellStyle name="20% - Accent2 2 2 2 3 2 2 4" xfId="41215" xr:uid="{3BB6BEC9-3ADD-4572-AB4D-A7168ED50115}"/>
    <cellStyle name="20% - Accent2 2 2 2 3 2 2 5" xfId="15923" xr:uid="{A5804DA9-0207-4E86-8554-AC263F0950FB}"/>
    <cellStyle name="20% - Accent2 2 2 2 3 2 3" xfId="28569" xr:uid="{BC520C4F-3057-4AA0-A05E-BCC34AA9551B}"/>
    <cellStyle name="20% - Accent2 2 2 2 3 2 4" xfId="20140" xr:uid="{82C489D4-39CA-402E-9CC5-9B7581B70100}"/>
    <cellStyle name="20% - Accent2 2 2 2 3 2 5" xfId="36998" xr:uid="{A2050D8D-9FB9-4556-805E-298486015679}"/>
    <cellStyle name="20% - Accent2 2 2 2 3 2 6" xfId="11705" xr:uid="{44F88D61-301A-4190-8849-DEB7FE13DC36}"/>
    <cellStyle name="20% - Accent2 2 2 2 3 3" xfId="5343" xr:uid="{00000000-0005-0000-0000-0000AC000000}"/>
    <cellStyle name="20% - Accent2 2 2 2 3 3 2" xfId="30642" xr:uid="{02A5BA7C-9E77-4ABF-9ADA-83111B7FBDF2}"/>
    <cellStyle name="20% - Accent2 2 2 2 3 3 3" xfId="22213" xr:uid="{1D9D0EC2-99D3-440C-BA14-C3C8B248D8E8}"/>
    <cellStyle name="20% - Accent2 2 2 2 3 3 4" xfId="39070" xr:uid="{54F8E90D-4D0C-43CD-87F3-37721056AB71}"/>
    <cellStyle name="20% - Accent2 2 2 2 3 3 5" xfId="13778" xr:uid="{1EA81FDA-3D58-466E-B759-BB321D316C36}"/>
    <cellStyle name="20% - Accent2 2 2 2 3 4" xfId="26424" xr:uid="{DFF7A895-8E3C-40F2-81C7-DB45884E722A}"/>
    <cellStyle name="20% - Accent2 2 2 2 3 5" xfId="17995" xr:uid="{CE95FED3-34ED-4141-A65A-CE5C8A7BB195}"/>
    <cellStyle name="20% - Accent2 2 2 2 3 6" xfId="34853" xr:uid="{7CE88960-A4C9-4181-98AD-94A7097DC3FE}"/>
    <cellStyle name="20% - Accent2 2 2 2 3 7" xfId="9560" xr:uid="{BB702B3E-FD09-494A-BDB5-4AF30CC5B4F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33200" xr:uid="{705712B8-02DA-4E60-B8DB-90B3870359D0}"/>
    <cellStyle name="20% - Accent2 2 2 2 4 2 2 3" xfId="24771" xr:uid="{D1BACECD-521E-40F9-AD43-8E4F09805734}"/>
    <cellStyle name="20% - Accent2 2 2 2 4 2 2 4" xfId="41628" xr:uid="{23734FC7-18CA-4D6A-BA87-A490D6BC6155}"/>
    <cellStyle name="20% - Accent2 2 2 2 4 2 2 5" xfId="16336" xr:uid="{6D27F994-9733-4A3E-913A-36D4AC4C0E97}"/>
    <cellStyle name="20% - Accent2 2 2 2 4 2 3" xfId="28982" xr:uid="{F8E850BE-5504-471A-908F-A295E01B8684}"/>
    <cellStyle name="20% - Accent2 2 2 2 4 2 4" xfId="20553" xr:uid="{996B3992-83C5-42F5-8DB6-D9A07E12E002}"/>
    <cellStyle name="20% - Accent2 2 2 2 4 2 5" xfId="37411" xr:uid="{C34A6BAF-7890-4763-9815-FC44BC42A4BA}"/>
    <cellStyle name="20% - Accent2 2 2 2 4 2 6" xfId="12118" xr:uid="{60DBA5AF-227A-4A94-A31A-08EAF4BA71C9}"/>
    <cellStyle name="20% - Accent2 2 2 2 4 3" xfId="5756" xr:uid="{00000000-0005-0000-0000-0000B0000000}"/>
    <cellStyle name="20% - Accent2 2 2 2 4 3 2" xfId="31055" xr:uid="{B5A2BC77-8561-4C2E-BA3C-EF2A7ADD15B4}"/>
    <cellStyle name="20% - Accent2 2 2 2 4 3 3" xfId="22626" xr:uid="{F40D20E1-AB69-4D5E-A15E-0DE8F841E1CE}"/>
    <cellStyle name="20% - Accent2 2 2 2 4 3 4" xfId="39483" xr:uid="{07BCFF9B-D4DB-425E-A7DB-F097F33DBD88}"/>
    <cellStyle name="20% - Accent2 2 2 2 4 3 5" xfId="14191" xr:uid="{B469E7A5-21FB-4C3E-A322-340BB3D12E4A}"/>
    <cellStyle name="20% - Accent2 2 2 2 4 4" xfId="26837" xr:uid="{39A1BA18-DF7A-4416-B94B-94B726B90777}"/>
    <cellStyle name="20% - Accent2 2 2 2 4 5" xfId="18408" xr:uid="{BFE5F29D-5E13-4C1C-B0CE-57B65DD14C97}"/>
    <cellStyle name="20% - Accent2 2 2 2 4 6" xfId="35266" xr:uid="{23ECD6C3-91E3-438E-8E00-6E1E9C07E4AD}"/>
    <cellStyle name="20% - Accent2 2 2 2 4 7" xfId="9973" xr:uid="{AB3CE21F-CAE2-4FC3-B3E6-E9594BC217F9}"/>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33613" xr:uid="{183AC4E5-753F-412F-BACF-ECD24B7714D2}"/>
    <cellStyle name="20% - Accent2 2 2 2 5 2 2 3" xfId="25184" xr:uid="{8F734417-88BF-4FE9-800E-A8FCA0010B70}"/>
    <cellStyle name="20% - Accent2 2 2 2 5 2 2 4" xfId="42041" xr:uid="{82990D65-D9A3-4853-AEC9-A183EE284BD9}"/>
    <cellStyle name="20% - Accent2 2 2 2 5 2 2 5" xfId="16749" xr:uid="{CEAB8F79-470A-4D30-941C-3FE4126ABA19}"/>
    <cellStyle name="20% - Accent2 2 2 2 5 2 3" xfId="29395" xr:uid="{27A77BBA-2D22-439A-ACC4-806D72EE958C}"/>
    <cellStyle name="20% - Accent2 2 2 2 5 2 4" xfId="20966" xr:uid="{1C35C562-7A22-45F6-9644-79C5FA8BF7C4}"/>
    <cellStyle name="20% - Accent2 2 2 2 5 2 5" xfId="37824" xr:uid="{14E2FD32-E0D4-426B-AE4D-DEA414FF7741}"/>
    <cellStyle name="20% - Accent2 2 2 2 5 2 6" xfId="12531" xr:uid="{D959D898-B9AE-4C2C-B29C-7EE040262073}"/>
    <cellStyle name="20% - Accent2 2 2 2 5 3" xfId="6169" xr:uid="{00000000-0005-0000-0000-0000B4000000}"/>
    <cellStyle name="20% - Accent2 2 2 2 5 3 2" xfId="31468" xr:uid="{2BC52BF8-707E-4005-8B7B-0153AF60DF0E}"/>
    <cellStyle name="20% - Accent2 2 2 2 5 3 3" xfId="23039" xr:uid="{3E1274C7-1672-43D5-AFF9-5E91A2899662}"/>
    <cellStyle name="20% - Accent2 2 2 2 5 3 4" xfId="39896" xr:uid="{2E0E2251-6FBA-45DA-A542-985906BE1F47}"/>
    <cellStyle name="20% - Accent2 2 2 2 5 3 5" xfId="14604" xr:uid="{642C22E6-281B-432E-B415-C924748BE85C}"/>
    <cellStyle name="20% - Accent2 2 2 2 5 4" xfId="27250" xr:uid="{B3EC0039-ABA5-407C-9E05-239BE81D2D71}"/>
    <cellStyle name="20% - Accent2 2 2 2 5 5" xfId="18821" xr:uid="{089AB5EB-1550-4338-B5E2-40A24736549C}"/>
    <cellStyle name="20% - Accent2 2 2 2 5 6" xfId="35679" xr:uid="{51683E1E-3AAC-484C-A514-2D9500CDAD9E}"/>
    <cellStyle name="20% - Accent2 2 2 2 5 7" xfId="10386" xr:uid="{A3E5D229-92D3-42D1-8EBD-F9FDAB44C014}"/>
    <cellStyle name="20% - Accent2 2 2 2 6" xfId="2275" xr:uid="{00000000-0005-0000-0000-0000B5000000}"/>
    <cellStyle name="20% - Accent2 2 2 2 6 2" xfId="6582" xr:uid="{00000000-0005-0000-0000-0000B6000000}"/>
    <cellStyle name="20% - Accent2 2 2 2 6 2 2" xfId="31881" xr:uid="{5236044F-3001-4832-9AEE-49A6B62CCCF8}"/>
    <cellStyle name="20% - Accent2 2 2 2 6 2 3" xfId="23452" xr:uid="{81E98455-CD4E-4E80-A283-0CED3B98CF25}"/>
    <cellStyle name="20% - Accent2 2 2 2 6 2 4" xfId="40309" xr:uid="{5D1DC156-920B-4CAD-9988-8A94E179DE46}"/>
    <cellStyle name="20% - Accent2 2 2 2 6 2 5" xfId="15017" xr:uid="{CB82DE46-2297-4EC9-8980-097ABD880C42}"/>
    <cellStyle name="20% - Accent2 2 2 2 6 3" xfId="27663" xr:uid="{4D0942A4-3A5E-4775-8982-BAF1F0F36B29}"/>
    <cellStyle name="20% - Accent2 2 2 2 6 4" xfId="19234" xr:uid="{378D9282-01E3-4E1A-802A-CC504609AD4E}"/>
    <cellStyle name="20% - Accent2 2 2 2 6 5" xfId="36092" xr:uid="{064A6B3B-C9D8-4790-B439-4592A7D21A16}"/>
    <cellStyle name="20% - Accent2 2 2 2 6 6" xfId="10799" xr:uid="{456C7518-CD12-466A-94A7-9B60978A8811}"/>
    <cellStyle name="20% - Accent2 2 2 2 7" xfId="4516" xr:uid="{00000000-0005-0000-0000-0000B7000000}"/>
    <cellStyle name="20% - Accent2 2 2 2 7 2" xfId="29815" xr:uid="{C36BDC24-6E61-469D-BE79-3275FA6BA1D6}"/>
    <cellStyle name="20% - Accent2 2 2 2 7 3" xfId="21386" xr:uid="{715134AC-93DD-4EE4-8007-76CAAEC5DB18}"/>
    <cellStyle name="20% - Accent2 2 2 2 7 4" xfId="38243" xr:uid="{3B25A16A-3E69-4CB2-A8FA-25F46C720625}"/>
    <cellStyle name="20% - Accent2 2 2 2 7 5" xfId="12951" xr:uid="{BD15EF23-E86C-487F-A0FA-3AE0673EEFB0}"/>
    <cellStyle name="20% - Accent2 2 2 2 8" xfId="25597" xr:uid="{0BF5F3BC-119A-4BE7-842B-C22B9CAF19B9}"/>
    <cellStyle name="20% - Accent2 2 2 2 9" xfId="17168" xr:uid="{4ECF1A94-6C7F-4EB5-862F-8A25B58DA0F7}"/>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32373" xr:uid="{BB60D006-53F0-4C2A-AD63-A56C94225BC3}"/>
    <cellStyle name="20% - Accent2 2 2 3 2 2 3" xfId="23944" xr:uid="{EF5581D1-6A12-4B8F-9E24-8A15AAAC4146}"/>
    <cellStyle name="20% - Accent2 2 2 3 2 2 4" xfId="40801" xr:uid="{79A00A17-835A-467A-A41F-1CCFAFF512BC}"/>
    <cellStyle name="20% - Accent2 2 2 3 2 2 5" xfId="15509" xr:uid="{F6BF5BEB-5172-4E3F-AC94-926F4944567B}"/>
    <cellStyle name="20% - Accent2 2 2 3 2 3" xfId="28155" xr:uid="{B1B945EE-2CC4-4B36-B278-52736E423D08}"/>
    <cellStyle name="20% - Accent2 2 2 3 2 4" xfId="19726" xr:uid="{A66F34C0-080F-4E7E-95DC-183856CB1AEA}"/>
    <cellStyle name="20% - Accent2 2 2 3 2 5" xfId="36584" xr:uid="{39B6842F-A223-4E37-B07D-164A1D495861}"/>
    <cellStyle name="20% - Accent2 2 2 3 2 6" xfId="11291" xr:uid="{C28CE432-E2E0-4C80-ACAA-07FE8A0A152C}"/>
    <cellStyle name="20% - Accent2 2 2 3 3" xfId="4929" xr:uid="{00000000-0005-0000-0000-0000BB000000}"/>
    <cellStyle name="20% - Accent2 2 2 3 3 2" xfId="30228" xr:uid="{A0B30D8D-9A36-47DA-9D47-5D9717AE81E9}"/>
    <cellStyle name="20% - Accent2 2 2 3 3 3" xfId="21799" xr:uid="{A5EB60DD-53F7-406C-80A6-7D9D0F77E522}"/>
    <cellStyle name="20% - Accent2 2 2 3 3 4" xfId="38656" xr:uid="{78F6BA1A-F246-4A06-8F39-3B67DE4543E1}"/>
    <cellStyle name="20% - Accent2 2 2 3 3 5" xfId="13364" xr:uid="{764760B1-ECF8-44FF-ADF8-87C6D967F12E}"/>
    <cellStyle name="20% - Accent2 2 2 3 4" xfId="26010" xr:uid="{70AC8979-3345-4983-9A77-9DB6A3D2E243}"/>
    <cellStyle name="20% - Accent2 2 2 3 5" xfId="17581" xr:uid="{8D4F8B0B-9FAC-4EA6-B15F-B06E2A688058}"/>
    <cellStyle name="20% - Accent2 2 2 3 6" xfId="34439" xr:uid="{BEDC7CDC-9640-473D-854F-731E3001640A}"/>
    <cellStyle name="20% - Accent2 2 2 3 7" xfId="9146" xr:uid="{C4AEAF4C-61B7-4923-BCD3-6AA2A11506BD}"/>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32786" xr:uid="{19F4701D-663A-40A6-91FE-A141B25A87A3}"/>
    <cellStyle name="20% - Accent2 2 2 4 2 2 3" xfId="24357" xr:uid="{0ADA6129-6B6D-47B3-998A-535A4112CC28}"/>
    <cellStyle name="20% - Accent2 2 2 4 2 2 4" xfId="41214" xr:uid="{E16583D4-6EC6-40D8-A7BB-E64074EE9B8C}"/>
    <cellStyle name="20% - Accent2 2 2 4 2 2 5" xfId="15922" xr:uid="{D299E377-573E-41C8-93AA-CA7A4A5232A5}"/>
    <cellStyle name="20% - Accent2 2 2 4 2 3" xfId="28568" xr:uid="{32FED3E0-6FC8-4A5F-8E3D-3E3D2F901FFA}"/>
    <cellStyle name="20% - Accent2 2 2 4 2 4" xfId="20139" xr:uid="{98C63B01-2797-4477-BE53-222216A72643}"/>
    <cellStyle name="20% - Accent2 2 2 4 2 5" xfId="36997" xr:uid="{3698D595-DF60-4EC5-AD37-418C9FE1DFEF}"/>
    <cellStyle name="20% - Accent2 2 2 4 2 6" xfId="11704" xr:uid="{7578F48B-46FA-44DC-9E01-6FC0F599D1DF}"/>
    <cellStyle name="20% - Accent2 2 2 4 3" xfId="5342" xr:uid="{00000000-0005-0000-0000-0000BF000000}"/>
    <cellStyle name="20% - Accent2 2 2 4 3 2" xfId="30641" xr:uid="{5E4640A2-CD65-44CF-8E9A-762BE2A32BA4}"/>
    <cellStyle name="20% - Accent2 2 2 4 3 3" xfId="22212" xr:uid="{60E39330-0871-4227-9F4C-181609968E9F}"/>
    <cellStyle name="20% - Accent2 2 2 4 3 4" xfId="39069" xr:uid="{2385B94C-5CB0-43B7-AD3A-5577CB40FCBA}"/>
    <cellStyle name="20% - Accent2 2 2 4 3 5" xfId="13777" xr:uid="{C3BA24E2-01DB-4ED1-8689-0B95060C0944}"/>
    <cellStyle name="20% - Accent2 2 2 4 4" xfId="26423" xr:uid="{78CEE97A-FD59-49D8-B2F0-6D5286B482F0}"/>
    <cellStyle name="20% - Accent2 2 2 4 5" xfId="17994" xr:uid="{EB32F6E4-3040-437D-937E-AF7EA5D35E28}"/>
    <cellStyle name="20% - Accent2 2 2 4 6" xfId="34852" xr:uid="{F2700AB8-F5E6-4436-A176-BB6250C2C60C}"/>
    <cellStyle name="20% - Accent2 2 2 4 7" xfId="9559" xr:uid="{3523D99E-3395-440A-8374-A14B570A176F}"/>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33199" xr:uid="{0E55F70A-717C-4B53-9908-5AB24549ACEF}"/>
    <cellStyle name="20% - Accent2 2 2 5 2 2 3" xfId="24770" xr:uid="{548542B5-146A-47D3-A858-CE6CF1D7BE73}"/>
    <cellStyle name="20% - Accent2 2 2 5 2 2 4" xfId="41627" xr:uid="{E3DF8454-0E5C-46C6-A121-8ACA83D64BF3}"/>
    <cellStyle name="20% - Accent2 2 2 5 2 2 5" xfId="16335" xr:uid="{C0A76324-DDF3-42B1-A54B-815C673A4C20}"/>
    <cellStyle name="20% - Accent2 2 2 5 2 3" xfId="28981" xr:uid="{D239026C-9AFF-453F-B8D3-4E7516F5D635}"/>
    <cellStyle name="20% - Accent2 2 2 5 2 4" xfId="20552" xr:uid="{25E37522-74C6-460D-82C1-2AACF23B5E71}"/>
    <cellStyle name="20% - Accent2 2 2 5 2 5" xfId="37410" xr:uid="{9FAC5D3B-A6CA-444F-84EA-D1903C7B8BB8}"/>
    <cellStyle name="20% - Accent2 2 2 5 2 6" xfId="12117" xr:uid="{DBCAA2D5-D1D1-47B1-90BE-1DBB9043815A}"/>
    <cellStyle name="20% - Accent2 2 2 5 3" xfId="5755" xr:uid="{00000000-0005-0000-0000-0000C3000000}"/>
    <cellStyle name="20% - Accent2 2 2 5 3 2" xfId="31054" xr:uid="{AC978057-F58E-429D-8D01-1218E5E768D7}"/>
    <cellStyle name="20% - Accent2 2 2 5 3 3" xfId="22625" xr:uid="{B9EA9203-13DA-4039-8B5D-125DCD55430F}"/>
    <cellStyle name="20% - Accent2 2 2 5 3 4" xfId="39482" xr:uid="{2A7A2C2C-4BF7-4801-816E-168DB754AAEF}"/>
    <cellStyle name="20% - Accent2 2 2 5 3 5" xfId="14190" xr:uid="{B63D0E1B-D230-479A-A94F-44D74022CB2A}"/>
    <cellStyle name="20% - Accent2 2 2 5 4" xfId="26836" xr:uid="{1ADC0BCC-56FF-435C-A833-84387F4EB13C}"/>
    <cellStyle name="20% - Accent2 2 2 5 5" xfId="18407" xr:uid="{C5BE3BF8-AE92-4A70-9FCA-F5D6CA12243B}"/>
    <cellStyle name="20% - Accent2 2 2 5 6" xfId="35265" xr:uid="{02F4F45D-E345-47FA-99D0-ABA0E77AF32E}"/>
    <cellStyle name="20% - Accent2 2 2 5 7" xfId="9972" xr:uid="{F7EEBC66-6BD0-4F27-A1B7-63FE473DCBCB}"/>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33612" xr:uid="{D8CCA7DC-F8A4-4BBA-AD70-0C70EB8053C6}"/>
    <cellStyle name="20% - Accent2 2 2 6 2 2 3" xfId="25183" xr:uid="{4C3313A7-8FC1-4F80-8510-1B5932B02A09}"/>
    <cellStyle name="20% - Accent2 2 2 6 2 2 4" xfId="42040" xr:uid="{8E6AF4DF-AEB5-48CE-B452-9535AB199378}"/>
    <cellStyle name="20% - Accent2 2 2 6 2 2 5" xfId="16748" xr:uid="{BD146F08-02F3-48C8-9D18-B239739D8E2A}"/>
    <cellStyle name="20% - Accent2 2 2 6 2 3" xfId="29394" xr:uid="{91D9F8B0-F5D2-4B2F-8142-323F0A63C8EE}"/>
    <cellStyle name="20% - Accent2 2 2 6 2 4" xfId="20965" xr:uid="{59BAE033-7452-4834-A2D3-9C3D3E3BABB3}"/>
    <cellStyle name="20% - Accent2 2 2 6 2 5" xfId="37823" xr:uid="{747E42DB-17C7-4B7E-A53A-C6967FBC75F9}"/>
    <cellStyle name="20% - Accent2 2 2 6 2 6" xfId="12530" xr:uid="{663C146B-FB15-43D9-AA4D-0E765B020FB1}"/>
    <cellStyle name="20% - Accent2 2 2 6 3" xfId="6168" xr:uid="{00000000-0005-0000-0000-0000C7000000}"/>
    <cellStyle name="20% - Accent2 2 2 6 3 2" xfId="31467" xr:uid="{BCF61D69-61AC-4FF0-834B-82AB4702963A}"/>
    <cellStyle name="20% - Accent2 2 2 6 3 3" xfId="23038" xr:uid="{15588352-A3A6-4B05-8714-7035CA5CF3A2}"/>
    <cellStyle name="20% - Accent2 2 2 6 3 4" xfId="39895" xr:uid="{A5014F9F-0E14-4172-B373-460EAAE21547}"/>
    <cellStyle name="20% - Accent2 2 2 6 3 5" xfId="14603" xr:uid="{51AF39E4-B977-4312-865B-61CA82B35153}"/>
    <cellStyle name="20% - Accent2 2 2 6 4" xfId="27249" xr:uid="{F2DDC85B-D3F1-4108-BF56-9A882C76BD93}"/>
    <cellStyle name="20% - Accent2 2 2 6 5" xfId="18820" xr:uid="{DD93C780-BF8D-4EB0-A797-41CE697F4E36}"/>
    <cellStyle name="20% - Accent2 2 2 6 6" xfId="35678" xr:uid="{412EC8D2-DF82-4EDE-B01A-2428296F1972}"/>
    <cellStyle name="20% - Accent2 2 2 6 7" xfId="10385" xr:uid="{3A93B6AD-9694-4B6E-8892-8858D766CD71}"/>
    <cellStyle name="20% - Accent2 2 2 7" xfId="2274" xr:uid="{00000000-0005-0000-0000-0000C8000000}"/>
    <cellStyle name="20% - Accent2 2 2 7 2" xfId="6581" xr:uid="{00000000-0005-0000-0000-0000C9000000}"/>
    <cellStyle name="20% - Accent2 2 2 7 2 2" xfId="31880" xr:uid="{8289DE6E-EEAC-4FED-8EB1-AC6E06EA3487}"/>
    <cellStyle name="20% - Accent2 2 2 7 2 3" xfId="23451" xr:uid="{48A99835-CF60-4FD9-BC41-93A8B34D107D}"/>
    <cellStyle name="20% - Accent2 2 2 7 2 4" xfId="40308" xr:uid="{FCDD0500-0E05-40AE-809B-E6D837735FDA}"/>
    <cellStyle name="20% - Accent2 2 2 7 2 5" xfId="15016" xr:uid="{344A232D-CC51-4BD8-B377-1EF88E9A1D62}"/>
    <cellStyle name="20% - Accent2 2 2 7 3" xfId="27662" xr:uid="{93CFE0AD-D320-42B8-BF7F-82FEDACCE03D}"/>
    <cellStyle name="20% - Accent2 2 2 7 4" xfId="19233" xr:uid="{72604D33-CB61-4EA0-B9E7-6AE1FFBD8EB0}"/>
    <cellStyle name="20% - Accent2 2 2 7 5" xfId="36091" xr:uid="{7293DF08-B153-4CE9-89D5-1C0CC1E4E8E7}"/>
    <cellStyle name="20% - Accent2 2 2 7 6" xfId="10798" xr:uid="{F1B65452-D957-4A16-ADB2-7821446F5168}"/>
    <cellStyle name="20% - Accent2 2 2 8" xfId="4515" xr:uid="{00000000-0005-0000-0000-0000CA000000}"/>
    <cellStyle name="20% - Accent2 2 2 8 2" xfId="29814" xr:uid="{5D89EA03-3237-4B18-95DD-C940E043E36C}"/>
    <cellStyle name="20% - Accent2 2 2 8 3" xfId="21385" xr:uid="{FB9D20AB-2B42-447C-8D73-6D5CAD622E02}"/>
    <cellStyle name="20% - Accent2 2 2 8 4" xfId="38242" xr:uid="{234098E2-43BA-4FCF-A1DF-E39F97DAEB8F}"/>
    <cellStyle name="20% - Accent2 2 2 8 5" xfId="12950" xr:uid="{94D2E786-FB9F-476D-818B-238FDF703E72}"/>
    <cellStyle name="20% - Accent2 2 2 9" xfId="25596" xr:uid="{859FA944-F809-448E-B8F9-B7B4190624A4}"/>
    <cellStyle name="20% - Accent2 2 3" xfId="13" xr:uid="{00000000-0005-0000-0000-0000CB000000}"/>
    <cellStyle name="20% - Accent2 2 3 10" xfId="34027" xr:uid="{368CEA8B-86A8-4CDD-AA53-7E14FCAE2FB3}"/>
    <cellStyle name="20% - Accent2 2 3 11" xfId="8734" xr:uid="{1465E8B9-6D03-4AC5-95D3-2BDAD7D21D43}"/>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32375" xr:uid="{03EA1B21-1A7A-4A2E-B99B-E077040AA587}"/>
    <cellStyle name="20% - Accent2 2 3 2 2 2 3" xfId="23946" xr:uid="{7DBCCDD5-1AD2-44E4-B091-7F42C0B75031}"/>
    <cellStyle name="20% - Accent2 2 3 2 2 2 4" xfId="40803" xr:uid="{3B2A03B4-3373-449B-BAC1-1BB93431BEDF}"/>
    <cellStyle name="20% - Accent2 2 3 2 2 2 5" xfId="15511" xr:uid="{D9414DB9-7046-466E-8299-450BEC289C78}"/>
    <cellStyle name="20% - Accent2 2 3 2 2 3" xfId="28157" xr:uid="{C4755B27-218B-4B21-878D-C0B36D6FC16C}"/>
    <cellStyle name="20% - Accent2 2 3 2 2 4" xfId="19728" xr:uid="{927CE4E6-EF68-4057-BE51-C745661EC46E}"/>
    <cellStyle name="20% - Accent2 2 3 2 2 5" xfId="36586" xr:uid="{6B20934F-0107-4530-ADD7-BB3A38455E12}"/>
    <cellStyle name="20% - Accent2 2 3 2 2 6" xfId="11293" xr:uid="{8FD5A863-911C-46FB-B75C-783A086FF5AF}"/>
    <cellStyle name="20% - Accent2 2 3 2 3" xfId="4931" xr:uid="{00000000-0005-0000-0000-0000CF000000}"/>
    <cellStyle name="20% - Accent2 2 3 2 3 2" xfId="30230" xr:uid="{48BA6EEC-3B19-463B-9D08-7CA9D0AE0A6B}"/>
    <cellStyle name="20% - Accent2 2 3 2 3 3" xfId="21801" xr:uid="{68DCC6B4-BE47-4AD9-9CDA-4E33B9EB8C36}"/>
    <cellStyle name="20% - Accent2 2 3 2 3 4" xfId="38658" xr:uid="{2A129CDE-BCA6-417F-9CE5-71132BFD5613}"/>
    <cellStyle name="20% - Accent2 2 3 2 3 5" xfId="13366" xr:uid="{FC58C64F-4240-4EE8-8771-71AC166BFA14}"/>
    <cellStyle name="20% - Accent2 2 3 2 4" xfId="26012" xr:uid="{76D2F8F3-83D4-4008-A5D3-F1947875EB60}"/>
    <cellStyle name="20% - Accent2 2 3 2 5" xfId="17583" xr:uid="{E397C328-0682-426B-BFB0-BB2F6F0A49A1}"/>
    <cellStyle name="20% - Accent2 2 3 2 6" xfId="34441" xr:uid="{62D86C35-46B7-4D5B-B337-A9C9AFCBE90F}"/>
    <cellStyle name="20% - Accent2 2 3 2 7" xfId="9148" xr:uid="{321C9EA2-A5BE-431C-8AB9-46B055B53CC9}"/>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32788" xr:uid="{1FC98B3A-7F28-469D-AEFA-47C9FFB71D15}"/>
    <cellStyle name="20% - Accent2 2 3 3 2 2 3" xfId="24359" xr:uid="{896DCED0-EA32-4115-9211-7B6666799F9A}"/>
    <cellStyle name="20% - Accent2 2 3 3 2 2 4" xfId="41216" xr:uid="{E895C7EF-3E4A-4677-B61D-95779EE26495}"/>
    <cellStyle name="20% - Accent2 2 3 3 2 2 5" xfId="15924" xr:uid="{9124CACE-6AE9-4AE9-98C8-56CB9399DF58}"/>
    <cellStyle name="20% - Accent2 2 3 3 2 3" xfId="28570" xr:uid="{52E79FBB-5E8E-43FB-B43A-02C7455BBF89}"/>
    <cellStyle name="20% - Accent2 2 3 3 2 4" xfId="20141" xr:uid="{3ACD5BA0-C306-46E3-B3F1-BD7694D34FE5}"/>
    <cellStyle name="20% - Accent2 2 3 3 2 5" xfId="36999" xr:uid="{65F18357-7B1E-4A8C-8013-28B66F9F4D3F}"/>
    <cellStyle name="20% - Accent2 2 3 3 2 6" xfId="11706" xr:uid="{6C78C1F4-43A9-401B-8660-A0EE561163C2}"/>
    <cellStyle name="20% - Accent2 2 3 3 3" xfId="5344" xr:uid="{00000000-0005-0000-0000-0000D3000000}"/>
    <cellStyle name="20% - Accent2 2 3 3 3 2" xfId="30643" xr:uid="{EE0075AC-C537-465F-97A4-9B8DC8AB1172}"/>
    <cellStyle name="20% - Accent2 2 3 3 3 3" xfId="22214" xr:uid="{41C06B40-C4EC-4D75-A379-6EE4241E9FBC}"/>
    <cellStyle name="20% - Accent2 2 3 3 3 4" xfId="39071" xr:uid="{D7DE69CC-031A-49BD-88AA-D8B15784A43A}"/>
    <cellStyle name="20% - Accent2 2 3 3 3 5" xfId="13779" xr:uid="{9E0CC289-A296-4452-A415-14083150A1D2}"/>
    <cellStyle name="20% - Accent2 2 3 3 4" xfId="26425" xr:uid="{1AB72291-E6C7-4697-859F-DB724550AC72}"/>
    <cellStyle name="20% - Accent2 2 3 3 5" xfId="17996" xr:uid="{A1467797-549B-4E18-A2CB-5C2936E8C145}"/>
    <cellStyle name="20% - Accent2 2 3 3 6" xfId="34854" xr:uid="{4200DF43-4C8A-4603-A52A-59E671B42BCF}"/>
    <cellStyle name="20% - Accent2 2 3 3 7" xfId="9561" xr:uid="{B81A2355-4D50-433B-95EB-250BCF3EB60F}"/>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33201" xr:uid="{56473542-A6B1-4D2A-8D30-A95DDBDD093E}"/>
    <cellStyle name="20% - Accent2 2 3 4 2 2 3" xfId="24772" xr:uid="{942FBB40-5041-4C6A-9469-9CA5B05AEDC9}"/>
    <cellStyle name="20% - Accent2 2 3 4 2 2 4" xfId="41629" xr:uid="{58FDFB17-E91B-494B-8D4A-B2E11BE8A4B9}"/>
    <cellStyle name="20% - Accent2 2 3 4 2 2 5" xfId="16337" xr:uid="{A92B457B-7C9F-4196-84C1-B3F2E8DB71E4}"/>
    <cellStyle name="20% - Accent2 2 3 4 2 3" xfId="28983" xr:uid="{3FC61EE0-0E7F-4D92-B40D-0C5CC4951A83}"/>
    <cellStyle name="20% - Accent2 2 3 4 2 4" xfId="20554" xr:uid="{E683BEC9-95D6-40C0-8BBD-001E59D8214C}"/>
    <cellStyle name="20% - Accent2 2 3 4 2 5" xfId="37412" xr:uid="{C2C67D3A-7D00-4C02-B699-6275AAA33F71}"/>
    <cellStyle name="20% - Accent2 2 3 4 2 6" xfId="12119" xr:uid="{4E45F902-C308-450C-8DE9-1B09ACA2787D}"/>
    <cellStyle name="20% - Accent2 2 3 4 3" xfId="5757" xr:uid="{00000000-0005-0000-0000-0000D7000000}"/>
    <cellStyle name="20% - Accent2 2 3 4 3 2" xfId="31056" xr:uid="{2B7B16BA-510B-49A4-80D2-43C073BC2585}"/>
    <cellStyle name="20% - Accent2 2 3 4 3 3" xfId="22627" xr:uid="{F3BE2E60-2730-4ACC-B444-80485539752A}"/>
    <cellStyle name="20% - Accent2 2 3 4 3 4" xfId="39484" xr:uid="{FC4200CE-A836-485C-A1F5-423E22435420}"/>
    <cellStyle name="20% - Accent2 2 3 4 3 5" xfId="14192" xr:uid="{AD77AA49-97C2-43FF-8247-5A2F8047DB37}"/>
    <cellStyle name="20% - Accent2 2 3 4 4" xfId="26838" xr:uid="{33402F9C-DD9E-47F3-BE77-7C779D7B7949}"/>
    <cellStyle name="20% - Accent2 2 3 4 5" xfId="18409" xr:uid="{4C3F6B8C-F424-49DF-9B08-11EB5F32B0C2}"/>
    <cellStyle name="20% - Accent2 2 3 4 6" xfId="35267" xr:uid="{DE7DDE1B-0786-4E4F-880A-124776DB2FE1}"/>
    <cellStyle name="20% - Accent2 2 3 4 7" xfId="9974" xr:uid="{ACDA6A1A-7517-48D8-8A8F-0CC4FAD60064}"/>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33614" xr:uid="{4CBD9E7E-1B2D-4F3A-9BCD-4417653DB9FA}"/>
    <cellStyle name="20% - Accent2 2 3 5 2 2 3" xfId="25185" xr:uid="{3A71A81D-724E-419A-B1AD-83238366CCC7}"/>
    <cellStyle name="20% - Accent2 2 3 5 2 2 4" xfId="42042" xr:uid="{B2C4FB9E-9F8A-43CB-BBF9-120B2909ECD4}"/>
    <cellStyle name="20% - Accent2 2 3 5 2 2 5" xfId="16750" xr:uid="{E0D77765-4DE4-48D4-9A7D-7108EF913D89}"/>
    <cellStyle name="20% - Accent2 2 3 5 2 3" xfId="29396" xr:uid="{3D6FF34E-2CED-434A-9579-530998617F30}"/>
    <cellStyle name="20% - Accent2 2 3 5 2 4" xfId="20967" xr:uid="{666BC9C7-4F20-4104-A98D-B95E14C85A46}"/>
    <cellStyle name="20% - Accent2 2 3 5 2 5" xfId="37825" xr:uid="{A1C56D2F-6875-46F3-9BFF-F7DB037E4215}"/>
    <cellStyle name="20% - Accent2 2 3 5 2 6" xfId="12532" xr:uid="{DF382A32-E152-4143-B44F-E2CA8847E1E9}"/>
    <cellStyle name="20% - Accent2 2 3 5 3" xfId="6170" xr:uid="{00000000-0005-0000-0000-0000DB000000}"/>
    <cellStyle name="20% - Accent2 2 3 5 3 2" xfId="31469" xr:uid="{69149B67-9CA0-4E45-8D9A-87C40E1725CA}"/>
    <cellStyle name="20% - Accent2 2 3 5 3 3" xfId="23040" xr:uid="{A4D8535E-0D6C-43BD-8CD0-57FE823C0C36}"/>
    <cellStyle name="20% - Accent2 2 3 5 3 4" xfId="39897" xr:uid="{8A5DD48F-7F8F-4CF4-B888-2A5112D25CDE}"/>
    <cellStyle name="20% - Accent2 2 3 5 3 5" xfId="14605" xr:uid="{B29BC098-55C1-47AD-94F1-F00E67B7BF33}"/>
    <cellStyle name="20% - Accent2 2 3 5 4" xfId="27251" xr:uid="{B41A0FF0-F35D-43EF-A8AA-D64BC8404448}"/>
    <cellStyle name="20% - Accent2 2 3 5 5" xfId="18822" xr:uid="{933491FE-44F4-46A1-9FD6-281CCE19AF34}"/>
    <cellStyle name="20% - Accent2 2 3 5 6" xfId="35680" xr:uid="{E746C739-E50C-442F-9CC0-760089A584D2}"/>
    <cellStyle name="20% - Accent2 2 3 5 7" xfId="10387" xr:uid="{98F6F7EC-58BB-4531-A029-63CD98477456}"/>
    <cellStyle name="20% - Accent2 2 3 6" xfId="2276" xr:uid="{00000000-0005-0000-0000-0000DC000000}"/>
    <cellStyle name="20% - Accent2 2 3 6 2" xfId="6583" xr:uid="{00000000-0005-0000-0000-0000DD000000}"/>
    <cellStyle name="20% - Accent2 2 3 6 2 2" xfId="31882" xr:uid="{BA64CED5-1531-4F3D-92A0-A57141FFA90B}"/>
    <cellStyle name="20% - Accent2 2 3 6 2 3" xfId="23453" xr:uid="{94E4CDFB-6882-4D0E-BA3F-A294F0A744F1}"/>
    <cellStyle name="20% - Accent2 2 3 6 2 4" xfId="40310" xr:uid="{7C726724-806F-4BE4-934C-0EA60D01DD8C}"/>
    <cellStyle name="20% - Accent2 2 3 6 2 5" xfId="15018" xr:uid="{158A0355-1C50-4C3A-AD68-9367ABBC6A74}"/>
    <cellStyle name="20% - Accent2 2 3 6 3" xfId="27664" xr:uid="{8676C929-F200-4F14-A27F-ADC8E292EF81}"/>
    <cellStyle name="20% - Accent2 2 3 6 4" xfId="19235" xr:uid="{3BB6D234-7D74-4CA1-9A81-D0A8A5552406}"/>
    <cellStyle name="20% - Accent2 2 3 6 5" xfId="36093" xr:uid="{C44E1083-7BBD-42BB-B699-41396BDA0D72}"/>
    <cellStyle name="20% - Accent2 2 3 6 6" xfId="10800" xr:uid="{51D31A79-11C5-45B8-A482-FFF94482F9DE}"/>
    <cellStyle name="20% - Accent2 2 3 7" xfId="4517" xr:uid="{00000000-0005-0000-0000-0000DE000000}"/>
    <cellStyle name="20% - Accent2 2 3 7 2" xfId="29816" xr:uid="{580B79A8-EA68-460C-A712-373351C4111A}"/>
    <cellStyle name="20% - Accent2 2 3 7 3" xfId="21387" xr:uid="{DAC660E7-8C8A-4565-83DE-4454C576AF76}"/>
    <cellStyle name="20% - Accent2 2 3 7 4" xfId="38244" xr:uid="{C89BC6D8-67B0-43C5-B6F7-69BA2353E547}"/>
    <cellStyle name="20% - Accent2 2 3 7 5" xfId="12952" xr:uid="{19CABEEC-4501-4CCE-9E0F-2606A1B3FF33}"/>
    <cellStyle name="20% - Accent2 2 3 8" xfId="25598" xr:uid="{80720A92-1C34-4B6D-AF73-B97DCF59D5C5}"/>
    <cellStyle name="20% - Accent2 2 3 9" xfId="17169" xr:uid="{85D77659-B3DE-42C3-B3AB-4B05306D26F7}"/>
    <cellStyle name="20% - Accent2 2 4" xfId="579" xr:uid="{00000000-0005-0000-0000-0000DF000000}"/>
    <cellStyle name="20% - Accent2 2 4 2" xfId="2850" xr:uid="{00000000-0005-0000-0000-0000E0000000}"/>
    <cellStyle name="20% - Accent2 2 4 2 2" xfId="7073" xr:uid="{00000000-0005-0000-0000-0000E1000000}"/>
    <cellStyle name="20% - Accent2 2 4 2 2 2" xfId="32372" xr:uid="{E1A40841-4177-4236-9A6F-D02471D50BC9}"/>
    <cellStyle name="20% - Accent2 2 4 2 2 3" xfId="23943" xr:uid="{5B43B8D1-9BB0-4B65-975D-0470F926E43E}"/>
    <cellStyle name="20% - Accent2 2 4 2 2 4" xfId="40800" xr:uid="{C831EAFB-68A3-41EC-ABEE-F93C85E03540}"/>
    <cellStyle name="20% - Accent2 2 4 2 2 5" xfId="15508" xr:uid="{EBCDA4E9-6A3E-48EC-A4FC-888A0F93C707}"/>
    <cellStyle name="20% - Accent2 2 4 2 3" xfId="28154" xr:uid="{D08CD9FB-7634-4477-99E8-C4CA390B1768}"/>
    <cellStyle name="20% - Accent2 2 4 2 4" xfId="19725" xr:uid="{378829DC-685B-4CD1-A9B2-3D41848058E1}"/>
    <cellStyle name="20% - Accent2 2 4 2 5" xfId="36583" xr:uid="{DE8ED6C7-1E60-4679-A1E4-D53BB96E5F11}"/>
    <cellStyle name="20% - Accent2 2 4 2 6" xfId="11290" xr:uid="{AA2E54C8-779D-4B96-9CE0-BC7961028F41}"/>
    <cellStyle name="20% - Accent2 2 4 3" xfId="4928" xr:uid="{00000000-0005-0000-0000-0000E2000000}"/>
    <cellStyle name="20% - Accent2 2 4 3 2" xfId="30227" xr:uid="{BA3434D1-046B-4D5B-AA9E-DEAEFCB7D5A8}"/>
    <cellStyle name="20% - Accent2 2 4 3 3" xfId="21798" xr:uid="{90DB3847-CA27-4C87-896C-3C565B39493B}"/>
    <cellStyle name="20% - Accent2 2 4 3 4" xfId="38655" xr:uid="{74447E45-50ED-41CF-9E99-8CAB6D3EDF33}"/>
    <cellStyle name="20% - Accent2 2 4 3 5" xfId="13363" xr:uid="{493DDFB4-C48F-4357-BD01-8C50D1C23544}"/>
    <cellStyle name="20% - Accent2 2 4 4" xfId="26009" xr:uid="{66037087-9851-4EAD-A333-3C5DDD5643B7}"/>
    <cellStyle name="20% - Accent2 2 4 5" xfId="17580" xr:uid="{52047446-41A3-406E-B50E-E1360B3A2F2C}"/>
    <cellStyle name="20% - Accent2 2 4 6" xfId="34438" xr:uid="{8BF4AB71-3431-4427-81B2-0852999D6296}"/>
    <cellStyle name="20% - Accent2 2 4 7" xfId="9145" xr:uid="{162AD560-4D16-48DA-9779-921F98607741}"/>
    <cellStyle name="20% - Accent2 2 5" xfId="1032" xr:uid="{00000000-0005-0000-0000-0000E3000000}"/>
    <cellStyle name="20% - Accent2 2 5 2" xfId="3263" xr:uid="{00000000-0005-0000-0000-0000E4000000}"/>
    <cellStyle name="20% - Accent2 2 5 2 2" xfId="7486" xr:uid="{00000000-0005-0000-0000-0000E5000000}"/>
    <cellStyle name="20% - Accent2 2 5 2 2 2" xfId="32785" xr:uid="{8D626DC8-C8E0-4D0A-8146-71987E4C63CD}"/>
    <cellStyle name="20% - Accent2 2 5 2 2 3" xfId="24356" xr:uid="{2BCF9B10-5B05-4458-8AF9-572E0037BC7B}"/>
    <cellStyle name="20% - Accent2 2 5 2 2 4" xfId="41213" xr:uid="{6CBE4A4F-CE33-45EF-A1E5-08BE8E27618C}"/>
    <cellStyle name="20% - Accent2 2 5 2 2 5" xfId="15921" xr:uid="{5FB8C1EB-4844-4B18-89DC-7B3ED9970043}"/>
    <cellStyle name="20% - Accent2 2 5 2 3" xfId="28567" xr:uid="{49DB515C-E9FA-47C4-A454-76C3E61E785E}"/>
    <cellStyle name="20% - Accent2 2 5 2 4" xfId="20138" xr:uid="{61E3590C-A263-45AD-9263-9ACD1AFF6359}"/>
    <cellStyle name="20% - Accent2 2 5 2 5" xfId="36996" xr:uid="{86DD2C11-E26C-4875-87BE-AF9458B5A234}"/>
    <cellStyle name="20% - Accent2 2 5 2 6" xfId="11703" xr:uid="{41E4D2AD-0632-4E6D-9AC4-DB083DBF65F8}"/>
    <cellStyle name="20% - Accent2 2 5 3" xfId="5341" xr:uid="{00000000-0005-0000-0000-0000E6000000}"/>
    <cellStyle name="20% - Accent2 2 5 3 2" xfId="30640" xr:uid="{E7977511-2968-42FA-8E62-2416387FD3B7}"/>
    <cellStyle name="20% - Accent2 2 5 3 3" xfId="22211" xr:uid="{F55EE68C-71B5-47C9-8048-6323F750CAD8}"/>
    <cellStyle name="20% - Accent2 2 5 3 4" xfId="39068" xr:uid="{DF68EE7A-6D0C-4C37-9DED-1FF24498C1A6}"/>
    <cellStyle name="20% - Accent2 2 5 3 5" xfId="13776" xr:uid="{828F8600-DB01-4EED-B13E-D96CE12E6382}"/>
    <cellStyle name="20% - Accent2 2 5 4" xfId="26422" xr:uid="{FAE51931-CAE6-45C4-AB0E-1EA4AE94E779}"/>
    <cellStyle name="20% - Accent2 2 5 5" xfId="17993" xr:uid="{3657D68D-CDE8-4285-BF3F-BAA3A6A7A9EE}"/>
    <cellStyle name="20% - Accent2 2 5 6" xfId="34851" xr:uid="{C53437EA-493F-47B7-A858-99CD629FDA49}"/>
    <cellStyle name="20% - Accent2 2 5 7" xfId="9558" xr:uid="{005D8831-8486-4D40-8605-6B8D0AF14BAB}"/>
    <cellStyle name="20% - Accent2 2 6" xfId="1446" xr:uid="{00000000-0005-0000-0000-0000E7000000}"/>
    <cellStyle name="20% - Accent2 2 6 2" xfId="3676" xr:uid="{00000000-0005-0000-0000-0000E8000000}"/>
    <cellStyle name="20% - Accent2 2 6 2 2" xfId="7899" xr:uid="{00000000-0005-0000-0000-0000E9000000}"/>
    <cellStyle name="20% - Accent2 2 6 2 2 2" xfId="33198" xr:uid="{00C48410-DF45-4A6E-BAE4-846CB4D11FF4}"/>
    <cellStyle name="20% - Accent2 2 6 2 2 3" xfId="24769" xr:uid="{33E25F9A-DD81-47C6-A405-F5F046BB062E}"/>
    <cellStyle name="20% - Accent2 2 6 2 2 4" xfId="41626" xr:uid="{B64F7FF4-E051-44BC-AB36-1D097BA0A9A3}"/>
    <cellStyle name="20% - Accent2 2 6 2 2 5" xfId="16334" xr:uid="{210888CD-B579-46B4-A31B-83681CE26975}"/>
    <cellStyle name="20% - Accent2 2 6 2 3" xfId="28980" xr:uid="{56F099A3-0EF9-4F75-8283-220103E66DF0}"/>
    <cellStyle name="20% - Accent2 2 6 2 4" xfId="20551" xr:uid="{C8FA4BCE-88A9-4F3B-9DF8-7D3B5646BADD}"/>
    <cellStyle name="20% - Accent2 2 6 2 5" xfId="37409" xr:uid="{1F7E8D28-1B33-4920-893B-D96BD8EA2DE2}"/>
    <cellStyle name="20% - Accent2 2 6 2 6" xfId="12116" xr:uid="{9B762F65-D642-40D0-8A10-DC3C19DF2520}"/>
    <cellStyle name="20% - Accent2 2 6 3" xfId="5754" xr:uid="{00000000-0005-0000-0000-0000EA000000}"/>
    <cellStyle name="20% - Accent2 2 6 3 2" xfId="31053" xr:uid="{42D12D02-7375-4850-B2E2-25723C421F96}"/>
    <cellStyle name="20% - Accent2 2 6 3 3" xfId="22624" xr:uid="{1E719B37-06E4-47BD-ACCB-BCA52BBDE3ED}"/>
    <cellStyle name="20% - Accent2 2 6 3 4" xfId="39481" xr:uid="{EBB01380-53A5-4619-9F09-198EEE29E5CA}"/>
    <cellStyle name="20% - Accent2 2 6 3 5" xfId="14189" xr:uid="{3BAE5163-0E3B-444F-A306-E01B44176BCC}"/>
    <cellStyle name="20% - Accent2 2 6 4" xfId="26835" xr:uid="{401729A1-DC27-4892-B282-1051C7752B4E}"/>
    <cellStyle name="20% - Accent2 2 6 5" xfId="18406" xr:uid="{B895E9FA-C480-4FD9-ABAB-9CE3A6BD4870}"/>
    <cellStyle name="20% - Accent2 2 6 6" xfId="35264" xr:uid="{4C4A896F-5F0B-4F9C-A7AF-73F28DFBC6D4}"/>
    <cellStyle name="20% - Accent2 2 6 7" xfId="9971" xr:uid="{D71A7A65-0C76-4A55-84E4-DA3FD8BBFD15}"/>
    <cellStyle name="20% - Accent2 2 7" xfId="1860" xr:uid="{00000000-0005-0000-0000-0000EB000000}"/>
    <cellStyle name="20% - Accent2 2 7 2" xfId="4089" xr:uid="{00000000-0005-0000-0000-0000EC000000}"/>
    <cellStyle name="20% - Accent2 2 7 2 2" xfId="8312" xr:uid="{00000000-0005-0000-0000-0000ED000000}"/>
    <cellStyle name="20% - Accent2 2 7 2 2 2" xfId="33611" xr:uid="{AC16F53A-84A5-4D25-81F5-88832B469AEF}"/>
    <cellStyle name="20% - Accent2 2 7 2 2 3" xfId="25182" xr:uid="{B8BDCD1E-8D8C-46DE-A8DA-8A479B6A3A56}"/>
    <cellStyle name="20% - Accent2 2 7 2 2 4" xfId="42039" xr:uid="{DFAF2692-4E95-404E-BF54-D2D33E05F159}"/>
    <cellStyle name="20% - Accent2 2 7 2 2 5" xfId="16747" xr:uid="{E175224A-1F7A-4711-B622-00DB62E57572}"/>
    <cellStyle name="20% - Accent2 2 7 2 3" xfId="29393" xr:uid="{EC7DCD87-ED18-4C27-B5CC-BE82A2352B79}"/>
    <cellStyle name="20% - Accent2 2 7 2 4" xfId="20964" xr:uid="{4DCD6AFE-3970-4B02-A6D4-AF7E35523F6A}"/>
    <cellStyle name="20% - Accent2 2 7 2 5" xfId="37822" xr:uid="{05AFBC3E-D05E-482B-8929-1231C4C64035}"/>
    <cellStyle name="20% - Accent2 2 7 2 6" xfId="12529" xr:uid="{C86BE65E-6BED-4CBB-A3B9-34D5056449CF}"/>
    <cellStyle name="20% - Accent2 2 7 3" xfId="6167" xr:uid="{00000000-0005-0000-0000-0000EE000000}"/>
    <cellStyle name="20% - Accent2 2 7 3 2" xfId="31466" xr:uid="{9183726E-D3A9-424F-8CA8-5FD74515B197}"/>
    <cellStyle name="20% - Accent2 2 7 3 3" xfId="23037" xr:uid="{8D9C0A3D-F717-4EE6-A121-CC8D552CCF83}"/>
    <cellStyle name="20% - Accent2 2 7 3 4" xfId="39894" xr:uid="{8F8DF509-8D1F-44D6-82D6-93433B071C4A}"/>
    <cellStyle name="20% - Accent2 2 7 3 5" xfId="14602" xr:uid="{03C8CA2D-3CBD-4C8E-8519-33244320481E}"/>
    <cellStyle name="20% - Accent2 2 7 4" xfId="27248" xr:uid="{70C3DD70-25DE-4B3C-A4A4-F5982A86B015}"/>
    <cellStyle name="20% - Accent2 2 7 5" xfId="18819" xr:uid="{3DC18539-3701-4679-9926-B64759297CE8}"/>
    <cellStyle name="20% - Accent2 2 7 6" xfId="35677" xr:uid="{A180AE1F-81E6-442F-9635-9B4B1EEDC0E2}"/>
    <cellStyle name="20% - Accent2 2 7 7" xfId="10384" xr:uid="{B3667418-875A-49D3-8170-636FA64777F7}"/>
    <cellStyle name="20% - Accent2 2 8" xfId="2273" xr:uid="{00000000-0005-0000-0000-0000EF000000}"/>
    <cellStyle name="20% - Accent2 2 8 2" xfId="6580" xr:uid="{00000000-0005-0000-0000-0000F0000000}"/>
    <cellStyle name="20% - Accent2 2 8 2 2" xfId="31879" xr:uid="{2D7F46D4-E291-4C48-BE37-A5862011034C}"/>
    <cellStyle name="20% - Accent2 2 8 2 3" xfId="23450" xr:uid="{88FF7020-6DC3-4AA5-8801-71086CFF7E5F}"/>
    <cellStyle name="20% - Accent2 2 8 2 4" xfId="40307" xr:uid="{6FC4FD09-7650-41B3-B111-EA0467BACD32}"/>
    <cellStyle name="20% - Accent2 2 8 2 5" xfId="15015" xr:uid="{E16AF6A1-8DC2-44B6-BC6A-1502EA53C58D}"/>
    <cellStyle name="20% - Accent2 2 8 3" xfId="27661" xr:uid="{614CF9DF-653B-438E-8500-72B84E363E7B}"/>
    <cellStyle name="20% - Accent2 2 8 4" xfId="19232" xr:uid="{8EB21EB7-6405-4D46-B223-8E2CDD7BD3F5}"/>
    <cellStyle name="20% - Accent2 2 8 5" xfId="36090" xr:uid="{4602A8D5-CEE1-498D-A397-88544FBDE6AB}"/>
    <cellStyle name="20% - Accent2 2 8 6" xfId="10797" xr:uid="{E5CAC10E-86C5-4DA3-8AB4-A3920A5015FB}"/>
    <cellStyle name="20% - Accent2 2 9" xfId="4514" xr:uid="{00000000-0005-0000-0000-0000F1000000}"/>
    <cellStyle name="20% - Accent2 2 9 2" xfId="29813" xr:uid="{81023D18-9FFC-4229-A2DF-C82DB62607F8}"/>
    <cellStyle name="20% - Accent2 2 9 3" xfId="21384" xr:uid="{40EB57E9-320D-42A3-8394-46A48E37A974}"/>
    <cellStyle name="20% - Accent2 2 9 4" xfId="38241" xr:uid="{73AE4729-1660-4BE0-B760-A9C146110647}"/>
    <cellStyle name="20% - Accent2 2 9 5" xfId="12949" xr:uid="{A9C2938E-E1CC-4D2E-A8D8-F87E7ADA9F1C}"/>
    <cellStyle name="20% - Accent2 3" xfId="14" xr:uid="{00000000-0005-0000-0000-0000F2000000}"/>
    <cellStyle name="20% - Accent2 3 10" xfId="17170" xr:uid="{7B6D5C9D-04CC-43E1-B82A-6206C6778204}"/>
    <cellStyle name="20% - Accent2 3 11" xfId="34028" xr:uid="{AB435863-AA5D-477E-8538-AC766879639B}"/>
    <cellStyle name="20% - Accent2 3 12" xfId="8735" xr:uid="{81204C4E-E430-4BB7-85D8-E320D7D9C503}"/>
    <cellStyle name="20% - Accent2 3 2" xfId="15" xr:uid="{00000000-0005-0000-0000-0000F3000000}"/>
    <cellStyle name="20% - Accent2 3 2 10" xfId="34029" xr:uid="{73293C76-3CD9-41C8-AED2-C0CB700C0CD2}"/>
    <cellStyle name="20% - Accent2 3 2 11" xfId="8736" xr:uid="{0A3D9056-0A03-4CF9-89E9-E47A7F0F2432}"/>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32377" xr:uid="{0C7B7FFB-B552-4B10-B3B7-B79BC3A6876D}"/>
    <cellStyle name="20% - Accent2 3 2 2 2 2 3" xfId="23948" xr:uid="{AB2E50EE-7234-49E5-8C25-F63B7A9BD7EE}"/>
    <cellStyle name="20% - Accent2 3 2 2 2 2 4" xfId="40805" xr:uid="{DC6C8B93-1FF3-4CFA-B21D-7BED79BF8D0E}"/>
    <cellStyle name="20% - Accent2 3 2 2 2 2 5" xfId="15513" xr:uid="{931E7D8C-5CDE-4D46-A849-FDFC00F73291}"/>
    <cellStyle name="20% - Accent2 3 2 2 2 3" xfId="28159" xr:uid="{0814E9DE-65C1-4A84-98B7-17F83A38C9E9}"/>
    <cellStyle name="20% - Accent2 3 2 2 2 4" xfId="19730" xr:uid="{C2DDDAA5-35D7-4485-9AD1-955F5843BE65}"/>
    <cellStyle name="20% - Accent2 3 2 2 2 5" xfId="36588" xr:uid="{F789A6BF-549C-418E-9286-11B48392E534}"/>
    <cellStyle name="20% - Accent2 3 2 2 2 6" xfId="11295" xr:uid="{AFCB749F-7A06-4923-8CA4-75511A6B1E96}"/>
    <cellStyle name="20% - Accent2 3 2 2 3" xfId="4933" xr:uid="{00000000-0005-0000-0000-0000F7000000}"/>
    <cellStyle name="20% - Accent2 3 2 2 3 2" xfId="30232" xr:uid="{262B0C93-9AD9-45CB-9532-08F5A98060E1}"/>
    <cellStyle name="20% - Accent2 3 2 2 3 3" xfId="21803" xr:uid="{720E651E-0AF0-4DA3-A313-47A0AA23F861}"/>
    <cellStyle name="20% - Accent2 3 2 2 3 4" xfId="38660" xr:uid="{3FC66157-B224-4ADE-B39F-C80A71167189}"/>
    <cellStyle name="20% - Accent2 3 2 2 3 5" xfId="13368" xr:uid="{9A3D3C68-8357-4A62-BA11-CBD48D586BEB}"/>
    <cellStyle name="20% - Accent2 3 2 2 4" xfId="26014" xr:uid="{A224D75F-3525-4D10-AF57-ECD24D8F4A16}"/>
    <cellStyle name="20% - Accent2 3 2 2 5" xfId="17585" xr:uid="{42684C84-693C-44FC-B847-5F6813185598}"/>
    <cellStyle name="20% - Accent2 3 2 2 6" xfId="34443" xr:uid="{98D21913-3AC8-427B-A52D-F46443D322BC}"/>
    <cellStyle name="20% - Accent2 3 2 2 7" xfId="9150" xr:uid="{C3881FB6-7137-403A-9D6F-2939AFA70D0C}"/>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32790" xr:uid="{5F6772BA-E774-4B67-8BFC-F6990673848C}"/>
    <cellStyle name="20% - Accent2 3 2 3 2 2 3" xfId="24361" xr:uid="{516717EE-AF86-4159-B329-8413DC8D1D34}"/>
    <cellStyle name="20% - Accent2 3 2 3 2 2 4" xfId="41218" xr:uid="{56AB3E82-AF36-4381-9AFA-2B426202F254}"/>
    <cellStyle name="20% - Accent2 3 2 3 2 2 5" xfId="15926" xr:uid="{EACB2B28-EC5D-4AA9-A806-2B58FD251751}"/>
    <cellStyle name="20% - Accent2 3 2 3 2 3" xfId="28572" xr:uid="{C23EAF38-4C92-42B6-A328-10945816735C}"/>
    <cellStyle name="20% - Accent2 3 2 3 2 4" xfId="20143" xr:uid="{239F0DF9-7E7D-4BE1-A482-AE1306713245}"/>
    <cellStyle name="20% - Accent2 3 2 3 2 5" xfId="37001" xr:uid="{5A398EE8-42E9-464C-B247-EBA56C28240C}"/>
    <cellStyle name="20% - Accent2 3 2 3 2 6" xfId="11708" xr:uid="{10919A58-F060-41B9-B29A-CDD3BA723CA4}"/>
    <cellStyle name="20% - Accent2 3 2 3 3" xfId="5346" xr:uid="{00000000-0005-0000-0000-0000FB000000}"/>
    <cellStyle name="20% - Accent2 3 2 3 3 2" xfId="30645" xr:uid="{35B5F3A0-8EDB-4C84-9654-68209E7CAA6B}"/>
    <cellStyle name="20% - Accent2 3 2 3 3 3" xfId="22216" xr:uid="{13D83027-DAA2-4EC4-941B-426B6E997C94}"/>
    <cellStyle name="20% - Accent2 3 2 3 3 4" xfId="39073" xr:uid="{07CBE3D2-B965-498A-A84E-BD05D9829287}"/>
    <cellStyle name="20% - Accent2 3 2 3 3 5" xfId="13781" xr:uid="{575D2F1A-FF06-4747-A716-66636B38C19C}"/>
    <cellStyle name="20% - Accent2 3 2 3 4" xfId="26427" xr:uid="{02404A19-5BBE-40DB-A3A1-4A3C438EC711}"/>
    <cellStyle name="20% - Accent2 3 2 3 5" xfId="17998" xr:uid="{05A501AF-8C7C-41EA-B670-F16126EF4E25}"/>
    <cellStyle name="20% - Accent2 3 2 3 6" xfId="34856" xr:uid="{E336A29A-45BA-4CAC-82D3-538EC2377406}"/>
    <cellStyle name="20% - Accent2 3 2 3 7" xfId="9563" xr:uid="{1A265396-779F-4119-BC8C-8F1ED9487B4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33203" xr:uid="{C21FC375-C140-4D6F-98BE-968450AB68BD}"/>
    <cellStyle name="20% - Accent2 3 2 4 2 2 3" xfId="24774" xr:uid="{964B2FBC-B6DB-426E-9538-F404BF04E910}"/>
    <cellStyle name="20% - Accent2 3 2 4 2 2 4" xfId="41631" xr:uid="{E2A1463A-5DAD-4641-82E8-D1C28B0DE3B7}"/>
    <cellStyle name="20% - Accent2 3 2 4 2 2 5" xfId="16339" xr:uid="{5345D789-D331-48CF-A8B0-FBFCCE1DDD9A}"/>
    <cellStyle name="20% - Accent2 3 2 4 2 3" xfId="28985" xr:uid="{E97F6A1A-DD6F-4F3E-B38F-7860321A79C2}"/>
    <cellStyle name="20% - Accent2 3 2 4 2 4" xfId="20556" xr:uid="{87E3E49B-F314-4F48-8FC4-FE88A49472D1}"/>
    <cellStyle name="20% - Accent2 3 2 4 2 5" xfId="37414" xr:uid="{B430878E-C72D-4298-8D6F-B840E66A1AD2}"/>
    <cellStyle name="20% - Accent2 3 2 4 2 6" xfId="12121" xr:uid="{83DC6BCC-3759-48B5-979E-C272F2908153}"/>
    <cellStyle name="20% - Accent2 3 2 4 3" xfId="5759" xr:uid="{00000000-0005-0000-0000-0000FF000000}"/>
    <cellStyle name="20% - Accent2 3 2 4 3 2" xfId="31058" xr:uid="{61F7F901-395E-45F6-A992-4DDD85F8A7B6}"/>
    <cellStyle name="20% - Accent2 3 2 4 3 3" xfId="22629" xr:uid="{21719F55-8CEA-49ED-BAFE-635B153D16A3}"/>
    <cellStyle name="20% - Accent2 3 2 4 3 4" xfId="39486" xr:uid="{FB283C7C-BB1A-4CA1-97C5-F41702B1CFCB}"/>
    <cellStyle name="20% - Accent2 3 2 4 3 5" xfId="14194" xr:uid="{992900F5-5D71-4C4E-B6B5-B5FFA17B5A63}"/>
    <cellStyle name="20% - Accent2 3 2 4 4" xfId="26840" xr:uid="{0F97614B-D1D4-4293-A4EB-7408BC29DC9F}"/>
    <cellStyle name="20% - Accent2 3 2 4 5" xfId="18411" xr:uid="{22D2F719-F971-4FA8-B9D8-C811234F0C74}"/>
    <cellStyle name="20% - Accent2 3 2 4 6" xfId="35269" xr:uid="{C4855B44-C1D8-4237-8E1A-73C40A2E4974}"/>
    <cellStyle name="20% - Accent2 3 2 4 7" xfId="9976" xr:uid="{1625F7B8-B35B-44EC-9BFD-B0B99859B11F}"/>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33616" xr:uid="{DB7E6E01-36AE-49E4-A477-97963AD07B1E}"/>
    <cellStyle name="20% - Accent2 3 2 5 2 2 3" xfId="25187" xr:uid="{9D2B43E0-D678-4BA5-8125-EA3B6CDD052A}"/>
    <cellStyle name="20% - Accent2 3 2 5 2 2 4" xfId="42044" xr:uid="{28760C19-1775-4671-82CB-33D6932CEB26}"/>
    <cellStyle name="20% - Accent2 3 2 5 2 2 5" xfId="16752" xr:uid="{12DFB592-5EAF-41CE-9E4D-DD558F3AE950}"/>
    <cellStyle name="20% - Accent2 3 2 5 2 3" xfId="29398" xr:uid="{5623BD17-6BA4-474B-88B2-3CF70617E7B0}"/>
    <cellStyle name="20% - Accent2 3 2 5 2 4" xfId="20969" xr:uid="{846D9F3F-C98C-4BA9-BF30-F9C1084725D6}"/>
    <cellStyle name="20% - Accent2 3 2 5 2 5" xfId="37827" xr:uid="{2EA08E2C-FAF7-4992-8E20-26FBD7D4B569}"/>
    <cellStyle name="20% - Accent2 3 2 5 2 6" xfId="12534" xr:uid="{3489CE16-2B92-4245-B6F1-C6F476C06479}"/>
    <cellStyle name="20% - Accent2 3 2 5 3" xfId="6172" xr:uid="{00000000-0005-0000-0000-000003010000}"/>
    <cellStyle name="20% - Accent2 3 2 5 3 2" xfId="31471" xr:uid="{2D2E0C56-68E4-490C-805E-31B07C5BE558}"/>
    <cellStyle name="20% - Accent2 3 2 5 3 3" xfId="23042" xr:uid="{9F82EBE8-6AD5-4C64-8924-A0F4AA17B642}"/>
    <cellStyle name="20% - Accent2 3 2 5 3 4" xfId="39899" xr:uid="{447CCC62-CDF0-4B50-AFED-A75CCB12008A}"/>
    <cellStyle name="20% - Accent2 3 2 5 3 5" xfId="14607" xr:uid="{96B245B1-B868-47B5-89A3-49091C57C8F5}"/>
    <cellStyle name="20% - Accent2 3 2 5 4" xfId="27253" xr:uid="{CE554F44-7EAD-45E2-9571-1ADCFA147C35}"/>
    <cellStyle name="20% - Accent2 3 2 5 5" xfId="18824" xr:uid="{55E66049-70CE-4B5E-9F38-89446FEC5123}"/>
    <cellStyle name="20% - Accent2 3 2 5 6" xfId="35682" xr:uid="{D9C48C06-0A1D-406B-BB89-00DBA28BEB75}"/>
    <cellStyle name="20% - Accent2 3 2 5 7" xfId="10389" xr:uid="{04390825-43E1-4987-B06A-6EADE8629427}"/>
    <cellStyle name="20% - Accent2 3 2 6" xfId="2278" xr:uid="{00000000-0005-0000-0000-000004010000}"/>
    <cellStyle name="20% - Accent2 3 2 6 2" xfId="6585" xr:uid="{00000000-0005-0000-0000-000005010000}"/>
    <cellStyle name="20% - Accent2 3 2 6 2 2" xfId="31884" xr:uid="{174B5E5A-9463-4632-A4AE-D8A4E0789ED7}"/>
    <cellStyle name="20% - Accent2 3 2 6 2 3" xfId="23455" xr:uid="{6209BE3D-6209-4570-A266-6AD2595731EC}"/>
    <cellStyle name="20% - Accent2 3 2 6 2 4" xfId="40312" xr:uid="{1F9EEA01-7BC5-4F80-BEFD-FCACEAA7FF49}"/>
    <cellStyle name="20% - Accent2 3 2 6 2 5" xfId="15020" xr:uid="{B0A68EFA-AE4E-43E4-9633-D43E126F30E1}"/>
    <cellStyle name="20% - Accent2 3 2 6 3" xfId="27666" xr:uid="{0B75D815-77BA-4ACB-BF81-00699EF43FC5}"/>
    <cellStyle name="20% - Accent2 3 2 6 4" xfId="19237" xr:uid="{BBC198EA-61C3-4159-A92E-170DA403EC11}"/>
    <cellStyle name="20% - Accent2 3 2 6 5" xfId="36095" xr:uid="{BBC907C5-1121-43BD-8C9E-1D9788261039}"/>
    <cellStyle name="20% - Accent2 3 2 6 6" xfId="10802" xr:uid="{99112591-BF1A-4C94-B6C9-06F8109A3AB3}"/>
    <cellStyle name="20% - Accent2 3 2 7" xfId="4519" xr:uid="{00000000-0005-0000-0000-000006010000}"/>
    <cellStyle name="20% - Accent2 3 2 7 2" xfId="29818" xr:uid="{48749CAA-E18D-4E5B-AB11-2CAE37C28E23}"/>
    <cellStyle name="20% - Accent2 3 2 7 3" xfId="21389" xr:uid="{6BE5CE1A-74F5-4DBC-A100-91FB6EB22B75}"/>
    <cellStyle name="20% - Accent2 3 2 7 4" xfId="38246" xr:uid="{E78DE0CF-2A52-491D-9A4A-DB12B36FDB6A}"/>
    <cellStyle name="20% - Accent2 3 2 7 5" xfId="12954" xr:uid="{4AE742B8-8C51-40A0-963D-D9B100B0ECC7}"/>
    <cellStyle name="20% - Accent2 3 2 8" xfId="25600" xr:uid="{14DCF436-8685-429F-9D86-657B2406BEED}"/>
    <cellStyle name="20% - Accent2 3 2 9" xfId="17171" xr:uid="{8514E6F6-B18E-4694-A5D9-513C937B721F}"/>
    <cellStyle name="20% - Accent2 3 3" xfId="583" xr:uid="{00000000-0005-0000-0000-000007010000}"/>
    <cellStyle name="20% - Accent2 3 3 2" xfId="2854" xr:uid="{00000000-0005-0000-0000-000008010000}"/>
    <cellStyle name="20% - Accent2 3 3 2 2" xfId="7077" xr:uid="{00000000-0005-0000-0000-000009010000}"/>
    <cellStyle name="20% - Accent2 3 3 2 2 2" xfId="32376" xr:uid="{0E2182E2-9C19-4FBC-8A2B-5ED23AD535C6}"/>
    <cellStyle name="20% - Accent2 3 3 2 2 3" xfId="23947" xr:uid="{26DCDA7C-018E-4777-9903-D875738A2CDD}"/>
    <cellStyle name="20% - Accent2 3 3 2 2 4" xfId="40804" xr:uid="{DAACCF03-1478-44D1-9E8A-CAAF171E5DA5}"/>
    <cellStyle name="20% - Accent2 3 3 2 2 5" xfId="15512" xr:uid="{BAF3C24F-E958-4C9E-8FB1-66CB7953EE37}"/>
    <cellStyle name="20% - Accent2 3 3 2 3" xfId="28158" xr:uid="{A958FFDF-27A6-4E1F-9145-A77C308634B9}"/>
    <cellStyle name="20% - Accent2 3 3 2 4" xfId="19729" xr:uid="{9B9BEF80-21CB-4426-85E3-5F8DE4464CFE}"/>
    <cellStyle name="20% - Accent2 3 3 2 5" xfId="36587" xr:uid="{229A2BB9-0733-40F7-B2B1-6E8EA93055B0}"/>
    <cellStyle name="20% - Accent2 3 3 2 6" xfId="11294" xr:uid="{8DC0FB62-D855-450B-A971-7756FFFF0D78}"/>
    <cellStyle name="20% - Accent2 3 3 3" xfId="4932" xr:uid="{00000000-0005-0000-0000-00000A010000}"/>
    <cellStyle name="20% - Accent2 3 3 3 2" xfId="30231" xr:uid="{DA00871F-D413-4ED9-9DC4-9C6E480EB284}"/>
    <cellStyle name="20% - Accent2 3 3 3 3" xfId="21802" xr:uid="{B938E5F4-FF3E-46CA-811C-2A8EC85248CC}"/>
    <cellStyle name="20% - Accent2 3 3 3 4" xfId="38659" xr:uid="{2700EFC7-3D13-49FB-9457-F5F929A03B5D}"/>
    <cellStyle name="20% - Accent2 3 3 3 5" xfId="13367" xr:uid="{7F3E69D4-7B89-43CE-B1D1-84065780B82E}"/>
    <cellStyle name="20% - Accent2 3 3 4" xfId="26013" xr:uid="{9B39EBB1-9EF7-4791-AE22-86743F64F9B1}"/>
    <cellStyle name="20% - Accent2 3 3 5" xfId="17584" xr:uid="{1E635210-CD01-40AB-933A-DFABBB9C8DE2}"/>
    <cellStyle name="20% - Accent2 3 3 6" xfId="34442" xr:uid="{E1B79C9A-D67A-4142-BB1F-DF3C5C145802}"/>
    <cellStyle name="20% - Accent2 3 3 7" xfId="9149" xr:uid="{D33A8682-DB12-4585-B45F-CE2FC3F58779}"/>
    <cellStyle name="20% - Accent2 3 4" xfId="1036" xr:uid="{00000000-0005-0000-0000-00000B010000}"/>
    <cellStyle name="20% - Accent2 3 4 2" xfId="3267" xr:uid="{00000000-0005-0000-0000-00000C010000}"/>
    <cellStyle name="20% - Accent2 3 4 2 2" xfId="7490" xr:uid="{00000000-0005-0000-0000-00000D010000}"/>
    <cellStyle name="20% - Accent2 3 4 2 2 2" xfId="32789" xr:uid="{3C86271B-38FF-41A7-951E-2443E54A8D05}"/>
    <cellStyle name="20% - Accent2 3 4 2 2 3" xfId="24360" xr:uid="{E597276E-7FAB-424D-B38A-A48BBDEC4E89}"/>
    <cellStyle name="20% - Accent2 3 4 2 2 4" xfId="41217" xr:uid="{CF95BEF6-FE44-42A8-96FE-9C8853D33D6C}"/>
    <cellStyle name="20% - Accent2 3 4 2 2 5" xfId="15925" xr:uid="{8D061EE7-B64E-40EF-B796-E3480F8878E0}"/>
    <cellStyle name="20% - Accent2 3 4 2 3" xfId="28571" xr:uid="{1E95FAD2-57AC-4E5B-B17A-06D95CEE0CF6}"/>
    <cellStyle name="20% - Accent2 3 4 2 4" xfId="20142" xr:uid="{6C779F48-AA00-461F-B4CE-31636989A076}"/>
    <cellStyle name="20% - Accent2 3 4 2 5" xfId="37000" xr:uid="{CD2360F1-9BAB-4CB4-9432-563524FAD08D}"/>
    <cellStyle name="20% - Accent2 3 4 2 6" xfId="11707" xr:uid="{B9AE4E42-0382-4BE9-8C73-9121257AA30C}"/>
    <cellStyle name="20% - Accent2 3 4 3" xfId="5345" xr:uid="{00000000-0005-0000-0000-00000E010000}"/>
    <cellStyle name="20% - Accent2 3 4 3 2" xfId="30644" xr:uid="{B34D1DE6-7BF7-48C0-9CF8-D772C84C30B9}"/>
    <cellStyle name="20% - Accent2 3 4 3 3" xfId="22215" xr:uid="{FD223CB3-0E4F-4015-B9B8-EE7AE503A2F6}"/>
    <cellStyle name="20% - Accent2 3 4 3 4" xfId="39072" xr:uid="{72D9EF02-EB79-4B3E-9C5F-8C38470B9015}"/>
    <cellStyle name="20% - Accent2 3 4 3 5" xfId="13780" xr:uid="{8EB582DA-EDAB-46A5-9B74-8A0E3692940C}"/>
    <cellStyle name="20% - Accent2 3 4 4" xfId="26426" xr:uid="{5802FF67-CFE1-4B0A-B251-503A76E81474}"/>
    <cellStyle name="20% - Accent2 3 4 5" xfId="17997" xr:uid="{EBF4372A-2883-4BA1-823C-C12389574469}"/>
    <cellStyle name="20% - Accent2 3 4 6" xfId="34855" xr:uid="{39927E83-3EC2-4826-9EA2-4D8E00383E7E}"/>
    <cellStyle name="20% - Accent2 3 4 7" xfId="9562" xr:uid="{F8AAF2A6-5092-4897-BE08-33E4FC8185B1}"/>
    <cellStyle name="20% - Accent2 3 5" xfId="1450" xr:uid="{00000000-0005-0000-0000-00000F010000}"/>
    <cellStyle name="20% - Accent2 3 5 2" xfId="3680" xr:uid="{00000000-0005-0000-0000-000010010000}"/>
    <cellStyle name="20% - Accent2 3 5 2 2" xfId="7903" xr:uid="{00000000-0005-0000-0000-000011010000}"/>
    <cellStyle name="20% - Accent2 3 5 2 2 2" xfId="33202" xr:uid="{F9C72697-08A1-4996-8FAF-2BC7A9A50495}"/>
    <cellStyle name="20% - Accent2 3 5 2 2 3" xfId="24773" xr:uid="{480A3BFB-E04E-480F-8CD0-8AF68D0E8612}"/>
    <cellStyle name="20% - Accent2 3 5 2 2 4" xfId="41630" xr:uid="{50EA9119-3DD7-4F97-A7A5-FB5A03DADAE4}"/>
    <cellStyle name="20% - Accent2 3 5 2 2 5" xfId="16338" xr:uid="{7A11AC6E-47BE-4A24-9EE0-73FF8DD17B11}"/>
    <cellStyle name="20% - Accent2 3 5 2 3" xfId="28984" xr:uid="{01E9BF3F-4167-4850-BBAA-B39F1362D035}"/>
    <cellStyle name="20% - Accent2 3 5 2 4" xfId="20555" xr:uid="{CE40B501-F843-456F-BD56-E5E1A22D0C85}"/>
    <cellStyle name="20% - Accent2 3 5 2 5" xfId="37413" xr:uid="{31CAD891-3294-4496-904A-74C6E9BAEA8D}"/>
    <cellStyle name="20% - Accent2 3 5 2 6" xfId="12120" xr:uid="{A577F973-24CE-4E40-BCE0-40F63922E6A0}"/>
    <cellStyle name="20% - Accent2 3 5 3" xfId="5758" xr:uid="{00000000-0005-0000-0000-000012010000}"/>
    <cellStyle name="20% - Accent2 3 5 3 2" xfId="31057" xr:uid="{A29B9383-A6AF-40D9-A2CE-E53BEE326950}"/>
    <cellStyle name="20% - Accent2 3 5 3 3" xfId="22628" xr:uid="{17AF9E5D-0B5F-448C-9779-4ADA1AD978C8}"/>
    <cellStyle name="20% - Accent2 3 5 3 4" xfId="39485" xr:uid="{81432CC4-5F8B-45D2-8960-56E784D67E54}"/>
    <cellStyle name="20% - Accent2 3 5 3 5" xfId="14193" xr:uid="{D60D877A-131D-45FC-89CA-066A3B0A7E62}"/>
    <cellStyle name="20% - Accent2 3 5 4" xfId="26839" xr:uid="{6E308BA2-781E-4BF9-BD3C-9027B13D5139}"/>
    <cellStyle name="20% - Accent2 3 5 5" xfId="18410" xr:uid="{8F0BA4D0-ABC9-43F7-8C95-2BEAE0989314}"/>
    <cellStyle name="20% - Accent2 3 5 6" xfId="35268" xr:uid="{B17EBB4F-3785-418D-911B-EC31D1111F6D}"/>
    <cellStyle name="20% - Accent2 3 5 7" xfId="9975" xr:uid="{5285408C-A03D-4DB9-AC00-C9E4610F84F5}"/>
    <cellStyle name="20% - Accent2 3 6" xfId="1864" xr:uid="{00000000-0005-0000-0000-000013010000}"/>
    <cellStyle name="20% - Accent2 3 6 2" xfId="4093" xr:uid="{00000000-0005-0000-0000-000014010000}"/>
    <cellStyle name="20% - Accent2 3 6 2 2" xfId="8316" xr:uid="{00000000-0005-0000-0000-000015010000}"/>
    <cellStyle name="20% - Accent2 3 6 2 2 2" xfId="33615" xr:uid="{B38AAA08-E4F1-4E7E-A240-A932FA566972}"/>
    <cellStyle name="20% - Accent2 3 6 2 2 3" xfId="25186" xr:uid="{5E858165-5F6E-4DA7-9384-150F49DCB5BD}"/>
    <cellStyle name="20% - Accent2 3 6 2 2 4" xfId="42043" xr:uid="{ECB767C4-651B-46EF-9976-EBACB58EF5FA}"/>
    <cellStyle name="20% - Accent2 3 6 2 2 5" xfId="16751" xr:uid="{ADFB9B72-34A2-47EF-9092-C2B9A6D8394B}"/>
    <cellStyle name="20% - Accent2 3 6 2 3" xfId="29397" xr:uid="{68473FB4-C4D2-4C5B-A883-FFE1F21C0191}"/>
    <cellStyle name="20% - Accent2 3 6 2 4" xfId="20968" xr:uid="{CD0D70A6-DA73-4AD3-B794-676B4E9B646C}"/>
    <cellStyle name="20% - Accent2 3 6 2 5" xfId="37826" xr:uid="{BB39B315-F091-4ACC-A9BF-20E8A85E426B}"/>
    <cellStyle name="20% - Accent2 3 6 2 6" xfId="12533" xr:uid="{A5D76B53-CC1F-49A4-93D4-D77B3181C530}"/>
    <cellStyle name="20% - Accent2 3 6 3" xfId="6171" xr:uid="{00000000-0005-0000-0000-000016010000}"/>
    <cellStyle name="20% - Accent2 3 6 3 2" xfId="31470" xr:uid="{AB51E105-0470-4B3D-85F7-CFAE77310B5F}"/>
    <cellStyle name="20% - Accent2 3 6 3 3" xfId="23041" xr:uid="{5932F705-395C-4467-B2DE-B25A40CA8AA5}"/>
    <cellStyle name="20% - Accent2 3 6 3 4" xfId="39898" xr:uid="{B91FA5E8-42F3-48D2-BD8B-340709E26E0F}"/>
    <cellStyle name="20% - Accent2 3 6 3 5" xfId="14606" xr:uid="{90BDC988-2D36-4FD5-B4A6-04A918E9419B}"/>
    <cellStyle name="20% - Accent2 3 6 4" xfId="27252" xr:uid="{C3E52232-47A8-4C0B-A733-15B5A8BFBCBA}"/>
    <cellStyle name="20% - Accent2 3 6 5" xfId="18823" xr:uid="{C254BC0F-04CE-49D7-B152-8FB015B4317A}"/>
    <cellStyle name="20% - Accent2 3 6 6" xfId="35681" xr:uid="{CC20225A-141A-4A2B-9DC9-4FA6853FA030}"/>
    <cellStyle name="20% - Accent2 3 6 7" xfId="10388" xr:uid="{FE3A4BAC-8343-4E78-8D8E-78B891005C7F}"/>
    <cellStyle name="20% - Accent2 3 7" xfId="2277" xr:uid="{00000000-0005-0000-0000-000017010000}"/>
    <cellStyle name="20% - Accent2 3 7 2" xfId="6584" xr:uid="{00000000-0005-0000-0000-000018010000}"/>
    <cellStyle name="20% - Accent2 3 7 2 2" xfId="31883" xr:uid="{C058ABA6-1060-4C28-9818-A42720FC4E7A}"/>
    <cellStyle name="20% - Accent2 3 7 2 3" xfId="23454" xr:uid="{0A4F1E42-79EC-4526-98D7-257F655A4E74}"/>
    <cellStyle name="20% - Accent2 3 7 2 4" xfId="40311" xr:uid="{4D332B5D-85A0-413B-8A06-96AB3853002F}"/>
    <cellStyle name="20% - Accent2 3 7 2 5" xfId="15019" xr:uid="{1B67046C-1D55-406F-B070-ED22F26558C3}"/>
    <cellStyle name="20% - Accent2 3 7 3" xfId="27665" xr:uid="{D212B35B-5AAE-45F5-ABF9-C6A2F7FE2DD4}"/>
    <cellStyle name="20% - Accent2 3 7 4" xfId="19236" xr:uid="{3B903C77-3FBD-4CF4-95C7-9B8AE05638B6}"/>
    <cellStyle name="20% - Accent2 3 7 5" xfId="36094" xr:uid="{7EEDCE17-579B-4E15-93A4-ED1CB3C3497F}"/>
    <cellStyle name="20% - Accent2 3 7 6" xfId="10801" xr:uid="{7EED0442-1451-4225-8615-21A41366963C}"/>
    <cellStyle name="20% - Accent2 3 8" xfId="4518" xr:uid="{00000000-0005-0000-0000-000019010000}"/>
    <cellStyle name="20% - Accent2 3 8 2" xfId="29817" xr:uid="{1505782A-7812-4903-85C9-892B444F0418}"/>
    <cellStyle name="20% - Accent2 3 8 3" xfId="21388" xr:uid="{37C66886-0671-47E1-8086-9FEBB3813A4B}"/>
    <cellStyle name="20% - Accent2 3 8 4" xfId="38245" xr:uid="{5CD2B9FC-77E4-414F-BD3B-A34A5A9F64BB}"/>
    <cellStyle name="20% - Accent2 3 8 5" xfId="12953" xr:uid="{B0E7E324-D012-463B-9B7A-737E1A2D22CD}"/>
    <cellStyle name="20% - Accent2 3 9" xfId="25599" xr:uid="{0E9C8BA6-E55A-4BAB-867E-0679873E9E43}"/>
    <cellStyle name="20% - Accent2 4" xfId="16" xr:uid="{00000000-0005-0000-0000-00001A010000}"/>
    <cellStyle name="20% - Accent2 4 10" xfId="34030" xr:uid="{3F950729-50C9-49C8-A2FD-39BCA94120E7}"/>
    <cellStyle name="20% - Accent2 4 11" xfId="8737" xr:uid="{47E4FCD0-037C-4395-8168-1D2CA9E506A5}"/>
    <cellStyle name="20% - Accent2 4 2" xfId="585" xr:uid="{00000000-0005-0000-0000-00001B010000}"/>
    <cellStyle name="20% - Accent2 4 2 2" xfId="2856" xr:uid="{00000000-0005-0000-0000-00001C010000}"/>
    <cellStyle name="20% - Accent2 4 2 2 2" xfId="7079" xr:uid="{00000000-0005-0000-0000-00001D010000}"/>
    <cellStyle name="20% - Accent2 4 2 2 2 2" xfId="32378" xr:uid="{70819E49-6AD9-4248-BBCD-01DA7B5FF792}"/>
    <cellStyle name="20% - Accent2 4 2 2 2 3" xfId="23949" xr:uid="{92357256-9A95-4818-8586-9AEEC2B4877C}"/>
    <cellStyle name="20% - Accent2 4 2 2 2 4" xfId="40806" xr:uid="{4E02853F-5473-4D33-B691-1E54FAD344DC}"/>
    <cellStyle name="20% - Accent2 4 2 2 2 5" xfId="15514" xr:uid="{0FC00D2B-9961-4FC6-A3D6-C3E2674862E3}"/>
    <cellStyle name="20% - Accent2 4 2 2 3" xfId="28160" xr:uid="{F99A24EB-B177-402B-A796-2F7ACEA24363}"/>
    <cellStyle name="20% - Accent2 4 2 2 4" xfId="19731" xr:uid="{A215E96A-083D-46CF-B3A9-E0900DAEE108}"/>
    <cellStyle name="20% - Accent2 4 2 2 5" xfId="36589" xr:uid="{FF3D1799-93D7-459F-938E-5D8187EA80CF}"/>
    <cellStyle name="20% - Accent2 4 2 2 6" xfId="11296" xr:uid="{6AD86ADF-3647-4CAE-9D09-731D47BD620E}"/>
    <cellStyle name="20% - Accent2 4 2 3" xfId="4934" xr:uid="{00000000-0005-0000-0000-00001E010000}"/>
    <cellStyle name="20% - Accent2 4 2 3 2" xfId="30233" xr:uid="{F03EC27C-EC7F-4014-BFA8-D3A5A21EA45F}"/>
    <cellStyle name="20% - Accent2 4 2 3 3" xfId="21804" xr:uid="{67672663-9A76-4C27-84B7-8C7D6E902BE4}"/>
    <cellStyle name="20% - Accent2 4 2 3 4" xfId="38661" xr:uid="{BFB23307-8F2E-4BBF-A6F3-F766F22E1DE4}"/>
    <cellStyle name="20% - Accent2 4 2 3 5" xfId="13369" xr:uid="{908AD57E-DA89-4F64-9B5B-E17C42315487}"/>
    <cellStyle name="20% - Accent2 4 2 4" xfId="26015" xr:uid="{02464AEC-2BE0-482D-98ED-859A5EE9D58A}"/>
    <cellStyle name="20% - Accent2 4 2 5" xfId="17586" xr:uid="{BF4D51C9-BCA5-4E22-BBCD-1D72A73770DC}"/>
    <cellStyle name="20% - Accent2 4 2 6" xfId="34444" xr:uid="{4B8DA919-DE6C-4C7C-917C-D5C4C873DE8D}"/>
    <cellStyle name="20% - Accent2 4 2 7" xfId="9151" xr:uid="{DC04C5D5-C5B7-434F-89CC-E72236D22AF2}"/>
    <cellStyle name="20% - Accent2 4 3" xfId="1038" xr:uid="{00000000-0005-0000-0000-00001F010000}"/>
    <cellStyle name="20% - Accent2 4 3 2" xfId="3269" xr:uid="{00000000-0005-0000-0000-000020010000}"/>
    <cellStyle name="20% - Accent2 4 3 2 2" xfId="7492" xr:uid="{00000000-0005-0000-0000-000021010000}"/>
    <cellStyle name="20% - Accent2 4 3 2 2 2" xfId="32791" xr:uid="{CBEC0AAD-02FD-4381-95DB-1B6ADDA6B439}"/>
    <cellStyle name="20% - Accent2 4 3 2 2 3" xfId="24362" xr:uid="{7B12DA4B-333E-436F-967C-C518437050CD}"/>
    <cellStyle name="20% - Accent2 4 3 2 2 4" xfId="41219" xr:uid="{FB63A5B6-B8ED-448D-9424-71838E6D06A1}"/>
    <cellStyle name="20% - Accent2 4 3 2 2 5" xfId="15927" xr:uid="{0E1234C5-77FD-457F-BED5-F511F2E03798}"/>
    <cellStyle name="20% - Accent2 4 3 2 3" xfId="28573" xr:uid="{67575756-882B-4CB9-BABF-FA8C11711EDA}"/>
    <cellStyle name="20% - Accent2 4 3 2 4" xfId="20144" xr:uid="{9F63F49D-E2DC-4F70-A2CE-DDC5307082AE}"/>
    <cellStyle name="20% - Accent2 4 3 2 5" xfId="37002" xr:uid="{A8D651BD-1B20-4623-8D2E-02B3444DF081}"/>
    <cellStyle name="20% - Accent2 4 3 2 6" xfId="11709" xr:uid="{4D4C79D0-EC72-4F0A-A2B3-DA20116C3E27}"/>
    <cellStyle name="20% - Accent2 4 3 3" xfId="5347" xr:uid="{00000000-0005-0000-0000-000022010000}"/>
    <cellStyle name="20% - Accent2 4 3 3 2" xfId="30646" xr:uid="{A013A8CC-ACC5-4ACF-983B-35AC06E2E7D5}"/>
    <cellStyle name="20% - Accent2 4 3 3 3" xfId="22217" xr:uid="{16D22D00-0B29-4B4C-B7C9-D477291A7038}"/>
    <cellStyle name="20% - Accent2 4 3 3 4" xfId="39074" xr:uid="{78499CFE-38E0-41CA-A29F-07DFDA42BFA0}"/>
    <cellStyle name="20% - Accent2 4 3 3 5" xfId="13782" xr:uid="{5ED5CAA1-4D5B-4992-B913-8E2EDFAE5A55}"/>
    <cellStyle name="20% - Accent2 4 3 4" xfId="26428" xr:uid="{939631C5-DDF1-404B-98C4-0AC5939B09A3}"/>
    <cellStyle name="20% - Accent2 4 3 5" xfId="17999" xr:uid="{10196763-3A97-4970-B0E5-DF2E3A604C27}"/>
    <cellStyle name="20% - Accent2 4 3 6" xfId="34857" xr:uid="{BCDB0C43-A393-4C9D-AC44-C711BB611A64}"/>
    <cellStyle name="20% - Accent2 4 3 7" xfId="9564" xr:uid="{9E565128-600D-4AA9-8FE5-15F1544F21C6}"/>
    <cellStyle name="20% - Accent2 4 4" xfId="1452" xr:uid="{00000000-0005-0000-0000-000023010000}"/>
    <cellStyle name="20% - Accent2 4 4 2" xfId="3682" xr:uid="{00000000-0005-0000-0000-000024010000}"/>
    <cellStyle name="20% - Accent2 4 4 2 2" xfId="7905" xr:uid="{00000000-0005-0000-0000-000025010000}"/>
    <cellStyle name="20% - Accent2 4 4 2 2 2" xfId="33204" xr:uid="{2E3AA8E0-A957-4915-B73F-789680E57D43}"/>
    <cellStyle name="20% - Accent2 4 4 2 2 3" xfId="24775" xr:uid="{35E6A901-B53B-49D5-9417-6449CAE55AA5}"/>
    <cellStyle name="20% - Accent2 4 4 2 2 4" xfId="41632" xr:uid="{4700B201-1EAD-43B0-A94F-18131527DA48}"/>
    <cellStyle name="20% - Accent2 4 4 2 2 5" xfId="16340" xr:uid="{5C76A4CD-0754-4168-B300-936ABC381BB4}"/>
    <cellStyle name="20% - Accent2 4 4 2 3" xfId="28986" xr:uid="{231FCC68-229C-4F43-97D5-2DBFA6B38267}"/>
    <cellStyle name="20% - Accent2 4 4 2 4" xfId="20557" xr:uid="{7119B4A6-72A9-4365-8D73-752B5DAB1016}"/>
    <cellStyle name="20% - Accent2 4 4 2 5" xfId="37415" xr:uid="{ECD9A887-65E9-4C7D-9DC8-2B9D7DA9DED3}"/>
    <cellStyle name="20% - Accent2 4 4 2 6" xfId="12122" xr:uid="{5713959D-3E9B-46C1-A475-321DCC20FBCB}"/>
    <cellStyle name="20% - Accent2 4 4 3" xfId="5760" xr:uid="{00000000-0005-0000-0000-000026010000}"/>
    <cellStyle name="20% - Accent2 4 4 3 2" xfId="31059" xr:uid="{C1577660-E5BD-4A44-90B7-38ABE169A32E}"/>
    <cellStyle name="20% - Accent2 4 4 3 3" xfId="22630" xr:uid="{93827516-981E-41CA-BE27-538E6B5C46D7}"/>
    <cellStyle name="20% - Accent2 4 4 3 4" xfId="39487" xr:uid="{9876ED5B-4A9A-431C-8902-383C4EA3563B}"/>
    <cellStyle name="20% - Accent2 4 4 3 5" xfId="14195" xr:uid="{A48BA23A-32B3-408E-A1B3-6D363ACACD2A}"/>
    <cellStyle name="20% - Accent2 4 4 4" xfId="26841" xr:uid="{3255CD6E-4364-439F-A757-291D09F6B0F2}"/>
    <cellStyle name="20% - Accent2 4 4 5" xfId="18412" xr:uid="{E156338A-570A-44CA-8FD4-722077297D08}"/>
    <cellStyle name="20% - Accent2 4 4 6" xfId="35270" xr:uid="{5602F2A2-D9F5-495D-B069-1C54E2CA2415}"/>
    <cellStyle name="20% - Accent2 4 4 7" xfId="9977" xr:uid="{41844961-19C6-4BD2-BA64-994E345AEA69}"/>
    <cellStyle name="20% - Accent2 4 5" xfId="1866" xr:uid="{00000000-0005-0000-0000-000027010000}"/>
    <cellStyle name="20% - Accent2 4 5 2" xfId="4095" xr:uid="{00000000-0005-0000-0000-000028010000}"/>
    <cellStyle name="20% - Accent2 4 5 2 2" xfId="8318" xr:uid="{00000000-0005-0000-0000-000029010000}"/>
    <cellStyle name="20% - Accent2 4 5 2 2 2" xfId="33617" xr:uid="{33DF4326-7177-4128-A9B8-8A44B67B9B26}"/>
    <cellStyle name="20% - Accent2 4 5 2 2 3" xfId="25188" xr:uid="{3554F32F-A6B5-4B49-813E-6A4102E136CB}"/>
    <cellStyle name="20% - Accent2 4 5 2 2 4" xfId="42045" xr:uid="{86948735-D71F-41A1-929B-B0EE8A44F65D}"/>
    <cellStyle name="20% - Accent2 4 5 2 2 5" xfId="16753" xr:uid="{0363B742-D059-4B6D-8806-43122670882C}"/>
    <cellStyle name="20% - Accent2 4 5 2 3" xfId="29399" xr:uid="{0F66002A-BF05-466C-ABEE-59A2EE3A9FEC}"/>
    <cellStyle name="20% - Accent2 4 5 2 4" xfId="20970" xr:uid="{D3465E4F-5977-4BF1-9EFD-2352AD00C703}"/>
    <cellStyle name="20% - Accent2 4 5 2 5" xfId="37828" xr:uid="{6FCBE982-5A08-41FD-B2CB-633A54A75D6C}"/>
    <cellStyle name="20% - Accent2 4 5 2 6" xfId="12535" xr:uid="{677D6FC7-68F0-4422-B34E-647419B0CCBD}"/>
    <cellStyle name="20% - Accent2 4 5 3" xfId="6173" xr:uid="{00000000-0005-0000-0000-00002A010000}"/>
    <cellStyle name="20% - Accent2 4 5 3 2" xfId="31472" xr:uid="{43DF6B76-B08E-45D4-9EB9-81167961C051}"/>
    <cellStyle name="20% - Accent2 4 5 3 3" xfId="23043" xr:uid="{8D69DAFF-710B-4A85-9BEA-A916F697C260}"/>
    <cellStyle name="20% - Accent2 4 5 3 4" xfId="39900" xr:uid="{44E95AD8-86A5-4814-A814-186F1261AB76}"/>
    <cellStyle name="20% - Accent2 4 5 3 5" xfId="14608" xr:uid="{979EB691-0722-4E23-AAE8-BD4792CD46ED}"/>
    <cellStyle name="20% - Accent2 4 5 4" xfId="27254" xr:uid="{052526B7-3E1F-4CAD-B000-0A16218DA778}"/>
    <cellStyle name="20% - Accent2 4 5 5" xfId="18825" xr:uid="{E4675701-6635-4B18-9233-B25105940351}"/>
    <cellStyle name="20% - Accent2 4 5 6" xfId="35683" xr:uid="{C19115A2-EDA4-43E1-A068-A711E5E6D26A}"/>
    <cellStyle name="20% - Accent2 4 5 7" xfId="10390" xr:uid="{FA3300B9-2CDC-4838-9E5D-38A06D734A60}"/>
    <cellStyle name="20% - Accent2 4 6" xfId="2279" xr:uid="{00000000-0005-0000-0000-00002B010000}"/>
    <cellStyle name="20% - Accent2 4 6 2" xfId="6586" xr:uid="{00000000-0005-0000-0000-00002C010000}"/>
    <cellStyle name="20% - Accent2 4 6 2 2" xfId="31885" xr:uid="{D54F6462-DA21-4E91-B09D-C0F01103231D}"/>
    <cellStyle name="20% - Accent2 4 6 2 3" xfId="23456" xr:uid="{B90710CB-CAF1-47BF-973B-FF95911FEF7D}"/>
    <cellStyle name="20% - Accent2 4 6 2 4" xfId="40313" xr:uid="{28D82E6E-4B81-4F66-9A9C-1AA6147A0F22}"/>
    <cellStyle name="20% - Accent2 4 6 2 5" xfId="15021" xr:uid="{D6ED190A-199A-4BDC-883E-047AC9CCB2F6}"/>
    <cellStyle name="20% - Accent2 4 6 3" xfId="27667" xr:uid="{51C68A57-F93F-4420-8A38-7A73CB888D37}"/>
    <cellStyle name="20% - Accent2 4 6 4" xfId="19238" xr:uid="{49D9CA99-D806-4831-B032-BECF1AE7195D}"/>
    <cellStyle name="20% - Accent2 4 6 5" xfId="36096" xr:uid="{FBFD4A7F-28DA-49AA-83B6-4B3CCC1A9B0F}"/>
    <cellStyle name="20% - Accent2 4 6 6" xfId="10803" xr:uid="{81C1FFBC-D162-4B1F-A3E4-37B78B5CE2B4}"/>
    <cellStyle name="20% - Accent2 4 7" xfId="4520" xr:uid="{00000000-0005-0000-0000-00002D010000}"/>
    <cellStyle name="20% - Accent2 4 7 2" xfId="29819" xr:uid="{1520B9F2-3393-4D4E-A04C-D2819760A593}"/>
    <cellStyle name="20% - Accent2 4 7 3" xfId="21390" xr:uid="{6BB4F6ED-47F4-4601-9C0E-DDEEF5B08DE1}"/>
    <cellStyle name="20% - Accent2 4 7 4" xfId="38247" xr:uid="{A33BB14B-5009-49E4-96CF-F4281719471D}"/>
    <cellStyle name="20% - Accent2 4 7 5" xfId="12955" xr:uid="{F45A6F50-0A1F-4DD1-B61A-6080D1BC3F5E}"/>
    <cellStyle name="20% - Accent2 4 8" xfId="25601" xr:uid="{993DA54C-9CD0-4032-86C3-E302C588FC42}"/>
    <cellStyle name="20% - Accent2 4 9" xfId="17172" xr:uid="{A116FC29-545F-404E-A15B-0D998EC7BA2D}"/>
    <cellStyle name="20% - Accent2 5" xfId="578" xr:uid="{00000000-0005-0000-0000-00002E010000}"/>
    <cellStyle name="20% - Accent2 5 2" xfId="2849" xr:uid="{00000000-0005-0000-0000-00002F010000}"/>
    <cellStyle name="20% - Accent2 5 2 2" xfId="7072" xr:uid="{00000000-0005-0000-0000-000030010000}"/>
    <cellStyle name="20% - Accent2 5 2 2 2" xfId="32371" xr:uid="{BE36DACF-B797-4464-ADC7-5BA8BAC843D5}"/>
    <cellStyle name="20% - Accent2 5 2 2 3" xfId="23942" xr:uid="{46D44B76-D9DF-4E39-90E1-893A06FE8BD2}"/>
    <cellStyle name="20% - Accent2 5 2 2 4" xfId="40799" xr:uid="{C8F95A1D-5034-4684-9069-1AF38380FFBE}"/>
    <cellStyle name="20% - Accent2 5 2 2 5" xfId="15507" xr:uid="{7C9347C8-FAA7-4511-9B1A-F460C1C37BC5}"/>
    <cellStyle name="20% - Accent2 5 2 3" xfId="28153" xr:uid="{EA5F3BB7-2A31-4FC3-B41F-55B2ED9F9744}"/>
    <cellStyle name="20% - Accent2 5 2 4" xfId="19724" xr:uid="{F086A28F-EC51-4179-A18C-8BD84CEC96D3}"/>
    <cellStyle name="20% - Accent2 5 2 5" xfId="36582" xr:uid="{B95EA1F4-D5E0-4844-991D-5BF810AB7E0C}"/>
    <cellStyle name="20% - Accent2 5 2 6" xfId="11289" xr:uid="{DA646433-8573-454B-9F72-9207821405BB}"/>
    <cellStyle name="20% - Accent2 5 3" xfId="4927" xr:uid="{00000000-0005-0000-0000-000031010000}"/>
    <cellStyle name="20% - Accent2 5 3 2" xfId="30226" xr:uid="{05F6E1AB-C649-4AC4-9355-69FDD7165CD1}"/>
    <cellStyle name="20% - Accent2 5 3 3" xfId="21797" xr:uid="{57BFDCFB-8DE9-482D-9D3E-A0C77399EC89}"/>
    <cellStyle name="20% - Accent2 5 3 4" xfId="38654" xr:uid="{31386092-6213-4333-AD40-C71DD976257D}"/>
    <cellStyle name="20% - Accent2 5 3 5" xfId="13362" xr:uid="{098726D6-DAB2-4CCA-8ED7-808BB06C2F6C}"/>
    <cellStyle name="20% - Accent2 5 4" xfId="26008" xr:uid="{61985EA9-D190-40B5-A18C-98FB5B513335}"/>
    <cellStyle name="20% - Accent2 5 5" xfId="17579" xr:uid="{6F131C3B-4A29-4B4F-A74A-57D5811A7783}"/>
    <cellStyle name="20% - Accent2 5 6" xfId="34437" xr:uid="{9E5475D5-B0DD-4E01-B1BF-7675B347DA52}"/>
    <cellStyle name="20% - Accent2 5 7" xfId="9144" xr:uid="{2C42C411-D848-47E6-A0F8-4397575724C8}"/>
    <cellStyle name="20% - Accent2 6" xfId="1031" xr:uid="{00000000-0005-0000-0000-000032010000}"/>
    <cellStyle name="20% - Accent2 6 2" xfId="3262" xr:uid="{00000000-0005-0000-0000-000033010000}"/>
    <cellStyle name="20% - Accent2 6 2 2" xfId="7485" xr:uid="{00000000-0005-0000-0000-000034010000}"/>
    <cellStyle name="20% - Accent2 6 2 2 2" xfId="32784" xr:uid="{D17FD8DA-5275-4EAA-BCE1-C2AD430EC075}"/>
    <cellStyle name="20% - Accent2 6 2 2 3" xfId="24355" xr:uid="{D123E057-7069-4157-8C40-95D8BD4C9C5E}"/>
    <cellStyle name="20% - Accent2 6 2 2 4" xfId="41212" xr:uid="{2718340C-09CF-498F-A783-6D06DBF33124}"/>
    <cellStyle name="20% - Accent2 6 2 2 5" xfId="15920" xr:uid="{BA0B0AA0-EB9C-4C7B-A263-D88DD526B9DE}"/>
    <cellStyle name="20% - Accent2 6 2 3" xfId="28566" xr:uid="{FDBAD3F9-A81C-4B7D-A2CF-D3969B2AF73A}"/>
    <cellStyle name="20% - Accent2 6 2 4" xfId="20137" xr:uid="{79EE6FBF-2821-4726-B4BA-D77091D138B1}"/>
    <cellStyle name="20% - Accent2 6 2 5" xfId="36995" xr:uid="{3ECC6D81-365F-4554-B09E-70100ED9C216}"/>
    <cellStyle name="20% - Accent2 6 2 6" xfId="11702" xr:uid="{1004C78C-3F3D-4344-BB0A-77C94919AACB}"/>
    <cellStyle name="20% - Accent2 6 3" xfId="5340" xr:uid="{00000000-0005-0000-0000-000035010000}"/>
    <cellStyle name="20% - Accent2 6 3 2" xfId="30639" xr:uid="{92E300D6-6C7C-47C8-B708-7CDA1F6B0FD5}"/>
    <cellStyle name="20% - Accent2 6 3 3" xfId="22210" xr:uid="{6DB6F90C-9A7B-4036-BE49-5A6AC78C1F0C}"/>
    <cellStyle name="20% - Accent2 6 3 4" xfId="39067" xr:uid="{7F665A71-E326-4873-9872-FEE18B3D6BE5}"/>
    <cellStyle name="20% - Accent2 6 3 5" xfId="13775" xr:uid="{D04A6C20-8EA9-4960-830A-F57060FAF3E4}"/>
    <cellStyle name="20% - Accent2 6 4" xfId="26421" xr:uid="{9CCCD901-3217-4C43-BEC9-A6800AF1396F}"/>
    <cellStyle name="20% - Accent2 6 5" xfId="17992" xr:uid="{F1A9BDF6-0802-4BC3-A294-30A8D786DDBA}"/>
    <cellStyle name="20% - Accent2 6 6" xfId="34850" xr:uid="{BF21D929-433D-48F2-9E8C-EC5B17E168E3}"/>
    <cellStyle name="20% - Accent2 6 7" xfId="9557" xr:uid="{D1EB9FDE-9318-4EAE-8E36-8BAB6BB7E854}"/>
    <cellStyle name="20% - Accent2 7" xfId="1445" xr:uid="{00000000-0005-0000-0000-000036010000}"/>
    <cellStyle name="20% - Accent2 7 2" xfId="3675" xr:uid="{00000000-0005-0000-0000-000037010000}"/>
    <cellStyle name="20% - Accent2 7 2 2" xfId="7898" xr:uid="{00000000-0005-0000-0000-000038010000}"/>
    <cellStyle name="20% - Accent2 7 2 2 2" xfId="33197" xr:uid="{94B1A99F-7D94-4772-A26D-E05BAC930FA4}"/>
    <cellStyle name="20% - Accent2 7 2 2 3" xfId="24768" xr:uid="{C9DBEC48-3387-4A3A-9CD2-4C07D67E4283}"/>
    <cellStyle name="20% - Accent2 7 2 2 4" xfId="41625" xr:uid="{B8ACB77D-219B-4C5F-BB5F-041B0F4C99B0}"/>
    <cellStyle name="20% - Accent2 7 2 2 5" xfId="16333" xr:uid="{29630AB1-C92E-4ADE-8B05-80DAF0C90EF1}"/>
    <cellStyle name="20% - Accent2 7 2 3" xfId="28979" xr:uid="{128F288F-DFBC-4D95-BFB6-78B136D9E4CA}"/>
    <cellStyle name="20% - Accent2 7 2 4" xfId="20550" xr:uid="{3076C5F0-2553-4602-B2F7-EA1EDFB64082}"/>
    <cellStyle name="20% - Accent2 7 2 5" xfId="37408" xr:uid="{C306C0A9-55E0-4772-90F4-E0E0E1C014D8}"/>
    <cellStyle name="20% - Accent2 7 2 6" xfId="12115" xr:uid="{08F1B799-5B85-474B-9C6D-D19F05684129}"/>
    <cellStyle name="20% - Accent2 7 3" xfId="5753" xr:uid="{00000000-0005-0000-0000-000039010000}"/>
    <cellStyle name="20% - Accent2 7 3 2" xfId="31052" xr:uid="{B89DF749-9629-4A79-8EEC-DC14BD58B999}"/>
    <cellStyle name="20% - Accent2 7 3 3" xfId="22623" xr:uid="{9CB3FCA2-0068-4C99-9319-5A983E77A0F2}"/>
    <cellStyle name="20% - Accent2 7 3 4" xfId="39480" xr:uid="{2D7BAB27-041C-48FE-9992-FF6036B11E56}"/>
    <cellStyle name="20% - Accent2 7 3 5" xfId="14188" xr:uid="{4B387FC5-0C0A-47E5-963D-0D0BAEEA254F}"/>
    <cellStyle name="20% - Accent2 7 4" xfId="26834" xr:uid="{F0068B13-6AFE-4F7E-9467-3FA15A64AFE5}"/>
    <cellStyle name="20% - Accent2 7 5" xfId="18405" xr:uid="{4A9DD6DD-FA81-4AED-8E8F-EB2DCBD79CEE}"/>
    <cellStyle name="20% - Accent2 7 6" xfId="35263" xr:uid="{3C2C8FDB-D6F3-412D-9E88-686B4BB6580A}"/>
    <cellStyle name="20% - Accent2 7 7" xfId="9970" xr:uid="{F55D161F-CECC-4887-A4CC-77BEF3EC9862}"/>
    <cellStyle name="20% - Accent2 8" xfId="1859" xr:uid="{00000000-0005-0000-0000-00003A010000}"/>
    <cellStyle name="20% - Accent2 8 2" xfId="4088" xr:uid="{00000000-0005-0000-0000-00003B010000}"/>
    <cellStyle name="20% - Accent2 8 2 2" xfId="8311" xr:uid="{00000000-0005-0000-0000-00003C010000}"/>
    <cellStyle name="20% - Accent2 8 2 2 2" xfId="33610" xr:uid="{339788C4-3D49-4653-B215-6B6AEECB1986}"/>
    <cellStyle name="20% - Accent2 8 2 2 3" xfId="25181" xr:uid="{223753E2-FA46-428C-BE67-9B3F8A98A8E2}"/>
    <cellStyle name="20% - Accent2 8 2 2 4" xfId="42038" xr:uid="{5A6542C3-AD43-4715-A24D-422ECB1C2891}"/>
    <cellStyle name="20% - Accent2 8 2 2 5" xfId="16746" xr:uid="{39B990C8-B952-430F-8846-0EECB3390960}"/>
    <cellStyle name="20% - Accent2 8 2 3" xfId="29392" xr:uid="{436079DD-6176-4099-AB62-B045A6EF5363}"/>
    <cellStyle name="20% - Accent2 8 2 4" xfId="20963" xr:uid="{3F0AFDC4-8556-4B61-BB8B-08BE3CEA93F0}"/>
    <cellStyle name="20% - Accent2 8 2 5" xfId="37821" xr:uid="{7D90F009-99BB-41D8-8636-C25120F35777}"/>
    <cellStyle name="20% - Accent2 8 2 6" xfId="12528" xr:uid="{477FD608-D89E-4E39-AA06-A6A8D1E6BC86}"/>
    <cellStyle name="20% - Accent2 8 3" xfId="6166" xr:uid="{00000000-0005-0000-0000-00003D010000}"/>
    <cellStyle name="20% - Accent2 8 3 2" xfId="31465" xr:uid="{B8161F60-3B56-4EC1-A203-114434533010}"/>
    <cellStyle name="20% - Accent2 8 3 3" xfId="23036" xr:uid="{CE6AF23E-39CE-4181-B63A-376983043D76}"/>
    <cellStyle name="20% - Accent2 8 3 4" xfId="39893" xr:uid="{2FAC823F-256E-44A2-9B7C-ABD63E120274}"/>
    <cellStyle name="20% - Accent2 8 3 5" xfId="14601" xr:uid="{98D13FB0-3858-4C15-ACFA-FE0E4568F81E}"/>
    <cellStyle name="20% - Accent2 8 4" xfId="27247" xr:uid="{470EBFBE-1501-4F03-982F-8098FC9EF733}"/>
    <cellStyle name="20% - Accent2 8 5" xfId="18818" xr:uid="{EFEE05DB-103E-4C17-9A1E-C977EEB727D4}"/>
    <cellStyle name="20% - Accent2 8 6" xfId="35676" xr:uid="{C632EE68-090E-4533-AA9D-30C691443A8C}"/>
    <cellStyle name="20% - Accent2 8 7" xfId="10383" xr:uid="{E858E434-4BA9-45D5-8F4A-5D169E73C8D1}"/>
    <cellStyle name="20% - Accent2 9" xfId="2272" xr:uid="{00000000-0005-0000-0000-00003E010000}"/>
    <cellStyle name="20% - Accent2 9 2" xfId="6579" xr:uid="{00000000-0005-0000-0000-00003F010000}"/>
    <cellStyle name="20% - Accent2 9 2 2" xfId="31878" xr:uid="{B3106D1B-EFE7-43CF-969C-32AED75DD6D3}"/>
    <cellStyle name="20% - Accent2 9 2 3" xfId="23449" xr:uid="{0D8865E6-2B70-403F-A531-D9C8829121D5}"/>
    <cellStyle name="20% - Accent2 9 2 4" xfId="40306" xr:uid="{7CFDB027-57F4-45BF-9CC1-353304C9BB2B}"/>
    <cellStyle name="20% - Accent2 9 2 5" xfId="15014" xr:uid="{EF1AFDA7-EA19-47E6-9871-9D1340B868EB}"/>
    <cellStyle name="20% - Accent2 9 3" xfId="27660" xr:uid="{116B6D4F-CD24-49C1-B46C-8F51E631290D}"/>
    <cellStyle name="20% - Accent2 9 4" xfId="19231" xr:uid="{0A8E4408-B128-41FF-8DC2-66BED0A3FA46}"/>
    <cellStyle name="20% - Accent2 9 5" xfId="36089" xr:uid="{3EB5469A-BA89-4BC5-BC44-E5E1338D0039}"/>
    <cellStyle name="20% - Accent2 9 6" xfId="10796" xr:uid="{FF417835-08D3-4A17-8213-42C09731837A}"/>
    <cellStyle name="20% - Accent3" xfId="17" builtinId="38" customBuiltin="1"/>
    <cellStyle name="20% - Accent3 10" xfId="4521" xr:uid="{00000000-0005-0000-0000-000041010000}"/>
    <cellStyle name="20% - Accent3 10 2" xfId="29820" xr:uid="{542C22FD-6B13-4D7B-88EF-913390985585}"/>
    <cellStyle name="20% - Accent3 10 3" xfId="21391" xr:uid="{E82C21A6-1EB1-4394-87D3-ACD9BBB1DC7E}"/>
    <cellStyle name="20% - Accent3 10 4" xfId="38248" xr:uid="{6684D85C-4837-4DD9-8657-976A5C7813D0}"/>
    <cellStyle name="20% - Accent3 10 5" xfId="12956" xr:uid="{4245E308-BA1B-4792-85BF-86D74D1E5A08}"/>
    <cellStyle name="20% - Accent3 11" xfId="25602" xr:uid="{E055E607-46C5-401B-AE98-67F53F0899C8}"/>
    <cellStyle name="20% - Accent3 12" xfId="17173" xr:uid="{229B1C2F-97B7-4A4B-AE40-CA763D3998FF}"/>
    <cellStyle name="20% - Accent3 13" xfId="34031" xr:uid="{79C16B47-3DB1-4FD8-923E-1ED3BE68E37E}"/>
    <cellStyle name="20% - Accent3 14" xfId="8738" xr:uid="{77311872-7504-4B25-B399-A9F4ECBF7A3A}"/>
    <cellStyle name="20% - Accent3 2" xfId="18" xr:uid="{00000000-0005-0000-0000-000042010000}"/>
    <cellStyle name="20% - Accent3 2 10" xfId="25603" xr:uid="{669DF6C5-E392-483E-8BE5-76F909E0BD88}"/>
    <cellStyle name="20% - Accent3 2 11" xfId="17174" xr:uid="{47CCB264-ACB3-4565-8C80-231BE7716A34}"/>
    <cellStyle name="20% - Accent3 2 12" xfId="34032" xr:uid="{BE5CA99B-CF96-484E-A158-FD885DEFB6A5}"/>
    <cellStyle name="20% - Accent3 2 13" xfId="8739" xr:uid="{7668A0DC-1F7C-427D-9E64-F00A4E2197E2}"/>
    <cellStyle name="20% - Accent3 2 2" xfId="19" xr:uid="{00000000-0005-0000-0000-000043010000}"/>
    <cellStyle name="20% - Accent3 2 2 10" xfId="17175" xr:uid="{8F160F51-985C-4B51-9C50-396E87A84A25}"/>
    <cellStyle name="20% - Accent3 2 2 11" xfId="34033" xr:uid="{53F739F3-1000-4907-A25C-DD5FB0FC398F}"/>
    <cellStyle name="20% - Accent3 2 2 12" xfId="8740" xr:uid="{E4594954-F66A-44D2-9F42-44B014E10087}"/>
    <cellStyle name="20% - Accent3 2 2 2" xfId="20" xr:uid="{00000000-0005-0000-0000-000044010000}"/>
    <cellStyle name="20% - Accent3 2 2 2 10" xfId="34034" xr:uid="{19C283B7-B285-40FB-A944-A4AEF7683C9B}"/>
    <cellStyle name="20% - Accent3 2 2 2 11" xfId="8741" xr:uid="{469D83A4-62FF-4FE3-91EE-D0BE8BEA6177}"/>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32382" xr:uid="{D0871B64-89DD-4479-B077-03DEF6C53CA0}"/>
    <cellStyle name="20% - Accent3 2 2 2 2 2 2 3" xfId="23953" xr:uid="{A50E5CF0-F44D-473D-BB81-C0A52008C76F}"/>
    <cellStyle name="20% - Accent3 2 2 2 2 2 2 4" xfId="40810" xr:uid="{BA499F06-EAD9-4CC1-A3D6-4D58EFB8B6F8}"/>
    <cellStyle name="20% - Accent3 2 2 2 2 2 2 5" xfId="15518" xr:uid="{AA056FAA-9560-4100-8DF7-C1D1F993195F}"/>
    <cellStyle name="20% - Accent3 2 2 2 2 2 3" xfId="28164" xr:uid="{A582EAB6-A1D6-4863-980F-054B74A8F4D0}"/>
    <cellStyle name="20% - Accent3 2 2 2 2 2 4" xfId="19735" xr:uid="{A00914EF-AA6B-4385-98F8-2DF12C654AE3}"/>
    <cellStyle name="20% - Accent3 2 2 2 2 2 5" xfId="36593" xr:uid="{BBAD7FB7-C785-427E-BB9C-A9F3EC0B47BE}"/>
    <cellStyle name="20% - Accent3 2 2 2 2 2 6" xfId="11300" xr:uid="{C2EE511E-42C7-4DB0-ACBD-2E7F3C67CEE3}"/>
    <cellStyle name="20% - Accent3 2 2 2 2 3" xfId="4938" xr:uid="{00000000-0005-0000-0000-000048010000}"/>
    <cellStyle name="20% - Accent3 2 2 2 2 3 2" xfId="30237" xr:uid="{3850D496-F154-445F-BC3A-85EFBFB5BCAE}"/>
    <cellStyle name="20% - Accent3 2 2 2 2 3 3" xfId="21808" xr:uid="{28F275A3-54D6-4A2D-8759-C4E5E7AC753A}"/>
    <cellStyle name="20% - Accent3 2 2 2 2 3 4" xfId="38665" xr:uid="{9D9E63C9-B7C4-4BEC-A748-44425C07CC6D}"/>
    <cellStyle name="20% - Accent3 2 2 2 2 3 5" xfId="13373" xr:uid="{38661F20-27FD-42E6-B604-D51482AF94AE}"/>
    <cellStyle name="20% - Accent3 2 2 2 2 4" xfId="26019" xr:uid="{B439F2D4-5F62-478B-9EAC-65949D18A705}"/>
    <cellStyle name="20% - Accent3 2 2 2 2 5" xfId="17590" xr:uid="{2C7F2C17-EB57-4799-B51C-FC3E2D2BFC42}"/>
    <cellStyle name="20% - Accent3 2 2 2 2 6" xfId="34448" xr:uid="{BDF65600-7019-46D0-8DDD-914022D60DA0}"/>
    <cellStyle name="20% - Accent3 2 2 2 2 7" xfId="9155" xr:uid="{23C38D76-F48F-4CEA-A3DC-670703B10847}"/>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32795" xr:uid="{E674E4E7-BBA5-4630-A7A1-506F4F53832E}"/>
    <cellStyle name="20% - Accent3 2 2 2 3 2 2 3" xfId="24366" xr:uid="{45EAE9B6-758F-442D-A83D-DB88B1217F5B}"/>
    <cellStyle name="20% - Accent3 2 2 2 3 2 2 4" xfId="41223" xr:uid="{11E092B4-1292-4B8F-80FB-84C8629B6CFA}"/>
    <cellStyle name="20% - Accent3 2 2 2 3 2 2 5" xfId="15931" xr:uid="{8E58A08F-3A69-4D40-A6B4-FEBECAFE2F1D}"/>
    <cellStyle name="20% - Accent3 2 2 2 3 2 3" xfId="28577" xr:uid="{7EA53472-455C-46E8-996B-553FD4EFF1F9}"/>
    <cellStyle name="20% - Accent3 2 2 2 3 2 4" xfId="20148" xr:uid="{1BA592D8-F024-4056-A284-32CA5A72BA6E}"/>
    <cellStyle name="20% - Accent3 2 2 2 3 2 5" xfId="37006" xr:uid="{D6E725DF-1F4B-49B7-BC5B-E1BDD354DB57}"/>
    <cellStyle name="20% - Accent3 2 2 2 3 2 6" xfId="11713" xr:uid="{EF29C056-9F8F-44BF-A798-DB2FC710DC1A}"/>
    <cellStyle name="20% - Accent3 2 2 2 3 3" xfId="5351" xr:uid="{00000000-0005-0000-0000-00004C010000}"/>
    <cellStyle name="20% - Accent3 2 2 2 3 3 2" xfId="30650" xr:uid="{8B796C43-DF4F-4598-A73C-EDD83876BF31}"/>
    <cellStyle name="20% - Accent3 2 2 2 3 3 3" xfId="22221" xr:uid="{0B10FB3A-4101-4088-A041-D5683756AB7D}"/>
    <cellStyle name="20% - Accent3 2 2 2 3 3 4" xfId="39078" xr:uid="{C21D5703-B5B0-4F77-BC4F-547AC104FEA8}"/>
    <cellStyle name="20% - Accent3 2 2 2 3 3 5" xfId="13786" xr:uid="{2B0BE1A1-A7E5-4393-B573-9029C516C9C8}"/>
    <cellStyle name="20% - Accent3 2 2 2 3 4" xfId="26432" xr:uid="{F8B31FF2-3845-4BAE-B408-DD61ACEE0F3C}"/>
    <cellStyle name="20% - Accent3 2 2 2 3 5" xfId="18003" xr:uid="{9745EA0A-823B-46EC-909A-56B28B751EC4}"/>
    <cellStyle name="20% - Accent3 2 2 2 3 6" xfId="34861" xr:uid="{E79ED800-1A0A-4E34-BF2F-5B7AF57F7179}"/>
    <cellStyle name="20% - Accent3 2 2 2 3 7" xfId="9568" xr:uid="{4D893FBF-4E6C-4CD7-BF00-F7F85144E3D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33208" xr:uid="{96BC796F-C870-427F-9906-3FBBCFAE86AF}"/>
    <cellStyle name="20% - Accent3 2 2 2 4 2 2 3" xfId="24779" xr:uid="{C48685DA-A7A0-41E2-B317-FAFB1F058DC4}"/>
    <cellStyle name="20% - Accent3 2 2 2 4 2 2 4" xfId="41636" xr:uid="{B151501B-B405-400C-9CD3-B7C54FCC70ED}"/>
    <cellStyle name="20% - Accent3 2 2 2 4 2 2 5" xfId="16344" xr:uid="{8690AEAB-7E08-4EE7-BEF4-241AAA34DF2C}"/>
    <cellStyle name="20% - Accent3 2 2 2 4 2 3" xfId="28990" xr:uid="{9A14E97B-65D9-48A0-9EAE-135322A212B6}"/>
    <cellStyle name="20% - Accent3 2 2 2 4 2 4" xfId="20561" xr:uid="{9B6E09CD-C573-4AAC-8086-EFEB72577243}"/>
    <cellStyle name="20% - Accent3 2 2 2 4 2 5" xfId="37419" xr:uid="{97EC2108-D0B5-4E47-948D-F871F3222CE4}"/>
    <cellStyle name="20% - Accent3 2 2 2 4 2 6" xfId="12126" xr:uid="{70F63F37-3F7D-4443-983D-121EAB210732}"/>
    <cellStyle name="20% - Accent3 2 2 2 4 3" xfId="5764" xr:uid="{00000000-0005-0000-0000-000050010000}"/>
    <cellStyle name="20% - Accent3 2 2 2 4 3 2" xfId="31063" xr:uid="{D19F061D-AD90-43F3-8CBE-3A2447594C69}"/>
    <cellStyle name="20% - Accent3 2 2 2 4 3 3" xfId="22634" xr:uid="{A9F936D5-6F90-4D8E-8F73-B84891DB54CE}"/>
    <cellStyle name="20% - Accent3 2 2 2 4 3 4" xfId="39491" xr:uid="{CF721A75-0B72-47BB-8AF8-38CBB5A8F33D}"/>
    <cellStyle name="20% - Accent3 2 2 2 4 3 5" xfId="14199" xr:uid="{B2452D8D-BA51-4757-9C23-E956C7E00180}"/>
    <cellStyle name="20% - Accent3 2 2 2 4 4" xfId="26845" xr:uid="{03D8376E-261F-4DBB-A8AA-55DA8728435E}"/>
    <cellStyle name="20% - Accent3 2 2 2 4 5" xfId="18416" xr:uid="{EBFAF5E7-CE57-45DA-8210-9DF6AC2BE6F3}"/>
    <cellStyle name="20% - Accent3 2 2 2 4 6" xfId="35274" xr:uid="{B1B014FF-D41E-4A21-A404-D8B7BD772F7D}"/>
    <cellStyle name="20% - Accent3 2 2 2 4 7" xfId="9981" xr:uid="{881DCF1C-D49A-432F-AD94-990552E26093}"/>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33621" xr:uid="{6AE88EDF-5FC9-4E5C-9678-8E45D305F790}"/>
    <cellStyle name="20% - Accent3 2 2 2 5 2 2 3" xfId="25192" xr:uid="{A52CE629-62AE-4A08-925A-3718AD4F370C}"/>
    <cellStyle name="20% - Accent3 2 2 2 5 2 2 4" xfId="42049" xr:uid="{798CC8AA-F11D-4CAC-87B5-9F75B2673369}"/>
    <cellStyle name="20% - Accent3 2 2 2 5 2 2 5" xfId="16757" xr:uid="{6465DB5C-94EF-4881-8FCD-CD551750CB5B}"/>
    <cellStyle name="20% - Accent3 2 2 2 5 2 3" xfId="29403" xr:uid="{4397BCB1-0A46-4B8D-B369-35EBD1EFA11E}"/>
    <cellStyle name="20% - Accent3 2 2 2 5 2 4" xfId="20974" xr:uid="{0F739A35-877D-445E-AE10-FB887BFDF5D6}"/>
    <cellStyle name="20% - Accent3 2 2 2 5 2 5" xfId="37832" xr:uid="{DEC4B1B6-1E58-4ED7-AB35-3BE3885B9C1D}"/>
    <cellStyle name="20% - Accent3 2 2 2 5 2 6" xfId="12539" xr:uid="{61407A86-1F2B-4C06-9D22-04D5D37F8C4D}"/>
    <cellStyle name="20% - Accent3 2 2 2 5 3" xfId="6177" xr:uid="{00000000-0005-0000-0000-000054010000}"/>
    <cellStyle name="20% - Accent3 2 2 2 5 3 2" xfId="31476" xr:uid="{3A8D45A9-17A3-4C9A-8C40-83BCDAF1253E}"/>
    <cellStyle name="20% - Accent3 2 2 2 5 3 3" xfId="23047" xr:uid="{419A7F73-0143-4A24-9E87-2F6FDA62A72E}"/>
    <cellStyle name="20% - Accent3 2 2 2 5 3 4" xfId="39904" xr:uid="{C0D0A577-43C1-4CCC-A3B5-B566376BA17B}"/>
    <cellStyle name="20% - Accent3 2 2 2 5 3 5" xfId="14612" xr:uid="{6C70BDD7-ACED-4984-BD27-1A42CFD52CF5}"/>
    <cellStyle name="20% - Accent3 2 2 2 5 4" xfId="27258" xr:uid="{2ECEAFA5-74AB-45DC-9954-99722680D349}"/>
    <cellStyle name="20% - Accent3 2 2 2 5 5" xfId="18829" xr:uid="{2029CFB0-899E-4109-B3A4-1D09F7669E8D}"/>
    <cellStyle name="20% - Accent3 2 2 2 5 6" xfId="35687" xr:uid="{9EBEFA54-E167-4062-8DF7-5709187B66C6}"/>
    <cellStyle name="20% - Accent3 2 2 2 5 7" xfId="10394" xr:uid="{F94E31B3-8A08-45F8-A3A5-163156A00FCE}"/>
    <cellStyle name="20% - Accent3 2 2 2 6" xfId="2283" xr:uid="{00000000-0005-0000-0000-000055010000}"/>
    <cellStyle name="20% - Accent3 2 2 2 6 2" xfId="6590" xr:uid="{00000000-0005-0000-0000-000056010000}"/>
    <cellStyle name="20% - Accent3 2 2 2 6 2 2" xfId="31889" xr:uid="{74B5C6B2-142B-49F7-A433-6EF5EF73F447}"/>
    <cellStyle name="20% - Accent3 2 2 2 6 2 3" xfId="23460" xr:uid="{B99CD59A-8A6A-4FCB-A653-036B20C3F344}"/>
    <cellStyle name="20% - Accent3 2 2 2 6 2 4" xfId="40317" xr:uid="{D0242D25-5D38-4940-B9D3-99BBBC6980F4}"/>
    <cellStyle name="20% - Accent3 2 2 2 6 2 5" xfId="15025" xr:uid="{469FF37E-F332-4C72-90E3-8272842B9CF4}"/>
    <cellStyle name="20% - Accent3 2 2 2 6 3" xfId="27671" xr:uid="{6F74CCC5-A3D1-47C3-87F4-CA5FFC47C885}"/>
    <cellStyle name="20% - Accent3 2 2 2 6 4" xfId="19242" xr:uid="{997C33AD-0F07-49A2-927A-53727D38437E}"/>
    <cellStyle name="20% - Accent3 2 2 2 6 5" xfId="36100" xr:uid="{786BCD93-A2A4-4419-8821-493274D7D2EA}"/>
    <cellStyle name="20% - Accent3 2 2 2 6 6" xfId="10807" xr:uid="{91B0046C-C2A3-468E-ADF2-2B8977DD8A01}"/>
    <cellStyle name="20% - Accent3 2 2 2 7" xfId="4524" xr:uid="{00000000-0005-0000-0000-000057010000}"/>
    <cellStyle name="20% - Accent3 2 2 2 7 2" xfId="29823" xr:uid="{371651EC-E92F-454C-B5E6-F8B2E0F66DFA}"/>
    <cellStyle name="20% - Accent3 2 2 2 7 3" xfId="21394" xr:uid="{2694C0FE-E758-4640-B34F-4368FD32F546}"/>
    <cellStyle name="20% - Accent3 2 2 2 7 4" xfId="38251" xr:uid="{D8897759-0E3B-4D6F-8428-EF537C42BD64}"/>
    <cellStyle name="20% - Accent3 2 2 2 7 5" xfId="12959" xr:uid="{85334F61-2F99-447E-BE8F-2F34C31978D6}"/>
    <cellStyle name="20% - Accent3 2 2 2 8" xfId="25605" xr:uid="{17AE19AF-2523-4D43-AE5D-48A4D0E50118}"/>
    <cellStyle name="20% - Accent3 2 2 2 9" xfId="17176" xr:uid="{520906BD-3DBE-4B2F-978D-AB9F54D8089C}"/>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32381" xr:uid="{382BC528-751B-4C90-9433-B48CC5F7CC0D}"/>
    <cellStyle name="20% - Accent3 2 2 3 2 2 3" xfId="23952" xr:uid="{E28F9147-FE47-4F24-8074-924A9C536D04}"/>
    <cellStyle name="20% - Accent3 2 2 3 2 2 4" xfId="40809" xr:uid="{9667A103-6BE8-4B7B-A220-AADD72116986}"/>
    <cellStyle name="20% - Accent3 2 2 3 2 2 5" xfId="15517" xr:uid="{7B99B29D-DF97-431C-AE66-2F2025AD6BA8}"/>
    <cellStyle name="20% - Accent3 2 2 3 2 3" xfId="28163" xr:uid="{C950E872-867F-4426-A984-A32EE0184E03}"/>
    <cellStyle name="20% - Accent3 2 2 3 2 4" xfId="19734" xr:uid="{C7640731-F006-4F0B-A969-58E295E7B14A}"/>
    <cellStyle name="20% - Accent3 2 2 3 2 5" xfId="36592" xr:uid="{46B45DE5-4E4B-4855-874F-F2D84B346C8E}"/>
    <cellStyle name="20% - Accent3 2 2 3 2 6" xfId="11299" xr:uid="{CECF0179-3E5F-4E7C-92CA-0E5C7634B26D}"/>
    <cellStyle name="20% - Accent3 2 2 3 3" xfId="4937" xr:uid="{00000000-0005-0000-0000-00005B010000}"/>
    <cellStyle name="20% - Accent3 2 2 3 3 2" xfId="30236" xr:uid="{AA565F4D-463C-42DE-A20D-8618F35A2E7A}"/>
    <cellStyle name="20% - Accent3 2 2 3 3 3" xfId="21807" xr:uid="{7103D262-CF35-4469-9892-D91947AD495A}"/>
    <cellStyle name="20% - Accent3 2 2 3 3 4" xfId="38664" xr:uid="{C90E405C-2474-4345-A764-746FEC7B15BF}"/>
    <cellStyle name="20% - Accent3 2 2 3 3 5" xfId="13372" xr:uid="{610E51CF-658F-43DC-9FAC-1C5696C3CA61}"/>
    <cellStyle name="20% - Accent3 2 2 3 4" xfId="26018" xr:uid="{3958DDF5-D70F-46DC-9348-677887F173C6}"/>
    <cellStyle name="20% - Accent3 2 2 3 5" xfId="17589" xr:uid="{F33E7753-B3FA-431E-ABCD-0AAA9CDA9EED}"/>
    <cellStyle name="20% - Accent3 2 2 3 6" xfId="34447" xr:uid="{9F315BDD-AB61-4648-9ADE-6BC3D7EA6FBB}"/>
    <cellStyle name="20% - Accent3 2 2 3 7" xfId="9154" xr:uid="{8707EA30-5A40-44C9-BB73-7D0CEE900BC5}"/>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32794" xr:uid="{F4AB185A-A0AF-40D2-ABB5-67A5637AA8C5}"/>
    <cellStyle name="20% - Accent3 2 2 4 2 2 3" xfId="24365" xr:uid="{26FE114D-69EF-48A8-8695-4EFD291E9A49}"/>
    <cellStyle name="20% - Accent3 2 2 4 2 2 4" xfId="41222" xr:uid="{41823F67-196A-44E8-8577-7010C332890C}"/>
    <cellStyle name="20% - Accent3 2 2 4 2 2 5" xfId="15930" xr:uid="{11F8B894-176C-4D3F-812F-494CCED8E2EF}"/>
    <cellStyle name="20% - Accent3 2 2 4 2 3" xfId="28576" xr:uid="{F55DF9F8-33E5-48A2-AFB5-CCB506FF3AF4}"/>
    <cellStyle name="20% - Accent3 2 2 4 2 4" xfId="20147" xr:uid="{38A70BA3-1C86-4B4E-88BC-D3A6C7EBB829}"/>
    <cellStyle name="20% - Accent3 2 2 4 2 5" xfId="37005" xr:uid="{C0C11BF0-FAB4-4145-A139-CEFB69100841}"/>
    <cellStyle name="20% - Accent3 2 2 4 2 6" xfId="11712" xr:uid="{60570E03-783D-43F4-A6FB-0DE2F34A6748}"/>
    <cellStyle name="20% - Accent3 2 2 4 3" xfId="5350" xr:uid="{00000000-0005-0000-0000-00005F010000}"/>
    <cellStyle name="20% - Accent3 2 2 4 3 2" xfId="30649" xr:uid="{772E81C3-D631-4A82-84FC-D41133C1E890}"/>
    <cellStyle name="20% - Accent3 2 2 4 3 3" xfId="22220" xr:uid="{7F801ED1-BA3A-4D5C-8FE1-352C4B2E24EB}"/>
    <cellStyle name="20% - Accent3 2 2 4 3 4" xfId="39077" xr:uid="{D6665DA1-2035-4E10-A377-E5C6050BEA7C}"/>
    <cellStyle name="20% - Accent3 2 2 4 3 5" xfId="13785" xr:uid="{E4660876-5311-4ADD-B12E-D74F022D7F42}"/>
    <cellStyle name="20% - Accent3 2 2 4 4" xfId="26431" xr:uid="{254E17B9-DDE1-4719-AF6D-06F0483F6C9A}"/>
    <cellStyle name="20% - Accent3 2 2 4 5" xfId="18002" xr:uid="{DB9BC1F0-50BC-4E56-AC36-52F46B40E3F7}"/>
    <cellStyle name="20% - Accent3 2 2 4 6" xfId="34860" xr:uid="{CAD71495-4396-4823-BBED-C2E6088EC0F0}"/>
    <cellStyle name="20% - Accent3 2 2 4 7" xfId="9567" xr:uid="{F87B07D3-2F6B-47E4-8CA3-89EE14463348}"/>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33207" xr:uid="{11FDA4D2-6B10-4BF8-A9F9-5B489D9DF215}"/>
    <cellStyle name="20% - Accent3 2 2 5 2 2 3" xfId="24778" xr:uid="{1AF50129-8D16-4712-8819-C694140DF0DF}"/>
    <cellStyle name="20% - Accent3 2 2 5 2 2 4" xfId="41635" xr:uid="{3630426C-F667-4010-A7EA-C7BF9B6081DA}"/>
    <cellStyle name="20% - Accent3 2 2 5 2 2 5" xfId="16343" xr:uid="{C3DF3705-3394-43EB-8232-DF589C51A592}"/>
    <cellStyle name="20% - Accent3 2 2 5 2 3" xfId="28989" xr:uid="{24ED8A0E-4643-4E99-B2BD-8B9F4FC87A04}"/>
    <cellStyle name="20% - Accent3 2 2 5 2 4" xfId="20560" xr:uid="{B477374D-7689-43B7-A321-703C17F69261}"/>
    <cellStyle name="20% - Accent3 2 2 5 2 5" xfId="37418" xr:uid="{5C51BA6D-E67F-4732-B7D2-1BFB783A5467}"/>
    <cellStyle name="20% - Accent3 2 2 5 2 6" xfId="12125" xr:uid="{F0C52AD8-1233-4149-9F99-0B09664C4F49}"/>
    <cellStyle name="20% - Accent3 2 2 5 3" xfId="5763" xr:uid="{00000000-0005-0000-0000-000063010000}"/>
    <cellStyle name="20% - Accent3 2 2 5 3 2" xfId="31062" xr:uid="{81CCF8D9-6366-43F8-AA10-27E473ECF780}"/>
    <cellStyle name="20% - Accent3 2 2 5 3 3" xfId="22633" xr:uid="{F25A2B32-01AD-4BF1-AA73-303059335C73}"/>
    <cellStyle name="20% - Accent3 2 2 5 3 4" xfId="39490" xr:uid="{7AF46EB3-D68E-4847-8DF8-DF473D1C56E2}"/>
    <cellStyle name="20% - Accent3 2 2 5 3 5" xfId="14198" xr:uid="{D38878F2-20D0-45AE-9D6A-A60AAFE8CC4E}"/>
    <cellStyle name="20% - Accent3 2 2 5 4" xfId="26844" xr:uid="{B81C04C9-2E48-49A2-BDEC-6577A5C3F169}"/>
    <cellStyle name="20% - Accent3 2 2 5 5" xfId="18415" xr:uid="{EFBF3D1F-9360-46CF-AA17-F2ED240CE2F3}"/>
    <cellStyle name="20% - Accent3 2 2 5 6" xfId="35273" xr:uid="{8584230C-00C1-4C7F-9A7A-65AC97CBE063}"/>
    <cellStyle name="20% - Accent3 2 2 5 7" xfId="9980" xr:uid="{219AA2FE-13CD-4F36-8B62-1999DF2C4CAA}"/>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33620" xr:uid="{54F9D172-A730-4337-9700-46D610522A3F}"/>
    <cellStyle name="20% - Accent3 2 2 6 2 2 3" xfId="25191" xr:uid="{6BC53B47-51C7-43CC-8BCE-69DB05360205}"/>
    <cellStyle name="20% - Accent3 2 2 6 2 2 4" xfId="42048" xr:uid="{414A7A7F-489A-478B-A69C-BFB34323A92A}"/>
    <cellStyle name="20% - Accent3 2 2 6 2 2 5" xfId="16756" xr:uid="{82D1DDAD-FBB0-41D8-9C42-61163C43D64F}"/>
    <cellStyle name="20% - Accent3 2 2 6 2 3" xfId="29402" xr:uid="{704AEC16-EEFD-4E82-B49D-CC7BC25F5312}"/>
    <cellStyle name="20% - Accent3 2 2 6 2 4" xfId="20973" xr:uid="{3FB23AB8-5DC5-4F3A-B6B8-40C02F9142D7}"/>
    <cellStyle name="20% - Accent3 2 2 6 2 5" xfId="37831" xr:uid="{CA33CD79-1D6A-4F7D-92CE-8D9DC4B9A7A1}"/>
    <cellStyle name="20% - Accent3 2 2 6 2 6" xfId="12538" xr:uid="{C563DBB4-8BFA-4A74-A875-C57D9E26F311}"/>
    <cellStyle name="20% - Accent3 2 2 6 3" xfId="6176" xr:uid="{00000000-0005-0000-0000-000067010000}"/>
    <cellStyle name="20% - Accent3 2 2 6 3 2" xfId="31475" xr:uid="{57DE759F-6C1F-482F-87C4-53D8B7F7BC44}"/>
    <cellStyle name="20% - Accent3 2 2 6 3 3" xfId="23046" xr:uid="{59DAF7F1-D989-4B2F-B81D-A792CA7CB02D}"/>
    <cellStyle name="20% - Accent3 2 2 6 3 4" xfId="39903" xr:uid="{E619B0F2-92E5-40F8-A360-671386C70DFB}"/>
    <cellStyle name="20% - Accent3 2 2 6 3 5" xfId="14611" xr:uid="{0BEC0253-55C4-478B-81C0-ABC6D589FF09}"/>
    <cellStyle name="20% - Accent3 2 2 6 4" xfId="27257" xr:uid="{C826A665-0025-4F57-8710-C281EFA5B594}"/>
    <cellStyle name="20% - Accent3 2 2 6 5" xfId="18828" xr:uid="{4953D80C-D2D5-4485-ABB9-F6E9AF63DF64}"/>
    <cellStyle name="20% - Accent3 2 2 6 6" xfId="35686" xr:uid="{E3F2143B-4869-4C00-AE10-F101A9A0EAD4}"/>
    <cellStyle name="20% - Accent3 2 2 6 7" xfId="10393" xr:uid="{DE0B68F1-C455-4E1C-BFFA-93065CC620F3}"/>
    <cellStyle name="20% - Accent3 2 2 7" xfId="2282" xr:uid="{00000000-0005-0000-0000-000068010000}"/>
    <cellStyle name="20% - Accent3 2 2 7 2" xfId="6589" xr:uid="{00000000-0005-0000-0000-000069010000}"/>
    <cellStyle name="20% - Accent3 2 2 7 2 2" xfId="31888" xr:uid="{1B7DF3BD-57ED-495F-953D-F9727A91546A}"/>
    <cellStyle name="20% - Accent3 2 2 7 2 3" xfId="23459" xr:uid="{0483EFFC-80F9-48D6-AD75-18233D5253E1}"/>
    <cellStyle name="20% - Accent3 2 2 7 2 4" xfId="40316" xr:uid="{1ACD5C9C-DE2A-4CC7-B09B-1DA13093D876}"/>
    <cellStyle name="20% - Accent3 2 2 7 2 5" xfId="15024" xr:uid="{75D7F84C-DE72-44A6-A9C9-FD582C89F076}"/>
    <cellStyle name="20% - Accent3 2 2 7 3" xfId="27670" xr:uid="{49CAAE38-02C0-4EC9-A2E9-5C56BC2C41AC}"/>
    <cellStyle name="20% - Accent3 2 2 7 4" xfId="19241" xr:uid="{038A61F8-FF9E-422F-85F2-F419FC872B94}"/>
    <cellStyle name="20% - Accent3 2 2 7 5" xfId="36099" xr:uid="{3665DEC1-5F27-4308-8D6F-DCC854EA5A5E}"/>
    <cellStyle name="20% - Accent3 2 2 7 6" xfId="10806" xr:uid="{7912FDEC-5F34-4AB7-A430-B75F5A4CD633}"/>
    <cellStyle name="20% - Accent3 2 2 8" xfId="4523" xr:uid="{00000000-0005-0000-0000-00006A010000}"/>
    <cellStyle name="20% - Accent3 2 2 8 2" xfId="29822" xr:uid="{23D83521-DD31-41BC-9D6E-FC39B7D650E4}"/>
    <cellStyle name="20% - Accent3 2 2 8 3" xfId="21393" xr:uid="{8848BCE6-1362-40D7-B4D3-828FDA594A3D}"/>
    <cellStyle name="20% - Accent3 2 2 8 4" xfId="38250" xr:uid="{CD7BBE54-407F-41CC-B3E3-9C0A5D191625}"/>
    <cellStyle name="20% - Accent3 2 2 8 5" xfId="12958" xr:uid="{962F64EB-6F78-40D8-8534-810CD9DD09D5}"/>
    <cellStyle name="20% - Accent3 2 2 9" xfId="25604" xr:uid="{451D8D45-7F48-401C-943A-E91CE7E752A5}"/>
    <cellStyle name="20% - Accent3 2 3" xfId="21" xr:uid="{00000000-0005-0000-0000-00006B010000}"/>
    <cellStyle name="20% - Accent3 2 3 10" xfId="34035" xr:uid="{15ED3CDD-1349-4EA7-9E35-EA0807A6BF47}"/>
    <cellStyle name="20% - Accent3 2 3 11" xfId="8742" xr:uid="{F66EDFC6-41A8-4A5D-87FB-2D9012BBCA7D}"/>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32383" xr:uid="{951661E7-3B5A-4DCE-8333-50F2C07A9A0E}"/>
    <cellStyle name="20% - Accent3 2 3 2 2 2 3" xfId="23954" xr:uid="{150B9C62-49C9-4679-9C69-937476E06275}"/>
    <cellStyle name="20% - Accent3 2 3 2 2 2 4" xfId="40811" xr:uid="{65297411-EE3F-48A7-A9AD-59E8350C0E6D}"/>
    <cellStyle name="20% - Accent3 2 3 2 2 2 5" xfId="15519" xr:uid="{53B6BFA5-9307-49C4-AA8E-0213CB20CF2C}"/>
    <cellStyle name="20% - Accent3 2 3 2 2 3" xfId="28165" xr:uid="{3ACF1685-4CDF-4291-BC6E-4CB756BD225C}"/>
    <cellStyle name="20% - Accent3 2 3 2 2 4" xfId="19736" xr:uid="{CA3BBADD-D9D9-4AAA-9CE0-0811B209F935}"/>
    <cellStyle name="20% - Accent3 2 3 2 2 5" xfId="36594" xr:uid="{E1BBE1F3-8857-4043-9550-0DC9702D0ACA}"/>
    <cellStyle name="20% - Accent3 2 3 2 2 6" xfId="11301" xr:uid="{C344D633-1A77-44DB-AC27-F6BE82CAC1F4}"/>
    <cellStyle name="20% - Accent3 2 3 2 3" xfId="4939" xr:uid="{00000000-0005-0000-0000-00006F010000}"/>
    <cellStyle name="20% - Accent3 2 3 2 3 2" xfId="30238" xr:uid="{2BFD5A35-9597-4110-84FE-2CBF8CAD37FA}"/>
    <cellStyle name="20% - Accent3 2 3 2 3 3" xfId="21809" xr:uid="{B4B30F2F-30F0-4E11-9C61-D6D9AEAF228B}"/>
    <cellStyle name="20% - Accent3 2 3 2 3 4" xfId="38666" xr:uid="{8E52EDFE-6483-43DD-91BA-5569BCB1DB47}"/>
    <cellStyle name="20% - Accent3 2 3 2 3 5" xfId="13374" xr:uid="{AF7AB34D-EE52-4386-B231-A515417163E3}"/>
    <cellStyle name="20% - Accent3 2 3 2 4" xfId="26020" xr:uid="{ADEC87AC-48E6-4998-BA7A-7D6EFA04AD77}"/>
    <cellStyle name="20% - Accent3 2 3 2 5" xfId="17591" xr:uid="{5CBABAD5-93B8-485E-85AC-37E57AF1BE78}"/>
    <cellStyle name="20% - Accent3 2 3 2 6" xfId="34449" xr:uid="{DB5D7BE7-1F70-41F3-B070-1DD7144AB152}"/>
    <cellStyle name="20% - Accent3 2 3 2 7" xfId="9156" xr:uid="{2F357A6C-A034-4219-B853-492CA497D718}"/>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32796" xr:uid="{A2837F3F-2416-4EE8-8D5D-F502038CD025}"/>
    <cellStyle name="20% - Accent3 2 3 3 2 2 3" xfId="24367" xr:uid="{3DBD5BCF-F858-412D-9212-86B6E168C0B2}"/>
    <cellStyle name="20% - Accent3 2 3 3 2 2 4" xfId="41224" xr:uid="{35CC521F-2B30-4A6C-872D-F6EAABAA8D46}"/>
    <cellStyle name="20% - Accent3 2 3 3 2 2 5" xfId="15932" xr:uid="{E8274180-5E37-47B4-9948-F7C5EBE61156}"/>
    <cellStyle name="20% - Accent3 2 3 3 2 3" xfId="28578" xr:uid="{3662B573-6007-4913-990D-9E61A0D2B8F4}"/>
    <cellStyle name="20% - Accent3 2 3 3 2 4" xfId="20149" xr:uid="{F9287233-3C75-42BE-9686-81EF2574AE54}"/>
    <cellStyle name="20% - Accent3 2 3 3 2 5" xfId="37007" xr:uid="{E9C0A6BF-7210-4141-97D8-0B5811AFED74}"/>
    <cellStyle name="20% - Accent3 2 3 3 2 6" xfId="11714" xr:uid="{BD4360ED-6C97-49FD-B715-5385E573547D}"/>
    <cellStyle name="20% - Accent3 2 3 3 3" xfId="5352" xr:uid="{00000000-0005-0000-0000-000073010000}"/>
    <cellStyle name="20% - Accent3 2 3 3 3 2" xfId="30651" xr:uid="{9EF9C371-D78D-4299-9C8A-6E49BC76495D}"/>
    <cellStyle name="20% - Accent3 2 3 3 3 3" xfId="22222" xr:uid="{B26060CD-1676-4D3F-A558-889636E16D66}"/>
    <cellStyle name="20% - Accent3 2 3 3 3 4" xfId="39079" xr:uid="{11B10E67-95A6-4CF8-8A53-72339FFF054E}"/>
    <cellStyle name="20% - Accent3 2 3 3 3 5" xfId="13787" xr:uid="{C39DA6A5-A7B6-4C51-925B-D6D0BA578848}"/>
    <cellStyle name="20% - Accent3 2 3 3 4" xfId="26433" xr:uid="{0E0D7C2D-8E29-416C-BB17-A3DA511255CD}"/>
    <cellStyle name="20% - Accent3 2 3 3 5" xfId="18004" xr:uid="{41824D28-1913-4225-AC83-A4F73300829D}"/>
    <cellStyle name="20% - Accent3 2 3 3 6" xfId="34862" xr:uid="{F70407B2-0C94-48AC-B457-DB7E4E0351DD}"/>
    <cellStyle name="20% - Accent3 2 3 3 7" xfId="9569" xr:uid="{E844D099-F389-4880-A031-00A20CC83541}"/>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33209" xr:uid="{12C4DF62-470E-4F33-A8CB-40A2F9D27708}"/>
    <cellStyle name="20% - Accent3 2 3 4 2 2 3" xfId="24780" xr:uid="{9375B593-6D7F-4AD6-A278-2941A5CC41CC}"/>
    <cellStyle name="20% - Accent3 2 3 4 2 2 4" xfId="41637" xr:uid="{70709336-574F-47FB-9241-5FBE2942FCDB}"/>
    <cellStyle name="20% - Accent3 2 3 4 2 2 5" xfId="16345" xr:uid="{E64BCF28-A254-4E94-A1C5-1D291D0DCAC6}"/>
    <cellStyle name="20% - Accent3 2 3 4 2 3" xfId="28991" xr:uid="{CA123109-42D1-4AC9-9DD7-753F1C190888}"/>
    <cellStyle name="20% - Accent3 2 3 4 2 4" xfId="20562" xr:uid="{93BC47B1-1F07-4E72-A9F4-56AF453A17CA}"/>
    <cellStyle name="20% - Accent3 2 3 4 2 5" xfId="37420" xr:uid="{A6CDD684-AF07-46BF-8A26-0545E3BB70F2}"/>
    <cellStyle name="20% - Accent3 2 3 4 2 6" xfId="12127" xr:uid="{C7BA4FC9-CFD0-4587-944A-DF51A4E20440}"/>
    <cellStyle name="20% - Accent3 2 3 4 3" xfId="5765" xr:uid="{00000000-0005-0000-0000-000077010000}"/>
    <cellStyle name="20% - Accent3 2 3 4 3 2" xfId="31064" xr:uid="{1BF51567-206F-45BF-8A7E-594D88D0B8B8}"/>
    <cellStyle name="20% - Accent3 2 3 4 3 3" xfId="22635" xr:uid="{AB385D3F-00AC-4C3E-BCB3-82FE7D7DD80D}"/>
    <cellStyle name="20% - Accent3 2 3 4 3 4" xfId="39492" xr:uid="{73BE6D69-517B-4A82-96B0-8F7491779E00}"/>
    <cellStyle name="20% - Accent3 2 3 4 3 5" xfId="14200" xr:uid="{73245C68-06D1-43D0-8E27-3AED457EFCCA}"/>
    <cellStyle name="20% - Accent3 2 3 4 4" xfId="26846" xr:uid="{077527CD-0B91-4ECB-BB90-0086B07F5D53}"/>
    <cellStyle name="20% - Accent3 2 3 4 5" xfId="18417" xr:uid="{F5F28C8D-988E-4F89-87D5-EF5D72D3F1F1}"/>
    <cellStyle name="20% - Accent3 2 3 4 6" xfId="35275" xr:uid="{DC6E4263-FDDA-4541-B5FA-B24ABCD93FD6}"/>
    <cellStyle name="20% - Accent3 2 3 4 7" xfId="9982" xr:uid="{0408F587-B6B1-4286-80F1-71EF9BD0BD3B}"/>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33622" xr:uid="{3B6AC292-8331-4521-A5CB-F8BDC33C115A}"/>
    <cellStyle name="20% - Accent3 2 3 5 2 2 3" xfId="25193" xr:uid="{DF5B06FF-780C-434E-8B0B-C1755BA301A4}"/>
    <cellStyle name="20% - Accent3 2 3 5 2 2 4" xfId="42050" xr:uid="{769E516C-7A90-40AE-86C8-4B1DC8DA4E2C}"/>
    <cellStyle name="20% - Accent3 2 3 5 2 2 5" xfId="16758" xr:uid="{2E77FEC9-1293-4FE2-8485-1E61B1866E9F}"/>
    <cellStyle name="20% - Accent3 2 3 5 2 3" xfId="29404" xr:uid="{59EE3D08-C4E3-4C4F-B502-D4B8F02DD86A}"/>
    <cellStyle name="20% - Accent3 2 3 5 2 4" xfId="20975" xr:uid="{D85709D0-AF8D-4B20-99D4-C20044FCBACD}"/>
    <cellStyle name="20% - Accent3 2 3 5 2 5" xfId="37833" xr:uid="{1DB3CD60-7B4F-40DE-BDF2-0643E3D27D63}"/>
    <cellStyle name="20% - Accent3 2 3 5 2 6" xfId="12540" xr:uid="{A3B00625-6666-4EE9-B262-C8CC3FDEBFBE}"/>
    <cellStyle name="20% - Accent3 2 3 5 3" xfId="6178" xr:uid="{00000000-0005-0000-0000-00007B010000}"/>
    <cellStyle name="20% - Accent3 2 3 5 3 2" xfId="31477" xr:uid="{E4F1D854-86EC-4161-B34A-05E281F619FF}"/>
    <cellStyle name="20% - Accent3 2 3 5 3 3" xfId="23048" xr:uid="{A309F9AF-8524-403B-8EF3-0AE10FBDBDAB}"/>
    <cellStyle name="20% - Accent3 2 3 5 3 4" xfId="39905" xr:uid="{2E960C35-185F-4B9A-ABE9-F2C115FD7632}"/>
    <cellStyle name="20% - Accent3 2 3 5 3 5" xfId="14613" xr:uid="{FA4F92C5-5071-46F6-8678-1FFB34DC086E}"/>
    <cellStyle name="20% - Accent3 2 3 5 4" xfId="27259" xr:uid="{1857C9EA-F9ED-43C7-9668-A8D55713C91A}"/>
    <cellStyle name="20% - Accent3 2 3 5 5" xfId="18830" xr:uid="{AD169161-420F-4F37-889A-3AD9A1EDB206}"/>
    <cellStyle name="20% - Accent3 2 3 5 6" xfId="35688" xr:uid="{1A1639FC-41A6-4FBE-8D29-071F2A9DB462}"/>
    <cellStyle name="20% - Accent3 2 3 5 7" xfId="10395" xr:uid="{841606D1-4A08-436A-8630-4917623308A6}"/>
    <cellStyle name="20% - Accent3 2 3 6" xfId="2284" xr:uid="{00000000-0005-0000-0000-00007C010000}"/>
    <cellStyle name="20% - Accent3 2 3 6 2" xfId="6591" xr:uid="{00000000-0005-0000-0000-00007D010000}"/>
    <cellStyle name="20% - Accent3 2 3 6 2 2" xfId="31890" xr:uid="{81DE70A4-CBE6-4303-985A-39B8DD5E5086}"/>
    <cellStyle name="20% - Accent3 2 3 6 2 3" xfId="23461" xr:uid="{851FD3E1-31B6-42DB-95FE-3AC82357CE0C}"/>
    <cellStyle name="20% - Accent3 2 3 6 2 4" xfId="40318" xr:uid="{B650D708-F1CF-4C93-A835-341F8932423F}"/>
    <cellStyle name="20% - Accent3 2 3 6 2 5" xfId="15026" xr:uid="{73EFF6C8-2DEF-4E10-85EB-7A3DB0F771AD}"/>
    <cellStyle name="20% - Accent3 2 3 6 3" xfId="27672" xr:uid="{B0628E36-A013-447B-9C97-B646E91D86EA}"/>
    <cellStyle name="20% - Accent3 2 3 6 4" xfId="19243" xr:uid="{CB542951-3B1B-49BB-B0F2-19592EA9649F}"/>
    <cellStyle name="20% - Accent3 2 3 6 5" xfId="36101" xr:uid="{9972DC1E-E8CE-4D21-95EE-BF58F996A118}"/>
    <cellStyle name="20% - Accent3 2 3 6 6" xfId="10808" xr:uid="{4D5AABD6-CC10-44BA-B53F-C4F7B7C6BDB1}"/>
    <cellStyle name="20% - Accent3 2 3 7" xfId="4525" xr:uid="{00000000-0005-0000-0000-00007E010000}"/>
    <cellStyle name="20% - Accent3 2 3 7 2" xfId="29824" xr:uid="{6B4FDA8C-808A-4F50-BBBF-DEAE02FA5750}"/>
    <cellStyle name="20% - Accent3 2 3 7 3" xfId="21395" xr:uid="{CFCF1178-5CD2-406E-998D-89824336AD0C}"/>
    <cellStyle name="20% - Accent3 2 3 7 4" xfId="38252" xr:uid="{79D35BCA-1EE4-45DA-8BD0-D8BC5294A279}"/>
    <cellStyle name="20% - Accent3 2 3 7 5" xfId="12960" xr:uid="{7DC47E58-CAE8-4EBD-A4B4-75E45B512F7B}"/>
    <cellStyle name="20% - Accent3 2 3 8" xfId="25606" xr:uid="{6B89A3BB-E183-4116-A720-02A93844635E}"/>
    <cellStyle name="20% - Accent3 2 3 9" xfId="17177" xr:uid="{7AE2AB49-CD9E-4C12-84B3-C22F537459A5}"/>
    <cellStyle name="20% - Accent3 2 4" xfId="587" xr:uid="{00000000-0005-0000-0000-00007F010000}"/>
    <cellStyle name="20% - Accent3 2 4 2" xfId="2858" xr:uid="{00000000-0005-0000-0000-000080010000}"/>
    <cellStyle name="20% - Accent3 2 4 2 2" xfId="7081" xr:uid="{00000000-0005-0000-0000-000081010000}"/>
    <cellStyle name="20% - Accent3 2 4 2 2 2" xfId="32380" xr:uid="{8E16EC0E-739A-4678-9212-97ED7C0DB7C4}"/>
    <cellStyle name="20% - Accent3 2 4 2 2 3" xfId="23951" xr:uid="{1734816D-C1F5-40A2-8085-A84736EC3F7F}"/>
    <cellStyle name="20% - Accent3 2 4 2 2 4" xfId="40808" xr:uid="{8E7612F7-0E28-4EC5-855A-52EA3D443CAA}"/>
    <cellStyle name="20% - Accent3 2 4 2 2 5" xfId="15516" xr:uid="{06F76706-CADC-42ED-B3EF-E5FFEF95B4BD}"/>
    <cellStyle name="20% - Accent3 2 4 2 3" xfId="28162" xr:uid="{E1D5F77A-913F-410D-AD5C-359C3103DAC7}"/>
    <cellStyle name="20% - Accent3 2 4 2 4" xfId="19733" xr:uid="{361DFFBA-AB1F-4E0B-BE50-5EB7A3A1D1E0}"/>
    <cellStyle name="20% - Accent3 2 4 2 5" xfId="36591" xr:uid="{11DDF410-7089-4AC4-98F2-DAE8DD4AED44}"/>
    <cellStyle name="20% - Accent3 2 4 2 6" xfId="11298" xr:uid="{9F7E2EA4-ACB1-4937-8E80-882F36D38168}"/>
    <cellStyle name="20% - Accent3 2 4 3" xfId="4936" xr:uid="{00000000-0005-0000-0000-000082010000}"/>
    <cellStyle name="20% - Accent3 2 4 3 2" xfId="30235" xr:uid="{B4393CD3-BB94-4D92-9272-FCFEA01C0B39}"/>
    <cellStyle name="20% - Accent3 2 4 3 3" xfId="21806" xr:uid="{3FFF30D8-3ABF-4A15-BF07-A1D098F5A326}"/>
    <cellStyle name="20% - Accent3 2 4 3 4" xfId="38663" xr:uid="{8F132C69-E88A-42B5-BBC2-5CB3631526EE}"/>
    <cellStyle name="20% - Accent3 2 4 3 5" xfId="13371" xr:uid="{64857EBF-9268-4A79-9BCF-BF38C241C136}"/>
    <cellStyle name="20% - Accent3 2 4 4" xfId="26017" xr:uid="{01818E04-E014-42E8-9159-01FD4C869597}"/>
    <cellStyle name="20% - Accent3 2 4 5" xfId="17588" xr:uid="{CFF2D824-2CA4-4FFE-8425-A14E7C333618}"/>
    <cellStyle name="20% - Accent3 2 4 6" xfId="34446" xr:uid="{BD0F15B2-9FEB-4F9B-9B6C-78E7A932EDB0}"/>
    <cellStyle name="20% - Accent3 2 4 7" xfId="9153" xr:uid="{3EE3EE46-821C-4908-B16A-2D158A5BDE40}"/>
    <cellStyle name="20% - Accent3 2 5" xfId="1040" xr:uid="{00000000-0005-0000-0000-000083010000}"/>
    <cellStyle name="20% - Accent3 2 5 2" xfId="3271" xr:uid="{00000000-0005-0000-0000-000084010000}"/>
    <cellStyle name="20% - Accent3 2 5 2 2" xfId="7494" xr:uid="{00000000-0005-0000-0000-000085010000}"/>
    <cellStyle name="20% - Accent3 2 5 2 2 2" xfId="32793" xr:uid="{817F543C-7570-4B9D-8B30-1521BF7AB818}"/>
    <cellStyle name="20% - Accent3 2 5 2 2 3" xfId="24364" xr:uid="{89016B6E-1A74-40A1-80EA-106F4FC31FE7}"/>
    <cellStyle name="20% - Accent3 2 5 2 2 4" xfId="41221" xr:uid="{17FCC50E-007F-4C4F-991B-D8FFCEDAEA33}"/>
    <cellStyle name="20% - Accent3 2 5 2 2 5" xfId="15929" xr:uid="{BDF97299-2927-46FB-9632-EC65CDD22C37}"/>
    <cellStyle name="20% - Accent3 2 5 2 3" xfId="28575" xr:uid="{55141271-A1E6-47CE-AD6C-7198EF546118}"/>
    <cellStyle name="20% - Accent3 2 5 2 4" xfId="20146" xr:uid="{56020356-F887-4B98-9FEA-453B756E5B9A}"/>
    <cellStyle name="20% - Accent3 2 5 2 5" xfId="37004" xr:uid="{0B17C066-C294-41F6-BAFE-1CC79DAC2AFE}"/>
    <cellStyle name="20% - Accent3 2 5 2 6" xfId="11711" xr:uid="{E91831C4-7FFA-4F15-84D8-91BFB27C1AA9}"/>
    <cellStyle name="20% - Accent3 2 5 3" xfId="5349" xr:uid="{00000000-0005-0000-0000-000086010000}"/>
    <cellStyle name="20% - Accent3 2 5 3 2" xfId="30648" xr:uid="{13BE338C-187F-4A27-A7E3-FC7091A373F1}"/>
    <cellStyle name="20% - Accent3 2 5 3 3" xfId="22219" xr:uid="{AB2380B8-6FD1-4BBC-9C20-280638843B77}"/>
    <cellStyle name="20% - Accent3 2 5 3 4" xfId="39076" xr:uid="{9E309B24-4A6D-4C9E-9D9D-E781C4BD58C6}"/>
    <cellStyle name="20% - Accent3 2 5 3 5" xfId="13784" xr:uid="{B2DF4B99-3FB6-4B95-989C-940DB5C4C989}"/>
    <cellStyle name="20% - Accent3 2 5 4" xfId="26430" xr:uid="{1EA4C0D3-EE72-4B4B-8F28-9192ACE370EE}"/>
    <cellStyle name="20% - Accent3 2 5 5" xfId="18001" xr:uid="{55868D81-A3F5-485D-9A10-6D9E80383D66}"/>
    <cellStyle name="20% - Accent3 2 5 6" xfId="34859" xr:uid="{161739DA-8423-4C5A-80B0-E50CED49734F}"/>
    <cellStyle name="20% - Accent3 2 5 7" xfId="9566" xr:uid="{F42B26C8-B305-4622-8701-40062F3313A8}"/>
    <cellStyle name="20% - Accent3 2 6" xfId="1454" xr:uid="{00000000-0005-0000-0000-000087010000}"/>
    <cellStyle name="20% - Accent3 2 6 2" xfId="3684" xr:uid="{00000000-0005-0000-0000-000088010000}"/>
    <cellStyle name="20% - Accent3 2 6 2 2" xfId="7907" xr:uid="{00000000-0005-0000-0000-000089010000}"/>
    <cellStyle name="20% - Accent3 2 6 2 2 2" xfId="33206" xr:uid="{83DD22F7-D91F-49A6-9DD8-3CC8A5EB5574}"/>
    <cellStyle name="20% - Accent3 2 6 2 2 3" xfId="24777" xr:uid="{6CDCFD9B-D0EB-47FF-BE8E-E47A7FF37B7A}"/>
    <cellStyle name="20% - Accent3 2 6 2 2 4" xfId="41634" xr:uid="{2FD5333B-0774-43C1-8788-5D3B196078C3}"/>
    <cellStyle name="20% - Accent3 2 6 2 2 5" xfId="16342" xr:uid="{595134AD-43ED-4970-B1C0-6132B28A172D}"/>
    <cellStyle name="20% - Accent3 2 6 2 3" xfId="28988" xr:uid="{3AE7BC94-AFDC-4F04-986B-3D6A7B1FEB02}"/>
    <cellStyle name="20% - Accent3 2 6 2 4" xfId="20559" xr:uid="{91992970-5222-4D59-A831-163F5C7F7DE1}"/>
    <cellStyle name="20% - Accent3 2 6 2 5" xfId="37417" xr:uid="{39CC4F1F-7F67-49B8-A39A-2930A93AFA64}"/>
    <cellStyle name="20% - Accent3 2 6 2 6" xfId="12124" xr:uid="{727DABA0-1540-47C7-9B3B-EF19A7411FA0}"/>
    <cellStyle name="20% - Accent3 2 6 3" xfId="5762" xr:uid="{00000000-0005-0000-0000-00008A010000}"/>
    <cellStyle name="20% - Accent3 2 6 3 2" xfId="31061" xr:uid="{552EDDA6-26FA-4C9F-97F8-93631A7A8C99}"/>
    <cellStyle name="20% - Accent3 2 6 3 3" xfId="22632" xr:uid="{42EA57F1-670E-4EB5-8890-4D8695516852}"/>
    <cellStyle name="20% - Accent3 2 6 3 4" xfId="39489" xr:uid="{A8C8F5E9-B50B-4DE1-AE46-5E585A46D9FC}"/>
    <cellStyle name="20% - Accent3 2 6 3 5" xfId="14197" xr:uid="{B77ED772-0568-42C8-A6A9-9E3CEEBECF99}"/>
    <cellStyle name="20% - Accent3 2 6 4" xfId="26843" xr:uid="{35E77638-928E-45B2-9492-B818D4BD7265}"/>
    <cellStyle name="20% - Accent3 2 6 5" xfId="18414" xr:uid="{A6510691-8237-492B-9B34-D74F5FD558B2}"/>
    <cellStyle name="20% - Accent3 2 6 6" xfId="35272" xr:uid="{D0ACB4A7-F459-4A0B-B141-DA5E176D5573}"/>
    <cellStyle name="20% - Accent3 2 6 7" xfId="9979" xr:uid="{89F2CE73-1F60-4AB4-B102-7B83CEF284A0}"/>
    <cellStyle name="20% - Accent3 2 7" xfId="1868" xr:uid="{00000000-0005-0000-0000-00008B010000}"/>
    <cellStyle name="20% - Accent3 2 7 2" xfId="4097" xr:uid="{00000000-0005-0000-0000-00008C010000}"/>
    <cellStyle name="20% - Accent3 2 7 2 2" xfId="8320" xr:uid="{00000000-0005-0000-0000-00008D010000}"/>
    <cellStyle name="20% - Accent3 2 7 2 2 2" xfId="33619" xr:uid="{5B5685B6-7BA4-4549-B117-DE41D4E15142}"/>
    <cellStyle name="20% - Accent3 2 7 2 2 3" xfId="25190" xr:uid="{8DFA8623-BB0F-4A0C-AD81-B85AF1909806}"/>
    <cellStyle name="20% - Accent3 2 7 2 2 4" xfId="42047" xr:uid="{17153BC5-4188-4BD2-BDAE-2C283B4AFD41}"/>
    <cellStyle name="20% - Accent3 2 7 2 2 5" xfId="16755" xr:uid="{4746B376-AA47-4569-943E-9E6F3F0C76F1}"/>
    <cellStyle name="20% - Accent3 2 7 2 3" xfId="29401" xr:uid="{33865DBA-BBFD-4599-B0DE-430E5274E483}"/>
    <cellStyle name="20% - Accent3 2 7 2 4" xfId="20972" xr:uid="{D94B5D42-BEF1-4B16-B367-DD7C108262C1}"/>
    <cellStyle name="20% - Accent3 2 7 2 5" xfId="37830" xr:uid="{DED1E867-A876-4326-B4A9-1E331642DBBE}"/>
    <cellStyle name="20% - Accent3 2 7 2 6" xfId="12537" xr:uid="{8563B232-2B9F-48A7-9F1E-694E467476F7}"/>
    <cellStyle name="20% - Accent3 2 7 3" xfId="6175" xr:uid="{00000000-0005-0000-0000-00008E010000}"/>
    <cellStyle name="20% - Accent3 2 7 3 2" xfId="31474" xr:uid="{406E2AA1-4106-4199-9215-DB14DA56C9F6}"/>
    <cellStyle name="20% - Accent3 2 7 3 3" xfId="23045" xr:uid="{3664AE5E-4C5A-465A-9F07-205D7431ADDE}"/>
    <cellStyle name="20% - Accent3 2 7 3 4" xfId="39902" xr:uid="{4BFB0A9B-3E1A-49BC-8D4D-C1CB46EAEDDD}"/>
    <cellStyle name="20% - Accent3 2 7 3 5" xfId="14610" xr:uid="{A503B823-4EF5-4E63-A361-C1A3C4DB7AA2}"/>
    <cellStyle name="20% - Accent3 2 7 4" xfId="27256" xr:uid="{A1461750-D68E-494C-B2ED-02EEBDB6170E}"/>
    <cellStyle name="20% - Accent3 2 7 5" xfId="18827" xr:uid="{A957FB7E-3016-4172-9C2B-144BC1830C5D}"/>
    <cellStyle name="20% - Accent3 2 7 6" xfId="35685" xr:uid="{77528AA3-9BEA-4E6E-8C21-F9E9185B81B0}"/>
    <cellStyle name="20% - Accent3 2 7 7" xfId="10392" xr:uid="{772FBAC8-03FC-4BC7-B5CF-71515FB0ECB1}"/>
    <cellStyle name="20% - Accent3 2 8" xfId="2281" xr:uid="{00000000-0005-0000-0000-00008F010000}"/>
    <cellStyle name="20% - Accent3 2 8 2" xfId="6588" xr:uid="{00000000-0005-0000-0000-000090010000}"/>
    <cellStyle name="20% - Accent3 2 8 2 2" xfId="31887" xr:uid="{500BAA4B-1F49-4CCE-B73B-2CCEBD910E43}"/>
    <cellStyle name="20% - Accent3 2 8 2 3" xfId="23458" xr:uid="{5F9A7194-B201-4D22-A6D5-DCB26828037D}"/>
    <cellStyle name="20% - Accent3 2 8 2 4" xfId="40315" xr:uid="{5A93ACF5-5580-4ADF-B3EE-053C682F97DE}"/>
    <cellStyle name="20% - Accent3 2 8 2 5" xfId="15023" xr:uid="{BAF519B9-FA13-4D87-9D01-E0A5608B9AFB}"/>
    <cellStyle name="20% - Accent3 2 8 3" xfId="27669" xr:uid="{765825A9-B447-48DD-B9DE-D2644D9D4CA0}"/>
    <cellStyle name="20% - Accent3 2 8 4" xfId="19240" xr:uid="{322FBA89-5989-47F9-8AAE-0594B8F51DAE}"/>
    <cellStyle name="20% - Accent3 2 8 5" xfId="36098" xr:uid="{23BF96B6-0D3F-47B2-B986-4A40FB5F6249}"/>
    <cellStyle name="20% - Accent3 2 8 6" xfId="10805" xr:uid="{69EF1181-1B4D-46C6-93EC-A1ED851D932F}"/>
    <cellStyle name="20% - Accent3 2 9" xfId="4522" xr:uid="{00000000-0005-0000-0000-000091010000}"/>
    <cellStyle name="20% - Accent3 2 9 2" xfId="29821" xr:uid="{A6D7AB8D-9502-4FB4-8141-5339F11A70E1}"/>
    <cellStyle name="20% - Accent3 2 9 3" xfId="21392" xr:uid="{AAB23C68-8F8E-4724-8899-E6E7A92D4DC0}"/>
    <cellStyle name="20% - Accent3 2 9 4" xfId="38249" xr:uid="{FE20F432-891B-49D7-80BF-151712FA6C60}"/>
    <cellStyle name="20% - Accent3 2 9 5" xfId="12957" xr:uid="{C1CBB6A8-42D6-435C-8FF1-3FCF3F2DC0AB}"/>
    <cellStyle name="20% - Accent3 3" xfId="22" xr:uid="{00000000-0005-0000-0000-000092010000}"/>
    <cellStyle name="20% - Accent3 3 10" xfId="17178" xr:uid="{35D5CF63-4BA7-4A20-87BD-BB4D4EEADDD0}"/>
    <cellStyle name="20% - Accent3 3 11" xfId="34036" xr:uid="{717F98B4-CF94-4712-90E4-3AF0C789A563}"/>
    <cellStyle name="20% - Accent3 3 12" xfId="8743" xr:uid="{866B18BE-4C90-4AAE-BEA4-1344AEDDC796}"/>
    <cellStyle name="20% - Accent3 3 2" xfId="23" xr:uid="{00000000-0005-0000-0000-000093010000}"/>
    <cellStyle name="20% - Accent3 3 2 10" xfId="34037" xr:uid="{AA889734-03DC-46D4-812A-CDBCB742462C}"/>
    <cellStyle name="20% - Accent3 3 2 11" xfId="8744" xr:uid="{070E35D8-BD80-45E7-B45E-C05F4688CE61}"/>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32385" xr:uid="{5B25695E-F5E0-469C-8C19-AD8EDEAF63A0}"/>
    <cellStyle name="20% - Accent3 3 2 2 2 2 3" xfId="23956" xr:uid="{7705BCA8-2204-41AC-9285-94BBDE96CD3C}"/>
    <cellStyle name="20% - Accent3 3 2 2 2 2 4" xfId="40813" xr:uid="{AEEF3FE4-9654-4886-82E7-A89D39CD08E5}"/>
    <cellStyle name="20% - Accent3 3 2 2 2 2 5" xfId="15521" xr:uid="{761D2DE1-3313-4DFC-9A50-9AF216FBEB19}"/>
    <cellStyle name="20% - Accent3 3 2 2 2 3" xfId="28167" xr:uid="{1C68BF78-367F-485C-96AF-E53D8EBDB7CD}"/>
    <cellStyle name="20% - Accent3 3 2 2 2 4" xfId="19738" xr:uid="{F74FDA77-FB88-429C-B944-CA87A4FBA70F}"/>
    <cellStyle name="20% - Accent3 3 2 2 2 5" xfId="36596" xr:uid="{F6A3BD01-D111-4BAA-B232-0D2BED0EF395}"/>
    <cellStyle name="20% - Accent3 3 2 2 2 6" xfId="11303" xr:uid="{9798C5E7-CAEC-4100-A7C4-192E3A664955}"/>
    <cellStyle name="20% - Accent3 3 2 2 3" xfId="4941" xr:uid="{00000000-0005-0000-0000-000097010000}"/>
    <cellStyle name="20% - Accent3 3 2 2 3 2" xfId="30240" xr:uid="{A79DD2F2-2D25-494D-8077-645276A1024E}"/>
    <cellStyle name="20% - Accent3 3 2 2 3 3" xfId="21811" xr:uid="{2D0D1497-EBC8-4C14-AD20-ECA1F1B70AF9}"/>
    <cellStyle name="20% - Accent3 3 2 2 3 4" xfId="38668" xr:uid="{6ECFC383-7515-4B38-B22D-4FC618E0BEF0}"/>
    <cellStyle name="20% - Accent3 3 2 2 3 5" xfId="13376" xr:uid="{62560F73-9ECB-49F1-89D8-0D7EA3CBFCE9}"/>
    <cellStyle name="20% - Accent3 3 2 2 4" xfId="26022" xr:uid="{070B7EFF-5D31-4464-9E64-BB46E2A6EFD6}"/>
    <cellStyle name="20% - Accent3 3 2 2 5" xfId="17593" xr:uid="{6320B7A6-8FD3-4F27-95D8-423EB3D635AF}"/>
    <cellStyle name="20% - Accent3 3 2 2 6" xfId="34451" xr:uid="{C9279510-1C23-4FBB-A7FA-DC4658AD4820}"/>
    <cellStyle name="20% - Accent3 3 2 2 7" xfId="9158" xr:uid="{5151A1A0-3707-40C6-985C-A41F45357694}"/>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32798" xr:uid="{09706550-77B2-4493-9C9F-2C1DBC15EEB6}"/>
    <cellStyle name="20% - Accent3 3 2 3 2 2 3" xfId="24369" xr:uid="{78C2B8E0-F958-4D37-A68F-CC2842E76767}"/>
    <cellStyle name="20% - Accent3 3 2 3 2 2 4" xfId="41226" xr:uid="{53050892-1710-4A8E-8459-CEECD05C4194}"/>
    <cellStyle name="20% - Accent3 3 2 3 2 2 5" xfId="15934" xr:uid="{690B9684-826C-4ECF-8F8B-AA824E8800BC}"/>
    <cellStyle name="20% - Accent3 3 2 3 2 3" xfId="28580" xr:uid="{294B89FB-4B01-4499-828D-1534F4DBC69A}"/>
    <cellStyle name="20% - Accent3 3 2 3 2 4" xfId="20151" xr:uid="{29062CEA-1BBA-4E82-A88F-6F9E3ED65035}"/>
    <cellStyle name="20% - Accent3 3 2 3 2 5" xfId="37009" xr:uid="{DFDADACC-5237-475D-9B1D-1D29767A128C}"/>
    <cellStyle name="20% - Accent3 3 2 3 2 6" xfId="11716" xr:uid="{888F965A-14EF-43F2-AE15-EB4414ADC8D5}"/>
    <cellStyle name="20% - Accent3 3 2 3 3" xfId="5354" xr:uid="{00000000-0005-0000-0000-00009B010000}"/>
    <cellStyle name="20% - Accent3 3 2 3 3 2" xfId="30653" xr:uid="{DD27017C-47A4-4719-BBDD-3D04AF847728}"/>
    <cellStyle name="20% - Accent3 3 2 3 3 3" xfId="22224" xr:uid="{8D3A5BA9-4712-4E96-B90F-BB3CAAA13B26}"/>
    <cellStyle name="20% - Accent3 3 2 3 3 4" xfId="39081" xr:uid="{168788F8-FE17-4173-8911-F5135A4BCC85}"/>
    <cellStyle name="20% - Accent3 3 2 3 3 5" xfId="13789" xr:uid="{1DAD418B-79FB-4D89-BB3D-637664F40C89}"/>
    <cellStyle name="20% - Accent3 3 2 3 4" xfId="26435" xr:uid="{9732008D-DC06-4984-90A0-4701483C16A9}"/>
    <cellStyle name="20% - Accent3 3 2 3 5" xfId="18006" xr:uid="{438B6C1D-3854-4DE9-BD36-514FEF85C281}"/>
    <cellStyle name="20% - Accent3 3 2 3 6" xfId="34864" xr:uid="{C92021E2-B209-473B-86BF-ECE8C4071C28}"/>
    <cellStyle name="20% - Accent3 3 2 3 7" xfId="9571" xr:uid="{24FAE407-8B65-4FCB-9D6D-30BF1968EE68}"/>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33211" xr:uid="{CD2709C8-9245-4A3B-AFF6-97E9C58CDDE0}"/>
    <cellStyle name="20% - Accent3 3 2 4 2 2 3" xfId="24782" xr:uid="{F2AFB77F-04CE-4628-8402-DD7A7BB3FC5C}"/>
    <cellStyle name="20% - Accent3 3 2 4 2 2 4" xfId="41639" xr:uid="{8AE04BD8-CE95-4F67-BC8B-D49746CF07D6}"/>
    <cellStyle name="20% - Accent3 3 2 4 2 2 5" xfId="16347" xr:uid="{2BAEA681-F8B3-4645-A389-ED0A9F6F0D2C}"/>
    <cellStyle name="20% - Accent3 3 2 4 2 3" xfId="28993" xr:uid="{4CC8F61B-A32D-4220-B0D9-7C35080BCAF8}"/>
    <cellStyle name="20% - Accent3 3 2 4 2 4" xfId="20564" xr:uid="{02A2AD79-C806-422B-81B1-F25E05B436F2}"/>
    <cellStyle name="20% - Accent3 3 2 4 2 5" xfId="37422" xr:uid="{6752466F-97EE-4AF3-A2B6-17281C16FBB9}"/>
    <cellStyle name="20% - Accent3 3 2 4 2 6" xfId="12129" xr:uid="{7DEA2042-40D5-4A4B-8CBB-A12C78C0E8C0}"/>
    <cellStyle name="20% - Accent3 3 2 4 3" xfId="5767" xr:uid="{00000000-0005-0000-0000-00009F010000}"/>
    <cellStyle name="20% - Accent3 3 2 4 3 2" xfId="31066" xr:uid="{A9E85308-B5A6-4685-B401-4AE54C9AA669}"/>
    <cellStyle name="20% - Accent3 3 2 4 3 3" xfId="22637" xr:uid="{7D8FACBC-79F4-4B52-BD44-B7BE250A71F7}"/>
    <cellStyle name="20% - Accent3 3 2 4 3 4" xfId="39494" xr:uid="{CCE5A365-2057-4F3A-8D4E-54AD69A2295F}"/>
    <cellStyle name="20% - Accent3 3 2 4 3 5" xfId="14202" xr:uid="{BC70EAE2-1000-4D10-A253-F64FDAC54C86}"/>
    <cellStyle name="20% - Accent3 3 2 4 4" xfId="26848" xr:uid="{91C1CF24-BEBA-479A-97E3-7F92752E68B2}"/>
    <cellStyle name="20% - Accent3 3 2 4 5" xfId="18419" xr:uid="{AF278456-342B-4384-A11C-4DAFC3EEC487}"/>
    <cellStyle name="20% - Accent3 3 2 4 6" xfId="35277" xr:uid="{23B31BD9-3E22-4C68-9B8F-397D9A29322B}"/>
    <cellStyle name="20% - Accent3 3 2 4 7" xfId="9984" xr:uid="{4DD2E40E-B968-42CF-9319-45185665D7E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33624" xr:uid="{A2D430ED-9082-4243-9846-5F11FDDEF1E4}"/>
    <cellStyle name="20% - Accent3 3 2 5 2 2 3" xfId="25195" xr:uid="{252AB3CF-E0D3-4532-9FA7-8429FBF62827}"/>
    <cellStyle name="20% - Accent3 3 2 5 2 2 4" xfId="42052" xr:uid="{76D87277-01C6-4B3F-BFF3-EA5646F285A5}"/>
    <cellStyle name="20% - Accent3 3 2 5 2 2 5" xfId="16760" xr:uid="{31F1E893-4849-4FCF-BD30-7E4C2CE64848}"/>
    <cellStyle name="20% - Accent3 3 2 5 2 3" xfId="29406" xr:uid="{AAFFA456-9283-475F-B673-0E870D778F0A}"/>
    <cellStyle name="20% - Accent3 3 2 5 2 4" xfId="20977" xr:uid="{B4706071-AACE-4D14-9373-3AACCDF8CC92}"/>
    <cellStyle name="20% - Accent3 3 2 5 2 5" xfId="37835" xr:uid="{2AE3137F-6477-4C7B-AF4E-C19D4C33B07B}"/>
    <cellStyle name="20% - Accent3 3 2 5 2 6" xfId="12542" xr:uid="{53333846-48FA-4BD7-B124-350D6C0ED947}"/>
    <cellStyle name="20% - Accent3 3 2 5 3" xfId="6180" xr:uid="{00000000-0005-0000-0000-0000A3010000}"/>
    <cellStyle name="20% - Accent3 3 2 5 3 2" xfId="31479" xr:uid="{E5B8E12D-94B5-4CB7-A438-17C5E4352745}"/>
    <cellStyle name="20% - Accent3 3 2 5 3 3" xfId="23050" xr:uid="{FFA5E176-883A-4F94-AC5C-9422096B6C53}"/>
    <cellStyle name="20% - Accent3 3 2 5 3 4" xfId="39907" xr:uid="{8674391C-CE97-4971-870B-265A09ABDD1C}"/>
    <cellStyle name="20% - Accent3 3 2 5 3 5" xfId="14615" xr:uid="{08A6D68A-F88F-4B65-8A52-BD3A841B3F75}"/>
    <cellStyle name="20% - Accent3 3 2 5 4" xfId="27261" xr:uid="{B48F9FA2-E0C7-4EC1-BF55-7ADF826C157F}"/>
    <cellStyle name="20% - Accent3 3 2 5 5" xfId="18832" xr:uid="{8938841A-D69C-466C-99DD-48F075EACE22}"/>
    <cellStyle name="20% - Accent3 3 2 5 6" xfId="35690" xr:uid="{BC89B524-0A10-44C3-867E-6399C0E28AB0}"/>
    <cellStyle name="20% - Accent3 3 2 5 7" xfId="10397" xr:uid="{0D861C25-7549-4184-9DC6-974424A0A9A5}"/>
    <cellStyle name="20% - Accent3 3 2 6" xfId="2286" xr:uid="{00000000-0005-0000-0000-0000A4010000}"/>
    <cellStyle name="20% - Accent3 3 2 6 2" xfId="6593" xr:uid="{00000000-0005-0000-0000-0000A5010000}"/>
    <cellStyle name="20% - Accent3 3 2 6 2 2" xfId="31892" xr:uid="{53B7ABB6-0472-49CF-A7F9-0978C06443FF}"/>
    <cellStyle name="20% - Accent3 3 2 6 2 3" xfId="23463" xr:uid="{0ED71875-7DD6-4EB5-A45E-A022F963126F}"/>
    <cellStyle name="20% - Accent3 3 2 6 2 4" xfId="40320" xr:uid="{E6AFB0B3-0D87-4731-802A-AC0929A698FA}"/>
    <cellStyle name="20% - Accent3 3 2 6 2 5" xfId="15028" xr:uid="{9E8D5577-6839-4097-B5C9-7E0579EC531F}"/>
    <cellStyle name="20% - Accent3 3 2 6 3" xfId="27674" xr:uid="{0202B036-C363-488B-B46D-B8B7056D2FCB}"/>
    <cellStyle name="20% - Accent3 3 2 6 4" xfId="19245" xr:uid="{59CF5A90-9286-4F9B-A3FA-CFEAEE80CC91}"/>
    <cellStyle name="20% - Accent3 3 2 6 5" xfId="36103" xr:uid="{3434AAC5-8FF0-438C-B07D-C7E349BC69CF}"/>
    <cellStyle name="20% - Accent3 3 2 6 6" xfId="10810" xr:uid="{5359115C-9659-401E-887E-25247A5026B4}"/>
    <cellStyle name="20% - Accent3 3 2 7" xfId="4527" xr:uid="{00000000-0005-0000-0000-0000A6010000}"/>
    <cellStyle name="20% - Accent3 3 2 7 2" xfId="29826" xr:uid="{E23E789B-15B8-4DEB-A158-2644605CD6CD}"/>
    <cellStyle name="20% - Accent3 3 2 7 3" xfId="21397" xr:uid="{5E86F69E-C632-496B-8B8B-850D8DA820B6}"/>
    <cellStyle name="20% - Accent3 3 2 7 4" xfId="38254" xr:uid="{DA1338C2-C881-43DF-A29E-373BF61C1108}"/>
    <cellStyle name="20% - Accent3 3 2 7 5" xfId="12962" xr:uid="{C92C825D-F202-4D5B-8C2E-C27010745E34}"/>
    <cellStyle name="20% - Accent3 3 2 8" xfId="25608" xr:uid="{B74E96FD-ACA5-4D12-A6E9-8A4F01DFBAA0}"/>
    <cellStyle name="20% - Accent3 3 2 9" xfId="17179" xr:uid="{BA81B8A1-2BFD-403A-88A3-806782B44F6E}"/>
    <cellStyle name="20% - Accent3 3 3" xfId="591" xr:uid="{00000000-0005-0000-0000-0000A7010000}"/>
    <cellStyle name="20% - Accent3 3 3 2" xfId="2862" xr:uid="{00000000-0005-0000-0000-0000A8010000}"/>
    <cellStyle name="20% - Accent3 3 3 2 2" xfId="7085" xr:uid="{00000000-0005-0000-0000-0000A9010000}"/>
    <cellStyle name="20% - Accent3 3 3 2 2 2" xfId="32384" xr:uid="{DA3947B6-30EB-4502-9A83-E6E1F15C79D7}"/>
    <cellStyle name="20% - Accent3 3 3 2 2 3" xfId="23955" xr:uid="{4282B152-AEB9-41BE-AEEC-983C097CF1E8}"/>
    <cellStyle name="20% - Accent3 3 3 2 2 4" xfId="40812" xr:uid="{45A59EAA-CE50-4337-9448-58F0DD37513A}"/>
    <cellStyle name="20% - Accent3 3 3 2 2 5" xfId="15520" xr:uid="{EE41C1C7-BFE6-404D-84D1-D7E300DB9D4A}"/>
    <cellStyle name="20% - Accent3 3 3 2 3" xfId="28166" xr:uid="{20211F2F-E866-41F8-B921-F02CE5BAAEEB}"/>
    <cellStyle name="20% - Accent3 3 3 2 4" xfId="19737" xr:uid="{9ECD0172-6477-490E-9144-9155111BF15E}"/>
    <cellStyle name="20% - Accent3 3 3 2 5" xfId="36595" xr:uid="{AD521788-B67B-49D3-BB4C-CB8BB9ED6FA6}"/>
    <cellStyle name="20% - Accent3 3 3 2 6" xfId="11302" xr:uid="{76B69A03-FE53-4A92-B68B-BC07DA3F851F}"/>
    <cellStyle name="20% - Accent3 3 3 3" xfId="4940" xr:uid="{00000000-0005-0000-0000-0000AA010000}"/>
    <cellStyle name="20% - Accent3 3 3 3 2" xfId="30239" xr:uid="{32BCA492-BBAE-4D7E-A19E-3FD1DA17DCF6}"/>
    <cellStyle name="20% - Accent3 3 3 3 3" xfId="21810" xr:uid="{C149F13C-C37F-4BE2-ACDD-60D029768610}"/>
    <cellStyle name="20% - Accent3 3 3 3 4" xfId="38667" xr:uid="{894BB946-CC7F-4873-959D-E399A58889A1}"/>
    <cellStyle name="20% - Accent3 3 3 3 5" xfId="13375" xr:uid="{789AC904-E5F8-4811-BC50-18B1D20F8209}"/>
    <cellStyle name="20% - Accent3 3 3 4" xfId="26021" xr:uid="{5A448584-DBF7-4C8F-ACB8-A2665E3C0150}"/>
    <cellStyle name="20% - Accent3 3 3 5" xfId="17592" xr:uid="{B03737CA-5D85-4DD2-BC02-F2998E85F52E}"/>
    <cellStyle name="20% - Accent3 3 3 6" xfId="34450" xr:uid="{400CBD7C-CBD1-41E6-8C69-18FE34A1C11B}"/>
    <cellStyle name="20% - Accent3 3 3 7" xfId="9157" xr:uid="{DA49CCEF-E30A-4D03-A3F7-09F86FF8A56E}"/>
    <cellStyle name="20% - Accent3 3 4" xfId="1044" xr:uid="{00000000-0005-0000-0000-0000AB010000}"/>
    <cellStyle name="20% - Accent3 3 4 2" xfId="3275" xr:uid="{00000000-0005-0000-0000-0000AC010000}"/>
    <cellStyle name="20% - Accent3 3 4 2 2" xfId="7498" xr:uid="{00000000-0005-0000-0000-0000AD010000}"/>
    <cellStyle name="20% - Accent3 3 4 2 2 2" xfId="32797" xr:uid="{41D4805B-21A9-4D78-8FC7-35BB16956ACD}"/>
    <cellStyle name="20% - Accent3 3 4 2 2 3" xfId="24368" xr:uid="{EADEF4DC-35F4-4B09-BA70-92D4BB314386}"/>
    <cellStyle name="20% - Accent3 3 4 2 2 4" xfId="41225" xr:uid="{B9148345-CC22-4B5C-A379-F5B368329502}"/>
    <cellStyle name="20% - Accent3 3 4 2 2 5" xfId="15933" xr:uid="{3F5D7434-6C56-4829-AF92-576569A3FC0B}"/>
    <cellStyle name="20% - Accent3 3 4 2 3" xfId="28579" xr:uid="{899E6A0F-B14E-41AC-AFF7-DE09E257AC0E}"/>
    <cellStyle name="20% - Accent3 3 4 2 4" xfId="20150" xr:uid="{A60243D7-C718-4690-853C-41C819FFA36A}"/>
    <cellStyle name="20% - Accent3 3 4 2 5" xfId="37008" xr:uid="{6C5F457E-768B-4DBA-ABD8-10B05D3CDCD8}"/>
    <cellStyle name="20% - Accent3 3 4 2 6" xfId="11715" xr:uid="{7D125E09-EF7C-4BC7-BE71-D05717819B59}"/>
    <cellStyle name="20% - Accent3 3 4 3" xfId="5353" xr:uid="{00000000-0005-0000-0000-0000AE010000}"/>
    <cellStyle name="20% - Accent3 3 4 3 2" xfId="30652" xr:uid="{7965FE0B-F5D1-441F-8B79-6DC2C24E2326}"/>
    <cellStyle name="20% - Accent3 3 4 3 3" xfId="22223" xr:uid="{4269B5BC-70E1-440F-A1D5-92BFB7BDF27D}"/>
    <cellStyle name="20% - Accent3 3 4 3 4" xfId="39080" xr:uid="{3D60CEA3-7663-46B7-9F92-925FFB928CB5}"/>
    <cellStyle name="20% - Accent3 3 4 3 5" xfId="13788" xr:uid="{5DD691FF-BC60-4ADF-995E-EB99D510C8A4}"/>
    <cellStyle name="20% - Accent3 3 4 4" xfId="26434" xr:uid="{42FE6EDD-4FC1-4411-8862-E8DAF93FC17C}"/>
    <cellStyle name="20% - Accent3 3 4 5" xfId="18005" xr:uid="{53BAE1A2-0604-4C98-8174-27FADE34D767}"/>
    <cellStyle name="20% - Accent3 3 4 6" xfId="34863" xr:uid="{50DB53D8-74E6-49B5-A2C6-3DE3B19E50C8}"/>
    <cellStyle name="20% - Accent3 3 4 7" xfId="9570" xr:uid="{8401F403-06FF-4474-A5E9-F318508A0789}"/>
    <cellStyle name="20% - Accent3 3 5" xfId="1458" xr:uid="{00000000-0005-0000-0000-0000AF010000}"/>
    <cellStyle name="20% - Accent3 3 5 2" xfId="3688" xr:uid="{00000000-0005-0000-0000-0000B0010000}"/>
    <cellStyle name="20% - Accent3 3 5 2 2" xfId="7911" xr:uid="{00000000-0005-0000-0000-0000B1010000}"/>
    <cellStyle name="20% - Accent3 3 5 2 2 2" xfId="33210" xr:uid="{0590AA46-B317-4743-B60B-2B0F1C4E5315}"/>
    <cellStyle name="20% - Accent3 3 5 2 2 3" xfId="24781" xr:uid="{E480846C-CA58-413D-9427-A5D723FA0054}"/>
    <cellStyle name="20% - Accent3 3 5 2 2 4" xfId="41638" xr:uid="{9F4DE997-9633-41E6-939A-9D90FC69888E}"/>
    <cellStyle name="20% - Accent3 3 5 2 2 5" xfId="16346" xr:uid="{304C2970-C90C-4129-8D8F-1B7A9079AE0E}"/>
    <cellStyle name="20% - Accent3 3 5 2 3" xfId="28992" xr:uid="{7E9A19F4-F26F-42C6-B7EC-B0053F564526}"/>
    <cellStyle name="20% - Accent3 3 5 2 4" xfId="20563" xr:uid="{7E06083C-B687-4FF4-8FBF-740513E9145B}"/>
    <cellStyle name="20% - Accent3 3 5 2 5" xfId="37421" xr:uid="{0027F5C7-C8FE-4DCE-AA64-60370DED855A}"/>
    <cellStyle name="20% - Accent3 3 5 2 6" xfId="12128" xr:uid="{4CCABB9E-2C93-407F-B820-4EBDFFFE0BF0}"/>
    <cellStyle name="20% - Accent3 3 5 3" xfId="5766" xr:uid="{00000000-0005-0000-0000-0000B2010000}"/>
    <cellStyle name="20% - Accent3 3 5 3 2" xfId="31065" xr:uid="{C4B7222B-01B8-454F-8C5F-DC25BF73CB6B}"/>
    <cellStyle name="20% - Accent3 3 5 3 3" xfId="22636" xr:uid="{BF2DBA36-9CAC-4701-834E-083FD3258B65}"/>
    <cellStyle name="20% - Accent3 3 5 3 4" xfId="39493" xr:uid="{C207EFDB-B8B9-4495-B439-810D3D1F46C4}"/>
    <cellStyle name="20% - Accent3 3 5 3 5" xfId="14201" xr:uid="{79EBA46A-9B83-43A3-8509-BDCECAE54399}"/>
    <cellStyle name="20% - Accent3 3 5 4" xfId="26847" xr:uid="{2C88F0C0-4833-4055-B914-40324187F0BB}"/>
    <cellStyle name="20% - Accent3 3 5 5" xfId="18418" xr:uid="{9F7FA2B8-26C2-407F-8FDB-4C82DB22AF3B}"/>
    <cellStyle name="20% - Accent3 3 5 6" xfId="35276" xr:uid="{92D706CA-C59B-4672-966A-4619BBADDEB5}"/>
    <cellStyle name="20% - Accent3 3 5 7" xfId="9983" xr:uid="{1EB8D954-0D9E-4687-958A-4C526597508B}"/>
    <cellStyle name="20% - Accent3 3 6" xfId="1872" xr:uid="{00000000-0005-0000-0000-0000B3010000}"/>
    <cellStyle name="20% - Accent3 3 6 2" xfId="4101" xr:uid="{00000000-0005-0000-0000-0000B4010000}"/>
    <cellStyle name="20% - Accent3 3 6 2 2" xfId="8324" xr:uid="{00000000-0005-0000-0000-0000B5010000}"/>
    <cellStyle name="20% - Accent3 3 6 2 2 2" xfId="33623" xr:uid="{72161E36-405F-48CF-973F-40B5C13795C3}"/>
    <cellStyle name="20% - Accent3 3 6 2 2 3" xfId="25194" xr:uid="{564288F0-4D40-4950-9CC2-A699B74CC93D}"/>
    <cellStyle name="20% - Accent3 3 6 2 2 4" xfId="42051" xr:uid="{6B07D31F-CAE4-49CE-A954-0623CECC12B6}"/>
    <cellStyle name="20% - Accent3 3 6 2 2 5" xfId="16759" xr:uid="{86F5129C-F1EF-4D06-9979-A65A632841CA}"/>
    <cellStyle name="20% - Accent3 3 6 2 3" xfId="29405" xr:uid="{40F05085-9F67-4663-A402-2BE2A9B1E250}"/>
    <cellStyle name="20% - Accent3 3 6 2 4" xfId="20976" xr:uid="{3130D0A1-FC06-4F48-93F7-5C9B5A62F0F0}"/>
    <cellStyle name="20% - Accent3 3 6 2 5" xfId="37834" xr:uid="{8467AB10-CF41-4669-816B-03A87CD8524A}"/>
    <cellStyle name="20% - Accent3 3 6 2 6" xfId="12541" xr:uid="{2B0CE5CD-5D54-4347-93B8-3A176F0A5FD1}"/>
    <cellStyle name="20% - Accent3 3 6 3" xfId="6179" xr:uid="{00000000-0005-0000-0000-0000B6010000}"/>
    <cellStyle name="20% - Accent3 3 6 3 2" xfId="31478" xr:uid="{A3BE1BEC-49C8-4937-9C31-0957F4238789}"/>
    <cellStyle name="20% - Accent3 3 6 3 3" xfId="23049" xr:uid="{6F146CDC-FA9A-4051-A6D1-B8F4A39BF008}"/>
    <cellStyle name="20% - Accent3 3 6 3 4" xfId="39906" xr:uid="{EEE0FBA8-02B4-44A9-828E-5ACC5CF2974C}"/>
    <cellStyle name="20% - Accent3 3 6 3 5" xfId="14614" xr:uid="{0D6E8DDA-7978-4022-A71A-C28D7AE0754C}"/>
    <cellStyle name="20% - Accent3 3 6 4" xfId="27260" xr:uid="{44A56A49-79F1-445F-A864-98EC414990D4}"/>
    <cellStyle name="20% - Accent3 3 6 5" xfId="18831" xr:uid="{F7D90C74-42C8-42B1-B9FE-4C09424E097A}"/>
    <cellStyle name="20% - Accent3 3 6 6" xfId="35689" xr:uid="{462B5396-88D3-4294-93E5-241257975EEC}"/>
    <cellStyle name="20% - Accent3 3 6 7" xfId="10396" xr:uid="{7E56DCAF-9BCA-4087-87EA-3562D34434B6}"/>
    <cellStyle name="20% - Accent3 3 7" xfId="2285" xr:uid="{00000000-0005-0000-0000-0000B7010000}"/>
    <cellStyle name="20% - Accent3 3 7 2" xfId="6592" xr:uid="{00000000-0005-0000-0000-0000B8010000}"/>
    <cellStyle name="20% - Accent3 3 7 2 2" xfId="31891" xr:uid="{C558970A-965D-4535-AAFE-02FAD0DB3271}"/>
    <cellStyle name="20% - Accent3 3 7 2 3" xfId="23462" xr:uid="{4135554C-0288-4CA9-B9FB-80725BC37711}"/>
    <cellStyle name="20% - Accent3 3 7 2 4" xfId="40319" xr:uid="{8D776B83-43A3-4DD6-A606-056C6CFAAA62}"/>
    <cellStyle name="20% - Accent3 3 7 2 5" xfId="15027" xr:uid="{96FAD73F-8639-4872-B563-FBC8F8D5A6A3}"/>
    <cellStyle name="20% - Accent3 3 7 3" xfId="27673" xr:uid="{8DD40711-73A2-4F2E-89B7-AE85917B9078}"/>
    <cellStyle name="20% - Accent3 3 7 4" xfId="19244" xr:uid="{C50B9959-00EF-45B5-965A-5271EEF7FFB3}"/>
    <cellStyle name="20% - Accent3 3 7 5" xfId="36102" xr:uid="{85D632FD-A9FC-4B55-AD88-9D707BFA8469}"/>
    <cellStyle name="20% - Accent3 3 7 6" xfId="10809" xr:uid="{FBBAADCC-90D5-4122-BC80-8215AA3246EA}"/>
    <cellStyle name="20% - Accent3 3 8" xfId="4526" xr:uid="{00000000-0005-0000-0000-0000B9010000}"/>
    <cellStyle name="20% - Accent3 3 8 2" xfId="29825" xr:uid="{5CEEFCA8-CE6E-416B-BCD6-F331DA941D1F}"/>
    <cellStyle name="20% - Accent3 3 8 3" xfId="21396" xr:uid="{F3ED384B-F753-41C9-A785-E27FDA441403}"/>
    <cellStyle name="20% - Accent3 3 8 4" xfId="38253" xr:uid="{6C4C1EAF-1EB9-49E3-9923-46BFE8DA12F9}"/>
    <cellStyle name="20% - Accent3 3 8 5" xfId="12961" xr:uid="{12C72064-4B81-4CBB-BDBF-68FE10C27333}"/>
    <cellStyle name="20% - Accent3 3 9" xfId="25607" xr:uid="{F200D01D-66D7-4042-A0F7-6F96EA2CF657}"/>
    <cellStyle name="20% - Accent3 4" xfId="24" xr:uid="{00000000-0005-0000-0000-0000BA010000}"/>
    <cellStyle name="20% - Accent3 4 10" xfId="34038" xr:uid="{2F3F11E5-B662-455E-8FE4-710711339652}"/>
    <cellStyle name="20% - Accent3 4 11" xfId="8745" xr:uid="{A888D145-1C9F-43A5-A162-F6F49784D0B3}"/>
    <cellStyle name="20% - Accent3 4 2" xfId="593" xr:uid="{00000000-0005-0000-0000-0000BB010000}"/>
    <cellStyle name="20% - Accent3 4 2 2" xfId="2864" xr:uid="{00000000-0005-0000-0000-0000BC010000}"/>
    <cellStyle name="20% - Accent3 4 2 2 2" xfId="7087" xr:uid="{00000000-0005-0000-0000-0000BD010000}"/>
    <cellStyle name="20% - Accent3 4 2 2 2 2" xfId="32386" xr:uid="{A3D2749A-2855-4932-A09F-4DA5818B364E}"/>
    <cellStyle name="20% - Accent3 4 2 2 2 3" xfId="23957" xr:uid="{44188E94-2062-456F-B5F7-DB69605750EE}"/>
    <cellStyle name="20% - Accent3 4 2 2 2 4" xfId="40814" xr:uid="{B7B78394-5A6F-4C95-9FD2-02B80EEFF2F5}"/>
    <cellStyle name="20% - Accent3 4 2 2 2 5" xfId="15522" xr:uid="{DA406064-B5E0-42FB-83D3-37B5B528ECA7}"/>
    <cellStyle name="20% - Accent3 4 2 2 3" xfId="28168" xr:uid="{944DB33B-21D5-44BB-A438-B1C15B44107E}"/>
    <cellStyle name="20% - Accent3 4 2 2 4" xfId="19739" xr:uid="{982D8100-6B93-4A6B-94DF-74A80A08D404}"/>
    <cellStyle name="20% - Accent3 4 2 2 5" xfId="36597" xr:uid="{5BFE1E98-36BC-4BB4-88FD-B4459EC3FF3D}"/>
    <cellStyle name="20% - Accent3 4 2 2 6" xfId="11304" xr:uid="{34ECE9F4-FA11-4FB5-A3B5-445028991D5F}"/>
    <cellStyle name="20% - Accent3 4 2 3" xfId="4942" xr:uid="{00000000-0005-0000-0000-0000BE010000}"/>
    <cellStyle name="20% - Accent3 4 2 3 2" xfId="30241" xr:uid="{679ACD62-304E-48DA-8C19-5134CFB50F50}"/>
    <cellStyle name="20% - Accent3 4 2 3 3" xfId="21812" xr:uid="{E2331C42-F6DF-4360-AB0B-8EE0DFD9BA55}"/>
    <cellStyle name="20% - Accent3 4 2 3 4" xfId="38669" xr:uid="{11CD5706-DD29-4361-A412-9E0517ABCBB9}"/>
    <cellStyle name="20% - Accent3 4 2 3 5" xfId="13377" xr:uid="{EF9415C1-5B61-4F9A-B618-4F45D45BF051}"/>
    <cellStyle name="20% - Accent3 4 2 4" xfId="26023" xr:uid="{36C4850F-D79E-4162-B110-E933D9A9BE8D}"/>
    <cellStyle name="20% - Accent3 4 2 5" xfId="17594" xr:uid="{4F45FFCA-D930-48CD-8905-45FBEFCE0231}"/>
    <cellStyle name="20% - Accent3 4 2 6" xfId="34452" xr:uid="{810FE229-7249-4E64-B5FA-2A366498AEB8}"/>
    <cellStyle name="20% - Accent3 4 2 7" xfId="9159" xr:uid="{49353AD6-08F8-4548-BDDD-C1A834F9672E}"/>
    <cellStyle name="20% - Accent3 4 3" xfId="1046" xr:uid="{00000000-0005-0000-0000-0000BF010000}"/>
    <cellStyle name="20% - Accent3 4 3 2" xfId="3277" xr:uid="{00000000-0005-0000-0000-0000C0010000}"/>
    <cellStyle name="20% - Accent3 4 3 2 2" xfId="7500" xr:uid="{00000000-0005-0000-0000-0000C1010000}"/>
    <cellStyle name="20% - Accent3 4 3 2 2 2" xfId="32799" xr:uid="{D0970129-81A9-449E-B564-EF0BFDCFAA8F}"/>
    <cellStyle name="20% - Accent3 4 3 2 2 3" xfId="24370" xr:uid="{F5733A32-4F00-4B58-9C51-2A159274E7E1}"/>
    <cellStyle name="20% - Accent3 4 3 2 2 4" xfId="41227" xr:uid="{2519D1E5-4CE1-4F63-BCDA-B25138F5E73A}"/>
    <cellStyle name="20% - Accent3 4 3 2 2 5" xfId="15935" xr:uid="{F3E37ACD-D459-4D87-8489-1109701F17C9}"/>
    <cellStyle name="20% - Accent3 4 3 2 3" xfId="28581" xr:uid="{4E1C6260-65DF-4CB3-AD9A-2270B6D2B95F}"/>
    <cellStyle name="20% - Accent3 4 3 2 4" xfId="20152" xr:uid="{F2988194-99FD-48A1-8654-134C6308A63F}"/>
    <cellStyle name="20% - Accent3 4 3 2 5" xfId="37010" xr:uid="{C2FAFC89-39D2-41C7-9CDA-87FD86C06995}"/>
    <cellStyle name="20% - Accent3 4 3 2 6" xfId="11717" xr:uid="{38835CD0-3276-4E3D-8598-86C8A18B50E3}"/>
    <cellStyle name="20% - Accent3 4 3 3" xfId="5355" xr:uid="{00000000-0005-0000-0000-0000C2010000}"/>
    <cellStyle name="20% - Accent3 4 3 3 2" xfId="30654" xr:uid="{38F7E871-9821-4410-9372-74D4187E7817}"/>
    <cellStyle name="20% - Accent3 4 3 3 3" xfId="22225" xr:uid="{96906A9B-B235-4911-9EA1-CA6D19FE8B32}"/>
    <cellStyle name="20% - Accent3 4 3 3 4" xfId="39082" xr:uid="{88387228-4E48-4433-A4EE-7E3C7F240834}"/>
    <cellStyle name="20% - Accent3 4 3 3 5" xfId="13790" xr:uid="{074A5CAD-4E8D-447E-BEFF-7D16EF036C3E}"/>
    <cellStyle name="20% - Accent3 4 3 4" xfId="26436" xr:uid="{71BF83D1-0FB7-47AE-992C-FCE53795D999}"/>
    <cellStyle name="20% - Accent3 4 3 5" xfId="18007" xr:uid="{2584D93D-9032-45AB-B6BA-C90606F6CA12}"/>
    <cellStyle name="20% - Accent3 4 3 6" xfId="34865" xr:uid="{7C79C05A-9496-4212-8CEE-5A37DB3BEA61}"/>
    <cellStyle name="20% - Accent3 4 3 7" xfId="9572" xr:uid="{C67FF0A3-AAF2-4619-86CC-34051F3DD4D6}"/>
    <cellStyle name="20% - Accent3 4 4" xfId="1460" xr:uid="{00000000-0005-0000-0000-0000C3010000}"/>
    <cellStyle name="20% - Accent3 4 4 2" xfId="3690" xr:uid="{00000000-0005-0000-0000-0000C4010000}"/>
    <cellStyle name="20% - Accent3 4 4 2 2" xfId="7913" xr:uid="{00000000-0005-0000-0000-0000C5010000}"/>
    <cellStyle name="20% - Accent3 4 4 2 2 2" xfId="33212" xr:uid="{2888A96A-8ADB-49C3-96A6-0E4BC7C0ADCD}"/>
    <cellStyle name="20% - Accent3 4 4 2 2 3" xfId="24783" xr:uid="{B451600B-E752-4EF6-96ED-7B1C33E1B5F4}"/>
    <cellStyle name="20% - Accent3 4 4 2 2 4" xfId="41640" xr:uid="{7483972C-6E48-4B26-BA61-D16F11EB9FC3}"/>
    <cellStyle name="20% - Accent3 4 4 2 2 5" xfId="16348" xr:uid="{F745539C-26CC-4FE6-B3A0-AA893CA20068}"/>
    <cellStyle name="20% - Accent3 4 4 2 3" xfId="28994" xr:uid="{6882EFF9-254A-45C7-A473-730411E70C87}"/>
    <cellStyle name="20% - Accent3 4 4 2 4" xfId="20565" xr:uid="{E0BB2F24-031F-4713-A7BD-49444845AEA4}"/>
    <cellStyle name="20% - Accent3 4 4 2 5" xfId="37423" xr:uid="{45C61CCD-614B-4683-820D-67035DFD6271}"/>
    <cellStyle name="20% - Accent3 4 4 2 6" xfId="12130" xr:uid="{31EBCD91-A000-4F9F-AF69-FE31C94E7983}"/>
    <cellStyle name="20% - Accent3 4 4 3" xfId="5768" xr:uid="{00000000-0005-0000-0000-0000C6010000}"/>
    <cellStyle name="20% - Accent3 4 4 3 2" xfId="31067" xr:uid="{0B752CA5-5F45-4B9F-BAD3-6AC85993406C}"/>
    <cellStyle name="20% - Accent3 4 4 3 3" xfId="22638" xr:uid="{EF1025E0-0B9C-4CB7-A73B-B1E0848567EE}"/>
    <cellStyle name="20% - Accent3 4 4 3 4" xfId="39495" xr:uid="{75974051-BD67-48BF-AEB1-48003690096A}"/>
    <cellStyle name="20% - Accent3 4 4 3 5" xfId="14203" xr:uid="{44866731-F958-4AF3-8267-D541D1BE5DDB}"/>
    <cellStyle name="20% - Accent3 4 4 4" xfId="26849" xr:uid="{902F2086-2888-4F7E-97B1-B2F444D5DF5B}"/>
    <cellStyle name="20% - Accent3 4 4 5" xfId="18420" xr:uid="{A4709097-00B9-4707-8740-C6BB71FD98F0}"/>
    <cellStyle name="20% - Accent3 4 4 6" xfId="35278" xr:uid="{670D8951-C8DF-44D8-9BEF-302A416FA60A}"/>
    <cellStyle name="20% - Accent3 4 4 7" xfId="9985" xr:uid="{D5C43FBD-34F6-4010-8E09-712B0FA3764E}"/>
    <cellStyle name="20% - Accent3 4 5" xfId="1874" xr:uid="{00000000-0005-0000-0000-0000C7010000}"/>
    <cellStyle name="20% - Accent3 4 5 2" xfId="4103" xr:uid="{00000000-0005-0000-0000-0000C8010000}"/>
    <cellStyle name="20% - Accent3 4 5 2 2" xfId="8326" xr:uid="{00000000-0005-0000-0000-0000C9010000}"/>
    <cellStyle name="20% - Accent3 4 5 2 2 2" xfId="33625" xr:uid="{7E68247D-14D4-4DA9-A8F4-2CAE05FD7C89}"/>
    <cellStyle name="20% - Accent3 4 5 2 2 3" xfId="25196" xr:uid="{2759D099-46FB-4266-A44A-E05A5FA88484}"/>
    <cellStyle name="20% - Accent3 4 5 2 2 4" xfId="42053" xr:uid="{70E4EF2C-3B15-49B2-B89A-35991E643912}"/>
    <cellStyle name="20% - Accent3 4 5 2 2 5" xfId="16761" xr:uid="{6D6ED746-34A4-44F4-810E-FE6E917A085A}"/>
    <cellStyle name="20% - Accent3 4 5 2 3" xfId="29407" xr:uid="{B2C1BC1F-0B99-4EFB-83C2-B46FB1ABEA14}"/>
    <cellStyle name="20% - Accent3 4 5 2 4" xfId="20978" xr:uid="{AB62A8A9-1C8F-41B1-BCA5-D749E175F7D8}"/>
    <cellStyle name="20% - Accent3 4 5 2 5" xfId="37836" xr:uid="{9FA7295A-B006-4850-B42B-362DD9E6805C}"/>
    <cellStyle name="20% - Accent3 4 5 2 6" xfId="12543" xr:uid="{25915B21-3759-4DD1-BE44-DCAE10A78BA1}"/>
    <cellStyle name="20% - Accent3 4 5 3" xfId="6181" xr:uid="{00000000-0005-0000-0000-0000CA010000}"/>
    <cellStyle name="20% - Accent3 4 5 3 2" xfId="31480" xr:uid="{E59076CE-9CD9-4051-84B6-7B44375B9294}"/>
    <cellStyle name="20% - Accent3 4 5 3 3" xfId="23051" xr:uid="{3226CFA6-1412-4FB9-870B-4060CDD5283D}"/>
    <cellStyle name="20% - Accent3 4 5 3 4" xfId="39908" xr:uid="{43FCADBB-3393-4C08-9E68-2D543CD19F3E}"/>
    <cellStyle name="20% - Accent3 4 5 3 5" xfId="14616" xr:uid="{5FA93694-B219-486E-ADC8-FFD870BE36E4}"/>
    <cellStyle name="20% - Accent3 4 5 4" xfId="27262" xr:uid="{A44800B6-FBC8-4945-A287-AA96928421EA}"/>
    <cellStyle name="20% - Accent3 4 5 5" xfId="18833" xr:uid="{98E3B065-7F70-4CAA-8BCF-BA5A654FA0B8}"/>
    <cellStyle name="20% - Accent3 4 5 6" xfId="35691" xr:uid="{2C166047-FA4C-4D48-AA8F-B42F79CCA649}"/>
    <cellStyle name="20% - Accent3 4 5 7" xfId="10398" xr:uid="{D62A800D-9857-408C-B143-585E5B9E2069}"/>
    <cellStyle name="20% - Accent3 4 6" xfId="2287" xr:uid="{00000000-0005-0000-0000-0000CB010000}"/>
    <cellStyle name="20% - Accent3 4 6 2" xfId="6594" xr:uid="{00000000-0005-0000-0000-0000CC010000}"/>
    <cellStyle name="20% - Accent3 4 6 2 2" xfId="31893" xr:uid="{7B2B3E0E-23F1-4D32-8E84-BD84B22C8FC6}"/>
    <cellStyle name="20% - Accent3 4 6 2 3" xfId="23464" xr:uid="{46892B88-738D-43F2-B96F-D4024095229F}"/>
    <cellStyle name="20% - Accent3 4 6 2 4" xfId="40321" xr:uid="{DAFD5FE4-953F-4A81-BEB1-20B98B8927A0}"/>
    <cellStyle name="20% - Accent3 4 6 2 5" xfId="15029" xr:uid="{1E7C0877-CC67-4F4C-B5E9-8BBA1B44782F}"/>
    <cellStyle name="20% - Accent3 4 6 3" xfId="27675" xr:uid="{36E4D921-A4D6-4718-B547-4DF7350131D5}"/>
    <cellStyle name="20% - Accent3 4 6 4" xfId="19246" xr:uid="{05777A0C-BC5D-48A5-BCA7-46CD1866AB21}"/>
    <cellStyle name="20% - Accent3 4 6 5" xfId="36104" xr:uid="{54D15202-B6BA-4102-9EED-01D0FB364B45}"/>
    <cellStyle name="20% - Accent3 4 6 6" xfId="10811" xr:uid="{36DDA062-2095-422D-A5DB-23B13B271145}"/>
    <cellStyle name="20% - Accent3 4 7" xfId="4528" xr:uid="{00000000-0005-0000-0000-0000CD010000}"/>
    <cellStyle name="20% - Accent3 4 7 2" xfId="29827" xr:uid="{ACDC8559-ED8D-4C17-A949-630A6C32D508}"/>
    <cellStyle name="20% - Accent3 4 7 3" xfId="21398" xr:uid="{F5BA3C20-C19A-4D9C-86C9-526A6B7C1383}"/>
    <cellStyle name="20% - Accent3 4 7 4" xfId="38255" xr:uid="{821EFD46-89B9-4E7A-B417-0CCF7AEF1D94}"/>
    <cellStyle name="20% - Accent3 4 7 5" xfId="12963" xr:uid="{FFE794C8-BEBF-409A-904A-0A81603C33FC}"/>
    <cellStyle name="20% - Accent3 4 8" xfId="25609" xr:uid="{35601A76-2E60-4DDA-BA13-EAD0A99F4060}"/>
    <cellStyle name="20% - Accent3 4 9" xfId="17180" xr:uid="{71E560BE-406E-468E-B313-6DC9CBF1BD5F}"/>
    <cellStyle name="20% - Accent3 5" xfId="586" xr:uid="{00000000-0005-0000-0000-0000CE010000}"/>
    <cellStyle name="20% - Accent3 5 2" xfId="2857" xr:uid="{00000000-0005-0000-0000-0000CF010000}"/>
    <cellStyle name="20% - Accent3 5 2 2" xfId="7080" xr:uid="{00000000-0005-0000-0000-0000D0010000}"/>
    <cellStyle name="20% - Accent3 5 2 2 2" xfId="32379" xr:uid="{143C4C39-B30E-481D-A2DD-3D4441B3A248}"/>
    <cellStyle name="20% - Accent3 5 2 2 3" xfId="23950" xr:uid="{F5B3D5A0-68D0-4186-A859-48E95FD0BFB0}"/>
    <cellStyle name="20% - Accent3 5 2 2 4" xfId="40807" xr:uid="{FE0704BC-D4D0-429D-8191-0DBA0B3173B9}"/>
    <cellStyle name="20% - Accent3 5 2 2 5" xfId="15515" xr:uid="{C7F96FE6-3ECF-4712-91A8-F69633A6106F}"/>
    <cellStyle name="20% - Accent3 5 2 3" xfId="28161" xr:uid="{7F7142C2-C158-459D-A0FB-23B434312C7E}"/>
    <cellStyle name="20% - Accent3 5 2 4" xfId="19732" xr:uid="{28B07FA5-3FDA-43DD-A31B-F515BF11E354}"/>
    <cellStyle name="20% - Accent3 5 2 5" xfId="36590" xr:uid="{B62DCF6F-5933-4687-82E1-3F6D35EB0394}"/>
    <cellStyle name="20% - Accent3 5 2 6" xfId="11297" xr:uid="{E2C83B95-3C6C-47B0-8BB6-02A077165B10}"/>
    <cellStyle name="20% - Accent3 5 3" xfId="4935" xr:uid="{00000000-0005-0000-0000-0000D1010000}"/>
    <cellStyle name="20% - Accent3 5 3 2" xfId="30234" xr:uid="{C9BAA06A-1E63-4BC4-BFFE-93D918686B23}"/>
    <cellStyle name="20% - Accent3 5 3 3" xfId="21805" xr:uid="{7FC48C84-84E9-401F-A91E-4F5B14E2C088}"/>
    <cellStyle name="20% - Accent3 5 3 4" xfId="38662" xr:uid="{39086E4C-772F-4DB2-AD89-8590880E4125}"/>
    <cellStyle name="20% - Accent3 5 3 5" xfId="13370" xr:uid="{012042E6-2B32-4A69-B684-F94C044BEDCD}"/>
    <cellStyle name="20% - Accent3 5 4" xfId="26016" xr:uid="{43A503C3-977F-4D1E-BDB7-671B9F45F673}"/>
    <cellStyle name="20% - Accent3 5 5" xfId="17587" xr:uid="{E3AA5254-5283-49F4-B5EE-FCCC47D965B2}"/>
    <cellStyle name="20% - Accent3 5 6" xfId="34445" xr:uid="{A3D48DB2-22A2-4E31-80E7-D47FFA9AA45C}"/>
    <cellStyle name="20% - Accent3 5 7" xfId="9152" xr:uid="{9CB99B87-8D20-41D1-A339-070F08BB2869}"/>
    <cellStyle name="20% - Accent3 6" xfId="1039" xr:uid="{00000000-0005-0000-0000-0000D2010000}"/>
    <cellStyle name="20% - Accent3 6 2" xfId="3270" xr:uid="{00000000-0005-0000-0000-0000D3010000}"/>
    <cellStyle name="20% - Accent3 6 2 2" xfId="7493" xr:uid="{00000000-0005-0000-0000-0000D4010000}"/>
    <cellStyle name="20% - Accent3 6 2 2 2" xfId="32792" xr:uid="{73D66B8E-536B-4545-A4DE-53B12721A507}"/>
    <cellStyle name="20% - Accent3 6 2 2 3" xfId="24363" xr:uid="{4C26AF79-C831-4B54-8E3F-8A7484C08F51}"/>
    <cellStyle name="20% - Accent3 6 2 2 4" xfId="41220" xr:uid="{7956EA26-DE30-41C6-802A-9865A5C190CF}"/>
    <cellStyle name="20% - Accent3 6 2 2 5" xfId="15928" xr:uid="{A883039C-9AB3-4644-AE8B-05BF3E1C628D}"/>
    <cellStyle name="20% - Accent3 6 2 3" xfId="28574" xr:uid="{016D9DDE-1075-47A0-BF6C-710663380686}"/>
    <cellStyle name="20% - Accent3 6 2 4" xfId="20145" xr:uid="{1EA8070E-61F9-4F2E-ACBD-CAC89514D95F}"/>
    <cellStyle name="20% - Accent3 6 2 5" xfId="37003" xr:uid="{F7F06B57-6EC9-4580-880C-A21E01AB2982}"/>
    <cellStyle name="20% - Accent3 6 2 6" xfId="11710" xr:uid="{01CCE728-98BE-4AF8-A81D-557537307F97}"/>
    <cellStyle name="20% - Accent3 6 3" xfId="5348" xr:uid="{00000000-0005-0000-0000-0000D5010000}"/>
    <cellStyle name="20% - Accent3 6 3 2" xfId="30647" xr:uid="{AF7F29CB-7307-4016-8F4F-104403F41A33}"/>
    <cellStyle name="20% - Accent3 6 3 3" xfId="22218" xr:uid="{1A892B2E-3016-45CC-82B4-5C9C7F37A8C2}"/>
    <cellStyle name="20% - Accent3 6 3 4" xfId="39075" xr:uid="{66D42C9B-7938-46EC-BE5D-382850EB0973}"/>
    <cellStyle name="20% - Accent3 6 3 5" xfId="13783" xr:uid="{BBEDFD51-54C2-4C09-9831-12A7ED91B426}"/>
    <cellStyle name="20% - Accent3 6 4" xfId="26429" xr:uid="{15DBE4C9-71A0-4483-B459-B522F6E80770}"/>
    <cellStyle name="20% - Accent3 6 5" xfId="18000" xr:uid="{34AC2FF7-A45E-4E0E-A95C-8E37E0775B00}"/>
    <cellStyle name="20% - Accent3 6 6" xfId="34858" xr:uid="{6536D7A1-F8DB-48B1-8F34-B112E990CF55}"/>
    <cellStyle name="20% - Accent3 6 7" xfId="9565" xr:uid="{40A9CB21-E6CE-4370-8023-7EBCA111FDD2}"/>
    <cellStyle name="20% - Accent3 7" xfId="1453" xr:uid="{00000000-0005-0000-0000-0000D6010000}"/>
    <cellStyle name="20% - Accent3 7 2" xfId="3683" xr:uid="{00000000-0005-0000-0000-0000D7010000}"/>
    <cellStyle name="20% - Accent3 7 2 2" xfId="7906" xr:uid="{00000000-0005-0000-0000-0000D8010000}"/>
    <cellStyle name="20% - Accent3 7 2 2 2" xfId="33205" xr:uid="{70B9B164-3E38-4687-9B80-D65BA8F469AA}"/>
    <cellStyle name="20% - Accent3 7 2 2 3" xfId="24776" xr:uid="{494661EC-71F0-4B30-861B-5EBDBFF8C188}"/>
    <cellStyle name="20% - Accent3 7 2 2 4" xfId="41633" xr:uid="{4AB0B9C3-2B24-4873-B327-04ADFA65F4ED}"/>
    <cellStyle name="20% - Accent3 7 2 2 5" xfId="16341" xr:uid="{79A03F92-9949-4FB8-9FD2-8FD7B83F7AC0}"/>
    <cellStyle name="20% - Accent3 7 2 3" xfId="28987" xr:uid="{D678D4DC-E7EA-4DBF-B1BA-84E71EC5CFA0}"/>
    <cellStyle name="20% - Accent3 7 2 4" xfId="20558" xr:uid="{5B34ECCB-1722-4226-AF9A-13CB4D271377}"/>
    <cellStyle name="20% - Accent3 7 2 5" xfId="37416" xr:uid="{9DF845CC-5BD9-4D88-9DFE-CC9B29252A1A}"/>
    <cellStyle name="20% - Accent3 7 2 6" xfId="12123" xr:uid="{6BA93A06-0879-4C58-9F98-C859815F9685}"/>
    <cellStyle name="20% - Accent3 7 3" xfId="5761" xr:uid="{00000000-0005-0000-0000-0000D9010000}"/>
    <cellStyle name="20% - Accent3 7 3 2" xfId="31060" xr:uid="{703E2344-16A5-4248-B5CE-06F987947A1A}"/>
    <cellStyle name="20% - Accent3 7 3 3" xfId="22631" xr:uid="{C86C6FE6-92C4-4EC4-B6A4-09EEF24E3B44}"/>
    <cellStyle name="20% - Accent3 7 3 4" xfId="39488" xr:uid="{2F2F1273-50E4-4896-8868-C7AE1423EFE5}"/>
    <cellStyle name="20% - Accent3 7 3 5" xfId="14196" xr:uid="{81641817-7F3A-4618-ADE1-30F8E1E9F81B}"/>
    <cellStyle name="20% - Accent3 7 4" xfId="26842" xr:uid="{8DECC24D-9C06-4F3B-A136-320105243494}"/>
    <cellStyle name="20% - Accent3 7 5" xfId="18413" xr:uid="{B047B031-9E60-41A2-BA29-2B620560AEF3}"/>
    <cellStyle name="20% - Accent3 7 6" xfId="35271" xr:uid="{7AD72E20-7E84-40F0-9A22-6592EDB92BB0}"/>
    <cellStyle name="20% - Accent3 7 7" xfId="9978" xr:uid="{F9F9B1F9-AA06-4207-ACF6-FE6FB2BE711E}"/>
    <cellStyle name="20% - Accent3 8" xfId="1867" xr:uid="{00000000-0005-0000-0000-0000DA010000}"/>
    <cellStyle name="20% - Accent3 8 2" xfId="4096" xr:uid="{00000000-0005-0000-0000-0000DB010000}"/>
    <cellStyle name="20% - Accent3 8 2 2" xfId="8319" xr:uid="{00000000-0005-0000-0000-0000DC010000}"/>
    <cellStyle name="20% - Accent3 8 2 2 2" xfId="33618" xr:uid="{55A86BD7-3CD0-4ABF-B39A-364FBFC7D75C}"/>
    <cellStyle name="20% - Accent3 8 2 2 3" xfId="25189" xr:uid="{F2B00997-11C3-4C4A-8CA3-7D7895F2CCB7}"/>
    <cellStyle name="20% - Accent3 8 2 2 4" xfId="42046" xr:uid="{804AE249-3530-488B-AF64-688D5588C541}"/>
    <cellStyle name="20% - Accent3 8 2 2 5" xfId="16754" xr:uid="{3AA74BC1-F052-461D-A524-9F528319E820}"/>
    <cellStyle name="20% - Accent3 8 2 3" xfId="29400" xr:uid="{02A8CCFB-DFB7-48AC-870C-BB8098FF5983}"/>
    <cellStyle name="20% - Accent3 8 2 4" xfId="20971" xr:uid="{506D5E42-772D-4A93-BEE7-B39212094E85}"/>
    <cellStyle name="20% - Accent3 8 2 5" xfId="37829" xr:uid="{2099C09C-5523-4A7F-A380-EB1B17DB24E5}"/>
    <cellStyle name="20% - Accent3 8 2 6" xfId="12536" xr:uid="{D2C379F1-EFF1-40B0-BF37-249188239C83}"/>
    <cellStyle name="20% - Accent3 8 3" xfId="6174" xr:uid="{00000000-0005-0000-0000-0000DD010000}"/>
    <cellStyle name="20% - Accent3 8 3 2" xfId="31473" xr:uid="{A2F83325-FCDB-4268-8D52-0FD7A6B7C301}"/>
    <cellStyle name="20% - Accent3 8 3 3" xfId="23044" xr:uid="{7A76074B-3464-4F1B-8C47-985EA99DEB9E}"/>
    <cellStyle name="20% - Accent3 8 3 4" xfId="39901" xr:uid="{52E159CA-7B96-486A-AF74-5B96127CF742}"/>
    <cellStyle name="20% - Accent3 8 3 5" xfId="14609" xr:uid="{0C34ED3A-DA13-426B-8439-2D377A7F1261}"/>
    <cellStyle name="20% - Accent3 8 4" xfId="27255" xr:uid="{37B2A097-2126-4724-B405-895D3DE9A9BF}"/>
    <cellStyle name="20% - Accent3 8 5" xfId="18826" xr:uid="{0D085EEC-9944-4A9D-A899-BBC9CDF9FA04}"/>
    <cellStyle name="20% - Accent3 8 6" xfId="35684" xr:uid="{1CE75A26-3D78-444B-8911-5A39AD62C93D}"/>
    <cellStyle name="20% - Accent3 8 7" xfId="10391" xr:uid="{24AC866E-6BBE-48D4-BFF5-F6AB7E568766}"/>
    <cellStyle name="20% - Accent3 9" xfId="2280" xr:uid="{00000000-0005-0000-0000-0000DE010000}"/>
    <cellStyle name="20% - Accent3 9 2" xfId="6587" xr:uid="{00000000-0005-0000-0000-0000DF010000}"/>
    <cellStyle name="20% - Accent3 9 2 2" xfId="31886" xr:uid="{355A7666-AA81-409D-89FF-4E0B55381B4B}"/>
    <cellStyle name="20% - Accent3 9 2 3" xfId="23457" xr:uid="{29C186C0-5743-4139-B723-963ADA5AABB0}"/>
    <cellStyle name="20% - Accent3 9 2 4" xfId="40314" xr:uid="{53795641-E565-4B36-86BB-0DEA17F008EF}"/>
    <cellStyle name="20% - Accent3 9 2 5" xfId="15022" xr:uid="{C63DF6A9-74B0-4BA5-8A83-3330B3DBB32C}"/>
    <cellStyle name="20% - Accent3 9 3" xfId="27668" xr:uid="{7DB29284-EBC1-4B58-819F-624F79D7BBF5}"/>
    <cellStyle name="20% - Accent3 9 4" xfId="19239" xr:uid="{9F807014-CAFF-478C-A247-2133A995EA16}"/>
    <cellStyle name="20% - Accent3 9 5" xfId="36097" xr:uid="{F128EFDF-C1B6-4532-8382-A2636B9548D3}"/>
    <cellStyle name="20% - Accent3 9 6" xfId="10804" xr:uid="{2B8E5150-29A5-435C-B5DD-AA4A17970F0C}"/>
    <cellStyle name="20% - Accent4" xfId="25" builtinId="42" customBuiltin="1"/>
    <cellStyle name="20% - Accent4 10" xfId="4529" xr:uid="{00000000-0005-0000-0000-0000E1010000}"/>
    <cellStyle name="20% - Accent4 10 2" xfId="29828" xr:uid="{F62C2E9E-1DA3-4545-A781-727D76F646CD}"/>
    <cellStyle name="20% - Accent4 10 3" xfId="21399" xr:uid="{879D4DB7-C758-4521-BF5E-82D7916078EE}"/>
    <cellStyle name="20% - Accent4 10 4" xfId="38256" xr:uid="{4198B892-9261-4FA7-AE11-837B5FB88609}"/>
    <cellStyle name="20% - Accent4 10 5" xfId="12964" xr:uid="{C81FE7D7-6A45-49FF-9FFB-404BE2D05A2A}"/>
    <cellStyle name="20% - Accent4 11" xfId="25610" xr:uid="{BAD009EF-21E8-4628-9CC5-D4B25A8F34A4}"/>
    <cellStyle name="20% - Accent4 12" xfId="17181" xr:uid="{F5C54D0B-E98C-4172-B7AF-93335FFF189F}"/>
    <cellStyle name="20% - Accent4 13" xfId="34039" xr:uid="{F4E15BBF-5918-41A1-98C8-1D8029444436}"/>
    <cellStyle name="20% - Accent4 14" xfId="8746" xr:uid="{C0992530-15FB-49EF-937A-BE6F541304D7}"/>
    <cellStyle name="20% - Accent4 2" xfId="26" xr:uid="{00000000-0005-0000-0000-0000E2010000}"/>
    <cellStyle name="20% - Accent4 2 10" xfId="25611" xr:uid="{4DCCD99D-60E1-4AB2-9FD7-E21C117840B5}"/>
    <cellStyle name="20% - Accent4 2 11" xfId="17182" xr:uid="{5FCA8ACE-4D82-4F3D-9206-7790214FD7FE}"/>
    <cellStyle name="20% - Accent4 2 12" xfId="34040" xr:uid="{EE267052-01EC-4A74-BD3D-1FD1F885E4DA}"/>
    <cellStyle name="20% - Accent4 2 13" xfId="8747" xr:uid="{453060DF-3333-4156-8736-BEE94191C048}"/>
    <cellStyle name="20% - Accent4 2 2" xfId="27" xr:uid="{00000000-0005-0000-0000-0000E3010000}"/>
    <cellStyle name="20% - Accent4 2 2 10" xfId="17183" xr:uid="{4EDF4AC6-A410-4ED6-BECB-4A331A649DD0}"/>
    <cellStyle name="20% - Accent4 2 2 11" xfId="34041" xr:uid="{DD255DBA-1E7B-48F8-85CD-0AB598705A66}"/>
    <cellStyle name="20% - Accent4 2 2 12" xfId="8748" xr:uid="{E9149C60-211B-425B-B4BC-FB2421324237}"/>
    <cellStyle name="20% - Accent4 2 2 2" xfId="28" xr:uid="{00000000-0005-0000-0000-0000E4010000}"/>
    <cellStyle name="20% - Accent4 2 2 2 10" xfId="34042" xr:uid="{127DBB44-223F-47AA-9828-008E823D2FC7}"/>
    <cellStyle name="20% - Accent4 2 2 2 11" xfId="8749" xr:uid="{8BEAEB4F-ABF8-43E4-8E6C-BCC3DC41985E}"/>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32390" xr:uid="{CFCBC71B-1A76-4B0F-B26A-C4A4C4B01CC1}"/>
    <cellStyle name="20% - Accent4 2 2 2 2 2 2 3" xfId="23961" xr:uid="{43AC12DF-1F83-4D0C-842E-FDB675E97AE2}"/>
    <cellStyle name="20% - Accent4 2 2 2 2 2 2 4" xfId="40818" xr:uid="{B2F06972-CC19-452E-B141-C945CE96F777}"/>
    <cellStyle name="20% - Accent4 2 2 2 2 2 2 5" xfId="15526" xr:uid="{A3ED0A55-A157-4A7F-BA0A-C5FD7C593791}"/>
    <cellStyle name="20% - Accent4 2 2 2 2 2 3" xfId="28172" xr:uid="{6522DAF6-8638-4790-B0EC-DF99B84950D8}"/>
    <cellStyle name="20% - Accent4 2 2 2 2 2 4" xfId="19743" xr:uid="{2465EA62-F74C-43E5-8148-A5D3368F44E9}"/>
    <cellStyle name="20% - Accent4 2 2 2 2 2 5" xfId="36601" xr:uid="{E81399A8-D592-4D8E-A34B-088247781DF9}"/>
    <cellStyle name="20% - Accent4 2 2 2 2 2 6" xfId="11308" xr:uid="{CEA7B434-C556-4402-B529-E325F25C6385}"/>
    <cellStyle name="20% - Accent4 2 2 2 2 3" xfId="4946" xr:uid="{00000000-0005-0000-0000-0000E8010000}"/>
    <cellStyle name="20% - Accent4 2 2 2 2 3 2" xfId="30245" xr:uid="{1F0CF679-88F6-4A73-8B66-F3774DD479C3}"/>
    <cellStyle name="20% - Accent4 2 2 2 2 3 3" xfId="21816" xr:uid="{AB338DC9-E252-4869-BACD-39E95F3EDE10}"/>
    <cellStyle name="20% - Accent4 2 2 2 2 3 4" xfId="38673" xr:uid="{1CAAE6B3-AF59-4AF6-AC5C-7C820DCDC45A}"/>
    <cellStyle name="20% - Accent4 2 2 2 2 3 5" xfId="13381" xr:uid="{B6BE35B8-3774-4379-B8C0-F0FEEA6C811C}"/>
    <cellStyle name="20% - Accent4 2 2 2 2 4" xfId="26027" xr:uid="{6495C2D0-228C-4E56-ADC2-064F6BC70831}"/>
    <cellStyle name="20% - Accent4 2 2 2 2 5" xfId="17598" xr:uid="{F77590D4-70F2-4482-8F96-A3400A47A178}"/>
    <cellStyle name="20% - Accent4 2 2 2 2 6" xfId="34456" xr:uid="{37FEAFE7-12DE-47A9-A60F-2C334A47D0EE}"/>
    <cellStyle name="20% - Accent4 2 2 2 2 7" xfId="9163" xr:uid="{3B50AD32-E8A2-4537-99BD-57B0FFD0686A}"/>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32803" xr:uid="{88B5DA97-FFBC-4407-A9BA-0DE2041038DA}"/>
    <cellStyle name="20% - Accent4 2 2 2 3 2 2 3" xfId="24374" xr:uid="{4417C728-7C74-4A7F-9EE6-3621E1854F78}"/>
    <cellStyle name="20% - Accent4 2 2 2 3 2 2 4" xfId="41231" xr:uid="{DC350393-3241-47A4-B552-A42180CC6907}"/>
    <cellStyle name="20% - Accent4 2 2 2 3 2 2 5" xfId="15939" xr:uid="{B76DD334-3AEC-4A31-8FD2-055571C2D57C}"/>
    <cellStyle name="20% - Accent4 2 2 2 3 2 3" xfId="28585" xr:uid="{EABA7F6B-6A8B-4C36-BE12-D62FC7DB6AA3}"/>
    <cellStyle name="20% - Accent4 2 2 2 3 2 4" xfId="20156" xr:uid="{741589E5-052F-45E1-847C-A717E88D1CF6}"/>
    <cellStyle name="20% - Accent4 2 2 2 3 2 5" xfId="37014" xr:uid="{A633C540-2965-43F5-A3A0-E1A410ABE6F7}"/>
    <cellStyle name="20% - Accent4 2 2 2 3 2 6" xfId="11721" xr:uid="{6B408AC4-6149-42B3-9C7F-314A14C6834F}"/>
    <cellStyle name="20% - Accent4 2 2 2 3 3" xfId="5359" xr:uid="{00000000-0005-0000-0000-0000EC010000}"/>
    <cellStyle name="20% - Accent4 2 2 2 3 3 2" xfId="30658" xr:uid="{61F58F6D-A7D2-47DA-9F3B-E2D79043673C}"/>
    <cellStyle name="20% - Accent4 2 2 2 3 3 3" xfId="22229" xr:uid="{B49740D1-95E7-41FB-9A62-0BE9FB093E90}"/>
    <cellStyle name="20% - Accent4 2 2 2 3 3 4" xfId="39086" xr:uid="{FDA802A0-A027-4764-B576-05E1A400B71C}"/>
    <cellStyle name="20% - Accent4 2 2 2 3 3 5" xfId="13794" xr:uid="{59758532-E3B0-49B4-B077-7DC43D9AD825}"/>
    <cellStyle name="20% - Accent4 2 2 2 3 4" xfId="26440" xr:uid="{B5E13C50-41A7-42E3-A516-B59910D158A2}"/>
    <cellStyle name="20% - Accent4 2 2 2 3 5" xfId="18011" xr:uid="{88401B9F-8DA4-4D70-BCA3-DE7F85C5B373}"/>
    <cellStyle name="20% - Accent4 2 2 2 3 6" xfId="34869" xr:uid="{8F8B901D-7ED5-40BD-9DE1-5710AE6BFDA6}"/>
    <cellStyle name="20% - Accent4 2 2 2 3 7" xfId="9576" xr:uid="{B220D507-A0D2-43E1-B08A-371E9C5AF948}"/>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33216" xr:uid="{375A2A6C-CC68-4378-AB63-6E7E0018EE43}"/>
    <cellStyle name="20% - Accent4 2 2 2 4 2 2 3" xfId="24787" xr:uid="{CAAC2C2F-98D1-4B2C-8B2B-E21F9678393B}"/>
    <cellStyle name="20% - Accent4 2 2 2 4 2 2 4" xfId="41644" xr:uid="{1C7C8F6B-C1CE-47F2-983E-A5BC00D2CBCF}"/>
    <cellStyle name="20% - Accent4 2 2 2 4 2 2 5" xfId="16352" xr:uid="{085EAF79-65C3-4EC1-B94C-FBF42DB9984A}"/>
    <cellStyle name="20% - Accent4 2 2 2 4 2 3" xfId="28998" xr:uid="{D7F528F7-6EC1-48FF-B3BA-6507E3358557}"/>
    <cellStyle name="20% - Accent4 2 2 2 4 2 4" xfId="20569" xr:uid="{03ABA2A2-AC9D-4A4F-8EEA-56DC63A37E74}"/>
    <cellStyle name="20% - Accent4 2 2 2 4 2 5" xfId="37427" xr:uid="{7903E301-F1F0-4FE1-81C3-61B3FA452E68}"/>
    <cellStyle name="20% - Accent4 2 2 2 4 2 6" xfId="12134" xr:uid="{6253EA80-B38F-4D03-9621-35CB0169F9D2}"/>
    <cellStyle name="20% - Accent4 2 2 2 4 3" xfId="5772" xr:uid="{00000000-0005-0000-0000-0000F0010000}"/>
    <cellStyle name="20% - Accent4 2 2 2 4 3 2" xfId="31071" xr:uid="{4243CB27-DA9C-4CB4-B70A-DC2E572215D4}"/>
    <cellStyle name="20% - Accent4 2 2 2 4 3 3" xfId="22642" xr:uid="{5C6A61FE-14B6-4636-92C0-31E131B9FCBD}"/>
    <cellStyle name="20% - Accent4 2 2 2 4 3 4" xfId="39499" xr:uid="{C2C8E6A1-A712-4C5A-93EB-AC3E6BF1BD7F}"/>
    <cellStyle name="20% - Accent4 2 2 2 4 3 5" xfId="14207" xr:uid="{E193C50F-CBC8-425D-9CB9-F30392FD14CA}"/>
    <cellStyle name="20% - Accent4 2 2 2 4 4" xfId="26853" xr:uid="{BFC03A46-6B99-445B-8C73-AB3E23FA3076}"/>
    <cellStyle name="20% - Accent4 2 2 2 4 5" xfId="18424" xr:uid="{71342605-2F55-4139-83C5-3A744213B83B}"/>
    <cellStyle name="20% - Accent4 2 2 2 4 6" xfId="35282" xr:uid="{00DCDFAC-D29F-4EEA-BF03-32C4D944089F}"/>
    <cellStyle name="20% - Accent4 2 2 2 4 7" xfId="9989" xr:uid="{33007974-325A-4EC7-934C-127334B40A42}"/>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33629" xr:uid="{E2C006BA-C974-4128-A4E1-93D401472044}"/>
    <cellStyle name="20% - Accent4 2 2 2 5 2 2 3" xfId="25200" xr:uid="{07EBAB97-4011-4ABD-B09A-2BE94E8BF374}"/>
    <cellStyle name="20% - Accent4 2 2 2 5 2 2 4" xfId="42057" xr:uid="{361A7445-0B81-4F0D-B7BA-355ABB1BBEEE}"/>
    <cellStyle name="20% - Accent4 2 2 2 5 2 2 5" xfId="16765" xr:uid="{CF30AA7D-0E3B-4BBA-9AAC-130E20ABD6C8}"/>
    <cellStyle name="20% - Accent4 2 2 2 5 2 3" xfId="29411" xr:uid="{C1020D84-8C84-4DC4-85DB-B096FC4A8ADA}"/>
    <cellStyle name="20% - Accent4 2 2 2 5 2 4" xfId="20982" xr:uid="{53D7CCED-50E9-4DD3-BD6A-EEBBE49E23AF}"/>
    <cellStyle name="20% - Accent4 2 2 2 5 2 5" xfId="37840" xr:uid="{E0E35E59-A22A-4C55-8FF1-665CE45CAC20}"/>
    <cellStyle name="20% - Accent4 2 2 2 5 2 6" xfId="12547" xr:uid="{E87BF2AA-0D56-453A-9973-5311A997860F}"/>
    <cellStyle name="20% - Accent4 2 2 2 5 3" xfId="6185" xr:uid="{00000000-0005-0000-0000-0000F4010000}"/>
    <cellStyle name="20% - Accent4 2 2 2 5 3 2" xfId="31484" xr:uid="{7E4E2D17-B248-4D2E-B65F-64AFA08CF572}"/>
    <cellStyle name="20% - Accent4 2 2 2 5 3 3" xfId="23055" xr:uid="{5530A4A1-A5BF-437B-8A2F-39D2BD545BD8}"/>
    <cellStyle name="20% - Accent4 2 2 2 5 3 4" xfId="39912" xr:uid="{C567B6FA-7F4D-49B0-AD39-C4F167F460DB}"/>
    <cellStyle name="20% - Accent4 2 2 2 5 3 5" xfId="14620" xr:uid="{0B728A7C-4FAE-435A-895F-36CBEB051BC3}"/>
    <cellStyle name="20% - Accent4 2 2 2 5 4" xfId="27266" xr:uid="{AA51C160-5B01-497E-82CF-4614681AC4C6}"/>
    <cellStyle name="20% - Accent4 2 2 2 5 5" xfId="18837" xr:uid="{1D6075A5-3831-4514-B9BE-85FE860D7A09}"/>
    <cellStyle name="20% - Accent4 2 2 2 5 6" xfId="35695" xr:uid="{B866B56E-E00F-4268-9D81-D4AE3B328A4B}"/>
    <cellStyle name="20% - Accent4 2 2 2 5 7" xfId="10402" xr:uid="{B5EE93AA-146C-4716-813D-6CC7EBBCA0FD}"/>
    <cellStyle name="20% - Accent4 2 2 2 6" xfId="2291" xr:uid="{00000000-0005-0000-0000-0000F5010000}"/>
    <cellStyle name="20% - Accent4 2 2 2 6 2" xfId="6598" xr:uid="{00000000-0005-0000-0000-0000F6010000}"/>
    <cellStyle name="20% - Accent4 2 2 2 6 2 2" xfId="31897" xr:uid="{9385A4A3-29B4-4E17-B966-E4EC8A5695AB}"/>
    <cellStyle name="20% - Accent4 2 2 2 6 2 3" xfId="23468" xr:uid="{52F2DFF8-E191-41F3-ADA3-E8C6B57BCD81}"/>
    <cellStyle name="20% - Accent4 2 2 2 6 2 4" xfId="40325" xr:uid="{68B28760-5E79-4C6F-9ADD-FB728BE92312}"/>
    <cellStyle name="20% - Accent4 2 2 2 6 2 5" xfId="15033" xr:uid="{D2CD5D75-9B49-435F-83A3-86B51486AB22}"/>
    <cellStyle name="20% - Accent4 2 2 2 6 3" xfId="27679" xr:uid="{B320FE3C-78B5-4B8C-A78F-123F39872398}"/>
    <cellStyle name="20% - Accent4 2 2 2 6 4" xfId="19250" xr:uid="{85F651EA-1F7F-4710-BDE5-B5DFF5755E83}"/>
    <cellStyle name="20% - Accent4 2 2 2 6 5" xfId="36108" xr:uid="{74940743-5D97-4A1B-AC45-EE8E6CF45E6F}"/>
    <cellStyle name="20% - Accent4 2 2 2 6 6" xfId="10815" xr:uid="{20DBD0F2-CE40-4817-B98D-501F3C7356CA}"/>
    <cellStyle name="20% - Accent4 2 2 2 7" xfId="4532" xr:uid="{00000000-0005-0000-0000-0000F7010000}"/>
    <cellStyle name="20% - Accent4 2 2 2 7 2" xfId="29831" xr:uid="{EF09660D-DA06-48B6-BEE9-AE5A0281085C}"/>
    <cellStyle name="20% - Accent4 2 2 2 7 3" xfId="21402" xr:uid="{D80F7B20-4E9E-4E87-8AFB-5C8C2A60BD55}"/>
    <cellStyle name="20% - Accent4 2 2 2 7 4" xfId="38259" xr:uid="{31BBDF95-87E5-42FA-BA92-8E9EA47C1047}"/>
    <cellStyle name="20% - Accent4 2 2 2 7 5" xfId="12967" xr:uid="{6491FC19-0182-46D9-8B15-9D08C63A086E}"/>
    <cellStyle name="20% - Accent4 2 2 2 8" xfId="25613" xr:uid="{73B0853D-D1E3-4A3A-928D-43D87A8751DD}"/>
    <cellStyle name="20% - Accent4 2 2 2 9" xfId="17184" xr:uid="{E7027096-4340-4146-8E55-4DAD8FF065DF}"/>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32389" xr:uid="{EDE4FB54-B409-4D3E-BCE2-7E5C01255608}"/>
    <cellStyle name="20% - Accent4 2 2 3 2 2 3" xfId="23960" xr:uid="{34B4E2C1-C145-43D8-ACCF-969C6013AB38}"/>
    <cellStyle name="20% - Accent4 2 2 3 2 2 4" xfId="40817" xr:uid="{E4FC92B5-F742-4212-8216-D0B2DFA80F68}"/>
    <cellStyle name="20% - Accent4 2 2 3 2 2 5" xfId="15525" xr:uid="{D1B71C7B-2AF4-46A2-B018-756F1B8A471D}"/>
    <cellStyle name="20% - Accent4 2 2 3 2 3" xfId="28171" xr:uid="{0DC5106E-1FE1-435D-BCC3-74F04C3DCA89}"/>
    <cellStyle name="20% - Accent4 2 2 3 2 4" xfId="19742" xr:uid="{0A258ACD-4051-425B-AC4B-48803A046EA6}"/>
    <cellStyle name="20% - Accent4 2 2 3 2 5" xfId="36600" xr:uid="{1B4966E6-8200-4D45-9A18-6EE132F77E8F}"/>
    <cellStyle name="20% - Accent4 2 2 3 2 6" xfId="11307" xr:uid="{2AE3C94C-45F8-4A17-A09E-5AE9C1A099F7}"/>
    <cellStyle name="20% - Accent4 2 2 3 3" xfId="4945" xr:uid="{00000000-0005-0000-0000-0000FB010000}"/>
    <cellStyle name="20% - Accent4 2 2 3 3 2" xfId="30244" xr:uid="{1C3E78A3-4A6F-45BF-A6D8-F6297BD7F643}"/>
    <cellStyle name="20% - Accent4 2 2 3 3 3" xfId="21815" xr:uid="{3313DAFF-D7E1-4D45-B2AC-9E851DAAC882}"/>
    <cellStyle name="20% - Accent4 2 2 3 3 4" xfId="38672" xr:uid="{03D17FF3-913A-4A60-A7CB-70E3C7C6EAC7}"/>
    <cellStyle name="20% - Accent4 2 2 3 3 5" xfId="13380" xr:uid="{D5FFDF34-3652-4530-9BEC-63831B5DE054}"/>
    <cellStyle name="20% - Accent4 2 2 3 4" xfId="26026" xr:uid="{1D32DDDF-4391-4B9B-A289-13B2FD3CD438}"/>
    <cellStyle name="20% - Accent4 2 2 3 5" xfId="17597" xr:uid="{E054CE1D-BF44-4FB0-8070-58DC8D9AC294}"/>
    <cellStyle name="20% - Accent4 2 2 3 6" xfId="34455" xr:uid="{1B2CF7DF-D3A5-48B4-89FE-AA499101B7BE}"/>
    <cellStyle name="20% - Accent4 2 2 3 7" xfId="9162" xr:uid="{6D8ED7C3-382E-4F6D-AAB7-961CE362A10E}"/>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32802" xr:uid="{56757EBE-5536-47E8-B0A6-DEC3DDF89E55}"/>
    <cellStyle name="20% - Accent4 2 2 4 2 2 3" xfId="24373" xr:uid="{FFED5353-4567-4FCB-ABA0-F5A614CBC5BF}"/>
    <cellStyle name="20% - Accent4 2 2 4 2 2 4" xfId="41230" xr:uid="{17C90330-41DC-49DC-8FA3-610B4DCD8454}"/>
    <cellStyle name="20% - Accent4 2 2 4 2 2 5" xfId="15938" xr:uid="{75039013-8D09-4690-931B-3BEB13F7831F}"/>
    <cellStyle name="20% - Accent4 2 2 4 2 3" xfId="28584" xr:uid="{5C1625D6-A66D-4C1D-AD43-A53AB5D5ED62}"/>
    <cellStyle name="20% - Accent4 2 2 4 2 4" xfId="20155" xr:uid="{B10E2267-FD64-4FD1-AC1C-7D126AFDB78C}"/>
    <cellStyle name="20% - Accent4 2 2 4 2 5" xfId="37013" xr:uid="{6FFC2E31-F096-4B43-BFAC-D0C610BD1AAF}"/>
    <cellStyle name="20% - Accent4 2 2 4 2 6" xfId="11720" xr:uid="{FFA66154-1081-4507-9157-D1498A715BD5}"/>
    <cellStyle name="20% - Accent4 2 2 4 3" xfId="5358" xr:uid="{00000000-0005-0000-0000-0000FF010000}"/>
    <cellStyle name="20% - Accent4 2 2 4 3 2" xfId="30657" xr:uid="{6F89ACF2-A092-4695-B1FE-06C0A5C118D1}"/>
    <cellStyle name="20% - Accent4 2 2 4 3 3" xfId="22228" xr:uid="{C1A79B94-E3B1-4E28-AECE-208F91D2E0EC}"/>
    <cellStyle name="20% - Accent4 2 2 4 3 4" xfId="39085" xr:uid="{CE13D0B0-3EF7-4ED4-BBCA-77F7794714D4}"/>
    <cellStyle name="20% - Accent4 2 2 4 3 5" xfId="13793" xr:uid="{CB718CEE-BDA5-4CC8-9DC7-529ECC80E8FC}"/>
    <cellStyle name="20% - Accent4 2 2 4 4" xfId="26439" xr:uid="{E09EE68F-5714-477D-ACBE-BA3ECBEE3337}"/>
    <cellStyle name="20% - Accent4 2 2 4 5" xfId="18010" xr:uid="{795A13D5-5202-4C09-AF2A-9E8ED4B8D083}"/>
    <cellStyle name="20% - Accent4 2 2 4 6" xfId="34868" xr:uid="{C99953F4-D0B6-4673-B1B3-5C454C733694}"/>
    <cellStyle name="20% - Accent4 2 2 4 7" xfId="9575" xr:uid="{AFA455D1-D692-4BCD-8EEF-B1DC8BAE734B}"/>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33215" xr:uid="{F89B61AB-337D-43FA-AE18-F9BDD2BEB117}"/>
    <cellStyle name="20% - Accent4 2 2 5 2 2 3" xfId="24786" xr:uid="{F8CEBD35-74D7-4131-B490-661D051C2DB2}"/>
    <cellStyle name="20% - Accent4 2 2 5 2 2 4" xfId="41643" xr:uid="{3F033219-9901-4C50-81F7-08CFD63364FB}"/>
    <cellStyle name="20% - Accent4 2 2 5 2 2 5" xfId="16351" xr:uid="{5FE3E016-F3B3-4B12-998A-3BDE708F3206}"/>
    <cellStyle name="20% - Accent4 2 2 5 2 3" xfId="28997" xr:uid="{06E2B1B7-3194-487E-AB20-DA040941225D}"/>
    <cellStyle name="20% - Accent4 2 2 5 2 4" xfId="20568" xr:uid="{3C4FAC9F-D148-4852-BE11-30675CC2FB0C}"/>
    <cellStyle name="20% - Accent4 2 2 5 2 5" xfId="37426" xr:uid="{6BA9FFA3-68A8-4023-BBDD-BD0044556148}"/>
    <cellStyle name="20% - Accent4 2 2 5 2 6" xfId="12133" xr:uid="{5859029C-80B2-4ECA-BA27-A7C21FE9142E}"/>
    <cellStyle name="20% - Accent4 2 2 5 3" xfId="5771" xr:uid="{00000000-0005-0000-0000-000003020000}"/>
    <cellStyle name="20% - Accent4 2 2 5 3 2" xfId="31070" xr:uid="{3672E87F-0070-4164-9190-492367D3EB26}"/>
    <cellStyle name="20% - Accent4 2 2 5 3 3" xfId="22641" xr:uid="{97AF72EA-EEE5-4DAE-93F0-13522ABE4EF4}"/>
    <cellStyle name="20% - Accent4 2 2 5 3 4" xfId="39498" xr:uid="{303D0DBE-01D5-49F8-9186-6A7DBEF38AE7}"/>
    <cellStyle name="20% - Accent4 2 2 5 3 5" xfId="14206" xr:uid="{A8452797-97A2-4025-B620-560A11E1DC24}"/>
    <cellStyle name="20% - Accent4 2 2 5 4" xfId="26852" xr:uid="{A69323A0-70CE-4C09-A91C-915550C11953}"/>
    <cellStyle name="20% - Accent4 2 2 5 5" xfId="18423" xr:uid="{9D583A49-5FCE-44B7-92F2-0883232C7262}"/>
    <cellStyle name="20% - Accent4 2 2 5 6" xfId="35281" xr:uid="{0BEB6483-C1AA-4D5D-8368-89C7EA09602F}"/>
    <cellStyle name="20% - Accent4 2 2 5 7" xfId="9988" xr:uid="{A1C51057-D2AD-48EA-BFBC-F91EC209F69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33628" xr:uid="{677BC801-834E-4D55-B33F-32AEA932C74B}"/>
    <cellStyle name="20% - Accent4 2 2 6 2 2 3" xfId="25199" xr:uid="{14A406DF-1520-4DA5-BCF5-1CD010100C51}"/>
    <cellStyle name="20% - Accent4 2 2 6 2 2 4" xfId="42056" xr:uid="{2D8A2BA9-A68A-41C8-9C0D-063C6DAD3735}"/>
    <cellStyle name="20% - Accent4 2 2 6 2 2 5" xfId="16764" xr:uid="{0CD1ACF4-79F6-4516-AAD8-7BD437D52BB4}"/>
    <cellStyle name="20% - Accent4 2 2 6 2 3" xfId="29410" xr:uid="{BD0B63E0-55EC-4DE1-A2CD-73190C01A9CD}"/>
    <cellStyle name="20% - Accent4 2 2 6 2 4" xfId="20981" xr:uid="{F502EF9A-D1A0-4E7A-AE64-6419D853FA22}"/>
    <cellStyle name="20% - Accent4 2 2 6 2 5" xfId="37839" xr:uid="{FE3BAFB3-B660-4172-A48D-D5FA13AF55B1}"/>
    <cellStyle name="20% - Accent4 2 2 6 2 6" xfId="12546" xr:uid="{2F41F45D-D248-4D46-8416-5AC6B9735F80}"/>
    <cellStyle name="20% - Accent4 2 2 6 3" xfId="6184" xr:uid="{00000000-0005-0000-0000-000007020000}"/>
    <cellStyle name="20% - Accent4 2 2 6 3 2" xfId="31483" xr:uid="{45DCDDE5-37EC-492C-99D4-CCEB571953C5}"/>
    <cellStyle name="20% - Accent4 2 2 6 3 3" xfId="23054" xr:uid="{B226E7E1-0F96-4B07-9FD0-F7181F551C43}"/>
    <cellStyle name="20% - Accent4 2 2 6 3 4" xfId="39911" xr:uid="{2E51B9CA-83B2-4524-A349-82C8F21046CF}"/>
    <cellStyle name="20% - Accent4 2 2 6 3 5" xfId="14619" xr:uid="{AC9A7B3F-D1C7-4232-969C-99C0C1ADA6F6}"/>
    <cellStyle name="20% - Accent4 2 2 6 4" xfId="27265" xr:uid="{1114934B-BF0C-4225-8879-BB34B1310701}"/>
    <cellStyle name="20% - Accent4 2 2 6 5" xfId="18836" xr:uid="{94B2ED7A-F813-4B51-94EA-7A9D19A6897A}"/>
    <cellStyle name="20% - Accent4 2 2 6 6" xfId="35694" xr:uid="{FFAB9C0D-8EDD-46B6-8E2D-42F3E2E31960}"/>
    <cellStyle name="20% - Accent4 2 2 6 7" xfId="10401" xr:uid="{A17B4C74-1289-49D7-BE06-8D72BCF11DA0}"/>
    <cellStyle name="20% - Accent4 2 2 7" xfId="2290" xr:uid="{00000000-0005-0000-0000-000008020000}"/>
    <cellStyle name="20% - Accent4 2 2 7 2" xfId="6597" xr:uid="{00000000-0005-0000-0000-000009020000}"/>
    <cellStyle name="20% - Accent4 2 2 7 2 2" xfId="31896" xr:uid="{89C86CB8-C192-4EA8-A3C8-0DF243642D8D}"/>
    <cellStyle name="20% - Accent4 2 2 7 2 3" xfId="23467" xr:uid="{58D8670B-732F-4876-BBAE-358A02D22F8D}"/>
    <cellStyle name="20% - Accent4 2 2 7 2 4" xfId="40324" xr:uid="{6337B25A-296F-4440-8724-776C2AD4776D}"/>
    <cellStyle name="20% - Accent4 2 2 7 2 5" xfId="15032" xr:uid="{0F4903D0-EB67-4D15-9B91-297376824DE3}"/>
    <cellStyle name="20% - Accent4 2 2 7 3" xfId="27678" xr:uid="{93C54930-2D79-47CA-9C4D-E74B0D86AEF8}"/>
    <cellStyle name="20% - Accent4 2 2 7 4" xfId="19249" xr:uid="{226580DF-35B7-4312-B0CB-2C37DE088CB3}"/>
    <cellStyle name="20% - Accent4 2 2 7 5" xfId="36107" xr:uid="{9A591401-9EB3-4AD6-9A38-214D9993F2C3}"/>
    <cellStyle name="20% - Accent4 2 2 7 6" xfId="10814" xr:uid="{7C0E3612-FC09-46FF-A0D1-8B16ED06145E}"/>
    <cellStyle name="20% - Accent4 2 2 8" xfId="4531" xr:uid="{00000000-0005-0000-0000-00000A020000}"/>
    <cellStyle name="20% - Accent4 2 2 8 2" xfId="29830" xr:uid="{AA9D9314-7AD1-47FE-8294-34C4E0844BCD}"/>
    <cellStyle name="20% - Accent4 2 2 8 3" xfId="21401" xr:uid="{D0829DAF-A586-4D5C-9859-B3FD5E79F8E1}"/>
    <cellStyle name="20% - Accent4 2 2 8 4" xfId="38258" xr:uid="{2C59E41D-4809-46DF-8C13-E23F89B6CF98}"/>
    <cellStyle name="20% - Accent4 2 2 8 5" xfId="12966" xr:uid="{F4BFC4B2-5AD8-4507-94EE-5E8166458195}"/>
    <cellStyle name="20% - Accent4 2 2 9" xfId="25612" xr:uid="{A22259C2-FAC7-4FA3-82A9-DD73A736AC96}"/>
    <cellStyle name="20% - Accent4 2 3" xfId="29" xr:uid="{00000000-0005-0000-0000-00000B020000}"/>
    <cellStyle name="20% - Accent4 2 3 10" xfId="34043" xr:uid="{C6C07973-6475-464E-95D9-E638346C8D08}"/>
    <cellStyle name="20% - Accent4 2 3 11" xfId="8750" xr:uid="{8C260A88-B918-4830-8BAF-F4B21B4F5C2B}"/>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32391" xr:uid="{CD62A335-FCE5-4089-B120-D2C83CE1D2DA}"/>
    <cellStyle name="20% - Accent4 2 3 2 2 2 3" xfId="23962" xr:uid="{43CE4DD7-4C1B-4055-A652-188C18417585}"/>
    <cellStyle name="20% - Accent4 2 3 2 2 2 4" xfId="40819" xr:uid="{15D405D6-57FF-4F63-AA7E-1AE9AE13C844}"/>
    <cellStyle name="20% - Accent4 2 3 2 2 2 5" xfId="15527" xr:uid="{1D9EBD00-63CA-4F35-893E-E3C7CD41FEF0}"/>
    <cellStyle name="20% - Accent4 2 3 2 2 3" xfId="28173" xr:uid="{0E72894E-7114-4DE8-99EA-8F9BD3C92979}"/>
    <cellStyle name="20% - Accent4 2 3 2 2 4" xfId="19744" xr:uid="{5DA6DC31-A4C9-4D77-8A6D-A54A249BE25D}"/>
    <cellStyle name="20% - Accent4 2 3 2 2 5" xfId="36602" xr:uid="{5652E123-A39F-4E18-B29F-5B2BCFC3D27B}"/>
    <cellStyle name="20% - Accent4 2 3 2 2 6" xfId="11309" xr:uid="{E31FAB01-0FB4-4B46-9AEC-D8E8AE2082FA}"/>
    <cellStyle name="20% - Accent4 2 3 2 3" xfId="4947" xr:uid="{00000000-0005-0000-0000-00000F020000}"/>
    <cellStyle name="20% - Accent4 2 3 2 3 2" xfId="30246" xr:uid="{ADE685F0-3E62-4057-9F92-9221E98BDCD8}"/>
    <cellStyle name="20% - Accent4 2 3 2 3 3" xfId="21817" xr:uid="{5E83A78F-D344-4B46-9314-26A0430E940A}"/>
    <cellStyle name="20% - Accent4 2 3 2 3 4" xfId="38674" xr:uid="{8524099B-E6F6-48E3-92B6-B340D032F388}"/>
    <cellStyle name="20% - Accent4 2 3 2 3 5" xfId="13382" xr:uid="{4C4A3D9B-328E-4F42-B98C-812377E1BACD}"/>
    <cellStyle name="20% - Accent4 2 3 2 4" xfId="26028" xr:uid="{FAB5249F-40CA-4897-A959-52989227D53A}"/>
    <cellStyle name="20% - Accent4 2 3 2 5" xfId="17599" xr:uid="{175EE227-C065-4AEE-BCDF-B4DDBBBBBF7C}"/>
    <cellStyle name="20% - Accent4 2 3 2 6" xfId="34457" xr:uid="{05D37FA1-1759-43EE-83BE-7EB04C6A9934}"/>
    <cellStyle name="20% - Accent4 2 3 2 7" xfId="9164" xr:uid="{F67E0EB2-074C-497F-8F50-7C7F6973FA88}"/>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32804" xr:uid="{9A354F75-B7E6-459C-810C-CF30A68F3522}"/>
    <cellStyle name="20% - Accent4 2 3 3 2 2 3" xfId="24375" xr:uid="{2F139A18-849D-481C-9501-FE83D867FC51}"/>
    <cellStyle name="20% - Accent4 2 3 3 2 2 4" xfId="41232" xr:uid="{A0CAC832-9138-48E1-83CA-432D403EAD08}"/>
    <cellStyle name="20% - Accent4 2 3 3 2 2 5" xfId="15940" xr:uid="{690E0F7D-6B80-4B48-AD00-151FBA94BB11}"/>
    <cellStyle name="20% - Accent4 2 3 3 2 3" xfId="28586" xr:uid="{04ED3E78-51F1-40F6-85AD-1B6A2E17931F}"/>
    <cellStyle name="20% - Accent4 2 3 3 2 4" xfId="20157" xr:uid="{33249840-7DE5-46EC-A77C-7C5A5BB0E922}"/>
    <cellStyle name="20% - Accent4 2 3 3 2 5" xfId="37015" xr:uid="{5BC3A63A-CF57-48C8-B3E1-0FD8BA9B16FB}"/>
    <cellStyle name="20% - Accent4 2 3 3 2 6" xfId="11722" xr:uid="{5163EA56-C9AD-4464-9792-727A32BDA458}"/>
    <cellStyle name="20% - Accent4 2 3 3 3" xfId="5360" xr:uid="{00000000-0005-0000-0000-000013020000}"/>
    <cellStyle name="20% - Accent4 2 3 3 3 2" xfId="30659" xr:uid="{7F83C255-1A93-405E-8E46-13B4D058A6C6}"/>
    <cellStyle name="20% - Accent4 2 3 3 3 3" xfId="22230" xr:uid="{60506343-D71C-4BE8-9D11-0C89B06C6FA7}"/>
    <cellStyle name="20% - Accent4 2 3 3 3 4" xfId="39087" xr:uid="{A0D0EDEF-AFAD-4835-BE5C-6034A22ADDF8}"/>
    <cellStyle name="20% - Accent4 2 3 3 3 5" xfId="13795" xr:uid="{9107EBEB-4BC7-46F3-B056-9309676D9231}"/>
    <cellStyle name="20% - Accent4 2 3 3 4" xfId="26441" xr:uid="{242A6B57-AE7F-4C81-B8D5-5572B5CAD4EE}"/>
    <cellStyle name="20% - Accent4 2 3 3 5" xfId="18012" xr:uid="{D6C469BA-E532-4701-859D-83A75CD95F15}"/>
    <cellStyle name="20% - Accent4 2 3 3 6" xfId="34870" xr:uid="{E079AA71-347D-40B3-865F-427DDB71F773}"/>
    <cellStyle name="20% - Accent4 2 3 3 7" xfId="9577" xr:uid="{BF4CB751-2969-420E-AC2E-B11785C367F7}"/>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33217" xr:uid="{901F54EE-03D9-4A47-905D-364A681E8072}"/>
    <cellStyle name="20% - Accent4 2 3 4 2 2 3" xfId="24788" xr:uid="{8B053F1C-3265-4DF3-A103-F0D52738FC99}"/>
    <cellStyle name="20% - Accent4 2 3 4 2 2 4" xfId="41645" xr:uid="{5617BA7B-A2F0-45E4-93E1-A958AA6EE27A}"/>
    <cellStyle name="20% - Accent4 2 3 4 2 2 5" xfId="16353" xr:uid="{1BF150C4-41B9-4FD6-90FB-9223826D9C70}"/>
    <cellStyle name="20% - Accent4 2 3 4 2 3" xfId="28999" xr:uid="{BCDC7441-9F6C-4A1D-B87E-ECF258FDC7FE}"/>
    <cellStyle name="20% - Accent4 2 3 4 2 4" xfId="20570" xr:uid="{47559F12-223C-4029-91BE-8B7059FB0F5C}"/>
    <cellStyle name="20% - Accent4 2 3 4 2 5" xfId="37428" xr:uid="{FE9CFCBB-0659-494B-8467-59D9E480BBC9}"/>
    <cellStyle name="20% - Accent4 2 3 4 2 6" xfId="12135" xr:uid="{6B8756E0-CD1A-4A21-9E06-2C1C1D10F218}"/>
    <cellStyle name="20% - Accent4 2 3 4 3" xfId="5773" xr:uid="{00000000-0005-0000-0000-000017020000}"/>
    <cellStyle name="20% - Accent4 2 3 4 3 2" xfId="31072" xr:uid="{05EA598E-E3EF-4E52-93B7-0419F0094CF5}"/>
    <cellStyle name="20% - Accent4 2 3 4 3 3" xfId="22643" xr:uid="{B36B6224-B263-46C1-B6E3-10A1EC49DF45}"/>
    <cellStyle name="20% - Accent4 2 3 4 3 4" xfId="39500" xr:uid="{0912C97D-ABC0-4476-8EF1-0BE0EDC1E6C9}"/>
    <cellStyle name="20% - Accent4 2 3 4 3 5" xfId="14208" xr:uid="{51CF40DE-07FA-4950-9F04-6A2FDD3D7690}"/>
    <cellStyle name="20% - Accent4 2 3 4 4" xfId="26854" xr:uid="{40C6AC4C-29D0-4397-A80B-BFD3C4647DC2}"/>
    <cellStyle name="20% - Accent4 2 3 4 5" xfId="18425" xr:uid="{B2C89C53-5D7F-4D47-93EC-DB7A7E043BF1}"/>
    <cellStyle name="20% - Accent4 2 3 4 6" xfId="35283" xr:uid="{6224F17A-7C8C-490B-BAC4-54F6455DD7E6}"/>
    <cellStyle name="20% - Accent4 2 3 4 7" xfId="9990" xr:uid="{9AA290CF-CDBD-434A-8402-CE48D7A18875}"/>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33630" xr:uid="{0CFC30E8-9C8E-4E0B-813D-E2358CD8008C}"/>
    <cellStyle name="20% - Accent4 2 3 5 2 2 3" xfId="25201" xr:uid="{4F501C82-8C40-4660-940B-8F6E45E7C30F}"/>
    <cellStyle name="20% - Accent4 2 3 5 2 2 4" xfId="42058" xr:uid="{BC7C12F3-D76C-4595-AB59-F9C647E99B65}"/>
    <cellStyle name="20% - Accent4 2 3 5 2 2 5" xfId="16766" xr:uid="{9563C808-406F-43EF-A57C-45B5C6439D44}"/>
    <cellStyle name="20% - Accent4 2 3 5 2 3" xfId="29412" xr:uid="{6DB6901A-72D3-42F3-85B1-DC9284087D7D}"/>
    <cellStyle name="20% - Accent4 2 3 5 2 4" xfId="20983" xr:uid="{BC8BB6B1-5010-446D-AFB2-4306D6B14E28}"/>
    <cellStyle name="20% - Accent4 2 3 5 2 5" xfId="37841" xr:uid="{BF33B4A0-CCED-44BB-8939-C815430270C0}"/>
    <cellStyle name="20% - Accent4 2 3 5 2 6" xfId="12548" xr:uid="{665AF78E-B926-4F2C-BCB5-7DF9CCFCB39D}"/>
    <cellStyle name="20% - Accent4 2 3 5 3" xfId="6186" xr:uid="{00000000-0005-0000-0000-00001B020000}"/>
    <cellStyle name="20% - Accent4 2 3 5 3 2" xfId="31485" xr:uid="{1676D919-77C6-4466-8FF2-077BC82DD581}"/>
    <cellStyle name="20% - Accent4 2 3 5 3 3" xfId="23056" xr:uid="{FE9E8945-69E6-4F3F-8BAD-1D38F79FD706}"/>
    <cellStyle name="20% - Accent4 2 3 5 3 4" xfId="39913" xr:uid="{DEC86978-E0BA-4E64-9DDC-F8A6FD22DF65}"/>
    <cellStyle name="20% - Accent4 2 3 5 3 5" xfId="14621" xr:uid="{5477587F-63EA-4A6E-A3FA-9E8CD8A6FBE8}"/>
    <cellStyle name="20% - Accent4 2 3 5 4" xfId="27267" xr:uid="{35785CBE-14CE-4AE7-A62D-278D97A16AA5}"/>
    <cellStyle name="20% - Accent4 2 3 5 5" xfId="18838" xr:uid="{7A8E38BE-4E7C-4A95-8E8C-97D8C5A9DF7A}"/>
    <cellStyle name="20% - Accent4 2 3 5 6" xfId="35696" xr:uid="{AFBFC49D-192E-467B-A440-DB585F0F324A}"/>
    <cellStyle name="20% - Accent4 2 3 5 7" xfId="10403" xr:uid="{C397DA1B-D88C-4D3B-AFBD-1128E8B43E7D}"/>
    <cellStyle name="20% - Accent4 2 3 6" xfId="2292" xr:uid="{00000000-0005-0000-0000-00001C020000}"/>
    <cellStyle name="20% - Accent4 2 3 6 2" xfId="6599" xr:uid="{00000000-0005-0000-0000-00001D020000}"/>
    <cellStyle name="20% - Accent4 2 3 6 2 2" xfId="31898" xr:uid="{D18E559A-9E01-4CCA-809A-578F295166E2}"/>
    <cellStyle name="20% - Accent4 2 3 6 2 3" xfId="23469" xr:uid="{251EF654-D743-4C34-ADC7-7A8112CC58DD}"/>
    <cellStyle name="20% - Accent4 2 3 6 2 4" xfId="40326" xr:uid="{2639BD47-9C64-4BEF-8B83-26A0939E6637}"/>
    <cellStyle name="20% - Accent4 2 3 6 2 5" xfId="15034" xr:uid="{D0FC21D3-12E4-4DDB-B509-E6C26CDC793B}"/>
    <cellStyle name="20% - Accent4 2 3 6 3" xfId="27680" xr:uid="{C2734378-D62A-43D5-BCE3-06DC51D1D3C6}"/>
    <cellStyle name="20% - Accent4 2 3 6 4" xfId="19251" xr:uid="{94DDDECB-B49D-4D42-A236-B106345CFF81}"/>
    <cellStyle name="20% - Accent4 2 3 6 5" xfId="36109" xr:uid="{602A95D8-BD3E-4294-906A-D45C60EB87FE}"/>
    <cellStyle name="20% - Accent4 2 3 6 6" xfId="10816" xr:uid="{EC6E027E-469B-440E-A8CE-108BA892AB73}"/>
    <cellStyle name="20% - Accent4 2 3 7" xfId="4533" xr:uid="{00000000-0005-0000-0000-00001E020000}"/>
    <cellStyle name="20% - Accent4 2 3 7 2" xfId="29832" xr:uid="{2EC75B20-4F8D-44AA-8EAF-9EB44CB015EA}"/>
    <cellStyle name="20% - Accent4 2 3 7 3" xfId="21403" xr:uid="{C648CC17-42D9-44F8-AB69-310158080B4C}"/>
    <cellStyle name="20% - Accent4 2 3 7 4" xfId="38260" xr:uid="{CA3377AC-CF67-45C9-98A0-FD0EC3BD8090}"/>
    <cellStyle name="20% - Accent4 2 3 7 5" xfId="12968" xr:uid="{853DC4DA-505D-45A5-9CAA-A9D7C3B95BC3}"/>
    <cellStyle name="20% - Accent4 2 3 8" xfId="25614" xr:uid="{5E9B5B4C-B136-430B-A062-1C8C13D27763}"/>
    <cellStyle name="20% - Accent4 2 3 9" xfId="17185" xr:uid="{119F2BD4-0262-4BBF-8C1A-5D5D38B2B7BB}"/>
    <cellStyle name="20% - Accent4 2 4" xfId="595" xr:uid="{00000000-0005-0000-0000-00001F020000}"/>
    <cellStyle name="20% - Accent4 2 4 2" xfId="2866" xr:uid="{00000000-0005-0000-0000-000020020000}"/>
    <cellStyle name="20% - Accent4 2 4 2 2" xfId="7089" xr:uid="{00000000-0005-0000-0000-000021020000}"/>
    <cellStyle name="20% - Accent4 2 4 2 2 2" xfId="32388" xr:uid="{4A644E3E-916C-4E75-9C1E-FA05F3698A5B}"/>
    <cellStyle name="20% - Accent4 2 4 2 2 3" xfId="23959" xr:uid="{27CA38BA-F6F6-49FB-8E68-CA27AD97958D}"/>
    <cellStyle name="20% - Accent4 2 4 2 2 4" xfId="40816" xr:uid="{4B0C72B7-89A8-4C65-AC1C-26E4A13540D8}"/>
    <cellStyle name="20% - Accent4 2 4 2 2 5" xfId="15524" xr:uid="{177DFB8C-B4C9-417D-B3DA-E1E6982EBAED}"/>
    <cellStyle name="20% - Accent4 2 4 2 3" xfId="28170" xr:uid="{873828C8-C5FF-4EEC-AE59-545BAE8967B0}"/>
    <cellStyle name="20% - Accent4 2 4 2 4" xfId="19741" xr:uid="{8FF0F0A1-AEBB-4C8D-A72E-F65506073C51}"/>
    <cellStyle name="20% - Accent4 2 4 2 5" xfId="36599" xr:uid="{445E39A0-B6C8-4C0E-9AD7-3D8EDAD747F7}"/>
    <cellStyle name="20% - Accent4 2 4 2 6" xfId="11306" xr:uid="{5133321B-28B9-45E2-A772-3B5F3EE2D370}"/>
    <cellStyle name="20% - Accent4 2 4 3" xfId="4944" xr:uid="{00000000-0005-0000-0000-000022020000}"/>
    <cellStyle name="20% - Accent4 2 4 3 2" xfId="30243" xr:uid="{411D2408-9B54-43B5-83F5-78F220B92007}"/>
    <cellStyle name="20% - Accent4 2 4 3 3" xfId="21814" xr:uid="{A09400B7-96EA-4298-9E4C-CA81521EBCD8}"/>
    <cellStyle name="20% - Accent4 2 4 3 4" xfId="38671" xr:uid="{B7CB4DA4-5BAA-4FD3-A2B0-7B6CE2F3E799}"/>
    <cellStyle name="20% - Accent4 2 4 3 5" xfId="13379" xr:uid="{09BDA482-459E-4705-A9F6-271AA843544A}"/>
    <cellStyle name="20% - Accent4 2 4 4" xfId="26025" xr:uid="{57F8EA7A-04A7-47D6-BA0F-5842E44500C0}"/>
    <cellStyle name="20% - Accent4 2 4 5" xfId="17596" xr:uid="{F0448AF4-520B-464B-A447-C376BCCBF6CB}"/>
    <cellStyle name="20% - Accent4 2 4 6" xfId="34454" xr:uid="{B45174AC-73B3-47DF-B132-A366A46F5F2D}"/>
    <cellStyle name="20% - Accent4 2 4 7" xfId="9161" xr:uid="{B57FF062-0EBB-4E65-BA24-EF9E1F8C31E2}"/>
    <cellStyle name="20% - Accent4 2 5" xfId="1048" xr:uid="{00000000-0005-0000-0000-000023020000}"/>
    <cellStyle name="20% - Accent4 2 5 2" xfId="3279" xr:uid="{00000000-0005-0000-0000-000024020000}"/>
    <cellStyle name="20% - Accent4 2 5 2 2" xfId="7502" xr:uid="{00000000-0005-0000-0000-000025020000}"/>
    <cellStyle name="20% - Accent4 2 5 2 2 2" xfId="32801" xr:uid="{F24B1CF1-B7D6-4D6C-9E20-C1966961969A}"/>
    <cellStyle name="20% - Accent4 2 5 2 2 3" xfId="24372" xr:uid="{50B9F366-B483-489C-9CED-6737D05E9B34}"/>
    <cellStyle name="20% - Accent4 2 5 2 2 4" xfId="41229" xr:uid="{4CC8D981-C593-4494-81D4-0B45142B2C98}"/>
    <cellStyle name="20% - Accent4 2 5 2 2 5" xfId="15937" xr:uid="{FA0ED8EA-3108-4747-A638-975759C896A9}"/>
    <cellStyle name="20% - Accent4 2 5 2 3" xfId="28583" xr:uid="{C5B8D067-1C9A-41EB-9AB9-2EE668F4C732}"/>
    <cellStyle name="20% - Accent4 2 5 2 4" xfId="20154" xr:uid="{B7A7B55B-56CC-41FE-BD0B-984E5D3E19C2}"/>
    <cellStyle name="20% - Accent4 2 5 2 5" xfId="37012" xr:uid="{754E07D3-8B06-42BB-99D7-3603F106E676}"/>
    <cellStyle name="20% - Accent4 2 5 2 6" xfId="11719" xr:uid="{2540058B-F208-400E-B021-1BD4F2F76EC8}"/>
    <cellStyle name="20% - Accent4 2 5 3" xfId="5357" xr:uid="{00000000-0005-0000-0000-000026020000}"/>
    <cellStyle name="20% - Accent4 2 5 3 2" xfId="30656" xr:uid="{2DD55705-BE97-4309-AEF8-F81C871650B4}"/>
    <cellStyle name="20% - Accent4 2 5 3 3" xfId="22227" xr:uid="{E2CFCEA7-02A9-4927-9968-1DE2F93AD235}"/>
    <cellStyle name="20% - Accent4 2 5 3 4" xfId="39084" xr:uid="{17EC3A91-E155-448D-A738-5C554EE2C92E}"/>
    <cellStyle name="20% - Accent4 2 5 3 5" xfId="13792" xr:uid="{4730F392-1CF1-4C28-8EA0-7D07B37819E7}"/>
    <cellStyle name="20% - Accent4 2 5 4" xfId="26438" xr:uid="{8DAA6585-96B4-406D-A6A5-6E2869CEB37C}"/>
    <cellStyle name="20% - Accent4 2 5 5" xfId="18009" xr:uid="{6BC55F26-E478-461D-9BF0-D98970C8C590}"/>
    <cellStyle name="20% - Accent4 2 5 6" xfId="34867" xr:uid="{6BFCD79D-FF5A-4AB1-B937-BB9CCCBE8349}"/>
    <cellStyle name="20% - Accent4 2 5 7" xfId="9574" xr:uid="{E7FB9721-AD0F-4E4A-B2DE-BDD1C832098B}"/>
    <cellStyle name="20% - Accent4 2 6" xfId="1462" xr:uid="{00000000-0005-0000-0000-000027020000}"/>
    <cellStyle name="20% - Accent4 2 6 2" xfId="3692" xr:uid="{00000000-0005-0000-0000-000028020000}"/>
    <cellStyle name="20% - Accent4 2 6 2 2" xfId="7915" xr:uid="{00000000-0005-0000-0000-000029020000}"/>
    <cellStyle name="20% - Accent4 2 6 2 2 2" xfId="33214" xr:uid="{1A22DAE5-D2E4-4D41-9C0B-EFC9439AB9BF}"/>
    <cellStyle name="20% - Accent4 2 6 2 2 3" xfId="24785" xr:uid="{FA0DAC0A-5BA0-4039-A6CE-C5982A0C3442}"/>
    <cellStyle name="20% - Accent4 2 6 2 2 4" xfId="41642" xr:uid="{212AAF8F-ED58-458D-AD21-1DF7B790720B}"/>
    <cellStyle name="20% - Accent4 2 6 2 2 5" xfId="16350" xr:uid="{E9EF58FA-A476-4607-953C-7C6FE5B249FC}"/>
    <cellStyle name="20% - Accent4 2 6 2 3" xfId="28996" xr:uid="{54B8B91B-2280-45D0-A8DB-1EBAF7504A8F}"/>
    <cellStyle name="20% - Accent4 2 6 2 4" xfId="20567" xr:uid="{FD29324D-AB7F-4EC4-B0DB-56FD62F1A120}"/>
    <cellStyle name="20% - Accent4 2 6 2 5" xfId="37425" xr:uid="{1D9EDC04-F361-406B-AFA3-78C99B6C71FC}"/>
    <cellStyle name="20% - Accent4 2 6 2 6" xfId="12132" xr:uid="{C1BD81DC-665E-4122-A6B0-A94980B52129}"/>
    <cellStyle name="20% - Accent4 2 6 3" xfId="5770" xr:uid="{00000000-0005-0000-0000-00002A020000}"/>
    <cellStyle name="20% - Accent4 2 6 3 2" xfId="31069" xr:uid="{34490641-6ED7-406E-98EB-82240B63915F}"/>
    <cellStyle name="20% - Accent4 2 6 3 3" xfId="22640" xr:uid="{D66C40D6-0D76-4246-AC93-DB98E5E16C0E}"/>
    <cellStyle name="20% - Accent4 2 6 3 4" xfId="39497" xr:uid="{AE381DE7-DB94-4B5E-BF03-24E49752E6AB}"/>
    <cellStyle name="20% - Accent4 2 6 3 5" xfId="14205" xr:uid="{A882EC66-7578-494D-93D5-B182D359C142}"/>
    <cellStyle name="20% - Accent4 2 6 4" xfId="26851" xr:uid="{6B97822C-1154-44B3-8242-1BA39D2FBC63}"/>
    <cellStyle name="20% - Accent4 2 6 5" xfId="18422" xr:uid="{B20D125C-7B95-4B41-935A-3D24E9AF6777}"/>
    <cellStyle name="20% - Accent4 2 6 6" xfId="35280" xr:uid="{66AFA66E-913E-4F43-88B3-4588B9D4C5A5}"/>
    <cellStyle name="20% - Accent4 2 6 7" xfId="9987" xr:uid="{4C34B577-9300-4E83-9E4E-21E3DAE879FB}"/>
    <cellStyle name="20% - Accent4 2 7" xfId="1876" xr:uid="{00000000-0005-0000-0000-00002B020000}"/>
    <cellStyle name="20% - Accent4 2 7 2" xfId="4105" xr:uid="{00000000-0005-0000-0000-00002C020000}"/>
    <cellStyle name="20% - Accent4 2 7 2 2" xfId="8328" xr:uid="{00000000-0005-0000-0000-00002D020000}"/>
    <cellStyle name="20% - Accent4 2 7 2 2 2" xfId="33627" xr:uid="{F4F4CBCE-DFEB-4DC6-8CAD-D3BE3DE344D8}"/>
    <cellStyle name="20% - Accent4 2 7 2 2 3" xfId="25198" xr:uid="{EA38C2AD-F2FF-49AA-8778-727C0E4E6FD9}"/>
    <cellStyle name="20% - Accent4 2 7 2 2 4" xfId="42055" xr:uid="{2736A360-1E0F-46EC-9629-EA8FA0B7E50C}"/>
    <cellStyle name="20% - Accent4 2 7 2 2 5" xfId="16763" xr:uid="{C8E543BF-DB6F-4149-90B9-431BF094F393}"/>
    <cellStyle name="20% - Accent4 2 7 2 3" xfId="29409" xr:uid="{DBE8771C-54AC-47A7-BA30-F6C6BF9C9E4D}"/>
    <cellStyle name="20% - Accent4 2 7 2 4" xfId="20980" xr:uid="{C0A3CF0C-3BEB-46B8-BDDF-1D85DFCC4C40}"/>
    <cellStyle name="20% - Accent4 2 7 2 5" xfId="37838" xr:uid="{84DB4403-05DF-4E73-9D53-4066CC401E9C}"/>
    <cellStyle name="20% - Accent4 2 7 2 6" xfId="12545" xr:uid="{6E2C41AC-3DD2-447E-805A-46B5A902A8B9}"/>
    <cellStyle name="20% - Accent4 2 7 3" xfId="6183" xr:uid="{00000000-0005-0000-0000-00002E020000}"/>
    <cellStyle name="20% - Accent4 2 7 3 2" xfId="31482" xr:uid="{880523E1-FF7D-4B5D-9E80-7900F225514C}"/>
    <cellStyle name="20% - Accent4 2 7 3 3" xfId="23053" xr:uid="{993E4CA3-6744-4430-9649-13DBCF1727BC}"/>
    <cellStyle name="20% - Accent4 2 7 3 4" xfId="39910" xr:uid="{25DD3DED-ED20-467A-9E10-189258B1B00F}"/>
    <cellStyle name="20% - Accent4 2 7 3 5" xfId="14618" xr:uid="{AA139E27-F497-4574-9D93-3029AD7EB3A9}"/>
    <cellStyle name="20% - Accent4 2 7 4" xfId="27264" xr:uid="{A483DE37-E48A-4512-9BA0-B6B3C30B5D4E}"/>
    <cellStyle name="20% - Accent4 2 7 5" xfId="18835" xr:uid="{26A705D8-E893-40B1-9A93-51FFEF8CD1D8}"/>
    <cellStyle name="20% - Accent4 2 7 6" xfId="35693" xr:uid="{832CA647-B778-4F58-8AE5-F345327CBDBE}"/>
    <cellStyle name="20% - Accent4 2 7 7" xfId="10400" xr:uid="{532BC58F-AE6F-4E9B-B673-FF233443314D}"/>
    <cellStyle name="20% - Accent4 2 8" xfId="2289" xr:uid="{00000000-0005-0000-0000-00002F020000}"/>
    <cellStyle name="20% - Accent4 2 8 2" xfId="6596" xr:uid="{00000000-0005-0000-0000-000030020000}"/>
    <cellStyle name="20% - Accent4 2 8 2 2" xfId="31895" xr:uid="{F479336F-69F1-4DD5-9ED4-B1BBF1BB73BE}"/>
    <cellStyle name="20% - Accent4 2 8 2 3" xfId="23466" xr:uid="{34424F5D-AFB5-4AD1-8C65-6DD95B2329D9}"/>
    <cellStyle name="20% - Accent4 2 8 2 4" xfId="40323" xr:uid="{B3004937-935A-42A4-B347-49DEA8A7076D}"/>
    <cellStyle name="20% - Accent4 2 8 2 5" xfId="15031" xr:uid="{420B6C6B-F070-42FE-8B10-1D7C936915A7}"/>
    <cellStyle name="20% - Accent4 2 8 3" xfId="27677" xr:uid="{1FFBE9DC-4AF0-4B13-A35A-20559302AFE7}"/>
    <cellStyle name="20% - Accent4 2 8 4" xfId="19248" xr:uid="{760369C1-1C86-4863-BED6-48376FE7A18F}"/>
    <cellStyle name="20% - Accent4 2 8 5" xfId="36106" xr:uid="{0175A6E6-C579-4E41-87C9-3B8B28AC823C}"/>
    <cellStyle name="20% - Accent4 2 8 6" xfId="10813" xr:uid="{D1F4A280-6DBC-4873-B484-6842EA1C2296}"/>
    <cellStyle name="20% - Accent4 2 9" xfId="4530" xr:uid="{00000000-0005-0000-0000-000031020000}"/>
    <cellStyle name="20% - Accent4 2 9 2" xfId="29829" xr:uid="{08484FA9-94F8-49BB-A420-E47353D4D68B}"/>
    <cellStyle name="20% - Accent4 2 9 3" xfId="21400" xr:uid="{A624E122-4D7B-4A21-8BC6-112D41E06B2E}"/>
    <cellStyle name="20% - Accent4 2 9 4" xfId="38257" xr:uid="{7CC4077B-2381-408A-A408-A338AB1B8C15}"/>
    <cellStyle name="20% - Accent4 2 9 5" xfId="12965" xr:uid="{8F87A548-1AEE-434A-8050-C310AFF662ED}"/>
    <cellStyle name="20% - Accent4 3" xfId="30" xr:uid="{00000000-0005-0000-0000-000032020000}"/>
    <cellStyle name="20% - Accent4 3 10" xfId="17186" xr:uid="{66DFBEC0-5503-4B7D-9010-BC81D0502929}"/>
    <cellStyle name="20% - Accent4 3 11" xfId="34044" xr:uid="{EC8B412B-8B70-44F7-A710-AD7EE3EA7A1E}"/>
    <cellStyle name="20% - Accent4 3 12" xfId="8751" xr:uid="{1959E897-6089-4D60-93D5-162106155610}"/>
    <cellStyle name="20% - Accent4 3 2" xfId="31" xr:uid="{00000000-0005-0000-0000-000033020000}"/>
    <cellStyle name="20% - Accent4 3 2 10" xfId="34045" xr:uid="{97143DF3-BD3C-434E-BA87-2E0B0C098473}"/>
    <cellStyle name="20% - Accent4 3 2 11" xfId="8752" xr:uid="{1CE459A0-1C14-4B6D-97C5-2CC28BB096FA}"/>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32393" xr:uid="{32FE885F-92E1-4559-AD1E-F220B2557C4E}"/>
    <cellStyle name="20% - Accent4 3 2 2 2 2 3" xfId="23964" xr:uid="{7363CE85-4FD6-4C56-BEBF-C4F5DC068BE3}"/>
    <cellStyle name="20% - Accent4 3 2 2 2 2 4" xfId="40821" xr:uid="{96F1102C-6A4A-4440-93E6-4D89750B1A4B}"/>
    <cellStyle name="20% - Accent4 3 2 2 2 2 5" xfId="15529" xr:uid="{FF895BE2-ABCA-40F5-A244-E16598CE0367}"/>
    <cellStyle name="20% - Accent4 3 2 2 2 3" xfId="28175" xr:uid="{E9A316B8-A5A3-485F-A998-0BB1A8D97CCE}"/>
    <cellStyle name="20% - Accent4 3 2 2 2 4" xfId="19746" xr:uid="{DE9A6F04-5557-4F6F-956B-A11A9905CA82}"/>
    <cellStyle name="20% - Accent4 3 2 2 2 5" xfId="36604" xr:uid="{F4B33F45-7AAC-4563-912C-00B8A72801D1}"/>
    <cellStyle name="20% - Accent4 3 2 2 2 6" xfId="11311" xr:uid="{A3A2751A-0977-454C-A92A-A9D12E01728D}"/>
    <cellStyle name="20% - Accent4 3 2 2 3" xfId="4949" xr:uid="{00000000-0005-0000-0000-000037020000}"/>
    <cellStyle name="20% - Accent4 3 2 2 3 2" xfId="30248" xr:uid="{8C80C815-96D8-406B-BEDA-BF7E63486984}"/>
    <cellStyle name="20% - Accent4 3 2 2 3 3" xfId="21819" xr:uid="{EE165F12-1426-40AD-9482-94C38BED4D91}"/>
    <cellStyle name="20% - Accent4 3 2 2 3 4" xfId="38676" xr:uid="{377F2651-2B9E-4FFC-A67D-8ABAC7EA5FB4}"/>
    <cellStyle name="20% - Accent4 3 2 2 3 5" xfId="13384" xr:uid="{FF6C4E1E-C6BC-4E61-8A6C-E31B780ADB89}"/>
    <cellStyle name="20% - Accent4 3 2 2 4" xfId="26030" xr:uid="{225439C7-884D-47F5-BF50-61B34782E675}"/>
    <cellStyle name="20% - Accent4 3 2 2 5" xfId="17601" xr:uid="{B1AC474D-B4C4-499D-ACDD-C3F2260A5CBE}"/>
    <cellStyle name="20% - Accent4 3 2 2 6" xfId="34459" xr:uid="{724EC928-C879-40BD-993E-D7AD6F3CB26D}"/>
    <cellStyle name="20% - Accent4 3 2 2 7" xfId="9166" xr:uid="{65E95354-0DD0-4BB6-ADD6-E3DB17D7B5BB}"/>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32806" xr:uid="{2B420398-4993-4153-A739-75BE9AE2F174}"/>
    <cellStyle name="20% - Accent4 3 2 3 2 2 3" xfId="24377" xr:uid="{C8AB299C-2B74-4465-9045-A094E3DDDCF0}"/>
    <cellStyle name="20% - Accent4 3 2 3 2 2 4" xfId="41234" xr:uid="{32C9153C-08F6-410E-9BA4-361D744C5036}"/>
    <cellStyle name="20% - Accent4 3 2 3 2 2 5" xfId="15942" xr:uid="{A7EE5E1A-30BE-49A7-87F1-3A6B06F8A64D}"/>
    <cellStyle name="20% - Accent4 3 2 3 2 3" xfId="28588" xr:uid="{ABEDF109-BD4A-45BB-A836-FBBD39E0F7B9}"/>
    <cellStyle name="20% - Accent4 3 2 3 2 4" xfId="20159" xr:uid="{FDB5A673-BE2C-484E-9704-DC8F0794BC23}"/>
    <cellStyle name="20% - Accent4 3 2 3 2 5" xfId="37017" xr:uid="{3C43AD1E-85F1-4BDF-BA52-54FA518B72E6}"/>
    <cellStyle name="20% - Accent4 3 2 3 2 6" xfId="11724" xr:uid="{8728E443-E091-43D3-A826-5D947ABB9892}"/>
    <cellStyle name="20% - Accent4 3 2 3 3" xfId="5362" xr:uid="{00000000-0005-0000-0000-00003B020000}"/>
    <cellStyle name="20% - Accent4 3 2 3 3 2" xfId="30661" xr:uid="{727A1DAE-F0D0-4F2A-B014-6CB789842EE9}"/>
    <cellStyle name="20% - Accent4 3 2 3 3 3" xfId="22232" xr:uid="{AAA91FD0-6CB7-499F-A139-77134880FA11}"/>
    <cellStyle name="20% - Accent4 3 2 3 3 4" xfId="39089" xr:uid="{35673D1F-D1EE-4A08-A6B2-CB0409D89DD1}"/>
    <cellStyle name="20% - Accent4 3 2 3 3 5" xfId="13797" xr:uid="{F31166C4-069E-4B69-B662-1C314FAD724C}"/>
    <cellStyle name="20% - Accent4 3 2 3 4" xfId="26443" xr:uid="{8D9CACFF-EABA-4656-8579-7AE99A2BED66}"/>
    <cellStyle name="20% - Accent4 3 2 3 5" xfId="18014" xr:uid="{DCAC787A-D5E8-4EC9-9DC2-F04839A75E24}"/>
    <cellStyle name="20% - Accent4 3 2 3 6" xfId="34872" xr:uid="{FB18DFA3-F419-4358-BCA4-C1FAFE279199}"/>
    <cellStyle name="20% - Accent4 3 2 3 7" xfId="9579" xr:uid="{D7571204-87C1-407E-B674-0D1522E87FC7}"/>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33219" xr:uid="{1F5A471E-D5AC-447C-8C24-53E879F01F2F}"/>
    <cellStyle name="20% - Accent4 3 2 4 2 2 3" xfId="24790" xr:uid="{5E9FCDA3-4BF4-45C3-A538-AB097562608A}"/>
    <cellStyle name="20% - Accent4 3 2 4 2 2 4" xfId="41647" xr:uid="{05363829-F948-4F7E-B685-78A6CF1DA5AD}"/>
    <cellStyle name="20% - Accent4 3 2 4 2 2 5" xfId="16355" xr:uid="{A6E0E968-3C25-4C5B-AD02-AABBF122AB25}"/>
    <cellStyle name="20% - Accent4 3 2 4 2 3" xfId="29001" xr:uid="{29F9B3D3-83EF-4B47-AF04-C096E587A1FE}"/>
    <cellStyle name="20% - Accent4 3 2 4 2 4" xfId="20572" xr:uid="{377ECF73-094B-4FC6-9FE2-2C8DF68E701E}"/>
    <cellStyle name="20% - Accent4 3 2 4 2 5" xfId="37430" xr:uid="{2D6FC8BB-00CD-4A2E-ACA5-28A9A5AB6550}"/>
    <cellStyle name="20% - Accent4 3 2 4 2 6" xfId="12137" xr:uid="{218A9449-4F50-46B4-B786-ADDF0A88A557}"/>
    <cellStyle name="20% - Accent4 3 2 4 3" xfId="5775" xr:uid="{00000000-0005-0000-0000-00003F020000}"/>
    <cellStyle name="20% - Accent4 3 2 4 3 2" xfId="31074" xr:uid="{67FF7B53-4766-4A5F-96D1-3CC0E703BAF7}"/>
    <cellStyle name="20% - Accent4 3 2 4 3 3" xfId="22645" xr:uid="{4D4D8E33-A863-4EEB-8606-BB3A38AE96D6}"/>
    <cellStyle name="20% - Accent4 3 2 4 3 4" xfId="39502" xr:uid="{B755AD48-C623-4E3F-B226-C30F293FFA33}"/>
    <cellStyle name="20% - Accent4 3 2 4 3 5" xfId="14210" xr:uid="{D263E4DC-0BF5-4CBE-A566-A48CD9523AAB}"/>
    <cellStyle name="20% - Accent4 3 2 4 4" xfId="26856" xr:uid="{9CB0DFEA-3863-4631-9E88-87C233C00800}"/>
    <cellStyle name="20% - Accent4 3 2 4 5" xfId="18427" xr:uid="{38E71A53-52FE-40C3-8773-7B04A92EE5C8}"/>
    <cellStyle name="20% - Accent4 3 2 4 6" xfId="35285" xr:uid="{4CD5BB64-9352-43FC-BADE-DED4BE16317D}"/>
    <cellStyle name="20% - Accent4 3 2 4 7" xfId="9992" xr:uid="{3C8F2176-03C5-4B69-8BC2-5850BF385509}"/>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33632" xr:uid="{9E5F01C9-C355-4E74-A501-8F7AAFF24A57}"/>
    <cellStyle name="20% - Accent4 3 2 5 2 2 3" xfId="25203" xr:uid="{D9E96BBA-DAF5-441D-908F-CB35F1C7F143}"/>
    <cellStyle name="20% - Accent4 3 2 5 2 2 4" xfId="42060" xr:uid="{9D14B9AF-82AA-4AD2-BD56-57569E660DAC}"/>
    <cellStyle name="20% - Accent4 3 2 5 2 2 5" xfId="16768" xr:uid="{10701285-68E7-47C0-9788-2942E584385F}"/>
    <cellStyle name="20% - Accent4 3 2 5 2 3" xfId="29414" xr:uid="{E2D4B6E2-87AD-408A-988B-6FAE91686C85}"/>
    <cellStyle name="20% - Accent4 3 2 5 2 4" xfId="20985" xr:uid="{6608547E-0E88-4016-8EF6-094213B3BE0A}"/>
    <cellStyle name="20% - Accent4 3 2 5 2 5" xfId="37843" xr:uid="{ED6BEBFE-9D4E-4488-B246-03E1A1F74181}"/>
    <cellStyle name="20% - Accent4 3 2 5 2 6" xfId="12550" xr:uid="{464CC62D-330D-403D-8CC3-D8F7ED93A4B9}"/>
    <cellStyle name="20% - Accent4 3 2 5 3" xfId="6188" xr:uid="{00000000-0005-0000-0000-000043020000}"/>
    <cellStyle name="20% - Accent4 3 2 5 3 2" xfId="31487" xr:uid="{4156B37B-B01E-4838-8D16-279E0A0AF839}"/>
    <cellStyle name="20% - Accent4 3 2 5 3 3" xfId="23058" xr:uid="{28344BAD-0137-4116-A3B8-184A703BE0AB}"/>
    <cellStyle name="20% - Accent4 3 2 5 3 4" xfId="39915" xr:uid="{CEC976B2-6D9B-4452-9B8D-D0AF543F8D66}"/>
    <cellStyle name="20% - Accent4 3 2 5 3 5" xfId="14623" xr:uid="{0E3360A9-C857-4E66-BE77-1162034AAD42}"/>
    <cellStyle name="20% - Accent4 3 2 5 4" xfId="27269" xr:uid="{0615326E-67D8-47B2-AD48-6CA26F690342}"/>
    <cellStyle name="20% - Accent4 3 2 5 5" xfId="18840" xr:uid="{D4C4C685-E478-4F21-9181-F238C583DB80}"/>
    <cellStyle name="20% - Accent4 3 2 5 6" xfId="35698" xr:uid="{61373FDF-D28D-4500-A1AE-F638F9D1CEF4}"/>
    <cellStyle name="20% - Accent4 3 2 5 7" xfId="10405" xr:uid="{C390AC54-92AB-4A9A-BDBB-0F5C6E417749}"/>
    <cellStyle name="20% - Accent4 3 2 6" xfId="2294" xr:uid="{00000000-0005-0000-0000-000044020000}"/>
    <cellStyle name="20% - Accent4 3 2 6 2" xfId="6601" xr:uid="{00000000-0005-0000-0000-000045020000}"/>
    <cellStyle name="20% - Accent4 3 2 6 2 2" xfId="31900" xr:uid="{47EB6FC4-353E-48F4-BDC4-2C573FB15192}"/>
    <cellStyle name="20% - Accent4 3 2 6 2 3" xfId="23471" xr:uid="{982F8B9B-AE27-4E93-910A-FD675717D945}"/>
    <cellStyle name="20% - Accent4 3 2 6 2 4" xfId="40328" xr:uid="{52AB32DA-A7D8-464D-A463-F40728C2A504}"/>
    <cellStyle name="20% - Accent4 3 2 6 2 5" xfId="15036" xr:uid="{A55AE0C1-F928-48C7-8CA1-AEE7B2AD1A94}"/>
    <cellStyle name="20% - Accent4 3 2 6 3" xfId="27682" xr:uid="{7E9A9BE4-59A6-4C5E-8881-03034F03442F}"/>
    <cellStyle name="20% - Accent4 3 2 6 4" xfId="19253" xr:uid="{6D37EE18-C4CA-4011-934B-FCE7B70A10E8}"/>
    <cellStyle name="20% - Accent4 3 2 6 5" xfId="36111" xr:uid="{5C1129CA-0F4F-4181-B579-CEBB756B06A2}"/>
    <cellStyle name="20% - Accent4 3 2 6 6" xfId="10818" xr:uid="{A71AE0A3-B866-4EAD-9B45-FDF487AF9D07}"/>
    <cellStyle name="20% - Accent4 3 2 7" xfId="4535" xr:uid="{00000000-0005-0000-0000-000046020000}"/>
    <cellStyle name="20% - Accent4 3 2 7 2" xfId="29834" xr:uid="{E271E561-E1A0-4DB9-B9B1-C57D6228D258}"/>
    <cellStyle name="20% - Accent4 3 2 7 3" xfId="21405" xr:uid="{72EA1BAA-51D4-4DE0-B631-417B2CB50BA4}"/>
    <cellStyle name="20% - Accent4 3 2 7 4" xfId="38262" xr:uid="{710B9B86-2405-421E-B562-3AFB957FDB3B}"/>
    <cellStyle name="20% - Accent4 3 2 7 5" xfId="12970" xr:uid="{F3365E78-E3A0-4B60-9665-02911BC8E476}"/>
    <cellStyle name="20% - Accent4 3 2 8" xfId="25616" xr:uid="{B2117B03-A1FF-4B09-A849-BDAE11C799C9}"/>
    <cellStyle name="20% - Accent4 3 2 9" xfId="17187" xr:uid="{FC86F3BF-B051-44BF-8FE5-C22B01E7439B}"/>
    <cellStyle name="20% - Accent4 3 3" xfId="599" xr:uid="{00000000-0005-0000-0000-000047020000}"/>
    <cellStyle name="20% - Accent4 3 3 2" xfId="2870" xr:uid="{00000000-0005-0000-0000-000048020000}"/>
    <cellStyle name="20% - Accent4 3 3 2 2" xfId="7093" xr:uid="{00000000-0005-0000-0000-000049020000}"/>
    <cellStyle name="20% - Accent4 3 3 2 2 2" xfId="32392" xr:uid="{299DE1B3-9655-49DF-BDFC-95951AB5C224}"/>
    <cellStyle name="20% - Accent4 3 3 2 2 3" xfId="23963" xr:uid="{D554C987-68A9-4682-A417-385B3AFBA6ED}"/>
    <cellStyle name="20% - Accent4 3 3 2 2 4" xfId="40820" xr:uid="{E61721EE-1C0E-447C-9060-141C7F87534B}"/>
    <cellStyle name="20% - Accent4 3 3 2 2 5" xfId="15528" xr:uid="{65092B8E-CE7E-4E91-B050-6DA46D2A289E}"/>
    <cellStyle name="20% - Accent4 3 3 2 3" xfId="28174" xr:uid="{82F69195-FBDD-46F7-9394-EEB153DA8EC4}"/>
    <cellStyle name="20% - Accent4 3 3 2 4" xfId="19745" xr:uid="{B1354499-F337-4824-8379-C9A63BD4E52D}"/>
    <cellStyle name="20% - Accent4 3 3 2 5" xfId="36603" xr:uid="{EA8FFCC1-65A5-44F3-AD88-F42EBB1EA571}"/>
    <cellStyle name="20% - Accent4 3 3 2 6" xfId="11310" xr:uid="{5C88214A-6653-49E0-8C06-58C08F81EA6B}"/>
    <cellStyle name="20% - Accent4 3 3 3" xfId="4948" xr:uid="{00000000-0005-0000-0000-00004A020000}"/>
    <cellStyle name="20% - Accent4 3 3 3 2" xfId="30247" xr:uid="{FEB073CA-071F-4A70-90B9-AB6FC9A99DF9}"/>
    <cellStyle name="20% - Accent4 3 3 3 3" xfId="21818" xr:uid="{1D656806-A83C-4ADF-BCDE-6F30789FBF7E}"/>
    <cellStyle name="20% - Accent4 3 3 3 4" xfId="38675" xr:uid="{0A596838-1BD0-4FAD-A085-80B5D01799BE}"/>
    <cellStyle name="20% - Accent4 3 3 3 5" xfId="13383" xr:uid="{E41EF86E-EFB8-47EA-8F96-E7D9ED8627E9}"/>
    <cellStyle name="20% - Accent4 3 3 4" xfId="26029" xr:uid="{CEDC8D9D-5A67-4237-AAD3-7FF82AC9889C}"/>
    <cellStyle name="20% - Accent4 3 3 5" xfId="17600" xr:uid="{415B750E-72A4-4FC1-A1D2-B92BC68B09CC}"/>
    <cellStyle name="20% - Accent4 3 3 6" xfId="34458" xr:uid="{FE6A8B34-09C1-4FE1-84AA-292C7593F38B}"/>
    <cellStyle name="20% - Accent4 3 3 7" xfId="9165" xr:uid="{E07419CA-4269-4A1B-867B-089D6A1917C3}"/>
    <cellStyle name="20% - Accent4 3 4" xfId="1052" xr:uid="{00000000-0005-0000-0000-00004B020000}"/>
    <cellStyle name="20% - Accent4 3 4 2" xfId="3283" xr:uid="{00000000-0005-0000-0000-00004C020000}"/>
    <cellStyle name="20% - Accent4 3 4 2 2" xfId="7506" xr:uid="{00000000-0005-0000-0000-00004D020000}"/>
    <cellStyle name="20% - Accent4 3 4 2 2 2" xfId="32805" xr:uid="{CFF6F7D1-B6CB-4205-9DB4-42E580D01096}"/>
    <cellStyle name="20% - Accent4 3 4 2 2 3" xfId="24376" xr:uid="{34D8A33C-AC13-4E23-A61A-C1532D296E08}"/>
    <cellStyle name="20% - Accent4 3 4 2 2 4" xfId="41233" xr:uid="{70722688-4A94-45D8-982F-48E1F8F6F033}"/>
    <cellStyle name="20% - Accent4 3 4 2 2 5" xfId="15941" xr:uid="{B56024BB-9C52-40F7-9B05-0E85FCCFE515}"/>
    <cellStyle name="20% - Accent4 3 4 2 3" xfId="28587" xr:uid="{D82E083A-42DE-49A6-85DE-174B9043B441}"/>
    <cellStyle name="20% - Accent4 3 4 2 4" xfId="20158" xr:uid="{0CE95390-B1F2-4173-89F4-E143F9239518}"/>
    <cellStyle name="20% - Accent4 3 4 2 5" xfId="37016" xr:uid="{D123CF23-7F86-45FA-B752-ABA23AC780EB}"/>
    <cellStyle name="20% - Accent4 3 4 2 6" xfId="11723" xr:uid="{021028AA-11E9-4385-A063-962CE3D9B802}"/>
    <cellStyle name="20% - Accent4 3 4 3" xfId="5361" xr:uid="{00000000-0005-0000-0000-00004E020000}"/>
    <cellStyle name="20% - Accent4 3 4 3 2" xfId="30660" xr:uid="{D114A874-FC1B-4F1C-A989-8F967373C718}"/>
    <cellStyle name="20% - Accent4 3 4 3 3" xfId="22231" xr:uid="{EEBA3AF9-3AB3-4079-836F-ED959F77045D}"/>
    <cellStyle name="20% - Accent4 3 4 3 4" xfId="39088" xr:uid="{809C1CED-8C2F-41CF-9BBF-40504DFE3CB4}"/>
    <cellStyle name="20% - Accent4 3 4 3 5" xfId="13796" xr:uid="{5922D5B3-AB21-431A-BF22-4E45E2AF107C}"/>
    <cellStyle name="20% - Accent4 3 4 4" xfId="26442" xr:uid="{75942A7F-7397-43B7-A631-E88231B227F1}"/>
    <cellStyle name="20% - Accent4 3 4 5" xfId="18013" xr:uid="{CE9EAE9A-107A-4586-A4EA-ED368A21A005}"/>
    <cellStyle name="20% - Accent4 3 4 6" xfId="34871" xr:uid="{EE326884-0FF3-46AA-88AB-77B9DEDA3889}"/>
    <cellStyle name="20% - Accent4 3 4 7" xfId="9578" xr:uid="{51764552-1900-442E-8E80-2EBB1DA45528}"/>
    <cellStyle name="20% - Accent4 3 5" xfId="1466" xr:uid="{00000000-0005-0000-0000-00004F020000}"/>
    <cellStyle name="20% - Accent4 3 5 2" xfId="3696" xr:uid="{00000000-0005-0000-0000-000050020000}"/>
    <cellStyle name="20% - Accent4 3 5 2 2" xfId="7919" xr:uid="{00000000-0005-0000-0000-000051020000}"/>
    <cellStyle name="20% - Accent4 3 5 2 2 2" xfId="33218" xr:uid="{2795C07A-F6A3-4BA9-BCB4-F83B4F7E74C7}"/>
    <cellStyle name="20% - Accent4 3 5 2 2 3" xfId="24789" xr:uid="{8EFBC439-1D56-457F-BF41-A8EAD1FFC839}"/>
    <cellStyle name="20% - Accent4 3 5 2 2 4" xfId="41646" xr:uid="{AFB8F7B0-875B-4E51-8DF9-6D9F4A626C91}"/>
    <cellStyle name="20% - Accent4 3 5 2 2 5" xfId="16354" xr:uid="{09E3C0BE-74D4-4962-8DD8-828A458BC060}"/>
    <cellStyle name="20% - Accent4 3 5 2 3" xfId="29000" xr:uid="{2E1076DC-8429-40E5-B447-D8468D356606}"/>
    <cellStyle name="20% - Accent4 3 5 2 4" xfId="20571" xr:uid="{210290FD-9A2D-4BCB-8B1E-D86FD3067C0C}"/>
    <cellStyle name="20% - Accent4 3 5 2 5" xfId="37429" xr:uid="{C5430A66-75B5-4600-8C20-1E2DDDE26DC8}"/>
    <cellStyle name="20% - Accent4 3 5 2 6" xfId="12136" xr:uid="{67666BF1-CE49-4C8F-A6D3-A607BA7A4329}"/>
    <cellStyle name="20% - Accent4 3 5 3" xfId="5774" xr:uid="{00000000-0005-0000-0000-000052020000}"/>
    <cellStyle name="20% - Accent4 3 5 3 2" xfId="31073" xr:uid="{84276665-2819-4AA0-9C90-A3AB0DECF603}"/>
    <cellStyle name="20% - Accent4 3 5 3 3" xfId="22644" xr:uid="{DA0A0D5F-0F45-4E67-A8B2-E517D4C12339}"/>
    <cellStyle name="20% - Accent4 3 5 3 4" xfId="39501" xr:uid="{E16725DF-221D-466B-9CEF-B853B44820FD}"/>
    <cellStyle name="20% - Accent4 3 5 3 5" xfId="14209" xr:uid="{A7593C63-0478-4E8E-9613-5FCD36E28007}"/>
    <cellStyle name="20% - Accent4 3 5 4" xfId="26855" xr:uid="{806C929E-F37C-4956-A876-3A47A6AB415C}"/>
    <cellStyle name="20% - Accent4 3 5 5" xfId="18426" xr:uid="{E07BDB7D-F7AC-4709-AAAB-38AB210CB038}"/>
    <cellStyle name="20% - Accent4 3 5 6" xfId="35284" xr:uid="{9F5FE3FB-5827-4473-9790-29FE69D783D6}"/>
    <cellStyle name="20% - Accent4 3 5 7" xfId="9991" xr:uid="{3618AF9D-C499-400A-AED6-37D4B40B61E5}"/>
    <cellStyle name="20% - Accent4 3 6" xfId="1880" xr:uid="{00000000-0005-0000-0000-000053020000}"/>
    <cellStyle name="20% - Accent4 3 6 2" xfId="4109" xr:uid="{00000000-0005-0000-0000-000054020000}"/>
    <cellStyle name="20% - Accent4 3 6 2 2" xfId="8332" xr:uid="{00000000-0005-0000-0000-000055020000}"/>
    <cellStyle name="20% - Accent4 3 6 2 2 2" xfId="33631" xr:uid="{40D11D82-8BDC-42BD-8229-1FB721BC0D03}"/>
    <cellStyle name="20% - Accent4 3 6 2 2 3" xfId="25202" xr:uid="{8234AFB3-C1F2-4978-AAA9-C4894C864B90}"/>
    <cellStyle name="20% - Accent4 3 6 2 2 4" xfId="42059" xr:uid="{D9438367-136B-464F-AA50-F1589AAA117F}"/>
    <cellStyle name="20% - Accent4 3 6 2 2 5" xfId="16767" xr:uid="{16A85D9D-E305-4BB1-872E-D7A9070EC621}"/>
    <cellStyle name="20% - Accent4 3 6 2 3" xfId="29413" xr:uid="{2F671F3A-2898-40E7-9C30-B5FE77188B52}"/>
    <cellStyle name="20% - Accent4 3 6 2 4" xfId="20984" xr:uid="{F0B592E2-5C92-4D3E-A87C-C27375F89D96}"/>
    <cellStyle name="20% - Accent4 3 6 2 5" xfId="37842" xr:uid="{CB7E8BE9-4A07-4D7D-B39D-28A6BEB53F2C}"/>
    <cellStyle name="20% - Accent4 3 6 2 6" xfId="12549" xr:uid="{97472155-A9F0-458A-8E05-0FAA5F09FA8C}"/>
    <cellStyle name="20% - Accent4 3 6 3" xfId="6187" xr:uid="{00000000-0005-0000-0000-000056020000}"/>
    <cellStyle name="20% - Accent4 3 6 3 2" xfId="31486" xr:uid="{31F7E53F-D075-429A-88CA-D16648BAE26F}"/>
    <cellStyle name="20% - Accent4 3 6 3 3" xfId="23057" xr:uid="{4CA6FA38-120B-4CEE-8F12-512746686313}"/>
    <cellStyle name="20% - Accent4 3 6 3 4" xfId="39914" xr:uid="{460FF324-ABED-468C-9980-400664EDEBA6}"/>
    <cellStyle name="20% - Accent4 3 6 3 5" xfId="14622" xr:uid="{2D778ABF-E127-4416-8894-3E2AF717342B}"/>
    <cellStyle name="20% - Accent4 3 6 4" xfId="27268" xr:uid="{9C5BFC0C-6FF9-460C-8FE3-A6B524FBC150}"/>
    <cellStyle name="20% - Accent4 3 6 5" xfId="18839" xr:uid="{E6402CCB-365C-41D2-9287-1BC317A475B8}"/>
    <cellStyle name="20% - Accent4 3 6 6" xfId="35697" xr:uid="{7A6EF308-0194-4E32-88A6-9B5BC4D62B04}"/>
    <cellStyle name="20% - Accent4 3 6 7" xfId="10404" xr:uid="{8D55C0FE-A7BA-4668-9152-FB8FE89DEA4C}"/>
    <cellStyle name="20% - Accent4 3 7" xfId="2293" xr:uid="{00000000-0005-0000-0000-000057020000}"/>
    <cellStyle name="20% - Accent4 3 7 2" xfId="6600" xr:uid="{00000000-0005-0000-0000-000058020000}"/>
    <cellStyle name="20% - Accent4 3 7 2 2" xfId="31899" xr:uid="{20FFBC29-2E22-4944-9399-26EE6C0D0E05}"/>
    <cellStyle name="20% - Accent4 3 7 2 3" xfId="23470" xr:uid="{C92CA0FB-C90B-4100-8218-0E75F3E0E0DE}"/>
    <cellStyle name="20% - Accent4 3 7 2 4" xfId="40327" xr:uid="{5C45704E-C587-4601-8D0C-3BAF29C11E79}"/>
    <cellStyle name="20% - Accent4 3 7 2 5" xfId="15035" xr:uid="{1FD2988F-EDDA-4D97-B649-ED519FFD835E}"/>
    <cellStyle name="20% - Accent4 3 7 3" xfId="27681" xr:uid="{42C63001-F47A-45F6-B945-CD93F983D41C}"/>
    <cellStyle name="20% - Accent4 3 7 4" xfId="19252" xr:uid="{0963382B-8690-415B-85AA-E43907E56571}"/>
    <cellStyle name="20% - Accent4 3 7 5" xfId="36110" xr:uid="{2A1860CA-8A22-48B3-8045-4D02DB05A48C}"/>
    <cellStyle name="20% - Accent4 3 7 6" xfId="10817" xr:uid="{A2825855-8F4F-4139-B51C-F80C2BF64253}"/>
    <cellStyle name="20% - Accent4 3 8" xfId="4534" xr:uid="{00000000-0005-0000-0000-000059020000}"/>
    <cellStyle name="20% - Accent4 3 8 2" xfId="29833" xr:uid="{B638C2B2-634D-450C-8178-6CAC59A8FAB5}"/>
    <cellStyle name="20% - Accent4 3 8 3" xfId="21404" xr:uid="{36C0D1DB-3783-4654-BAD4-65B57EE0B657}"/>
    <cellStyle name="20% - Accent4 3 8 4" xfId="38261" xr:uid="{2606A3D1-DD19-4A80-936B-58395D323DB4}"/>
    <cellStyle name="20% - Accent4 3 8 5" xfId="12969" xr:uid="{A1880C50-E039-424D-8837-2B2E0B9F98F0}"/>
    <cellStyle name="20% - Accent4 3 9" xfId="25615" xr:uid="{2B9A770E-FD5C-4E65-8980-FEBA943CD8D8}"/>
    <cellStyle name="20% - Accent4 4" xfId="32" xr:uid="{00000000-0005-0000-0000-00005A020000}"/>
    <cellStyle name="20% - Accent4 4 10" xfId="34046" xr:uid="{C48C6673-2593-40B8-B766-E7181195683D}"/>
    <cellStyle name="20% - Accent4 4 11" xfId="8753" xr:uid="{B6E6184E-A22E-4DC8-9C5E-A2DA99D67FBD}"/>
    <cellStyle name="20% - Accent4 4 2" xfId="601" xr:uid="{00000000-0005-0000-0000-00005B020000}"/>
    <cellStyle name="20% - Accent4 4 2 2" xfId="2872" xr:uid="{00000000-0005-0000-0000-00005C020000}"/>
    <cellStyle name="20% - Accent4 4 2 2 2" xfId="7095" xr:uid="{00000000-0005-0000-0000-00005D020000}"/>
    <cellStyle name="20% - Accent4 4 2 2 2 2" xfId="32394" xr:uid="{CAE6D918-04D5-4DF3-8941-A9C40AEF5CC2}"/>
    <cellStyle name="20% - Accent4 4 2 2 2 3" xfId="23965" xr:uid="{0AA7D12C-04D6-4065-98A4-4A8FF7910233}"/>
    <cellStyle name="20% - Accent4 4 2 2 2 4" xfId="40822" xr:uid="{5A147211-61CF-4731-BDD7-2516C9DDD035}"/>
    <cellStyle name="20% - Accent4 4 2 2 2 5" xfId="15530" xr:uid="{D5B4972B-BA89-4324-974F-93E96FC0F953}"/>
    <cellStyle name="20% - Accent4 4 2 2 3" xfId="28176" xr:uid="{6CC93732-CE2F-4333-ADFB-874C120E9EA6}"/>
    <cellStyle name="20% - Accent4 4 2 2 4" xfId="19747" xr:uid="{F1078924-E6DF-4531-B850-2C8F9D03BA30}"/>
    <cellStyle name="20% - Accent4 4 2 2 5" xfId="36605" xr:uid="{2171CFA0-FC1E-4BBF-882B-34DCC4C403A1}"/>
    <cellStyle name="20% - Accent4 4 2 2 6" xfId="11312" xr:uid="{C700FFB5-ED33-4CA1-8248-9365F1670DF7}"/>
    <cellStyle name="20% - Accent4 4 2 3" xfId="4950" xr:uid="{00000000-0005-0000-0000-00005E020000}"/>
    <cellStyle name="20% - Accent4 4 2 3 2" xfId="30249" xr:uid="{50FFAC2E-1107-4FE8-A10C-875DB8FA6365}"/>
    <cellStyle name="20% - Accent4 4 2 3 3" xfId="21820" xr:uid="{E9326892-2448-4D85-AB87-630A96383051}"/>
    <cellStyle name="20% - Accent4 4 2 3 4" xfId="38677" xr:uid="{C2580618-59C4-46A4-90DD-AA6966B88DF6}"/>
    <cellStyle name="20% - Accent4 4 2 3 5" xfId="13385" xr:uid="{C01F6FAE-2A38-40D6-BAB8-3BE1955853B8}"/>
    <cellStyle name="20% - Accent4 4 2 4" xfId="26031" xr:uid="{8E1B1CC4-E526-43A5-8213-94859CFE69F0}"/>
    <cellStyle name="20% - Accent4 4 2 5" xfId="17602" xr:uid="{FF9A656C-6833-4812-BF97-72B5BD977623}"/>
    <cellStyle name="20% - Accent4 4 2 6" xfId="34460" xr:uid="{F99F97BE-2C90-4045-A7ED-132771BEFE08}"/>
    <cellStyle name="20% - Accent4 4 2 7" xfId="9167" xr:uid="{9A031B92-0C62-4DC0-94E6-A54858EBF406}"/>
    <cellStyle name="20% - Accent4 4 3" xfId="1054" xr:uid="{00000000-0005-0000-0000-00005F020000}"/>
    <cellStyle name="20% - Accent4 4 3 2" xfId="3285" xr:uid="{00000000-0005-0000-0000-000060020000}"/>
    <cellStyle name="20% - Accent4 4 3 2 2" xfId="7508" xr:uid="{00000000-0005-0000-0000-000061020000}"/>
    <cellStyle name="20% - Accent4 4 3 2 2 2" xfId="32807" xr:uid="{FB4B7687-BD17-4CD1-8100-438C19872E47}"/>
    <cellStyle name="20% - Accent4 4 3 2 2 3" xfId="24378" xr:uid="{006D0811-F9B2-44EF-BD2B-7713C9A8D4A6}"/>
    <cellStyle name="20% - Accent4 4 3 2 2 4" xfId="41235" xr:uid="{A152B24E-9429-4B69-9C65-0CF2C936A94E}"/>
    <cellStyle name="20% - Accent4 4 3 2 2 5" xfId="15943" xr:uid="{6CE2B309-0323-4369-976B-17CC5C39BE25}"/>
    <cellStyle name="20% - Accent4 4 3 2 3" xfId="28589" xr:uid="{898FEFCB-8F68-43D2-BDDF-DA8CBD9E1426}"/>
    <cellStyle name="20% - Accent4 4 3 2 4" xfId="20160" xr:uid="{00303A94-35AA-4873-A0C4-621E5A103960}"/>
    <cellStyle name="20% - Accent4 4 3 2 5" xfId="37018" xr:uid="{9871C72A-B899-4C82-AF7C-71E6519C6493}"/>
    <cellStyle name="20% - Accent4 4 3 2 6" xfId="11725" xr:uid="{838A3AF2-F8E5-4130-8B7F-AF78027B0AC6}"/>
    <cellStyle name="20% - Accent4 4 3 3" xfId="5363" xr:uid="{00000000-0005-0000-0000-000062020000}"/>
    <cellStyle name="20% - Accent4 4 3 3 2" xfId="30662" xr:uid="{4D9EF40D-685A-4061-B9CD-22D95940D35A}"/>
    <cellStyle name="20% - Accent4 4 3 3 3" xfId="22233" xr:uid="{562FA82C-E5E2-4BE4-BE9F-7C123E21209F}"/>
    <cellStyle name="20% - Accent4 4 3 3 4" xfId="39090" xr:uid="{BE8F743E-12EC-4DFD-B0C0-A08488E4BF74}"/>
    <cellStyle name="20% - Accent4 4 3 3 5" xfId="13798" xr:uid="{9D8E9EC5-BC14-42D9-935B-87B62EB61B2A}"/>
    <cellStyle name="20% - Accent4 4 3 4" xfId="26444" xr:uid="{8B75B0BC-D730-43DA-AEA6-ED930E9D8024}"/>
    <cellStyle name="20% - Accent4 4 3 5" xfId="18015" xr:uid="{497A9C6A-8DD1-4D99-AC72-8E2FC3E1C475}"/>
    <cellStyle name="20% - Accent4 4 3 6" xfId="34873" xr:uid="{17523FCF-E514-4170-843F-5C93A4EB4E5A}"/>
    <cellStyle name="20% - Accent4 4 3 7" xfId="9580" xr:uid="{FA078F25-F155-49D3-81A0-B7680BDA7375}"/>
    <cellStyle name="20% - Accent4 4 4" xfId="1468" xr:uid="{00000000-0005-0000-0000-000063020000}"/>
    <cellStyle name="20% - Accent4 4 4 2" xfId="3698" xr:uid="{00000000-0005-0000-0000-000064020000}"/>
    <cellStyle name="20% - Accent4 4 4 2 2" xfId="7921" xr:uid="{00000000-0005-0000-0000-000065020000}"/>
    <cellStyle name="20% - Accent4 4 4 2 2 2" xfId="33220" xr:uid="{29E3F32D-ABD0-4BD4-B96F-20C6E68A7520}"/>
    <cellStyle name="20% - Accent4 4 4 2 2 3" xfId="24791" xr:uid="{556E13AA-E980-4340-99F0-3FAC8B4F1512}"/>
    <cellStyle name="20% - Accent4 4 4 2 2 4" xfId="41648" xr:uid="{BCA02CB6-FE72-47B6-A2E4-DD726421468C}"/>
    <cellStyle name="20% - Accent4 4 4 2 2 5" xfId="16356" xr:uid="{5F364139-FDDF-4209-B5E2-2050257D692F}"/>
    <cellStyle name="20% - Accent4 4 4 2 3" xfId="29002" xr:uid="{4FC6E6B7-E6A6-4277-BD0E-C8F6115F8B99}"/>
    <cellStyle name="20% - Accent4 4 4 2 4" xfId="20573" xr:uid="{58B9BB61-2A35-4935-BED1-C41670336DF3}"/>
    <cellStyle name="20% - Accent4 4 4 2 5" xfId="37431" xr:uid="{E09F3AD5-14BE-4C77-8C4D-2470F9D8AEAD}"/>
    <cellStyle name="20% - Accent4 4 4 2 6" xfId="12138" xr:uid="{90DB26A3-B804-4537-948B-FED17FA8DD04}"/>
    <cellStyle name="20% - Accent4 4 4 3" xfId="5776" xr:uid="{00000000-0005-0000-0000-000066020000}"/>
    <cellStyle name="20% - Accent4 4 4 3 2" xfId="31075" xr:uid="{61D8B2EE-565B-4620-AAF0-6B6AF94F8561}"/>
    <cellStyle name="20% - Accent4 4 4 3 3" xfId="22646" xr:uid="{5E4942CA-52FC-4B9B-8BAA-FF60403BD30B}"/>
    <cellStyle name="20% - Accent4 4 4 3 4" xfId="39503" xr:uid="{F527BB9F-8114-4AFA-A8A1-5CBA5DA76FE6}"/>
    <cellStyle name="20% - Accent4 4 4 3 5" xfId="14211" xr:uid="{9024FBCE-421E-486E-94FB-7A0116FBD897}"/>
    <cellStyle name="20% - Accent4 4 4 4" xfId="26857" xr:uid="{546BEE8F-9A7F-4D7B-9FF2-2306B6DE5E80}"/>
    <cellStyle name="20% - Accent4 4 4 5" xfId="18428" xr:uid="{D7B5C66F-3EFF-43C3-B09E-328971EA5BBF}"/>
    <cellStyle name="20% - Accent4 4 4 6" xfId="35286" xr:uid="{94EA7466-DA4D-41D5-BFC9-61FFBDAE875B}"/>
    <cellStyle name="20% - Accent4 4 4 7" xfId="9993" xr:uid="{C8721300-0D40-4DB1-A2D1-0B0F93C0639C}"/>
    <cellStyle name="20% - Accent4 4 5" xfId="1882" xr:uid="{00000000-0005-0000-0000-000067020000}"/>
    <cellStyle name="20% - Accent4 4 5 2" xfId="4111" xr:uid="{00000000-0005-0000-0000-000068020000}"/>
    <cellStyle name="20% - Accent4 4 5 2 2" xfId="8334" xr:uid="{00000000-0005-0000-0000-000069020000}"/>
    <cellStyle name="20% - Accent4 4 5 2 2 2" xfId="33633" xr:uid="{3D9A4CA0-E47A-429E-9FCD-530503D52656}"/>
    <cellStyle name="20% - Accent4 4 5 2 2 3" xfId="25204" xr:uid="{82E3B4F2-C666-4E9D-A044-C3D9C9CADCD9}"/>
    <cellStyle name="20% - Accent4 4 5 2 2 4" xfId="42061" xr:uid="{07E95352-8CD6-4A23-9A67-05C5A81E0129}"/>
    <cellStyle name="20% - Accent4 4 5 2 2 5" xfId="16769" xr:uid="{1587FEFD-F2B6-4692-8133-CF5EE9D55505}"/>
    <cellStyle name="20% - Accent4 4 5 2 3" xfId="29415" xr:uid="{B55BA32B-FAE4-41D6-9118-B8D1F39D9006}"/>
    <cellStyle name="20% - Accent4 4 5 2 4" xfId="20986" xr:uid="{C4D623F6-F09A-4C45-9A0B-2E7EBA1BB6A7}"/>
    <cellStyle name="20% - Accent4 4 5 2 5" xfId="37844" xr:uid="{4313C410-3B2D-402D-A5B4-4253DD51CDDD}"/>
    <cellStyle name="20% - Accent4 4 5 2 6" xfId="12551" xr:uid="{1E312197-E595-4811-A7EE-55DEF6B6E5F2}"/>
    <cellStyle name="20% - Accent4 4 5 3" xfId="6189" xr:uid="{00000000-0005-0000-0000-00006A020000}"/>
    <cellStyle name="20% - Accent4 4 5 3 2" xfId="31488" xr:uid="{139852C8-3F94-4A53-9AF0-85DDAD3F109F}"/>
    <cellStyle name="20% - Accent4 4 5 3 3" xfId="23059" xr:uid="{67585ADE-0AB4-40B7-82EC-C15C61B52108}"/>
    <cellStyle name="20% - Accent4 4 5 3 4" xfId="39916" xr:uid="{C2A7FB8E-AC70-4083-A77C-E01343DC1068}"/>
    <cellStyle name="20% - Accent4 4 5 3 5" xfId="14624" xr:uid="{E6DA5FBD-2AA6-4E7B-A1DC-0C4B39536744}"/>
    <cellStyle name="20% - Accent4 4 5 4" xfId="27270" xr:uid="{A11314DF-91D8-4232-924C-D858DEAAAAD4}"/>
    <cellStyle name="20% - Accent4 4 5 5" xfId="18841" xr:uid="{A10589B3-BBBC-4280-B53F-A05CAEA8D61D}"/>
    <cellStyle name="20% - Accent4 4 5 6" xfId="35699" xr:uid="{DEE263D1-0761-4DA7-892C-F9F69C9FB0FB}"/>
    <cellStyle name="20% - Accent4 4 5 7" xfId="10406" xr:uid="{7C587F2E-43C6-4C76-8E0A-14884A381775}"/>
    <cellStyle name="20% - Accent4 4 6" xfId="2295" xr:uid="{00000000-0005-0000-0000-00006B020000}"/>
    <cellStyle name="20% - Accent4 4 6 2" xfId="6602" xr:uid="{00000000-0005-0000-0000-00006C020000}"/>
    <cellStyle name="20% - Accent4 4 6 2 2" xfId="31901" xr:uid="{807B6440-B565-41B4-93D7-0D9FC83F6E0D}"/>
    <cellStyle name="20% - Accent4 4 6 2 3" xfId="23472" xr:uid="{FAD6176A-C7A0-4BA3-B9CC-A34DD43A8E08}"/>
    <cellStyle name="20% - Accent4 4 6 2 4" xfId="40329" xr:uid="{837CEE51-6B0F-4642-8D50-0927877482C3}"/>
    <cellStyle name="20% - Accent4 4 6 2 5" xfId="15037" xr:uid="{036656C4-CC74-4375-B34C-C5F3B95FA308}"/>
    <cellStyle name="20% - Accent4 4 6 3" xfId="27683" xr:uid="{22EB8F37-1506-499B-BBE3-8F1E68CF7E48}"/>
    <cellStyle name="20% - Accent4 4 6 4" xfId="19254" xr:uid="{14495478-DB83-4181-B8CE-513FD9737DB3}"/>
    <cellStyle name="20% - Accent4 4 6 5" xfId="36112" xr:uid="{0A409D18-4BC0-4821-BF98-99A8692EB57E}"/>
    <cellStyle name="20% - Accent4 4 6 6" xfId="10819" xr:uid="{533428B8-9C65-4C21-8902-0F5C9DDB3290}"/>
    <cellStyle name="20% - Accent4 4 7" xfId="4536" xr:uid="{00000000-0005-0000-0000-00006D020000}"/>
    <cellStyle name="20% - Accent4 4 7 2" xfId="29835" xr:uid="{C0B2DEEA-ECF2-4FD3-9E63-4828AAFBE036}"/>
    <cellStyle name="20% - Accent4 4 7 3" xfId="21406" xr:uid="{6E19FF3D-8AAB-4439-8903-8F470A373DFE}"/>
    <cellStyle name="20% - Accent4 4 7 4" xfId="38263" xr:uid="{AE71A56D-3008-410C-8341-C4FAAFFA82E8}"/>
    <cellStyle name="20% - Accent4 4 7 5" xfId="12971" xr:uid="{E24DF44B-411C-474E-B3F2-D1E24C525DE7}"/>
    <cellStyle name="20% - Accent4 4 8" xfId="25617" xr:uid="{B9E1E7EA-78F4-423A-ADF3-BB736442D0ED}"/>
    <cellStyle name="20% - Accent4 4 9" xfId="17188" xr:uid="{D431B6CE-84BA-4334-A790-DA7CF20B89DA}"/>
    <cellStyle name="20% - Accent4 5" xfId="594" xr:uid="{00000000-0005-0000-0000-00006E020000}"/>
    <cellStyle name="20% - Accent4 5 2" xfId="2865" xr:uid="{00000000-0005-0000-0000-00006F020000}"/>
    <cellStyle name="20% - Accent4 5 2 2" xfId="7088" xr:uid="{00000000-0005-0000-0000-000070020000}"/>
    <cellStyle name="20% - Accent4 5 2 2 2" xfId="32387" xr:uid="{B6AAD65F-0ECD-4ACD-BE1C-A9B0C91B71F4}"/>
    <cellStyle name="20% - Accent4 5 2 2 3" xfId="23958" xr:uid="{B25D32E2-FB25-4F46-B601-193E9808D54C}"/>
    <cellStyle name="20% - Accent4 5 2 2 4" xfId="40815" xr:uid="{192C6526-299C-447E-8482-B89CF382F695}"/>
    <cellStyle name="20% - Accent4 5 2 2 5" xfId="15523" xr:uid="{6AEBF4AE-653D-4C81-84C7-D95E2D58A61C}"/>
    <cellStyle name="20% - Accent4 5 2 3" xfId="28169" xr:uid="{4B39BBF9-7990-4FAE-9047-5DFE0BA34434}"/>
    <cellStyle name="20% - Accent4 5 2 4" xfId="19740" xr:uid="{7AB251E1-6B73-4894-88B2-549F1687BBF0}"/>
    <cellStyle name="20% - Accent4 5 2 5" xfId="36598" xr:uid="{E805CCC9-CB78-400D-B181-12F22BBEDFA2}"/>
    <cellStyle name="20% - Accent4 5 2 6" xfId="11305" xr:uid="{1405081B-361A-4D2F-8201-D1E6FBBBD2CE}"/>
    <cellStyle name="20% - Accent4 5 3" xfId="4943" xr:uid="{00000000-0005-0000-0000-000071020000}"/>
    <cellStyle name="20% - Accent4 5 3 2" xfId="30242" xr:uid="{CB305BFE-6752-4FCC-B38E-7182577F5712}"/>
    <cellStyle name="20% - Accent4 5 3 3" xfId="21813" xr:uid="{99EABA18-B14C-414E-8647-C1272811446A}"/>
    <cellStyle name="20% - Accent4 5 3 4" xfId="38670" xr:uid="{79D409FC-76B4-44BE-ACB1-8BA16E56AA32}"/>
    <cellStyle name="20% - Accent4 5 3 5" xfId="13378" xr:uid="{B303F329-6A67-40EC-823E-55A80C753669}"/>
    <cellStyle name="20% - Accent4 5 4" xfId="26024" xr:uid="{ADDDD39E-9C7A-479A-A121-824C92EB52E5}"/>
    <cellStyle name="20% - Accent4 5 5" xfId="17595" xr:uid="{7F961EEC-F968-4847-9056-565A9D66D9A1}"/>
    <cellStyle name="20% - Accent4 5 6" xfId="34453" xr:uid="{4669DF21-CBCC-4DAE-B8F9-D03E6573CC26}"/>
    <cellStyle name="20% - Accent4 5 7" xfId="9160" xr:uid="{CBE36129-25B5-456E-9656-152E48EDADF5}"/>
    <cellStyle name="20% - Accent4 6" xfId="1047" xr:uid="{00000000-0005-0000-0000-000072020000}"/>
    <cellStyle name="20% - Accent4 6 2" xfId="3278" xr:uid="{00000000-0005-0000-0000-000073020000}"/>
    <cellStyle name="20% - Accent4 6 2 2" xfId="7501" xr:uid="{00000000-0005-0000-0000-000074020000}"/>
    <cellStyle name="20% - Accent4 6 2 2 2" xfId="32800" xr:uid="{C282006D-BD3A-4FC5-B42D-C88D7D4D5B7B}"/>
    <cellStyle name="20% - Accent4 6 2 2 3" xfId="24371" xr:uid="{A52B0509-2C09-4EC2-B066-9F93E1F0B910}"/>
    <cellStyle name="20% - Accent4 6 2 2 4" xfId="41228" xr:uid="{7AB01D25-4D04-4369-9E9D-4CA577D747EC}"/>
    <cellStyle name="20% - Accent4 6 2 2 5" xfId="15936" xr:uid="{EC2E5B72-4C32-4854-856D-8F6FC9DCF56B}"/>
    <cellStyle name="20% - Accent4 6 2 3" xfId="28582" xr:uid="{ED8D45B7-B86E-4077-A97C-1DFE278385F3}"/>
    <cellStyle name="20% - Accent4 6 2 4" xfId="20153" xr:uid="{D8D5D563-4DF8-4E37-8FD0-12BBAB0AB0B5}"/>
    <cellStyle name="20% - Accent4 6 2 5" xfId="37011" xr:uid="{6DAF143F-BBEF-441F-ACFE-7B832D9262AC}"/>
    <cellStyle name="20% - Accent4 6 2 6" xfId="11718" xr:uid="{D8CF4954-E78E-4B22-B935-5783D9034A7C}"/>
    <cellStyle name="20% - Accent4 6 3" xfId="5356" xr:uid="{00000000-0005-0000-0000-000075020000}"/>
    <cellStyle name="20% - Accent4 6 3 2" xfId="30655" xr:uid="{643A2E30-F503-48F4-8318-9CF00BAF63AA}"/>
    <cellStyle name="20% - Accent4 6 3 3" xfId="22226" xr:uid="{5CDA22D8-124E-4B14-B816-BFBC0E63CBC0}"/>
    <cellStyle name="20% - Accent4 6 3 4" xfId="39083" xr:uid="{F319A428-01A6-4387-9AA7-D6750F57BFD2}"/>
    <cellStyle name="20% - Accent4 6 3 5" xfId="13791" xr:uid="{7CDF49DE-3D17-4506-A0C7-71F43C4DCA50}"/>
    <cellStyle name="20% - Accent4 6 4" xfId="26437" xr:uid="{A534C7FD-ADCF-4D11-AFBE-707655153109}"/>
    <cellStyle name="20% - Accent4 6 5" xfId="18008" xr:uid="{7CA66278-3A72-4BA5-A5F3-602327BED8E2}"/>
    <cellStyle name="20% - Accent4 6 6" xfId="34866" xr:uid="{FB23C7BA-A70A-4E41-85F0-C5800E752ED1}"/>
    <cellStyle name="20% - Accent4 6 7" xfId="9573" xr:uid="{5C31D4D1-C489-435A-B73B-5B3D905D08F4}"/>
    <cellStyle name="20% - Accent4 7" xfId="1461" xr:uid="{00000000-0005-0000-0000-000076020000}"/>
    <cellStyle name="20% - Accent4 7 2" xfId="3691" xr:uid="{00000000-0005-0000-0000-000077020000}"/>
    <cellStyle name="20% - Accent4 7 2 2" xfId="7914" xr:uid="{00000000-0005-0000-0000-000078020000}"/>
    <cellStyle name="20% - Accent4 7 2 2 2" xfId="33213" xr:uid="{E00F7D57-CF36-43C0-BF3C-61FDF0743A00}"/>
    <cellStyle name="20% - Accent4 7 2 2 3" xfId="24784" xr:uid="{82CAA673-CDFC-4361-A28C-A1AAA528CA5B}"/>
    <cellStyle name="20% - Accent4 7 2 2 4" xfId="41641" xr:uid="{9F64642C-9215-48BA-8F67-8FF836D7195F}"/>
    <cellStyle name="20% - Accent4 7 2 2 5" xfId="16349" xr:uid="{19311B18-E862-47FF-B179-D089A27C4990}"/>
    <cellStyle name="20% - Accent4 7 2 3" xfId="28995" xr:uid="{D9C480A8-DCB0-49D1-AE66-CBBAFE61DD26}"/>
    <cellStyle name="20% - Accent4 7 2 4" xfId="20566" xr:uid="{B8307147-A24C-434A-83A3-CC435CB799A9}"/>
    <cellStyle name="20% - Accent4 7 2 5" xfId="37424" xr:uid="{7DFC4476-ECED-4A36-943D-FA347D8EEA8D}"/>
    <cellStyle name="20% - Accent4 7 2 6" xfId="12131" xr:uid="{69AD8EFC-3002-4B91-8658-1F3AE8203291}"/>
    <cellStyle name="20% - Accent4 7 3" xfId="5769" xr:uid="{00000000-0005-0000-0000-000079020000}"/>
    <cellStyle name="20% - Accent4 7 3 2" xfId="31068" xr:uid="{3759A124-E499-42A4-AA5C-61371ACCCFE3}"/>
    <cellStyle name="20% - Accent4 7 3 3" xfId="22639" xr:uid="{81A6D11F-A498-426E-AF64-17A28992F3EE}"/>
    <cellStyle name="20% - Accent4 7 3 4" xfId="39496" xr:uid="{DDE48687-9010-4E66-A98B-969504CB6000}"/>
    <cellStyle name="20% - Accent4 7 3 5" xfId="14204" xr:uid="{5CC3480B-5B69-4BFA-8220-08D78DE8A0E5}"/>
    <cellStyle name="20% - Accent4 7 4" xfId="26850" xr:uid="{6F560C19-E9B3-4B6D-BA31-59E81075F58D}"/>
    <cellStyle name="20% - Accent4 7 5" xfId="18421" xr:uid="{8D89290E-D4A5-4BB5-BC90-728CCC646560}"/>
    <cellStyle name="20% - Accent4 7 6" xfId="35279" xr:uid="{355FA754-1D95-48F7-A41E-804318D4041A}"/>
    <cellStyle name="20% - Accent4 7 7" xfId="9986" xr:uid="{1DE352E2-DCC5-439D-ADB2-7070D0F31323}"/>
    <cellStyle name="20% - Accent4 8" xfId="1875" xr:uid="{00000000-0005-0000-0000-00007A020000}"/>
    <cellStyle name="20% - Accent4 8 2" xfId="4104" xr:uid="{00000000-0005-0000-0000-00007B020000}"/>
    <cellStyle name="20% - Accent4 8 2 2" xfId="8327" xr:uid="{00000000-0005-0000-0000-00007C020000}"/>
    <cellStyle name="20% - Accent4 8 2 2 2" xfId="33626" xr:uid="{C557386C-39B6-4B8A-BBF8-2B272D0EA969}"/>
    <cellStyle name="20% - Accent4 8 2 2 3" xfId="25197" xr:uid="{5E35ECCD-049E-49D9-82B6-4D7585F048D1}"/>
    <cellStyle name="20% - Accent4 8 2 2 4" xfId="42054" xr:uid="{D2DD08BB-DE71-4253-AC03-F33ED903D28B}"/>
    <cellStyle name="20% - Accent4 8 2 2 5" xfId="16762" xr:uid="{968AB27F-51A5-485E-853F-AA1C9FEFFE65}"/>
    <cellStyle name="20% - Accent4 8 2 3" xfId="29408" xr:uid="{E422D0E4-0C10-42CC-9DD6-074E8FA71735}"/>
    <cellStyle name="20% - Accent4 8 2 4" xfId="20979" xr:uid="{F968BFE8-40E9-4FAF-B984-D18A51ED5DBA}"/>
    <cellStyle name="20% - Accent4 8 2 5" xfId="37837" xr:uid="{E8204E9D-2BB5-458E-BCF8-070B5246E6EF}"/>
    <cellStyle name="20% - Accent4 8 2 6" xfId="12544" xr:uid="{8FB5B231-70BE-4C6E-AD7E-4B16758E3855}"/>
    <cellStyle name="20% - Accent4 8 3" xfId="6182" xr:uid="{00000000-0005-0000-0000-00007D020000}"/>
    <cellStyle name="20% - Accent4 8 3 2" xfId="31481" xr:uid="{D4245543-5418-4246-B1AF-45530E634EC9}"/>
    <cellStyle name="20% - Accent4 8 3 3" xfId="23052" xr:uid="{66164DBA-59A3-40C5-A3B6-EC2D86D07C04}"/>
    <cellStyle name="20% - Accent4 8 3 4" xfId="39909" xr:uid="{69571F90-0E7D-4911-B56D-FBE71C002089}"/>
    <cellStyle name="20% - Accent4 8 3 5" xfId="14617" xr:uid="{EF43D32E-8AFD-427F-9B3D-07C23D83057C}"/>
    <cellStyle name="20% - Accent4 8 4" xfId="27263" xr:uid="{3268E730-DCA0-491C-89F6-CF6A95626DF2}"/>
    <cellStyle name="20% - Accent4 8 5" xfId="18834" xr:uid="{87F94CEB-B723-4543-B3DD-9FA570E067DE}"/>
    <cellStyle name="20% - Accent4 8 6" xfId="35692" xr:uid="{6E8243C9-1797-472A-9F91-0CD29F64B689}"/>
    <cellStyle name="20% - Accent4 8 7" xfId="10399" xr:uid="{9F25A6DF-82AF-4571-B48B-45CC5736B814}"/>
    <cellStyle name="20% - Accent4 9" xfId="2288" xr:uid="{00000000-0005-0000-0000-00007E020000}"/>
    <cellStyle name="20% - Accent4 9 2" xfId="6595" xr:uid="{00000000-0005-0000-0000-00007F020000}"/>
    <cellStyle name="20% - Accent4 9 2 2" xfId="31894" xr:uid="{0399B1A8-4A15-4F50-8776-B3B265F5DBE2}"/>
    <cellStyle name="20% - Accent4 9 2 3" xfId="23465" xr:uid="{86792F44-F59E-472F-A09D-9BF2A6DBB831}"/>
    <cellStyle name="20% - Accent4 9 2 4" xfId="40322" xr:uid="{131C6D6A-68A7-4AA2-9754-269FB3B6561D}"/>
    <cellStyle name="20% - Accent4 9 2 5" xfId="15030" xr:uid="{49FD3575-F8E8-4F5A-890E-714C2B4CCF79}"/>
    <cellStyle name="20% - Accent4 9 3" xfId="27676" xr:uid="{E731EA90-B60B-42C6-96DF-6076408ADB80}"/>
    <cellStyle name="20% - Accent4 9 4" xfId="19247" xr:uid="{4027F4CC-1628-4DBB-87C6-5D8E32CA7237}"/>
    <cellStyle name="20% - Accent4 9 5" xfId="36105" xr:uid="{CCEA2CF7-5CB1-494A-BB39-0529336EC8AF}"/>
    <cellStyle name="20% - Accent4 9 6" xfId="10812" xr:uid="{14C8AA3D-AF67-421D-9931-7350F09C9C7E}"/>
    <cellStyle name="20% - Accent5" xfId="33" builtinId="46" customBuiltin="1"/>
    <cellStyle name="20% - Accent5 10" xfId="4537" xr:uid="{00000000-0005-0000-0000-000081020000}"/>
    <cellStyle name="20% - Accent5 10 2" xfId="29836" xr:uid="{F7B087F3-D494-4087-B1F1-66EED27D3AEC}"/>
    <cellStyle name="20% - Accent5 10 3" xfId="21407" xr:uid="{A7DD75A2-928F-42A3-A047-89A742FFEB22}"/>
    <cellStyle name="20% - Accent5 10 4" xfId="38264" xr:uid="{A2A5F996-B179-42FF-9F47-50F024240EEC}"/>
    <cellStyle name="20% - Accent5 10 5" xfId="12972" xr:uid="{BD7C60AC-D6B0-4EB3-85FA-4B1865361B7E}"/>
    <cellStyle name="20% - Accent5 11" xfId="25618" xr:uid="{4475D712-CAED-4998-B0ED-8165F8E36AE8}"/>
    <cellStyle name="20% - Accent5 12" xfId="17189" xr:uid="{19C21F3E-84A2-4449-A439-B28559C41FCF}"/>
    <cellStyle name="20% - Accent5 13" xfId="34047" xr:uid="{93B98903-080D-4589-AB77-C1E8E8885116}"/>
    <cellStyle name="20% - Accent5 14" xfId="8754" xr:uid="{C361B8DC-DAEA-463E-93C1-021B9784DF26}"/>
    <cellStyle name="20% - Accent5 2" xfId="34" xr:uid="{00000000-0005-0000-0000-000082020000}"/>
    <cellStyle name="20% - Accent5 2 10" xfId="25619" xr:uid="{F22AB31D-D2F1-4A50-96A2-9420716CBAED}"/>
    <cellStyle name="20% - Accent5 2 11" xfId="17190" xr:uid="{25C09E75-DBA8-4DAC-8BCF-BE8E0BE27E41}"/>
    <cellStyle name="20% - Accent5 2 12" xfId="34048" xr:uid="{61A715BC-6F02-42EB-875D-ECEE1B3FDEEA}"/>
    <cellStyle name="20% - Accent5 2 13" xfId="8755" xr:uid="{A344DBDA-A61D-4419-B319-0D8D17346911}"/>
    <cellStyle name="20% - Accent5 2 2" xfId="35" xr:uid="{00000000-0005-0000-0000-000083020000}"/>
    <cellStyle name="20% - Accent5 2 2 10" xfId="17191" xr:uid="{1CA721F7-8AA2-4F69-BF6F-2C279848396B}"/>
    <cellStyle name="20% - Accent5 2 2 11" xfId="34049" xr:uid="{0079EEF2-C842-4011-A6A8-F39BB617409C}"/>
    <cellStyle name="20% - Accent5 2 2 12" xfId="8756" xr:uid="{3AB73665-FB46-42B4-A156-8823587FA447}"/>
    <cellStyle name="20% - Accent5 2 2 2" xfId="36" xr:uid="{00000000-0005-0000-0000-000084020000}"/>
    <cellStyle name="20% - Accent5 2 2 2 10" xfId="34050" xr:uid="{E9DC5E38-5235-4D9D-BBED-6B3ABEC21236}"/>
    <cellStyle name="20% - Accent5 2 2 2 11" xfId="8757" xr:uid="{1B5CDE26-7226-47D3-B8E4-1DAFC332CF8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32398" xr:uid="{3C77AD6F-AC81-4637-9E78-69CD03A4E882}"/>
    <cellStyle name="20% - Accent5 2 2 2 2 2 2 3" xfId="23969" xr:uid="{6D012E0F-0D57-42E4-8DBB-56ADB34CAC46}"/>
    <cellStyle name="20% - Accent5 2 2 2 2 2 2 4" xfId="40826" xr:uid="{79F28A9F-9E66-47C2-8616-3BE2753B8FD2}"/>
    <cellStyle name="20% - Accent5 2 2 2 2 2 2 5" xfId="15534" xr:uid="{564503D9-3740-4BC1-B36C-0ABD723E3B66}"/>
    <cellStyle name="20% - Accent5 2 2 2 2 2 3" xfId="28180" xr:uid="{9B973C4A-DC5B-49F8-8842-C8CBA5B8BA59}"/>
    <cellStyle name="20% - Accent5 2 2 2 2 2 4" xfId="19751" xr:uid="{0635C584-9622-498C-B25B-B45DBA3DD734}"/>
    <cellStyle name="20% - Accent5 2 2 2 2 2 5" xfId="36609" xr:uid="{C36E0D5B-B4DA-4D15-B5EC-1A375EFEF8CB}"/>
    <cellStyle name="20% - Accent5 2 2 2 2 2 6" xfId="11316" xr:uid="{75570139-7BA6-4989-B17C-FDC4AD65D4BF}"/>
    <cellStyle name="20% - Accent5 2 2 2 2 3" xfId="4954" xr:uid="{00000000-0005-0000-0000-000088020000}"/>
    <cellStyle name="20% - Accent5 2 2 2 2 3 2" xfId="30253" xr:uid="{B5F4DA6C-A870-48FE-B967-4124959197A9}"/>
    <cellStyle name="20% - Accent5 2 2 2 2 3 3" xfId="21824" xr:uid="{C51FE8C5-63C9-4683-9DF1-33A7EF170AE2}"/>
    <cellStyle name="20% - Accent5 2 2 2 2 3 4" xfId="38681" xr:uid="{18E62C4D-2559-460D-83D9-E092DB77FEBF}"/>
    <cellStyle name="20% - Accent5 2 2 2 2 3 5" xfId="13389" xr:uid="{7E3AEFF9-0FE7-4E20-89CB-25019725D81E}"/>
    <cellStyle name="20% - Accent5 2 2 2 2 4" xfId="26035" xr:uid="{81811240-C048-49DE-AD47-BAB2069FBCCD}"/>
    <cellStyle name="20% - Accent5 2 2 2 2 5" xfId="17606" xr:uid="{B1BBD490-A152-4C22-B29E-3F179E9E7861}"/>
    <cellStyle name="20% - Accent5 2 2 2 2 6" xfId="34464" xr:uid="{560E17DB-C60D-4EE7-B477-7AA9E444D942}"/>
    <cellStyle name="20% - Accent5 2 2 2 2 7" xfId="9171" xr:uid="{8AE142EC-F232-4B79-99EB-D248806C0293}"/>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32811" xr:uid="{B1F10A90-D458-4C22-899B-C6FCEBBAAF09}"/>
    <cellStyle name="20% - Accent5 2 2 2 3 2 2 3" xfId="24382" xr:uid="{954623D0-B3B4-433A-92A0-58EEA0BA962B}"/>
    <cellStyle name="20% - Accent5 2 2 2 3 2 2 4" xfId="41239" xr:uid="{8C4D0F81-EA74-471A-BFEB-CF30206008C6}"/>
    <cellStyle name="20% - Accent5 2 2 2 3 2 2 5" xfId="15947" xr:uid="{F5366114-8C07-4047-A066-463A3BE593F8}"/>
    <cellStyle name="20% - Accent5 2 2 2 3 2 3" xfId="28593" xr:uid="{21B79CFC-FF3B-4E4A-8829-1CC6C6609384}"/>
    <cellStyle name="20% - Accent5 2 2 2 3 2 4" xfId="20164" xr:uid="{9C3B0BF5-1C2F-495A-8C82-E14AA898552B}"/>
    <cellStyle name="20% - Accent5 2 2 2 3 2 5" xfId="37022" xr:uid="{0DD600A4-2AA4-4CFF-B5F3-C19CD80B6342}"/>
    <cellStyle name="20% - Accent5 2 2 2 3 2 6" xfId="11729" xr:uid="{157FD5C7-9566-4CB1-9279-623DD64BB342}"/>
    <cellStyle name="20% - Accent5 2 2 2 3 3" xfId="5367" xr:uid="{00000000-0005-0000-0000-00008C020000}"/>
    <cellStyle name="20% - Accent5 2 2 2 3 3 2" xfId="30666" xr:uid="{0E31EA45-1816-4CB8-B844-7AD5CE8A0A2A}"/>
    <cellStyle name="20% - Accent5 2 2 2 3 3 3" xfId="22237" xr:uid="{3CCD213F-5102-4638-934D-8047E06ACA54}"/>
    <cellStyle name="20% - Accent5 2 2 2 3 3 4" xfId="39094" xr:uid="{6919642B-E89E-425B-AA85-1DAFE403017B}"/>
    <cellStyle name="20% - Accent5 2 2 2 3 3 5" xfId="13802" xr:uid="{7F44E55C-F56C-4153-9214-56003E712C1D}"/>
    <cellStyle name="20% - Accent5 2 2 2 3 4" xfId="26448" xr:uid="{D12A3CD8-4ED9-4355-BF7B-1DB6F77C8E26}"/>
    <cellStyle name="20% - Accent5 2 2 2 3 5" xfId="18019" xr:uid="{5B56A544-69E9-457A-AC50-BCE0350A43CB}"/>
    <cellStyle name="20% - Accent5 2 2 2 3 6" xfId="34877" xr:uid="{DE9E2768-087E-447D-8B3A-FCADB019F2CE}"/>
    <cellStyle name="20% - Accent5 2 2 2 3 7" xfId="9584" xr:uid="{CD3BDF43-21BB-4BF9-BF18-4A532C5514E3}"/>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33224" xr:uid="{20D76464-2FD8-4731-9D04-1FE1C03B8B8F}"/>
    <cellStyle name="20% - Accent5 2 2 2 4 2 2 3" xfId="24795" xr:uid="{341F7F3C-FDE2-4EF4-A3DE-CC10067EBBE2}"/>
    <cellStyle name="20% - Accent5 2 2 2 4 2 2 4" xfId="41652" xr:uid="{B78D8B1A-AFF0-43EB-B45C-A534B20214C6}"/>
    <cellStyle name="20% - Accent5 2 2 2 4 2 2 5" xfId="16360" xr:uid="{B4734D48-9160-4308-91B9-14891C6C4A12}"/>
    <cellStyle name="20% - Accent5 2 2 2 4 2 3" xfId="29006" xr:uid="{1871C3A7-B688-42FE-8ACE-D4EA0D19D190}"/>
    <cellStyle name="20% - Accent5 2 2 2 4 2 4" xfId="20577" xr:uid="{4B91A4AD-BEB8-4CCF-844E-698A2C3CB305}"/>
    <cellStyle name="20% - Accent5 2 2 2 4 2 5" xfId="37435" xr:uid="{C7B33CDB-8863-40FB-BAAF-F1C9746FD7D0}"/>
    <cellStyle name="20% - Accent5 2 2 2 4 2 6" xfId="12142" xr:uid="{1A4C045E-06AE-47F8-B113-4540D95674DA}"/>
    <cellStyle name="20% - Accent5 2 2 2 4 3" xfId="5780" xr:uid="{00000000-0005-0000-0000-000090020000}"/>
    <cellStyle name="20% - Accent5 2 2 2 4 3 2" xfId="31079" xr:uid="{39D41B6C-6146-4C30-9C14-7D88AB756F09}"/>
    <cellStyle name="20% - Accent5 2 2 2 4 3 3" xfId="22650" xr:uid="{434B0AC7-EA98-4FC7-9D31-295589B620F7}"/>
    <cellStyle name="20% - Accent5 2 2 2 4 3 4" xfId="39507" xr:uid="{ED5EA793-2115-4B72-8F97-AA1FC1763CEE}"/>
    <cellStyle name="20% - Accent5 2 2 2 4 3 5" xfId="14215" xr:uid="{432359A3-84C9-44D9-8176-664B5F11262A}"/>
    <cellStyle name="20% - Accent5 2 2 2 4 4" xfId="26861" xr:uid="{39312543-A739-496A-9853-ECD5E8BD2905}"/>
    <cellStyle name="20% - Accent5 2 2 2 4 5" xfId="18432" xr:uid="{238F2216-C08C-41D3-B6F6-27537F1E805B}"/>
    <cellStyle name="20% - Accent5 2 2 2 4 6" xfId="35290" xr:uid="{3B942201-26B8-4070-A802-75C3ACDB0D27}"/>
    <cellStyle name="20% - Accent5 2 2 2 4 7" xfId="9997" xr:uid="{40295C33-8165-4240-80DF-1ECE8A9A7692}"/>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33637" xr:uid="{DF661ED4-986A-4BBC-8607-42E7EE21B7A4}"/>
    <cellStyle name="20% - Accent5 2 2 2 5 2 2 3" xfId="25208" xr:uid="{272B36AC-AD02-40C2-AB25-DE23705403C1}"/>
    <cellStyle name="20% - Accent5 2 2 2 5 2 2 4" xfId="42065" xr:uid="{3A7C7CF1-5B61-467F-BB41-95CCB604AB55}"/>
    <cellStyle name="20% - Accent5 2 2 2 5 2 2 5" xfId="16773" xr:uid="{A7A1CBAD-104E-4833-9583-9D33F1BA035F}"/>
    <cellStyle name="20% - Accent5 2 2 2 5 2 3" xfId="29419" xr:uid="{7505A0CE-9900-475F-81B7-CC4DD5CF7B3D}"/>
    <cellStyle name="20% - Accent5 2 2 2 5 2 4" xfId="20990" xr:uid="{03E6B145-88DE-4FB4-BA31-AF4FE216976A}"/>
    <cellStyle name="20% - Accent5 2 2 2 5 2 5" xfId="37848" xr:uid="{F49A9ABF-3499-4A40-8B83-D7AF4921CE53}"/>
    <cellStyle name="20% - Accent5 2 2 2 5 2 6" xfId="12555" xr:uid="{C67B2839-CE22-44F4-8522-22E33EE16137}"/>
    <cellStyle name="20% - Accent5 2 2 2 5 3" xfId="6193" xr:uid="{00000000-0005-0000-0000-000094020000}"/>
    <cellStyle name="20% - Accent5 2 2 2 5 3 2" xfId="31492" xr:uid="{620604A0-8BC6-4F16-8869-338067B7747D}"/>
    <cellStyle name="20% - Accent5 2 2 2 5 3 3" xfId="23063" xr:uid="{1D9351D7-BEE0-4023-BE9B-841CE936EA62}"/>
    <cellStyle name="20% - Accent5 2 2 2 5 3 4" xfId="39920" xr:uid="{5997C194-AAB8-4D49-857A-0C09F3661777}"/>
    <cellStyle name="20% - Accent5 2 2 2 5 3 5" xfId="14628" xr:uid="{46962CD8-22C2-4219-B682-10AD8F5DAAA0}"/>
    <cellStyle name="20% - Accent5 2 2 2 5 4" xfId="27274" xr:uid="{EE75A5F1-CCFA-4522-95CB-707264C6B5E9}"/>
    <cellStyle name="20% - Accent5 2 2 2 5 5" xfId="18845" xr:uid="{0ECFC0F3-3FFE-4E20-870D-A57410DBEC2B}"/>
    <cellStyle name="20% - Accent5 2 2 2 5 6" xfId="35703" xr:uid="{68A912A0-5264-4F7D-9DA1-0ABFA0C5CD41}"/>
    <cellStyle name="20% - Accent5 2 2 2 5 7" xfId="10410" xr:uid="{1C73C0E0-7D34-4916-B1B6-F5FBF3F1685A}"/>
    <cellStyle name="20% - Accent5 2 2 2 6" xfId="2299" xr:uid="{00000000-0005-0000-0000-000095020000}"/>
    <cellStyle name="20% - Accent5 2 2 2 6 2" xfId="6606" xr:uid="{00000000-0005-0000-0000-000096020000}"/>
    <cellStyle name="20% - Accent5 2 2 2 6 2 2" xfId="31905" xr:uid="{7CC8D26A-B1D2-4F08-B081-D03622A8885E}"/>
    <cellStyle name="20% - Accent5 2 2 2 6 2 3" xfId="23476" xr:uid="{701D7106-09C1-4451-8BC7-149FFEE9340C}"/>
    <cellStyle name="20% - Accent5 2 2 2 6 2 4" xfId="40333" xr:uid="{22994BE3-1A8B-4491-8ADC-E1DACAD57CBC}"/>
    <cellStyle name="20% - Accent5 2 2 2 6 2 5" xfId="15041" xr:uid="{358B9A6A-685E-4DD1-8184-4CA236DAD5B5}"/>
    <cellStyle name="20% - Accent5 2 2 2 6 3" xfId="27687" xr:uid="{BEBA423F-6D2E-4153-9105-18825E4C0903}"/>
    <cellStyle name="20% - Accent5 2 2 2 6 4" xfId="19258" xr:uid="{AA9D202F-988A-46AB-AA4E-9416D5ECDF5F}"/>
    <cellStyle name="20% - Accent5 2 2 2 6 5" xfId="36116" xr:uid="{A4F6AA6C-AFA8-4B85-9FEA-0F5C63FA06AA}"/>
    <cellStyle name="20% - Accent5 2 2 2 6 6" xfId="10823" xr:uid="{F54D4BF4-CDF9-4424-B934-375D1721D0FB}"/>
    <cellStyle name="20% - Accent5 2 2 2 7" xfId="4540" xr:uid="{00000000-0005-0000-0000-000097020000}"/>
    <cellStyle name="20% - Accent5 2 2 2 7 2" xfId="29839" xr:uid="{B8DA4D89-F884-4469-B005-54C068942504}"/>
    <cellStyle name="20% - Accent5 2 2 2 7 3" xfId="21410" xr:uid="{3AE55F18-74CB-45FA-AD3D-18D1F1185285}"/>
    <cellStyle name="20% - Accent5 2 2 2 7 4" xfId="38267" xr:uid="{611DBD1A-A84D-480F-A89D-A83502DDB76A}"/>
    <cellStyle name="20% - Accent5 2 2 2 7 5" xfId="12975" xr:uid="{BE573FFB-D22C-449C-82C3-846AFDD711CA}"/>
    <cellStyle name="20% - Accent5 2 2 2 8" xfId="25621" xr:uid="{407C7DA3-B09B-47DF-9608-06965061CBD1}"/>
    <cellStyle name="20% - Accent5 2 2 2 9" xfId="17192" xr:uid="{8BBA81F3-7D44-48E9-8926-C414AE3B7F46}"/>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32397" xr:uid="{BDAAD553-BE66-4EE0-868A-23400FCA255F}"/>
    <cellStyle name="20% - Accent5 2 2 3 2 2 3" xfId="23968" xr:uid="{564BEF34-2F2C-4B3D-A576-39F9F6704AE4}"/>
    <cellStyle name="20% - Accent5 2 2 3 2 2 4" xfId="40825" xr:uid="{CB1CF4C1-84E0-4E15-B630-E73C540B8347}"/>
    <cellStyle name="20% - Accent5 2 2 3 2 2 5" xfId="15533" xr:uid="{CA24A16E-97A7-4555-A8FB-5B372BB6DAD2}"/>
    <cellStyle name="20% - Accent5 2 2 3 2 3" xfId="28179" xr:uid="{6B37F319-E8AB-49A4-A4B0-D34D70C9AF5C}"/>
    <cellStyle name="20% - Accent5 2 2 3 2 4" xfId="19750" xr:uid="{86EA40E1-BEF0-4381-9F66-6951FC35FCA9}"/>
    <cellStyle name="20% - Accent5 2 2 3 2 5" xfId="36608" xr:uid="{CCDE6D86-932C-4CAD-B3DF-CD6CB215B2EF}"/>
    <cellStyle name="20% - Accent5 2 2 3 2 6" xfId="11315" xr:uid="{B4CB443F-C46D-4CEE-9A59-50A8359DD117}"/>
    <cellStyle name="20% - Accent5 2 2 3 3" xfId="4953" xr:uid="{00000000-0005-0000-0000-00009B020000}"/>
    <cellStyle name="20% - Accent5 2 2 3 3 2" xfId="30252" xr:uid="{ACFE255C-453C-416C-B945-7C68F18891A0}"/>
    <cellStyle name="20% - Accent5 2 2 3 3 3" xfId="21823" xr:uid="{29F315AC-953F-43B5-AC46-FC3F0C454C3C}"/>
    <cellStyle name="20% - Accent5 2 2 3 3 4" xfId="38680" xr:uid="{095A0188-9100-40C2-96F4-5AD671D0E253}"/>
    <cellStyle name="20% - Accent5 2 2 3 3 5" xfId="13388" xr:uid="{FC19F6FD-0202-471D-83DE-0EC075EDBA28}"/>
    <cellStyle name="20% - Accent5 2 2 3 4" xfId="26034" xr:uid="{21D26A75-BFC3-4C87-AE9F-2D0B0AA16D78}"/>
    <cellStyle name="20% - Accent5 2 2 3 5" xfId="17605" xr:uid="{711054D6-5C04-405B-AE7C-B4D8C514E45A}"/>
    <cellStyle name="20% - Accent5 2 2 3 6" xfId="34463" xr:uid="{7F140B85-FC82-4755-906B-02DDA19CF271}"/>
    <cellStyle name="20% - Accent5 2 2 3 7" xfId="9170" xr:uid="{E5179359-1C8A-47D1-83A2-5D392DBA62C8}"/>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32810" xr:uid="{F2FF0839-7B3D-4718-9BA8-968A62E1BBF7}"/>
    <cellStyle name="20% - Accent5 2 2 4 2 2 3" xfId="24381" xr:uid="{6235945E-CF60-4470-A858-5D4A1A5541C0}"/>
    <cellStyle name="20% - Accent5 2 2 4 2 2 4" xfId="41238" xr:uid="{BBECCA33-AD75-46F6-8538-9F0586BD1F8B}"/>
    <cellStyle name="20% - Accent5 2 2 4 2 2 5" xfId="15946" xr:uid="{5B6EF90B-FBAD-49E4-AB87-379F15511D65}"/>
    <cellStyle name="20% - Accent5 2 2 4 2 3" xfId="28592" xr:uid="{8DEE6FCA-F07F-46C3-83BD-A12B06C2724B}"/>
    <cellStyle name="20% - Accent5 2 2 4 2 4" xfId="20163" xr:uid="{4491D130-2D44-422C-8F8B-DD541F1B3AF8}"/>
    <cellStyle name="20% - Accent5 2 2 4 2 5" xfId="37021" xr:uid="{B2689303-F2E2-47D1-97D5-FC7C25E97BB2}"/>
    <cellStyle name="20% - Accent5 2 2 4 2 6" xfId="11728" xr:uid="{4441EE28-582B-4F0F-9A3C-454E8396D3D2}"/>
    <cellStyle name="20% - Accent5 2 2 4 3" xfId="5366" xr:uid="{00000000-0005-0000-0000-00009F020000}"/>
    <cellStyle name="20% - Accent5 2 2 4 3 2" xfId="30665" xr:uid="{45D7CEA9-A519-4478-BA7F-7AC5811583F7}"/>
    <cellStyle name="20% - Accent5 2 2 4 3 3" xfId="22236" xr:uid="{E3A479FA-9606-4E74-96C8-75F5E64515BA}"/>
    <cellStyle name="20% - Accent5 2 2 4 3 4" xfId="39093" xr:uid="{C1CAC925-AE01-4BA8-BF44-40B7DCCDAE86}"/>
    <cellStyle name="20% - Accent5 2 2 4 3 5" xfId="13801" xr:uid="{0E511E13-F01F-4442-8252-6FAA39DA7221}"/>
    <cellStyle name="20% - Accent5 2 2 4 4" xfId="26447" xr:uid="{E7AD6F7F-C2DF-4B3C-AF32-E7A5AC845952}"/>
    <cellStyle name="20% - Accent5 2 2 4 5" xfId="18018" xr:uid="{336B9A4B-590C-45C7-9AF9-18BBAFCADC02}"/>
    <cellStyle name="20% - Accent5 2 2 4 6" xfId="34876" xr:uid="{9B17DDE4-EF78-4EBB-A461-1E2A6D692791}"/>
    <cellStyle name="20% - Accent5 2 2 4 7" xfId="9583" xr:uid="{82184471-0726-44AA-811C-1C7F8CBF8107}"/>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33223" xr:uid="{1D6688D8-2599-43FF-9727-2685690CCD20}"/>
    <cellStyle name="20% - Accent5 2 2 5 2 2 3" xfId="24794" xr:uid="{703B5373-90C1-4B21-B107-D718B7160B07}"/>
    <cellStyle name="20% - Accent5 2 2 5 2 2 4" xfId="41651" xr:uid="{C7CF0AA5-C9ED-43A6-B98F-B5D6E0EA5F83}"/>
    <cellStyle name="20% - Accent5 2 2 5 2 2 5" xfId="16359" xr:uid="{016B7F43-DA1E-4199-96CF-D6E2E16EC890}"/>
    <cellStyle name="20% - Accent5 2 2 5 2 3" xfId="29005" xr:uid="{43C54FF3-E9A9-42A8-9F3C-AEAF41C0E507}"/>
    <cellStyle name="20% - Accent5 2 2 5 2 4" xfId="20576" xr:uid="{E7300639-6641-4D49-A29D-8B6D46DA123C}"/>
    <cellStyle name="20% - Accent5 2 2 5 2 5" xfId="37434" xr:uid="{0217DC1E-5692-4C2B-8344-8D99B1679BEA}"/>
    <cellStyle name="20% - Accent5 2 2 5 2 6" xfId="12141" xr:uid="{D2EB4EA1-CABD-49FB-BABF-9345C823C2DC}"/>
    <cellStyle name="20% - Accent5 2 2 5 3" xfId="5779" xr:uid="{00000000-0005-0000-0000-0000A3020000}"/>
    <cellStyle name="20% - Accent5 2 2 5 3 2" xfId="31078" xr:uid="{BB66BBEB-453D-423C-AD61-86BA8DDFEC57}"/>
    <cellStyle name="20% - Accent5 2 2 5 3 3" xfId="22649" xr:uid="{99556C2C-C520-4062-8D76-3E62BA25A24E}"/>
    <cellStyle name="20% - Accent5 2 2 5 3 4" xfId="39506" xr:uid="{F08C9EF4-556E-4597-94DF-ACC7031C8539}"/>
    <cellStyle name="20% - Accent5 2 2 5 3 5" xfId="14214" xr:uid="{C0A7F880-A63C-4A3A-AD7F-1A4DD29FA1FB}"/>
    <cellStyle name="20% - Accent5 2 2 5 4" xfId="26860" xr:uid="{EA4E0F33-2603-4925-9DE4-4C8E64B76BA1}"/>
    <cellStyle name="20% - Accent5 2 2 5 5" xfId="18431" xr:uid="{9155FA7D-9AE5-4330-8D62-C52F9DBE5940}"/>
    <cellStyle name="20% - Accent5 2 2 5 6" xfId="35289" xr:uid="{789A36EA-304C-409B-87BB-FB6DA6221C27}"/>
    <cellStyle name="20% - Accent5 2 2 5 7" xfId="9996" xr:uid="{1C212390-E42F-463B-9FD0-7F4801634FB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33636" xr:uid="{E2833971-367F-4AF3-A3E8-E76F09E002A8}"/>
    <cellStyle name="20% - Accent5 2 2 6 2 2 3" xfId="25207" xr:uid="{1A208A61-9145-47B2-867E-05E58C1D36F4}"/>
    <cellStyle name="20% - Accent5 2 2 6 2 2 4" xfId="42064" xr:uid="{AC459388-EBFE-4726-A50D-DDFEC624E331}"/>
    <cellStyle name="20% - Accent5 2 2 6 2 2 5" xfId="16772" xr:uid="{1FB9C80F-EC41-41F8-92A9-3A5523D98F32}"/>
    <cellStyle name="20% - Accent5 2 2 6 2 3" xfId="29418" xr:uid="{E429AA70-D202-4B7D-B66F-4CBA610DDB7F}"/>
    <cellStyle name="20% - Accent5 2 2 6 2 4" xfId="20989" xr:uid="{35FE9CBD-595B-438D-8160-828FDED4066B}"/>
    <cellStyle name="20% - Accent5 2 2 6 2 5" xfId="37847" xr:uid="{47F1260E-9786-4ADB-8ADF-2AD2E8A483D2}"/>
    <cellStyle name="20% - Accent5 2 2 6 2 6" xfId="12554" xr:uid="{5C369D81-1D0D-49DE-9F7C-AD000F0014A9}"/>
    <cellStyle name="20% - Accent5 2 2 6 3" xfId="6192" xr:uid="{00000000-0005-0000-0000-0000A7020000}"/>
    <cellStyle name="20% - Accent5 2 2 6 3 2" xfId="31491" xr:uid="{0E64DBAF-053F-4D3D-B3AC-0417629D0D85}"/>
    <cellStyle name="20% - Accent5 2 2 6 3 3" xfId="23062" xr:uid="{F2F9401E-09C3-4568-BC26-67D6FA0E8FEA}"/>
    <cellStyle name="20% - Accent5 2 2 6 3 4" xfId="39919" xr:uid="{BC492FD4-38C2-46A2-9405-DB8CA5DAB68A}"/>
    <cellStyle name="20% - Accent5 2 2 6 3 5" xfId="14627" xr:uid="{1F5B68E9-D092-4D9E-B431-2499F228991F}"/>
    <cellStyle name="20% - Accent5 2 2 6 4" xfId="27273" xr:uid="{35CF299C-CF17-47FF-A88A-0E20B35B32E6}"/>
    <cellStyle name="20% - Accent5 2 2 6 5" xfId="18844" xr:uid="{AC93DD0E-5E72-4E55-8F59-56DAF2A57D9A}"/>
    <cellStyle name="20% - Accent5 2 2 6 6" xfId="35702" xr:uid="{CAD2151E-1DE0-43B0-A2B5-6298E0A7F732}"/>
    <cellStyle name="20% - Accent5 2 2 6 7" xfId="10409" xr:uid="{A3EC51A1-5CAC-4B09-A60E-6A22A2E5353A}"/>
    <cellStyle name="20% - Accent5 2 2 7" xfId="2298" xr:uid="{00000000-0005-0000-0000-0000A8020000}"/>
    <cellStyle name="20% - Accent5 2 2 7 2" xfId="6605" xr:uid="{00000000-0005-0000-0000-0000A9020000}"/>
    <cellStyle name="20% - Accent5 2 2 7 2 2" xfId="31904" xr:uid="{604A2E0A-0BD7-4926-B6A6-7F21B72A723E}"/>
    <cellStyle name="20% - Accent5 2 2 7 2 3" xfId="23475" xr:uid="{10C89C6A-0D0C-4B1C-AD64-2C97DA52F7A8}"/>
    <cellStyle name="20% - Accent5 2 2 7 2 4" xfId="40332" xr:uid="{91EE773E-1C1B-467E-A586-EBDF3A358AAE}"/>
    <cellStyle name="20% - Accent5 2 2 7 2 5" xfId="15040" xr:uid="{0CFC15E0-3BBE-40E4-A060-660C29BB0FE6}"/>
    <cellStyle name="20% - Accent5 2 2 7 3" xfId="27686" xr:uid="{B1B1876E-9674-4293-928E-4C743390D220}"/>
    <cellStyle name="20% - Accent5 2 2 7 4" xfId="19257" xr:uid="{6975ABB5-3811-47A0-B8C6-22697D100F5F}"/>
    <cellStyle name="20% - Accent5 2 2 7 5" xfId="36115" xr:uid="{EBF3E18E-4A02-4EE7-86E9-1F555101E8E3}"/>
    <cellStyle name="20% - Accent5 2 2 7 6" xfId="10822" xr:uid="{A5773B2D-1CD4-4482-99A3-47B7BFC962EB}"/>
    <cellStyle name="20% - Accent5 2 2 8" xfId="4539" xr:uid="{00000000-0005-0000-0000-0000AA020000}"/>
    <cellStyle name="20% - Accent5 2 2 8 2" xfId="29838" xr:uid="{AB0BE9E8-C328-4A1F-93EC-D83920DC2F45}"/>
    <cellStyle name="20% - Accent5 2 2 8 3" xfId="21409" xr:uid="{329EB819-FA19-4D77-923B-46FA90059A90}"/>
    <cellStyle name="20% - Accent5 2 2 8 4" xfId="38266" xr:uid="{92B1DA6F-3A81-4FD8-895E-D95E808D8221}"/>
    <cellStyle name="20% - Accent5 2 2 8 5" xfId="12974" xr:uid="{F2B4DDFB-E351-42F8-8763-769F24D7CE68}"/>
    <cellStyle name="20% - Accent5 2 2 9" xfId="25620" xr:uid="{EDF4913A-F165-4525-B7BC-03CAEE580349}"/>
    <cellStyle name="20% - Accent5 2 3" xfId="37" xr:uid="{00000000-0005-0000-0000-0000AB020000}"/>
    <cellStyle name="20% - Accent5 2 3 10" xfId="34051" xr:uid="{B3B089DA-1854-43FA-92E3-E9CA6CBE5967}"/>
    <cellStyle name="20% - Accent5 2 3 11" xfId="8758" xr:uid="{32CF1363-512F-4FD5-9918-B5989E615947}"/>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32399" xr:uid="{786FDEF0-9633-430E-A2AD-F8B1B0D4277D}"/>
    <cellStyle name="20% - Accent5 2 3 2 2 2 3" xfId="23970" xr:uid="{CF6243DD-71AC-48A5-B263-55FB9684297F}"/>
    <cellStyle name="20% - Accent5 2 3 2 2 2 4" xfId="40827" xr:uid="{D7FF5B25-525B-47F4-84DF-82128F0B7F9D}"/>
    <cellStyle name="20% - Accent5 2 3 2 2 2 5" xfId="15535" xr:uid="{26E86A26-531D-42C9-82FB-2106DDC25C65}"/>
    <cellStyle name="20% - Accent5 2 3 2 2 3" xfId="28181" xr:uid="{B9C475CC-F973-4025-B9FA-5F5BC2672D4C}"/>
    <cellStyle name="20% - Accent5 2 3 2 2 4" xfId="19752" xr:uid="{E69D0753-1520-4DEC-8389-BF6249329659}"/>
    <cellStyle name="20% - Accent5 2 3 2 2 5" xfId="36610" xr:uid="{26D870EE-50C1-4CEE-96E0-B604984FEE44}"/>
    <cellStyle name="20% - Accent5 2 3 2 2 6" xfId="11317" xr:uid="{66C2E422-0B56-4DFD-A0C2-C5A1E42E97E7}"/>
    <cellStyle name="20% - Accent5 2 3 2 3" xfId="4955" xr:uid="{00000000-0005-0000-0000-0000AF020000}"/>
    <cellStyle name="20% - Accent5 2 3 2 3 2" xfId="30254" xr:uid="{881ADB3F-B6EE-496D-888C-285F118AF9AB}"/>
    <cellStyle name="20% - Accent5 2 3 2 3 3" xfId="21825" xr:uid="{89775C1B-3177-44F9-8EC7-7150CF1085DF}"/>
    <cellStyle name="20% - Accent5 2 3 2 3 4" xfId="38682" xr:uid="{1753F8B1-8BAD-4044-B779-1AECDCA1F9DB}"/>
    <cellStyle name="20% - Accent5 2 3 2 3 5" xfId="13390" xr:uid="{DFCA46DF-6EF5-469A-ADE7-73D9500ACC48}"/>
    <cellStyle name="20% - Accent5 2 3 2 4" xfId="26036" xr:uid="{6741D501-DE49-44B5-91F0-D49FB6D95BED}"/>
    <cellStyle name="20% - Accent5 2 3 2 5" xfId="17607" xr:uid="{CD0C8EA9-E0FB-464A-8E91-70D3BE959AAE}"/>
    <cellStyle name="20% - Accent5 2 3 2 6" xfId="34465" xr:uid="{27F6DD33-6EF7-449F-8954-C36CA02A90F9}"/>
    <cellStyle name="20% - Accent5 2 3 2 7" xfId="9172" xr:uid="{AED7E078-F099-441D-8E72-79F1598947D2}"/>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32812" xr:uid="{04F87DAA-4741-482E-B508-A8547E78F445}"/>
    <cellStyle name="20% - Accent5 2 3 3 2 2 3" xfId="24383" xr:uid="{98F3FBC7-4B69-41C6-86AB-E11A8E914DF7}"/>
    <cellStyle name="20% - Accent5 2 3 3 2 2 4" xfId="41240" xr:uid="{7B51AB35-4718-43F5-9846-896546DA0DCF}"/>
    <cellStyle name="20% - Accent5 2 3 3 2 2 5" xfId="15948" xr:uid="{4F979F34-E288-40BA-9CA1-92EA1E6CB95B}"/>
    <cellStyle name="20% - Accent5 2 3 3 2 3" xfId="28594" xr:uid="{4D694120-8EFE-4C5B-9DC3-FA1F57E673E5}"/>
    <cellStyle name="20% - Accent5 2 3 3 2 4" xfId="20165" xr:uid="{5F378F2A-A7C1-4712-B2D5-B7EB4E9BA46F}"/>
    <cellStyle name="20% - Accent5 2 3 3 2 5" xfId="37023" xr:uid="{F16C4CA5-296A-4895-8483-45EA5E5A7F00}"/>
    <cellStyle name="20% - Accent5 2 3 3 2 6" xfId="11730" xr:uid="{E2B05DBC-0F2E-4F31-A102-8A17BA5B80A5}"/>
    <cellStyle name="20% - Accent5 2 3 3 3" xfId="5368" xr:uid="{00000000-0005-0000-0000-0000B3020000}"/>
    <cellStyle name="20% - Accent5 2 3 3 3 2" xfId="30667" xr:uid="{27C5B10D-F74C-4588-81FC-0123F4087E1D}"/>
    <cellStyle name="20% - Accent5 2 3 3 3 3" xfId="22238" xr:uid="{993A5C12-C14B-4680-8BD2-A380037256D3}"/>
    <cellStyle name="20% - Accent5 2 3 3 3 4" xfId="39095" xr:uid="{C1F7EA23-D68C-42DC-8827-16DBBE02D28E}"/>
    <cellStyle name="20% - Accent5 2 3 3 3 5" xfId="13803" xr:uid="{77915C20-809A-440D-942A-44540AA54D4C}"/>
    <cellStyle name="20% - Accent5 2 3 3 4" xfId="26449" xr:uid="{B5736670-C29C-43B1-BF21-D1B59806CAF6}"/>
    <cellStyle name="20% - Accent5 2 3 3 5" xfId="18020" xr:uid="{456F105D-95BB-4693-8012-430650114D7D}"/>
    <cellStyle name="20% - Accent5 2 3 3 6" xfId="34878" xr:uid="{90C12959-BB85-4BE8-9B01-D4DF897FF584}"/>
    <cellStyle name="20% - Accent5 2 3 3 7" xfId="9585" xr:uid="{062054F1-2F22-48A2-93F8-F186B3B5F00D}"/>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33225" xr:uid="{87342421-CF6C-462D-A268-46CE96B97E2D}"/>
    <cellStyle name="20% - Accent5 2 3 4 2 2 3" xfId="24796" xr:uid="{869398B4-5673-485F-A27D-F5831443BCD7}"/>
    <cellStyle name="20% - Accent5 2 3 4 2 2 4" xfId="41653" xr:uid="{42BA919B-48EC-4F1D-A363-2E9633E3C7AA}"/>
    <cellStyle name="20% - Accent5 2 3 4 2 2 5" xfId="16361" xr:uid="{10553D84-55CA-49B1-9C16-E5818DC69F66}"/>
    <cellStyle name="20% - Accent5 2 3 4 2 3" xfId="29007" xr:uid="{675474A0-B0CF-4044-8998-6188D312E7EA}"/>
    <cellStyle name="20% - Accent5 2 3 4 2 4" xfId="20578" xr:uid="{6A9C5460-5FB4-41A5-A4C6-15673153C7D6}"/>
    <cellStyle name="20% - Accent5 2 3 4 2 5" xfId="37436" xr:uid="{424C9A8F-6907-4C9A-B781-A64BE3B428DB}"/>
    <cellStyle name="20% - Accent5 2 3 4 2 6" xfId="12143" xr:uid="{8B21AF72-CF37-4486-AADE-AA792FA7D290}"/>
    <cellStyle name="20% - Accent5 2 3 4 3" xfId="5781" xr:uid="{00000000-0005-0000-0000-0000B7020000}"/>
    <cellStyle name="20% - Accent5 2 3 4 3 2" xfId="31080" xr:uid="{FCAEBABA-FB2D-43BE-81B1-2085AF0DE1B2}"/>
    <cellStyle name="20% - Accent5 2 3 4 3 3" xfId="22651" xr:uid="{496E68F5-71F9-4AC4-AC11-4F6237E1D04E}"/>
    <cellStyle name="20% - Accent5 2 3 4 3 4" xfId="39508" xr:uid="{F8E047E3-97E7-4CDB-B1BC-20C85F1BD1D4}"/>
    <cellStyle name="20% - Accent5 2 3 4 3 5" xfId="14216" xr:uid="{582708EC-AB14-4329-A300-302D6B8029CD}"/>
    <cellStyle name="20% - Accent5 2 3 4 4" xfId="26862" xr:uid="{5F12A878-A4AC-42A5-BA2A-7A87B7A7204E}"/>
    <cellStyle name="20% - Accent5 2 3 4 5" xfId="18433" xr:uid="{FFA3F705-FBFF-4001-8708-F16E96FDE0D0}"/>
    <cellStyle name="20% - Accent5 2 3 4 6" xfId="35291" xr:uid="{35D9B277-614D-4F31-BEC2-53F5787D3141}"/>
    <cellStyle name="20% - Accent5 2 3 4 7" xfId="9998" xr:uid="{5003599F-D475-491F-ABF8-7D831E617B9C}"/>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33638" xr:uid="{38CC1476-883B-4A5B-BAE3-25B7826E1E82}"/>
    <cellStyle name="20% - Accent5 2 3 5 2 2 3" xfId="25209" xr:uid="{F7A18E45-0EA9-4D37-B037-6434BA6FDDD2}"/>
    <cellStyle name="20% - Accent5 2 3 5 2 2 4" xfId="42066" xr:uid="{FB3FF390-CE7C-49D9-B046-0C65A21C1A3C}"/>
    <cellStyle name="20% - Accent5 2 3 5 2 2 5" xfId="16774" xr:uid="{05146C74-CB43-413F-A5C1-F3A95E9B44FA}"/>
    <cellStyle name="20% - Accent5 2 3 5 2 3" xfId="29420" xr:uid="{CA81D97B-DE96-402E-B4B0-D63C529F64A9}"/>
    <cellStyle name="20% - Accent5 2 3 5 2 4" xfId="20991" xr:uid="{754313DA-F466-4958-B3F6-995DFB1A4744}"/>
    <cellStyle name="20% - Accent5 2 3 5 2 5" xfId="37849" xr:uid="{530D4EBF-5DAE-497D-AE97-A7E85E14B23F}"/>
    <cellStyle name="20% - Accent5 2 3 5 2 6" xfId="12556" xr:uid="{C39D737F-42D8-4441-B1C3-FD2B7A39C184}"/>
    <cellStyle name="20% - Accent5 2 3 5 3" xfId="6194" xr:uid="{00000000-0005-0000-0000-0000BB020000}"/>
    <cellStyle name="20% - Accent5 2 3 5 3 2" xfId="31493" xr:uid="{C6EF8158-8A04-4F82-A829-23FC348D844F}"/>
    <cellStyle name="20% - Accent5 2 3 5 3 3" xfId="23064" xr:uid="{9C41B8AF-D4A3-41F8-87DE-B2E6D1CBD4A7}"/>
    <cellStyle name="20% - Accent5 2 3 5 3 4" xfId="39921" xr:uid="{0A140E76-DF17-48F4-BEF3-77BF58D098F9}"/>
    <cellStyle name="20% - Accent5 2 3 5 3 5" xfId="14629" xr:uid="{D20ABA72-08CC-4B3B-A3F2-1BE507C6EE73}"/>
    <cellStyle name="20% - Accent5 2 3 5 4" xfId="27275" xr:uid="{3E458319-B999-47CD-B2FA-52AFA1AA84D8}"/>
    <cellStyle name="20% - Accent5 2 3 5 5" xfId="18846" xr:uid="{3DF2C655-1B62-417B-BACC-20A3036DCA6E}"/>
    <cellStyle name="20% - Accent5 2 3 5 6" xfId="35704" xr:uid="{B1331DBB-1640-492E-9EFE-806A1F760E13}"/>
    <cellStyle name="20% - Accent5 2 3 5 7" xfId="10411" xr:uid="{BEB63D0A-12F4-41DC-80D1-357E7D6ED4C7}"/>
    <cellStyle name="20% - Accent5 2 3 6" xfId="2300" xr:uid="{00000000-0005-0000-0000-0000BC020000}"/>
    <cellStyle name="20% - Accent5 2 3 6 2" xfId="6607" xr:uid="{00000000-0005-0000-0000-0000BD020000}"/>
    <cellStyle name="20% - Accent5 2 3 6 2 2" xfId="31906" xr:uid="{799A9A8A-33DA-4AEB-B128-D2E02AF82BE8}"/>
    <cellStyle name="20% - Accent5 2 3 6 2 3" xfId="23477" xr:uid="{5A0FFFE0-058D-4593-8532-1DB52A1FB27A}"/>
    <cellStyle name="20% - Accent5 2 3 6 2 4" xfId="40334" xr:uid="{D2BF8502-833E-4B1E-AF58-B7D7A68A08C3}"/>
    <cellStyle name="20% - Accent5 2 3 6 2 5" xfId="15042" xr:uid="{E585D5C0-55FE-48AF-BF6E-C8AD1E1709B8}"/>
    <cellStyle name="20% - Accent5 2 3 6 3" xfId="27688" xr:uid="{F6B943D1-1881-482D-ACC1-98BAB9830423}"/>
    <cellStyle name="20% - Accent5 2 3 6 4" xfId="19259" xr:uid="{C0509CE8-46BF-461D-81BE-C2CB3C89D162}"/>
    <cellStyle name="20% - Accent5 2 3 6 5" xfId="36117" xr:uid="{A59BB0B3-0253-4478-8157-CB40A7CA561A}"/>
    <cellStyle name="20% - Accent5 2 3 6 6" xfId="10824" xr:uid="{7DEA7F88-962B-45E3-BA99-6A863FEFD842}"/>
    <cellStyle name="20% - Accent5 2 3 7" xfId="4541" xr:uid="{00000000-0005-0000-0000-0000BE020000}"/>
    <cellStyle name="20% - Accent5 2 3 7 2" xfId="29840" xr:uid="{5773AFF2-9C0B-4F36-ADC5-F29C0FF9D76A}"/>
    <cellStyle name="20% - Accent5 2 3 7 3" xfId="21411" xr:uid="{7F8D5EC3-0F3C-48CE-A9DA-71F513E974EC}"/>
    <cellStyle name="20% - Accent5 2 3 7 4" xfId="38268" xr:uid="{7A23FC71-774B-4328-8BB0-F8EF55E87648}"/>
    <cellStyle name="20% - Accent5 2 3 7 5" xfId="12976" xr:uid="{E584BFEF-4AD7-4D00-B479-5BD0712F97DF}"/>
    <cellStyle name="20% - Accent5 2 3 8" xfId="25622" xr:uid="{9CF805C0-C9BC-4FBE-BEE3-53179E6B9472}"/>
    <cellStyle name="20% - Accent5 2 3 9" xfId="17193" xr:uid="{AA967372-7C10-4C85-9ADC-644545C49785}"/>
    <cellStyle name="20% - Accent5 2 4" xfId="603" xr:uid="{00000000-0005-0000-0000-0000BF020000}"/>
    <cellStyle name="20% - Accent5 2 4 2" xfId="2874" xr:uid="{00000000-0005-0000-0000-0000C0020000}"/>
    <cellStyle name="20% - Accent5 2 4 2 2" xfId="7097" xr:uid="{00000000-0005-0000-0000-0000C1020000}"/>
    <cellStyle name="20% - Accent5 2 4 2 2 2" xfId="32396" xr:uid="{3615DEDF-18B2-4B33-80A7-8BA3849BC666}"/>
    <cellStyle name="20% - Accent5 2 4 2 2 3" xfId="23967" xr:uid="{37F341E2-6EE5-47A6-A1D3-511A377FEC50}"/>
    <cellStyle name="20% - Accent5 2 4 2 2 4" xfId="40824" xr:uid="{D3698B12-6A7C-40FB-A968-A9261949F6C8}"/>
    <cellStyle name="20% - Accent5 2 4 2 2 5" xfId="15532" xr:uid="{3CE9F283-4209-4279-8F54-FF835A45A159}"/>
    <cellStyle name="20% - Accent5 2 4 2 3" xfId="28178" xr:uid="{7091FF7D-3AF9-4AB5-8F01-B3D2DCEEC736}"/>
    <cellStyle name="20% - Accent5 2 4 2 4" xfId="19749" xr:uid="{1F2D2980-62C8-4D3A-A154-4736CAC864E3}"/>
    <cellStyle name="20% - Accent5 2 4 2 5" xfId="36607" xr:uid="{216ADFD1-16BE-4CD1-8F2A-64C04302CC91}"/>
    <cellStyle name="20% - Accent5 2 4 2 6" xfId="11314" xr:uid="{A6EE03F7-22F9-4BC7-8860-0A1B14B86568}"/>
    <cellStyle name="20% - Accent5 2 4 3" xfId="4952" xr:uid="{00000000-0005-0000-0000-0000C2020000}"/>
    <cellStyle name="20% - Accent5 2 4 3 2" xfId="30251" xr:uid="{0FAA7DBF-B87E-4FCE-917D-DDFBB094EA0F}"/>
    <cellStyle name="20% - Accent5 2 4 3 3" xfId="21822" xr:uid="{14BB6469-24FE-4EC9-BB7B-8CC2A49FDA65}"/>
    <cellStyle name="20% - Accent5 2 4 3 4" xfId="38679" xr:uid="{7465A557-27C6-469A-B3AB-C561BA5E1543}"/>
    <cellStyle name="20% - Accent5 2 4 3 5" xfId="13387" xr:uid="{0F22801F-C11A-4469-A951-984F89E6BCF2}"/>
    <cellStyle name="20% - Accent5 2 4 4" xfId="26033" xr:uid="{80951FA7-C7EF-4107-A9F4-A3DEDE2B5FFD}"/>
    <cellStyle name="20% - Accent5 2 4 5" xfId="17604" xr:uid="{73B7B51D-E00E-4720-82B0-221D466F53A6}"/>
    <cellStyle name="20% - Accent5 2 4 6" xfId="34462" xr:uid="{9F6DADB4-67FD-4CE8-AF0A-A9022E02CAD9}"/>
    <cellStyle name="20% - Accent5 2 4 7" xfId="9169" xr:uid="{8787F5AD-3F7C-4822-AFFB-D407DBA0F734}"/>
    <cellStyle name="20% - Accent5 2 5" xfId="1056" xr:uid="{00000000-0005-0000-0000-0000C3020000}"/>
    <cellStyle name="20% - Accent5 2 5 2" xfId="3287" xr:uid="{00000000-0005-0000-0000-0000C4020000}"/>
    <cellStyle name="20% - Accent5 2 5 2 2" xfId="7510" xr:uid="{00000000-0005-0000-0000-0000C5020000}"/>
    <cellStyle name="20% - Accent5 2 5 2 2 2" xfId="32809" xr:uid="{0BCB0CF4-A9FA-44FD-8AC6-AC1694CE57A0}"/>
    <cellStyle name="20% - Accent5 2 5 2 2 3" xfId="24380" xr:uid="{B11E76BA-2D4F-40C4-A2BB-703ED31570CF}"/>
    <cellStyle name="20% - Accent5 2 5 2 2 4" xfId="41237" xr:uid="{4B58F12E-E2EB-48FC-BDD2-B0A5306C6F9E}"/>
    <cellStyle name="20% - Accent5 2 5 2 2 5" xfId="15945" xr:uid="{2209F9C6-6547-4834-A001-267397A8DE21}"/>
    <cellStyle name="20% - Accent5 2 5 2 3" xfId="28591" xr:uid="{0EF8CB55-31BF-41FF-A125-A6F4D4E57D30}"/>
    <cellStyle name="20% - Accent5 2 5 2 4" xfId="20162" xr:uid="{7B783362-F551-4444-83FA-4C011003A11F}"/>
    <cellStyle name="20% - Accent5 2 5 2 5" xfId="37020" xr:uid="{8CCA903A-55D3-4685-A3C7-069EFA960441}"/>
    <cellStyle name="20% - Accent5 2 5 2 6" xfId="11727" xr:uid="{0380F261-EBAC-4E74-9EB1-19B429397601}"/>
    <cellStyle name="20% - Accent5 2 5 3" xfId="5365" xr:uid="{00000000-0005-0000-0000-0000C6020000}"/>
    <cellStyle name="20% - Accent5 2 5 3 2" xfId="30664" xr:uid="{F35ADC8C-6FD7-400D-9D40-AD4240A2E3B5}"/>
    <cellStyle name="20% - Accent5 2 5 3 3" xfId="22235" xr:uid="{73B9EA91-4FAD-45B8-A62C-9FA000187A46}"/>
    <cellStyle name="20% - Accent5 2 5 3 4" xfId="39092" xr:uid="{136DA090-05DE-4DC2-B181-CE8A1ED2155C}"/>
    <cellStyle name="20% - Accent5 2 5 3 5" xfId="13800" xr:uid="{6270A92B-70E2-44EA-9F3E-932FDA4DB067}"/>
    <cellStyle name="20% - Accent5 2 5 4" xfId="26446" xr:uid="{323B1626-4B6A-43F3-8FDC-C1343D84F05E}"/>
    <cellStyle name="20% - Accent5 2 5 5" xfId="18017" xr:uid="{DCAD0E8C-59E9-4FF7-AAAB-D583C095BFBD}"/>
    <cellStyle name="20% - Accent5 2 5 6" xfId="34875" xr:uid="{F4D3D372-8A54-4B2F-8E24-6B3A37960E5A}"/>
    <cellStyle name="20% - Accent5 2 5 7" xfId="9582" xr:uid="{C3FC8B70-8F02-4495-AC3E-35D03201FB72}"/>
    <cellStyle name="20% - Accent5 2 6" xfId="1470" xr:uid="{00000000-0005-0000-0000-0000C7020000}"/>
    <cellStyle name="20% - Accent5 2 6 2" xfId="3700" xr:uid="{00000000-0005-0000-0000-0000C8020000}"/>
    <cellStyle name="20% - Accent5 2 6 2 2" xfId="7923" xr:uid="{00000000-0005-0000-0000-0000C9020000}"/>
    <cellStyle name="20% - Accent5 2 6 2 2 2" xfId="33222" xr:uid="{E5FF283B-6E58-4911-9028-7C4AACD02D7E}"/>
    <cellStyle name="20% - Accent5 2 6 2 2 3" xfId="24793" xr:uid="{52203E2C-C5AB-4AC1-991B-8B398DE1446C}"/>
    <cellStyle name="20% - Accent5 2 6 2 2 4" xfId="41650" xr:uid="{833F7B86-14BC-4D72-9515-E403446E92D0}"/>
    <cellStyle name="20% - Accent5 2 6 2 2 5" xfId="16358" xr:uid="{6D8B0DA3-C457-46C5-AAD4-3AE28903C949}"/>
    <cellStyle name="20% - Accent5 2 6 2 3" xfId="29004" xr:uid="{6F6C1868-2464-4653-BB6B-8C9CBE576E10}"/>
    <cellStyle name="20% - Accent5 2 6 2 4" xfId="20575" xr:uid="{0CCDFE91-B51F-4861-AFA4-3D3EFCC21706}"/>
    <cellStyle name="20% - Accent5 2 6 2 5" xfId="37433" xr:uid="{741838F2-373F-4CBE-8886-5ADC0394967C}"/>
    <cellStyle name="20% - Accent5 2 6 2 6" xfId="12140" xr:uid="{4795F1DD-AF92-4927-A44C-50F44DEB4041}"/>
    <cellStyle name="20% - Accent5 2 6 3" xfId="5778" xr:uid="{00000000-0005-0000-0000-0000CA020000}"/>
    <cellStyle name="20% - Accent5 2 6 3 2" xfId="31077" xr:uid="{B7A2D211-4120-4E5A-8BE7-93B242652B96}"/>
    <cellStyle name="20% - Accent5 2 6 3 3" xfId="22648" xr:uid="{02419612-CDC8-46AF-886E-BFEAC5E5E1B0}"/>
    <cellStyle name="20% - Accent5 2 6 3 4" xfId="39505" xr:uid="{DE97C2A7-EEBC-4C57-85C2-C667861D5622}"/>
    <cellStyle name="20% - Accent5 2 6 3 5" xfId="14213" xr:uid="{244D2AAD-D840-4556-BAA7-3EC5FD9CE7D1}"/>
    <cellStyle name="20% - Accent5 2 6 4" xfId="26859" xr:uid="{583B2DAD-2C6D-492E-BFB2-8D5CACD4A2C4}"/>
    <cellStyle name="20% - Accent5 2 6 5" xfId="18430" xr:uid="{7D51B62D-35D3-45FD-92E7-D1CE3214A528}"/>
    <cellStyle name="20% - Accent5 2 6 6" xfId="35288" xr:uid="{D21812B5-A28F-4259-8BF7-EF28DDD04D73}"/>
    <cellStyle name="20% - Accent5 2 6 7" xfId="9995" xr:uid="{486AED4B-DB63-4311-A00D-0B12203AE3EA}"/>
    <cellStyle name="20% - Accent5 2 7" xfId="1884" xr:uid="{00000000-0005-0000-0000-0000CB020000}"/>
    <cellStyle name="20% - Accent5 2 7 2" xfId="4113" xr:uid="{00000000-0005-0000-0000-0000CC020000}"/>
    <cellStyle name="20% - Accent5 2 7 2 2" xfId="8336" xr:uid="{00000000-0005-0000-0000-0000CD020000}"/>
    <cellStyle name="20% - Accent5 2 7 2 2 2" xfId="33635" xr:uid="{BDD3E428-426F-47CE-9230-5260323456F6}"/>
    <cellStyle name="20% - Accent5 2 7 2 2 3" xfId="25206" xr:uid="{0376BCF4-A328-49E7-B834-63D132359CE1}"/>
    <cellStyle name="20% - Accent5 2 7 2 2 4" xfId="42063" xr:uid="{35DAEE90-D7F2-4F1B-940D-F3754CEC404B}"/>
    <cellStyle name="20% - Accent5 2 7 2 2 5" xfId="16771" xr:uid="{A739445E-7DA4-4A79-BC21-89EDC33EE594}"/>
    <cellStyle name="20% - Accent5 2 7 2 3" xfId="29417" xr:uid="{55706608-3428-4084-AC9F-63B20DB5CC3B}"/>
    <cellStyle name="20% - Accent5 2 7 2 4" xfId="20988" xr:uid="{C94E6D93-795D-44A5-BF0F-77F4C0A37D16}"/>
    <cellStyle name="20% - Accent5 2 7 2 5" xfId="37846" xr:uid="{6C7011C6-9779-40EF-B9E8-4D6C82C0736F}"/>
    <cellStyle name="20% - Accent5 2 7 2 6" xfId="12553" xr:uid="{C4160DC6-CB79-42B6-942A-664511E9F3FA}"/>
    <cellStyle name="20% - Accent5 2 7 3" xfId="6191" xr:uid="{00000000-0005-0000-0000-0000CE020000}"/>
    <cellStyle name="20% - Accent5 2 7 3 2" xfId="31490" xr:uid="{53A1515E-D8F6-4D8F-86C3-F55DABE1DE42}"/>
    <cellStyle name="20% - Accent5 2 7 3 3" xfId="23061" xr:uid="{08BF3728-941D-491E-B3C3-1613FB0143BA}"/>
    <cellStyle name="20% - Accent5 2 7 3 4" xfId="39918" xr:uid="{DF96D530-E877-4B80-8118-E2FCACCC8320}"/>
    <cellStyle name="20% - Accent5 2 7 3 5" xfId="14626" xr:uid="{2DEB5275-B19D-4668-9D8E-154619392E82}"/>
    <cellStyle name="20% - Accent5 2 7 4" xfId="27272" xr:uid="{67F1E5FC-903D-4821-AD8D-B81C83B31F35}"/>
    <cellStyle name="20% - Accent5 2 7 5" xfId="18843" xr:uid="{60C0DDF9-EEAA-4DFE-9484-30DC82581A4B}"/>
    <cellStyle name="20% - Accent5 2 7 6" xfId="35701" xr:uid="{1CD0ADFA-DBBB-4C84-AA43-8E0B3B08E5E4}"/>
    <cellStyle name="20% - Accent5 2 7 7" xfId="10408" xr:uid="{1D21F777-6CAC-413E-84F0-934DFC0C28B6}"/>
    <cellStyle name="20% - Accent5 2 8" xfId="2297" xr:uid="{00000000-0005-0000-0000-0000CF020000}"/>
    <cellStyle name="20% - Accent5 2 8 2" xfId="6604" xr:uid="{00000000-0005-0000-0000-0000D0020000}"/>
    <cellStyle name="20% - Accent5 2 8 2 2" xfId="31903" xr:uid="{2468A621-BA4C-4036-BA24-632E098E67D5}"/>
    <cellStyle name="20% - Accent5 2 8 2 3" xfId="23474" xr:uid="{84F0CE9B-A3AD-44A2-9D05-39D4AC6BA6C5}"/>
    <cellStyle name="20% - Accent5 2 8 2 4" xfId="40331" xr:uid="{437084D6-8F2C-44F5-8E4D-9F8EC0F684D2}"/>
    <cellStyle name="20% - Accent5 2 8 2 5" xfId="15039" xr:uid="{D038F164-F480-4AA1-821E-B9CDB8D6E1DC}"/>
    <cellStyle name="20% - Accent5 2 8 3" xfId="27685" xr:uid="{4A25F161-017E-4F17-9D72-D5209EABC7E5}"/>
    <cellStyle name="20% - Accent5 2 8 4" xfId="19256" xr:uid="{910721E1-521A-462E-A4AA-008259FD6F7F}"/>
    <cellStyle name="20% - Accent5 2 8 5" xfId="36114" xr:uid="{EB2F8DD3-566B-4421-99C6-893DD0D697FD}"/>
    <cellStyle name="20% - Accent5 2 8 6" xfId="10821" xr:uid="{91607632-46E2-4076-AC44-B6501D2E55FD}"/>
    <cellStyle name="20% - Accent5 2 9" xfId="4538" xr:uid="{00000000-0005-0000-0000-0000D1020000}"/>
    <cellStyle name="20% - Accent5 2 9 2" xfId="29837" xr:uid="{98BCC007-457B-4712-B062-B0CC2830CE96}"/>
    <cellStyle name="20% - Accent5 2 9 3" xfId="21408" xr:uid="{0DC25E40-F835-45CA-8518-DB3A8AC5DDC8}"/>
    <cellStyle name="20% - Accent5 2 9 4" xfId="38265" xr:uid="{25358297-5C50-4A52-B7AA-BDDF9D9EAD14}"/>
    <cellStyle name="20% - Accent5 2 9 5" xfId="12973" xr:uid="{90F2FF0D-88EB-4F59-9FBB-4D4E6A9E8CBE}"/>
    <cellStyle name="20% - Accent5 3" xfId="38" xr:uid="{00000000-0005-0000-0000-0000D2020000}"/>
    <cellStyle name="20% - Accent5 3 10" xfId="17194" xr:uid="{212552CA-E3D7-47CF-8535-D13A3CACDF97}"/>
    <cellStyle name="20% - Accent5 3 11" xfId="34052" xr:uid="{6AA02BB5-9211-468E-88CD-861F6FC8F1A0}"/>
    <cellStyle name="20% - Accent5 3 12" xfId="8759" xr:uid="{D82F5252-0A01-4929-B118-329156C13325}"/>
    <cellStyle name="20% - Accent5 3 2" xfId="39" xr:uid="{00000000-0005-0000-0000-0000D3020000}"/>
    <cellStyle name="20% - Accent5 3 2 10" xfId="34053" xr:uid="{4688B1DD-5170-4C1E-82D6-4711163A8CD9}"/>
    <cellStyle name="20% - Accent5 3 2 11" xfId="8760" xr:uid="{ED0BEFBF-9882-4958-8065-499F25D3970F}"/>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32401" xr:uid="{F26377E5-C2D4-4B7F-BA64-1F18A16E1C12}"/>
    <cellStyle name="20% - Accent5 3 2 2 2 2 3" xfId="23972" xr:uid="{9A4B3EA4-EBDF-415D-9E99-42F217C2C60A}"/>
    <cellStyle name="20% - Accent5 3 2 2 2 2 4" xfId="40829" xr:uid="{A90010AC-6E67-4984-BEE7-6476AC8BD0DB}"/>
    <cellStyle name="20% - Accent5 3 2 2 2 2 5" xfId="15537" xr:uid="{C751B9F7-3867-431F-B885-CCDD0FE526CC}"/>
    <cellStyle name="20% - Accent5 3 2 2 2 3" xfId="28183" xr:uid="{D41F2C1E-DB18-45F2-987E-4E08EFF3FBCD}"/>
    <cellStyle name="20% - Accent5 3 2 2 2 4" xfId="19754" xr:uid="{60D561A4-F8AD-4FFC-87D7-DA72A7E887A3}"/>
    <cellStyle name="20% - Accent5 3 2 2 2 5" xfId="36612" xr:uid="{4E8B7513-9091-47AB-A509-84836E295B3C}"/>
    <cellStyle name="20% - Accent5 3 2 2 2 6" xfId="11319" xr:uid="{2F213DFB-5BAB-4EED-8194-12DF59584874}"/>
    <cellStyle name="20% - Accent5 3 2 2 3" xfId="4957" xr:uid="{00000000-0005-0000-0000-0000D7020000}"/>
    <cellStyle name="20% - Accent5 3 2 2 3 2" xfId="30256" xr:uid="{F5CDAA7D-7D4F-4FA9-A214-2F2057B29738}"/>
    <cellStyle name="20% - Accent5 3 2 2 3 3" xfId="21827" xr:uid="{0F6EFA12-36D2-468A-85F4-882ADE7CBB6B}"/>
    <cellStyle name="20% - Accent5 3 2 2 3 4" xfId="38684" xr:uid="{B8D4DE60-87B2-4BEB-A682-6C4BC0360B61}"/>
    <cellStyle name="20% - Accent5 3 2 2 3 5" xfId="13392" xr:uid="{616831BA-5486-4BAD-B55A-1300A345652A}"/>
    <cellStyle name="20% - Accent5 3 2 2 4" xfId="26038" xr:uid="{17EA882F-70AB-42FD-B37F-B80784E6C7E1}"/>
    <cellStyle name="20% - Accent5 3 2 2 5" xfId="17609" xr:uid="{BD35D1A8-A172-45A2-BD7C-85F00AAACA41}"/>
    <cellStyle name="20% - Accent5 3 2 2 6" xfId="34467" xr:uid="{8B23AE0F-483E-4E6F-969A-AC58BFE59039}"/>
    <cellStyle name="20% - Accent5 3 2 2 7" xfId="9174" xr:uid="{FCBF6D26-0DE8-4B98-8ED2-B5684DAEE1D7}"/>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32814" xr:uid="{FA298177-54F5-4244-A4B6-C1DA796D7BA7}"/>
    <cellStyle name="20% - Accent5 3 2 3 2 2 3" xfId="24385" xr:uid="{DBA70F4A-8D7B-4637-A459-1CFC2A8E04CF}"/>
    <cellStyle name="20% - Accent5 3 2 3 2 2 4" xfId="41242" xr:uid="{B4C3CA7E-E07D-41EA-8EC4-92083A89547D}"/>
    <cellStyle name="20% - Accent5 3 2 3 2 2 5" xfId="15950" xr:uid="{6103A557-71B4-4E47-B493-A192EC818928}"/>
    <cellStyle name="20% - Accent5 3 2 3 2 3" xfId="28596" xr:uid="{A8584B2D-70C4-4FF3-AE98-F373D4F5F017}"/>
    <cellStyle name="20% - Accent5 3 2 3 2 4" xfId="20167" xr:uid="{3D3D6815-5C62-4D33-A52A-DE0C27C742C1}"/>
    <cellStyle name="20% - Accent5 3 2 3 2 5" xfId="37025" xr:uid="{132DCB4D-960C-4945-80D8-11E13F4246E0}"/>
    <cellStyle name="20% - Accent5 3 2 3 2 6" xfId="11732" xr:uid="{CB67E81C-C430-4D85-827D-CA6B1847DBAA}"/>
    <cellStyle name="20% - Accent5 3 2 3 3" xfId="5370" xr:uid="{00000000-0005-0000-0000-0000DB020000}"/>
    <cellStyle name="20% - Accent5 3 2 3 3 2" xfId="30669" xr:uid="{0AE9A67E-E1B6-4921-85E8-44D095F02D30}"/>
    <cellStyle name="20% - Accent5 3 2 3 3 3" xfId="22240" xr:uid="{B679A9D8-0245-4ADC-A287-3CCE1D520EA0}"/>
    <cellStyle name="20% - Accent5 3 2 3 3 4" xfId="39097" xr:uid="{6C9F0783-34BF-4117-BC4B-254355D6AA5B}"/>
    <cellStyle name="20% - Accent5 3 2 3 3 5" xfId="13805" xr:uid="{257F7D31-DA6B-4F70-855E-E47BC971D99C}"/>
    <cellStyle name="20% - Accent5 3 2 3 4" xfId="26451" xr:uid="{85273A8E-284F-4CBD-9C5B-EF417BBBD88A}"/>
    <cellStyle name="20% - Accent5 3 2 3 5" xfId="18022" xr:uid="{A1E043E6-5260-49CA-ADA0-4F5F65C6920D}"/>
    <cellStyle name="20% - Accent5 3 2 3 6" xfId="34880" xr:uid="{8BD4CD5B-9FAC-4C11-802B-039A00D1014E}"/>
    <cellStyle name="20% - Accent5 3 2 3 7" xfId="9587" xr:uid="{D93107C6-019E-4C12-A193-6D28E3789516}"/>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33227" xr:uid="{CD6B2D0B-1F20-44E1-B818-8E14B03D45AE}"/>
    <cellStyle name="20% - Accent5 3 2 4 2 2 3" xfId="24798" xr:uid="{F69CDD04-32A8-4D70-AA2F-5DAB583843A7}"/>
    <cellStyle name="20% - Accent5 3 2 4 2 2 4" xfId="41655" xr:uid="{53D29677-6E61-4493-89DE-B6C447F84A9C}"/>
    <cellStyle name="20% - Accent5 3 2 4 2 2 5" xfId="16363" xr:uid="{822C8B88-0A87-4B39-B931-E9136686B34C}"/>
    <cellStyle name="20% - Accent5 3 2 4 2 3" xfId="29009" xr:uid="{FF7EEAA8-6A7F-4431-AED5-5B5EEE4F3F8B}"/>
    <cellStyle name="20% - Accent5 3 2 4 2 4" xfId="20580" xr:uid="{524B69A9-07AE-4011-AFCF-726BF631D9D6}"/>
    <cellStyle name="20% - Accent5 3 2 4 2 5" xfId="37438" xr:uid="{B2034933-F092-4B17-A7DE-84CFC1E7A57C}"/>
    <cellStyle name="20% - Accent5 3 2 4 2 6" xfId="12145" xr:uid="{C7B13BDD-EB12-423C-A41A-2D57B8CA2372}"/>
    <cellStyle name="20% - Accent5 3 2 4 3" xfId="5783" xr:uid="{00000000-0005-0000-0000-0000DF020000}"/>
    <cellStyle name="20% - Accent5 3 2 4 3 2" xfId="31082" xr:uid="{7AA8F265-4261-448F-A77B-42AA4D3A41CF}"/>
    <cellStyle name="20% - Accent5 3 2 4 3 3" xfId="22653" xr:uid="{279B6500-1C5B-4929-8669-D71AC6E31207}"/>
    <cellStyle name="20% - Accent5 3 2 4 3 4" xfId="39510" xr:uid="{A2F27A2D-94C7-481D-8682-4DDC1B291461}"/>
    <cellStyle name="20% - Accent5 3 2 4 3 5" xfId="14218" xr:uid="{5EFC91DC-C84F-4E4B-9081-5076704983F9}"/>
    <cellStyle name="20% - Accent5 3 2 4 4" xfId="26864" xr:uid="{0EF9CE2F-1BF4-4BA1-93D5-9CEE7FC2C631}"/>
    <cellStyle name="20% - Accent5 3 2 4 5" xfId="18435" xr:uid="{D2D9D257-B0D1-4189-9BDD-F1863633E392}"/>
    <cellStyle name="20% - Accent5 3 2 4 6" xfId="35293" xr:uid="{2386C9D1-0962-4CF2-A3FE-C02113B845BB}"/>
    <cellStyle name="20% - Accent5 3 2 4 7" xfId="10000" xr:uid="{8111B8A8-42E1-4B73-8D33-E01F4A996FE3}"/>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33640" xr:uid="{4F3506CA-F1F1-47AA-8337-4ED3FBC5F8CB}"/>
    <cellStyle name="20% - Accent5 3 2 5 2 2 3" xfId="25211" xr:uid="{52E6A08A-4D0D-42A0-A9D4-8A60056536EE}"/>
    <cellStyle name="20% - Accent5 3 2 5 2 2 4" xfId="42068" xr:uid="{5E028D58-114B-4E31-8904-11E5CA72B1AF}"/>
    <cellStyle name="20% - Accent5 3 2 5 2 2 5" xfId="16776" xr:uid="{B178D469-D30A-49D0-A2F9-ACB81D45F598}"/>
    <cellStyle name="20% - Accent5 3 2 5 2 3" xfId="29422" xr:uid="{184722D4-3101-4218-BDD7-39F40D816EA1}"/>
    <cellStyle name="20% - Accent5 3 2 5 2 4" xfId="20993" xr:uid="{D8699B3D-53BD-4AF1-A309-D329B815BDAE}"/>
    <cellStyle name="20% - Accent5 3 2 5 2 5" xfId="37851" xr:uid="{8A14E30F-1D6E-47AA-97C9-03C18C16498D}"/>
    <cellStyle name="20% - Accent5 3 2 5 2 6" xfId="12558" xr:uid="{B4AAECCA-CA4C-4DEB-AF08-0C31F9D34448}"/>
    <cellStyle name="20% - Accent5 3 2 5 3" xfId="6196" xr:uid="{00000000-0005-0000-0000-0000E3020000}"/>
    <cellStyle name="20% - Accent5 3 2 5 3 2" xfId="31495" xr:uid="{549A8456-990F-40F1-8B73-E178134BCDA1}"/>
    <cellStyle name="20% - Accent5 3 2 5 3 3" xfId="23066" xr:uid="{898D2870-5D26-4E8C-903A-9D61F20CD74A}"/>
    <cellStyle name="20% - Accent5 3 2 5 3 4" xfId="39923" xr:uid="{E5EAAC26-E22A-4779-A129-C13BD301B995}"/>
    <cellStyle name="20% - Accent5 3 2 5 3 5" xfId="14631" xr:uid="{000DDFC9-3FF1-434E-BC58-B0029330B58C}"/>
    <cellStyle name="20% - Accent5 3 2 5 4" xfId="27277" xr:uid="{1DB48425-9250-44D3-9457-4DE3D30143CB}"/>
    <cellStyle name="20% - Accent5 3 2 5 5" xfId="18848" xr:uid="{4651DCEB-F6AF-490A-83CF-085E156B7C77}"/>
    <cellStyle name="20% - Accent5 3 2 5 6" xfId="35706" xr:uid="{1832D451-B304-4151-9DCD-4FAC7331DD9E}"/>
    <cellStyle name="20% - Accent5 3 2 5 7" xfId="10413" xr:uid="{779F5D8C-FBEF-45E7-B614-6E2B4D841575}"/>
    <cellStyle name="20% - Accent5 3 2 6" xfId="2302" xr:uid="{00000000-0005-0000-0000-0000E4020000}"/>
    <cellStyle name="20% - Accent5 3 2 6 2" xfId="6609" xr:uid="{00000000-0005-0000-0000-0000E5020000}"/>
    <cellStyle name="20% - Accent5 3 2 6 2 2" xfId="31908" xr:uid="{61C3C779-DA9D-438B-B512-B28E78D0E585}"/>
    <cellStyle name="20% - Accent5 3 2 6 2 3" xfId="23479" xr:uid="{737FF156-F65D-4682-9B9B-0EDA7820AE8A}"/>
    <cellStyle name="20% - Accent5 3 2 6 2 4" xfId="40336" xr:uid="{D42DEC5B-C592-46CB-A2DB-0FD931F8848D}"/>
    <cellStyle name="20% - Accent5 3 2 6 2 5" xfId="15044" xr:uid="{B446803C-8A2B-44C1-BF80-BDF75277BB36}"/>
    <cellStyle name="20% - Accent5 3 2 6 3" xfId="27690" xr:uid="{5CD6C482-8614-435A-B71A-BF013F949081}"/>
    <cellStyle name="20% - Accent5 3 2 6 4" xfId="19261" xr:uid="{005727CA-BB81-4F4E-B5D4-242988C64E61}"/>
    <cellStyle name="20% - Accent5 3 2 6 5" xfId="36119" xr:uid="{37C33AA3-E160-476D-9E32-2BEBA16786A3}"/>
    <cellStyle name="20% - Accent5 3 2 6 6" xfId="10826" xr:uid="{EBC633B1-2A2F-4CFB-BAEC-25DB1069F8D3}"/>
    <cellStyle name="20% - Accent5 3 2 7" xfId="4543" xr:uid="{00000000-0005-0000-0000-0000E6020000}"/>
    <cellStyle name="20% - Accent5 3 2 7 2" xfId="29842" xr:uid="{1F3AF7EE-C63B-4B8F-9D25-34E859CCD879}"/>
    <cellStyle name="20% - Accent5 3 2 7 3" xfId="21413" xr:uid="{E5321F85-6A90-4411-A0B4-E163FA3B335A}"/>
    <cellStyle name="20% - Accent5 3 2 7 4" xfId="38270" xr:uid="{786707DC-C72F-4CAF-A062-3FEAB4C2E93E}"/>
    <cellStyle name="20% - Accent5 3 2 7 5" xfId="12978" xr:uid="{D9194C04-B68F-4695-9E16-3687A0C1BC80}"/>
    <cellStyle name="20% - Accent5 3 2 8" xfId="25624" xr:uid="{80C2CF59-7CF7-4BA8-8F4E-A87D0D4721BF}"/>
    <cellStyle name="20% - Accent5 3 2 9" xfId="17195" xr:uid="{8F5D8482-6509-4221-9B72-50FA42F1BD47}"/>
    <cellStyle name="20% - Accent5 3 3" xfId="607" xr:uid="{00000000-0005-0000-0000-0000E7020000}"/>
    <cellStyle name="20% - Accent5 3 3 2" xfId="2878" xr:uid="{00000000-0005-0000-0000-0000E8020000}"/>
    <cellStyle name="20% - Accent5 3 3 2 2" xfId="7101" xr:uid="{00000000-0005-0000-0000-0000E9020000}"/>
    <cellStyle name="20% - Accent5 3 3 2 2 2" xfId="32400" xr:uid="{A9C52C4E-B2C5-496E-B07E-EA38B0502404}"/>
    <cellStyle name="20% - Accent5 3 3 2 2 3" xfId="23971" xr:uid="{314FF0B2-4E78-46C6-BCDA-EA63C396C9DF}"/>
    <cellStyle name="20% - Accent5 3 3 2 2 4" xfId="40828" xr:uid="{9A59CFFA-E7B5-4B7E-AA9F-1DBE44588E00}"/>
    <cellStyle name="20% - Accent5 3 3 2 2 5" xfId="15536" xr:uid="{A0DEC4E0-29A9-4887-85AC-1050F9342472}"/>
    <cellStyle name="20% - Accent5 3 3 2 3" xfId="28182" xr:uid="{FB55E2EC-EB0C-4384-A0F2-B3B428F99730}"/>
    <cellStyle name="20% - Accent5 3 3 2 4" xfId="19753" xr:uid="{A7A640B8-4DE5-4D4A-88B0-DA44EEEB8A00}"/>
    <cellStyle name="20% - Accent5 3 3 2 5" xfId="36611" xr:uid="{947D7E76-3D46-4312-B82F-4C72F79EABF3}"/>
    <cellStyle name="20% - Accent5 3 3 2 6" xfId="11318" xr:uid="{80AD6BD6-2F31-43E4-8A5C-4E29CC53478B}"/>
    <cellStyle name="20% - Accent5 3 3 3" xfId="4956" xr:uid="{00000000-0005-0000-0000-0000EA020000}"/>
    <cellStyle name="20% - Accent5 3 3 3 2" xfId="30255" xr:uid="{5BBEE07E-548D-4AD4-BDFD-4F1BE837795A}"/>
    <cellStyle name="20% - Accent5 3 3 3 3" xfId="21826" xr:uid="{F1CDD0B6-6740-42F5-946D-C5A381F6E32D}"/>
    <cellStyle name="20% - Accent5 3 3 3 4" xfId="38683" xr:uid="{768DFE04-1687-4C1D-B561-84E6125C9A41}"/>
    <cellStyle name="20% - Accent5 3 3 3 5" xfId="13391" xr:uid="{7CF66798-F616-4176-9233-A6B6373E1BAE}"/>
    <cellStyle name="20% - Accent5 3 3 4" xfId="26037" xr:uid="{24F089B1-CEFA-49AA-9495-24600DDCA364}"/>
    <cellStyle name="20% - Accent5 3 3 5" xfId="17608" xr:uid="{E28623C9-1901-4509-8CDB-1669D86AB779}"/>
    <cellStyle name="20% - Accent5 3 3 6" xfId="34466" xr:uid="{90F0E572-23F7-4AD9-A378-84AA1CC774E0}"/>
    <cellStyle name="20% - Accent5 3 3 7" xfId="9173" xr:uid="{CDEA0BA1-0264-4C4B-A23B-E5DD704E9967}"/>
    <cellStyle name="20% - Accent5 3 4" xfId="1060" xr:uid="{00000000-0005-0000-0000-0000EB020000}"/>
    <cellStyle name="20% - Accent5 3 4 2" xfId="3291" xr:uid="{00000000-0005-0000-0000-0000EC020000}"/>
    <cellStyle name="20% - Accent5 3 4 2 2" xfId="7514" xr:uid="{00000000-0005-0000-0000-0000ED020000}"/>
    <cellStyle name="20% - Accent5 3 4 2 2 2" xfId="32813" xr:uid="{87F1C72B-19D6-4C07-B08D-591036353F2E}"/>
    <cellStyle name="20% - Accent5 3 4 2 2 3" xfId="24384" xr:uid="{E6DE5526-E4EE-408A-9657-915ECE114285}"/>
    <cellStyle name="20% - Accent5 3 4 2 2 4" xfId="41241" xr:uid="{A1F4947B-D7AE-4E58-A558-4DD156F5E733}"/>
    <cellStyle name="20% - Accent5 3 4 2 2 5" xfId="15949" xr:uid="{96D7A513-7BB4-407B-B93B-0A1DC1C4AA81}"/>
    <cellStyle name="20% - Accent5 3 4 2 3" xfId="28595" xr:uid="{04E4D941-C6BD-4A5B-9488-185B51ED6EB7}"/>
    <cellStyle name="20% - Accent5 3 4 2 4" xfId="20166" xr:uid="{A7EFEFD6-1BEE-49DF-8FA5-91692316ACFE}"/>
    <cellStyle name="20% - Accent5 3 4 2 5" xfId="37024" xr:uid="{4D22FC9F-58F0-4E74-8DB8-9B8FBF2E7CC8}"/>
    <cellStyle name="20% - Accent5 3 4 2 6" xfId="11731" xr:uid="{36C920A9-2CEF-4B3F-ACDC-441BE8674790}"/>
    <cellStyle name="20% - Accent5 3 4 3" xfId="5369" xr:uid="{00000000-0005-0000-0000-0000EE020000}"/>
    <cellStyle name="20% - Accent5 3 4 3 2" xfId="30668" xr:uid="{33510DBA-86E4-4D00-8FF5-3E6A5D12DF03}"/>
    <cellStyle name="20% - Accent5 3 4 3 3" xfId="22239" xr:uid="{325D5B24-3744-4F56-BFEA-A0D943CBDDD5}"/>
    <cellStyle name="20% - Accent5 3 4 3 4" xfId="39096" xr:uid="{679E44E7-9744-4E97-B2FD-DA175B62B702}"/>
    <cellStyle name="20% - Accent5 3 4 3 5" xfId="13804" xr:uid="{9B93C0F2-C66F-4A0D-868C-30379839ED9F}"/>
    <cellStyle name="20% - Accent5 3 4 4" xfId="26450" xr:uid="{7F058FCF-52FE-4D3B-8A11-AB15B27D39CD}"/>
    <cellStyle name="20% - Accent5 3 4 5" xfId="18021" xr:uid="{63E892FB-A5C5-4419-A047-FCDBBE73A66B}"/>
    <cellStyle name="20% - Accent5 3 4 6" xfId="34879" xr:uid="{A21ED0C5-C9A2-431C-B6A8-D03F7A904EA5}"/>
    <cellStyle name="20% - Accent5 3 4 7" xfId="9586" xr:uid="{134C2826-53B2-45B3-89CD-AEC96F5CEB9C}"/>
    <cellStyle name="20% - Accent5 3 5" xfId="1474" xr:uid="{00000000-0005-0000-0000-0000EF020000}"/>
    <cellStyle name="20% - Accent5 3 5 2" xfId="3704" xr:uid="{00000000-0005-0000-0000-0000F0020000}"/>
    <cellStyle name="20% - Accent5 3 5 2 2" xfId="7927" xr:uid="{00000000-0005-0000-0000-0000F1020000}"/>
    <cellStyle name="20% - Accent5 3 5 2 2 2" xfId="33226" xr:uid="{D2F62641-2446-4247-B8CF-C58281A0F267}"/>
    <cellStyle name="20% - Accent5 3 5 2 2 3" xfId="24797" xr:uid="{B358927D-206E-4A19-85D0-623FAE71FCDA}"/>
    <cellStyle name="20% - Accent5 3 5 2 2 4" xfId="41654" xr:uid="{6C932DFE-DB83-47DE-B2BD-261441A56F8B}"/>
    <cellStyle name="20% - Accent5 3 5 2 2 5" xfId="16362" xr:uid="{59AC53B5-7E1E-4F31-86DE-2BF5756DCB5B}"/>
    <cellStyle name="20% - Accent5 3 5 2 3" xfId="29008" xr:uid="{E46D7FBD-F88F-4FEA-A5FA-C351287264BE}"/>
    <cellStyle name="20% - Accent5 3 5 2 4" xfId="20579" xr:uid="{49FCB347-7B88-406C-9DD1-E922AF352946}"/>
    <cellStyle name="20% - Accent5 3 5 2 5" xfId="37437" xr:uid="{EF12B9F9-C7D8-47B1-A932-85256E0625DF}"/>
    <cellStyle name="20% - Accent5 3 5 2 6" xfId="12144" xr:uid="{B0191530-0D16-4FA9-8826-E5D2E009A626}"/>
    <cellStyle name="20% - Accent5 3 5 3" xfId="5782" xr:uid="{00000000-0005-0000-0000-0000F2020000}"/>
    <cellStyle name="20% - Accent5 3 5 3 2" xfId="31081" xr:uid="{37338E21-1083-412B-A6F9-51E86BA9BFB7}"/>
    <cellStyle name="20% - Accent5 3 5 3 3" xfId="22652" xr:uid="{A8853721-1EB3-4672-A499-4D544111E20A}"/>
    <cellStyle name="20% - Accent5 3 5 3 4" xfId="39509" xr:uid="{87CFD9BF-2C52-4FA3-BDE6-ADAD3E15697E}"/>
    <cellStyle name="20% - Accent5 3 5 3 5" xfId="14217" xr:uid="{63BAA821-4B52-47CD-AE01-F14E2A1FC1DC}"/>
    <cellStyle name="20% - Accent5 3 5 4" xfId="26863" xr:uid="{23680402-E177-446C-A03A-3E049F34062D}"/>
    <cellStyle name="20% - Accent5 3 5 5" xfId="18434" xr:uid="{F0457246-248F-4870-9350-517E1528EB36}"/>
    <cellStyle name="20% - Accent5 3 5 6" xfId="35292" xr:uid="{BB3AA25B-413D-441F-87BF-7A4809B64299}"/>
    <cellStyle name="20% - Accent5 3 5 7" xfId="9999" xr:uid="{EF1200F9-2598-46CD-9263-E859047118E3}"/>
    <cellStyle name="20% - Accent5 3 6" xfId="1888" xr:uid="{00000000-0005-0000-0000-0000F3020000}"/>
    <cellStyle name="20% - Accent5 3 6 2" xfId="4117" xr:uid="{00000000-0005-0000-0000-0000F4020000}"/>
    <cellStyle name="20% - Accent5 3 6 2 2" xfId="8340" xr:uid="{00000000-0005-0000-0000-0000F5020000}"/>
    <cellStyle name="20% - Accent5 3 6 2 2 2" xfId="33639" xr:uid="{6EDA432F-3704-4DAD-B3E3-F94D9336DACF}"/>
    <cellStyle name="20% - Accent5 3 6 2 2 3" xfId="25210" xr:uid="{03744C71-F9C0-451A-B104-51FD48999F1D}"/>
    <cellStyle name="20% - Accent5 3 6 2 2 4" xfId="42067" xr:uid="{8BC43E85-C618-4B76-AA14-F0BB2222ABB0}"/>
    <cellStyle name="20% - Accent5 3 6 2 2 5" xfId="16775" xr:uid="{0FAE628F-06E7-4774-AB88-24D525E297E3}"/>
    <cellStyle name="20% - Accent5 3 6 2 3" xfId="29421" xr:uid="{C9C9D7DD-D9F8-4D9B-B77D-A796A6D8E949}"/>
    <cellStyle name="20% - Accent5 3 6 2 4" xfId="20992" xr:uid="{9BD0A92E-0EE2-4769-AE45-D631465D036F}"/>
    <cellStyle name="20% - Accent5 3 6 2 5" xfId="37850" xr:uid="{4B77215A-E5D0-46FB-B235-6C670E0552B1}"/>
    <cellStyle name="20% - Accent5 3 6 2 6" xfId="12557" xr:uid="{787121D8-0FAD-4CDF-8527-A1B0BF6358EC}"/>
    <cellStyle name="20% - Accent5 3 6 3" xfId="6195" xr:uid="{00000000-0005-0000-0000-0000F6020000}"/>
    <cellStyle name="20% - Accent5 3 6 3 2" xfId="31494" xr:uid="{5368DE43-40D2-4C1B-A5B8-22C8ADFB19E8}"/>
    <cellStyle name="20% - Accent5 3 6 3 3" xfId="23065" xr:uid="{49202C49-7E64-4A9D-B04A-DC3A22F130B2}"/>
    <cellStyle name="20% - Accent5 3 6 3 4" xfId="39922" xr:uid="{806CED4B-23EC-43CB-ADD6-BDBDFF9F1F6C}"/>
    <cellStyle name="20% - Accent5 3 6 3 5" xfId="14630" xr:uid="{9F57DC53-691D-418D-863F-8F673C575D81}"/>
    <cellStyle name="20% - Accent5 3 6 4" xfId="27276" xr:uid="{E890C67C-DA63-402C-B767-5C0FE368E424}"/>
    <cellStyle name="20% - Accent5 3 6 5" xfId="18847" xr:uid="{1E83206D-0A3E-4726-99D4-DC97303F4CCF}"/>
    <cellStyle name="20% - Accent5 3 6 6" xfId="35705" xr:uid="{C215ADAA-BA0E-4913-8DF3-B4E81028B489}"/>
    <cellStyle name="20% - Accent5 3 6 7" xfId="10412" xr:uid="{41A1EDD2-0D82-496E-BDA1-0B896BBD2A64}"/>
    <cellStyle name="20% - Accent5 3 7" xfId="2301" xr:uid="{00000000-0005-0000-0000-0000F7020000}"/>
    <cellStyle name="20% - Accent5 3 7 2" xfId="6608" xr:uid="{00000000-0005-0000-0000-0000F8020000}"/>
    <cellStyle name="20% - Accent5 3 7 2 2" xfId="31907" xr:uid="{0E76DC97-560C-4184-8F11-C318F92F5C81}"/>
    <cellStyle name="20% - Accent5 3 7 2 3" xfId="23478" xr:uid="{893E9D5E-4287-4FE8-88F1-7E8EAE237BF9}"/>
    <cellStyle name="20% - Accent5 3 7 2 4" xfId="40335" xr:uid="{4A8B2A05-8BFD-4A4B-83E7-FEF2AA4EFCA2}"/>
    <cellStyle name="20% - Accent5 3 7 2 5" xfId="15043" xr:uid="{0E17091B-105B-44F2-A822-FFD08DA1F6B5}"/>
    <cellStyle name="20% - Accent5 3 7 3" xfId="27689" xr:uid="{C6D87F22-7A5B-4420-9919-0E6B31D661A9}"/>
    <cellStyle name="20% - Accent5 3 7 4" xfId="19260" xr:uid="{ADF1EE12-E460-433B-BE8D-53F545E83E41}"/>
    <cellStyle name="20% - Accent5 3 7 5" xfId="36118" xr:uid="{8AEF5E27-D069-4DFB-B518-5AF01766E15A}"/>
    <cellStyle name="20% - Accent5 3 7 6" xfId="10825" xr:uid="{1166BE66-A65D-4456-80D3-E510D1B1C506}"/>
    <cellStyle name="20% - Accent5 3 8" xfId="4542" xr:uid="{00000000-0005-0000-0000-0000F9020000}"/>
    <cellStyle name="20% - Accent5 3 8 2" xfId="29841" xr:uid="{4D2E6218-B1CF-4162-9071-904CD7605302}"/>
    <cellStyle name="20% - Accent5 3 8 3" xfId="21412" xr:uid="{535EDAB4-D99E-4B37-B7DB-9B3FF680E7C1}"/>
    <cellStyle name="20% - Accent5 3 8 4" xfId="38269" xr:uid="{10441315-CE7A-4BA8-8F4A-8A7768EBF37D}"/>
    <cellStyle name="20% - Accent5 3 8 5" xfId="12977" xr:uid="{54597B66-82C6-4D8E-AF78-DC34789144DE}"/>
    <cellStyle name="20% - Accent5 3 9" xfId="25623" xr:uid="{61F21C6D-625A-41B6-9185-BB26E470D2D3}"/>
    <cellStyle name="20% - Accent5 4" xfId="40" xr:uid="{00000000-0005-0000-0000-0000FA020000}"/>
    <cellStyle name="20% - Accent5 4 10" xfId="34054" xr:uid="{09789484-2D63-4028-81FA-8ABAD9659626}"/>
    <cellStyle name="20% - Accent5 4 11" xfId="8761" xr:uid="{06BD2204-3530-4E93-BE14-9B6850749271}"/>
    <cellStyle name="20% - Accent5 4 2" xfId="609" xr:uid="{00000000-0005-0000-0000-0000FB020000}"/>
    <cellStyle name="20% - Accent5 4 2 2" xfId="2880" xr:uid="{00000000-0005-0000-0000-0000FC020000}"/>
    <cellStyle name="20% - Accent5 4 2 2 2" xfId="7103" xr:uid="{00000000-0005-0000-0000-0000FD020000}"/>
    <cellStyle name="20% - Accent5 4 2 2 2 2" xfId="32402" xr:uid="{42EDF3BD-5587-4CD7-AC1F-23A8534B8F3D}"/>
    <cellStyle name="20% - Accent5 4 2 2 2 3" xfId="23973" xr:uid="{649F3069-A1B2-4011-88BD-2A5F3F720D76}"/>
    <cellStyle name="20% - Accent5 4 2 2 2 4" xfId="40830" xr:uid="{4DF214D5-9B06-486D-9D4F-E88E611CB2B0}"/>
    <cellStyle name="20% - Accent5 4 2 2 2 5" xfId="15538" xr:uid="{2DFDE8FC-FA9B-41BD-A240-E8B2F2CA5226}"/>
    <cellStyle name="20% - Accent5 4 2 2 3" xfId="28184" xr:uid="{E3CF4C4B-8374-4DD6-B9A8-DC218782B1CE}"/>
    <cellStyle name="20% - Accent5 4 2 2 4" xfId="19755" xr:uid="{4B257F5D-AF3D-44A0-9BF1-741AB0450801}"/>
    <cellStyle name="20% - Accent5 4 2 2 5" xfId="36613" xr:uid="{E76ECBF8-82CE-4E0A-8DC0-DF04A68BCAD0}"/>
    <cellStyle name="20% - Accent5 4 2 2 6" xfId="11320" xr:uid="{F865ED1F-30C9-448A-BC16-511E31B20403}"/>
    <cellStyle name="20% - Accent5 4 2 3" xfId="4958" xr:uid="{00000000-0005-0000-0000-0000FE020000}"/>
    <cellStyle name="20% - Accent5 4 2 3 2" xfId="30257" xr:uid="{72E4C3E5-643F-4CBF-8CFB-AFB326777BEF}"/>
    <cellStyle name="20% - Accent5 4 2 3 3" xfId="21828" xr:uid="{D4714EB8-B8C6-4A36-A586-635F5F8FF9E0}"/>
    <cellStyle name="20% - Accent5 4 2 3 4" xfId="38685" xr:uid="{55537315-A541-438E-871F-B79AE195B158}"/>
    <cellStyle name="20% - Accent5 4 2 3 5" xfId="13393" xr:uid="{4AA3311C-B77A-4C25-BB36-90227F3E0F7A}"/>
    <cellStyle name="20% - Accent5 4 2 4" xfId="26039" xr:uid="{E645C2EC-4656-48C8-8521-6BA60EF8CD17}"/>
    <cellStyle name="20% - Accent5 4 2 5" xfId="17610" xr:uid="{4AE8753C-6D97-4FDF-A19C-ADB97A9DA24D}"/>
    <cellStyle name="20% - Accent5 4 2 6" xfId="34468" xr:uid="{A38E1F14-CCA8-4125-BDB4-88A6DD16DA31}"/>
    <cellStyle name="20% - Accent5 4 2 7" xfId="9175" xr:uid="{ED9DFC79-89FF-4EEE-911D-85B3945A3013}"/>
    <cellStyle name="20% - Accent5 4 3" xfId="1062" xr:uid="{00000000-0005-0000-0000-0000FF020000}"/>
    <cellStyle name="20% - Accent5 4 3 2" xfId="3293" xr:uid="{00000000-0005-0000-0000-000000030000}"/>
    <cellStyle name="20% - Accent5 4 3 2 2" xfId="7516" xr:uid="{00000000-0005-0000-0000-000001030000}"/>
    <cellStyle name="20% - Accent5 4 3 2 2 2" xfId="32815" xr:uid="{11461719-5E5F-408D-8291-D1A2FEF1949D}"/>
    <cellStyle name="20% - Accent5 4 3 2 2 3" xfId="24386" xr:uid="{A910F640-0D15-409F-AF9D-643490806443}"/>
    <cellStyle name="20% - Accent5 4 3 2 2 4" xfId="41243" xr:uid="{2503D4A9-1EB1-4523-8AE9-43E6AB2205EC}"/>
    <cellStyle name="20% - Accent5 4 3 2 2 5" xfId="15951" xr:uid="{8E6E32D1-9852-4217-BCEC-C961F8C5C0A0}"/>
    <cellStyle name="20% - Accent5 4 3 2 3" xfId="28597" xr:uid="{FA6EAEE3-97C8-409F-AAC4-E4F3184B11E1}"/>
    <cellStyle name="20% - Accent5 4 3 2 4" xfId="20168" xr:uid="{9A0C33DC-F20F-418A-93CC-610B515E6FE0}"/>
    <cellStyle name="20% - Accent5 4 3 2 5" xfId="37026" xr:uid="{30D5CC18-A113-4F4C-9E2A-56D171F4C3D4}"/>
    <cellStyle name="20% - Accent5 4 3 2 6" xfId="11733" xr:uid="{6BC62958-D4CA-447F-B788-A0C9BEBAC05D}"/>
    <cellStyle name="20% - Accent5 4 3 3" xfId="5371" xr:uid="{00000000-0005-0000-0000-000002030000}"/>
    <cellStyle name="20% - Accent5 4 3 3 2" xfId="30670" xr:uid="{E1F267DB-DA2F-4F00-948D-1D040C46EB22}"/>
    <cellStyle name="20% - Accent5 4 3 3 3" xfId="22241" xr:uid="{3BE17D72-9B76-4185-9F72-4F0033A11C35}"/>
    <cellStyle name="20% - Accent5 4 3 3 4" xfId="39098" xr:uid="{D272B5D5-2A29-4698-9D9F-B1E5AE2F5615}"/>
    <cellStyle name="20% - Accent5 4 3 3 5" xfId="13806" xr:uid="{B4819001-A275-4E26-A765-ADF06153C1D0}"/>
    <cellStyle name="20% - Accent5 4 3 4" xfId="26452" xr:uid="{CE669145-011D-471E-AC26-62358EA5442F}"/>
    <cellStyle name="20% - Accent5 4 3 5" xfId="18023" xr:uid="{4FE9FFF7-A548-4253-8AB6-674BF6A58F6C}"/>
    <cellStyle name="20% - Accent5 4 3 6" xfId="34881" xr:uid="{81396F39-5BDF-47BD-83D4-1FF2A4727152}"/>
    <cellStyle name="20% - Accent5 4 3 7" xfId="9588" xr:uid="{4C73D1CE-5599-41D4-B7DB-38B5ED87A942}"/>
    <cellStyle name="20% - Accent5 4 4" xfId="1476" xr:uid="{00000000-0005-0000-0000-000003030000}"/>
    <cellStyle name="20% - Accent5 4 4 2" xfId="3706" xr:uid="{00000000-0005-0000-0000-000004030000}"/>
    <cellStyle name="20% - Accent5 4 4 2 2" xfId="7929" xr:uid="{00000000-0005-0000-0000-000005030000}"/>
    <cellStyle name="20% - Accent5 4 4 2 2 2" xfId="33228" xr:uid="{07BD5663-A5C3-44B5-BDEB-9973AC77C70C}"/>
    <cellStyle name="20% - Accent5 4 4 2 2 3" xfId="24799" xr:uid="{08520EE7-B48C-439D-8B62-CE4BA0D8831F}"/>
    <cellStyle name="20% - Accent5 4 4 2 2 4" xfId="41656" xr:uid="{A5841D06-901D-4288-8322-D25C80C1CAE3}"/>
    <cellStyle name="20% - Accent5 4 4 2 2 5" xfId="16364" xr:uid="{224625FC-48EF-4E28-86BD-C6B879294009}"/>
    <cellStyle name="20% - Accent5 4 4 2 3" xfId="29010" xr:uid="{1DA267DD-84ED-4208-A87A-F32F9FE28912}"/>
    <cellStyle name="20% - Accent5 4 4 2 4" xfId="20581" xr:uid="{66124DFF-5B30-413E-9B86-BC619512871B}"/>
    <cellStyle name="20% - Accent5 4 4 2 5" xfId="37439" xr:uid="{A6DC8073-0E80-4D09-963E-342CEEB47ED8}"/>
    <cellStyle name="20% - Accent5 4 4 2 6" xfId="12146" xr:uid="{7A22DE4A-6F02-4DF3-9467-4F12D72E3B8B}"/>
    <cellStyle name="20% - Accent5 4 4 3" xfId="5784" xr:uid="{00000000-0005-0000-0000-000006030000}"/>
    <cellStyle name="20% - Accent5 4 4 3 2" xfId="31083" xr:uid="{D9EBF627-2908-41AE-BB7F-611EC4EB631F}"/>
    <cellStyle name="20% - Accent5 4 4 3 3" xfId="22654" xr:uid="{9865A680-74C5-498F-89DE-25170C9EFDE0}"/>
    <cellStyle name="20% - Accent5 4 4 3 4" xfId="39511" xr:uid="{025A2C36-BA69-444A-A76D-760A601A7B4B}"/>
    <cellStyle name="20% - Accent5 4 4 3 5" xfId="14219" xr:uid="{309AE3D1-C371-40A2-9B77-244158539C26}"/>
    <cellStyle name="20% - Accent5 4 4 4" xfId="26865" xr:uid="{5D7B376E-3631-4DE6-B3F7-1CB6F7E135FD}"/>
    <cellStyle name="20% - Accent5 4 4 5" xfId="18436" xr:uid="{A462EF32-7A9D-4DBF-A03B-17A0E3D561F2}"/>
    <cellStyle name="20% - Accent5 4 4 6" xfId="35294" xr:uid="{D5A1DB3F-1E36-4BF2-A5AF-0C5B5399298D}"/>
    <cellStyle name="20% - Accent5 4 4 7" xfId="10001" xr:uid="{69AA48B1-2D0F-4FAF-BC66-92E4B32C5A22}"/>
    <cellStyle name="20% - Accent5 4 5" xfId="1890" xr:uid="{00000000-0005-0000-0000-000007030000}"/>
    <cellStyle name="20% - Accent5 4 5 2" xfId="4119" xr:uid="{00000000-0005-0000-0000-000008030000}"/>
    <cellStyle name="20% - Accent5 4 5 2 2" xfId="8342" xr:uid="{00000000-0005-0000-0000-000009030000}"/>
    <cellStyle name="20% - Accent5 4 5 2 2 2" xfId="33641" xr:uid="{56FAE6B2-D498-422B-B20C-3CFF148EA239}"/>
    <cellStyle name="20% - Accent5 4 5 2 2 3" xfId="25212" xr:uid="{1EE7961B-AE2B-4D59-A14D-E98503B2AF55}"/>
    <cellStyle name="20% - Accent5 4 5 2 2 4" xfId="42069" xr:uid="{80BE3CD8-0D84-4386-81D7-026E32171CB2}"/>
    <cellStyle name="20% - Accent5 4 5 2 2 5" xfId="16777" xr:uid="{3B4F06BE-DFAE-43ED-B3C3-485EACC421FC}"/>
    <cellStyle name="20% - Accent5 4 5 2 3" xfId="29423" xr:uid="{BBA8468E-737D-4D8C-880A-914C5CF05E45}"/>
    <cellStyle name="20% - Accent5 4 5 2 4" xfId="20994" xr:uid="{9C36E69A-734C-4A14-BA84-CF325EBD9D03}"/>
    <cellStyle name="20% - Accent5 4 5 2 5" xfId="37852" xr:uid="{575C5584-6610-4B41-9CF6-BE25597DA05F}"/>
    <cellStyle name="20% - Accent5 4 5 2 6" xfId="12559" xr:uid="{77CB9CE5-E95E-44AF-ABAB-34299584BEDD}"/>
    <cellStyle name="20% - Accent5 4 5 3" xfId="6197" xr:uid="{00000000-0005-0000-0000-00000A030000}"/>
    <cellStyle name="20% - Accent5 4 5 3 2" xfId="31496" xr:uid="{F5E9E95F-F0C9-4E4E-95CB-AF88D6389914}"/>
    <cellStyle name="20% - Accent5 4 5 3 3" xfId="23067" xr:uid="{69E50CF3-8B73-4C44-BDF9-AEE79066A4F5}"/>
    <cellStyle name="20% - Accent5 4 5 3 4" xfId="39924" xr:uid="{F7B24673-70F5-411C-84F7-455F93DF3814}"/>
    <cellStyle name="20% - Accent5 4 5 3 5" xfId="14632" xr:uid="{B5C5DB48-576D-4DD6-94A8-6DD54DDF51C3}"/>
    <cellStyle name="20% - Accent5 4 5 4" xfId="27278" xr:uid="{34C2C487-5837-4335-B4AF-6C865173B634}"/>
    <cellStyle name="20% - Accent5 4 5 5" xfId="18849" xr:uid="{71054287-8C8B-4F7C-836A-96B3FCDA94AA}"/>
    <cellStyle name="20% - Accent5 4 5 6" xfId="35707" xr:uid="{C2C5EC95-2258-49DF-9B95-7F30CAEB2FB9}"/>
    <cellStyle name="20% - Accent5 4 5 7" xfId="10414" xr:uid="{6941EBF3-346F-4AEB-B5A9-EB3FD25C4306}"/>
    <cellStyle name="20% - Accent5 4 6" xfId="2303" xr:uid="{00000000-0005-0000-0000-00000B030000}"/>
    <cellStyle name="20% - Accent5 4 6 2" xfId="6610" xr:uid="{00000000-0005-0000-0000-00000C030000}"/>
    <cellStyle name="20% - Accent5 4 6 2 2" xfId="31909" xr:uid="{98135992-083D-4134-890F-EC80EFAD6AB2}"/>
    <cellStyle name="20% - Accent5 4 6 2 3" xfId="23480" xr:uid="{6394DA82-3402-49CF-9052-DF889AA8D65E}"/>
    <cellStyle name="20% - Accent5 4 6 2 4" xfId="40337" xr:uid="{BF1724C8-F406-48A9-8573-149E69965B65}"/>
    <cellStyle name="20% - Accent5 4 6 2 5" xfId="15045" xr:uid="{16031507-061E-447F-9450-E1593CA5AAD0}"/>
    <cellStyle name="20% - Accent5 4 6 3" xfId="27691" xr:uid="{B37F2171-6DE6-4DC0-9B45-472FBFA66301}"/>
    <cellStyle name="20% - Accent5 4 6 4" xfId="19262" xr:uid="{FF33ED03-91AC-4379-9BFA-0CF259502D57}"/>
    <cellStyle name="20% - Accent5 4 6 5" xfId="36120" xr:uid="{D2F12E8F-984A-426F-99CB-BBC1CB0E0DF6}"/>
    <cellStyle name="20% - Accent5 4 6 6" xfId="10827" xr:uid="{1BA25B3F-54B5-4DAD-A911-74D457AB314B}"/>
    <cellStyle name="20% - Accent5 4 7" xfId="4544" xr:uid="{00000000-0005-0000-0000-00000D030000}"/>
    <cellStyle name="20% - Accent5 4 7 2" xfId="29843" xr:uid="{52FDA732-F46F-446D-A2B2-F4382757D222}"/>
    <cellStyle name="20% - Accent5 4 7 3" xfId="21414" xr:uid="{1AE00553-C884-4DD9-9D25-7823BDC3D473}"/>
    <cellStyle name="20% - Accent5 4 7 4" xfId="38271" xr:uid="{10997C0A-D427-47C3-A3C5-58A43EAAC286}"/>
    <cellStyle name="20% - Accent5 4 7 5" xfId="12979" xr:uid="{C29CA4EA-11CF-4076-8C41-BB5C77DD8D9A}"/>
    <cellStyle name="20% - Accent5 4 8" xfId="25625" xr:uid="{EB8265D2-DF13-4E65-9F8E-885C92576025}"/>
    <cellStyle name="20% - Accent5 4 9" xfId="17196" xr:uid="{9D21C1CE-AFAD-4364-ABD0-5772607FE131}"/>
    <cellStyle name="20% - Accent5 5" xfId="602" xr:uid="{00000000-0005-0000-0000-00000E030000}"/>
    <cellStyle name="20% - Accent5 5 2" xfId="2873" xr:uid="{00000000-0005-0000-0000-00000F030000}"/>
    <cellStyle name="20% - Accent5 5 2 2" xfId="7096" xr:uid="{00000000-0005-0000-0000-000010030000}"/>
    <cellStyle name="20% - Accent5 5 2 2 2" xfId="32395" xr:uid="{605EEDA7-A813-49A4-9372-19A0E7E33B6B}"/>
    <cellStyle name="20% - Accent5 5 2 2 3" xfId="23966" xr:uid="{537A59D8-AAF4-4532-9790-4F6DADBFB82E}"/>
    <cellStyle name="20% - Accent5 5 2 2 4" xfId="40823" xr:uid="{3794B0AA-C601-4433-984B-800208F1AB7F}"/>
    <cellStyle name="20% - Accent5 5 2 2 5" xfId="15531" xr:uid="{8F294C65-D8BC-46A7-9EE0-0F0831D75C24}"/>
    <cellStyle name="20% - Accent5 5 2 3" xfId="28177" xr:uid="{8E589246-D9AB-4893-8B32-E3B59BDA7CF0}"/>
    <cellStyle name="20% - Accent5 5 2 4" xfId="19748" xr:uid="{25103774-5FE5-4757-9A4E-98D57A8EBD80}"/>
    <cellStyle name="20% - Accent5 5 2 5" xfId="36606" xr:uid="{5B71D567-35E4-47F8-9098-11912BB8870B}"/>
    <cellStyle name="20% - Accent5 5 2 6" xfId="11313" xr:uid="{FB279021-E94E-4DA5-B9BE-FDB8861B6D21}"/>
    <cellStyle name="20% - Accent5 5 3" xfId="4951" xr:uid="{00000000-0005-0000-0000-000011030000}"/>
    <cellStyle name="20% - Accent5 5 3 2" xfId="30250" xr:uid="{1EE72F58-CBC0-4E9B-8279-C84CB969A6CD}"/>
    <cellStyle name="20% - Accent5 5 3 3" xfId="21821" xr:uid="{BDE6D881-A192-489D-A01D-9B37929FD1EF}"/>
    <cellStyle name="20% - Accent5 5 3 4" xfId="38678" xr:uid="{40BF9A81-93D1-487B-9886-68638FC99893}"/>
    <cellStyle name="20% - Accent5 5 3 5" xfId="13386" xr:uid="{654BC497-A9E8-47D6-84EA-8BDFACBC15C4}"/>
    <cellStyle name="20% - Accent5 5 4" xfId="26032" xr:uid="{22D2A257-6307-4242-82A7-F0AD02E784C8}"/>
    <cellStyle name="20% - Accent5 5 5" xfId="17603" xr:uid="{084FA5B2-1E77-4B2C-B3FD-09111421858E}"/>
    <cellStyle name="20% - Accent5 5 6" xfId="34461" xr:uid="{283A2939-BD87-4C10-96DF-67827ED2D056}"/>
    <cellStyle name="20% - Accent5 5 7" xfId="9168" xr:uid="{2369EC58-4C70-412C-80CB-5299E9F75B9F}"/>
    <cellStyle name="20% - Accent5 6" xfId="1055" xr:uid="{00000000-0005-0000-0000-000012030000}"/>
    <cellStyle name="20% - Accent5 6 2" xfId="3286" xr:uid="{00000000-0005-0000-0000-000013030000}"/>
    <cellStyle name="20% - Accent5 6 2 2" xfId="7509" xr:uid="{00000000-0005-0000-0000-000014030000}"/>
    <cellStyle name="20% - Accent5 6 2 2 2" xfId="32808" xr:uid="{698B2F89-F913-4AF2-B407-1DBC39B9968D}"/>
    <cellStyle name="20% - Accent5 6 2 2 3" xfId="24379" xr:uid="{A0775039-E138-46FF-A075-F09D237A3014}"/>
    <cellStyle name="20% - Accent5 6 2 2 4" xfId="41236" xr:uid="{D60C0CCE-00AC-4608-B2D8-07821249EEE4}"/>
    <cellStyle name="20% - Accent5 6 2 2 5" xfId="15944" xr:uid="{034B2F42-B065-4634-8FEC-4781C9393E27}"/>
    <cellStyle name="20% - Accent5 6 2 3" xfId="28590" xr:uid="{B4FE0CA3-548E-47F4-A30E-C74B1F0D1065}"/>
    <cellStyle name="20% - Accent5 6 2 4" xfId="20161" xr:uid="{F77EB31C-B29F-4C62-9655-B6572895ACE1}"/>
    <cellStyle name="20% - Accent5 6 2 5" xfId="37019" xr:uid="{A80EC59C-FB67-42D2-B5C1-2EC2C513BB5C}"/>
    <cellStyle name="20% - Accent5 6 2 6" xfId="11726" xr:uid="{94636660-1367-4016-BDEC-1142BDCC1270}"/>
    <cellStyle name="20% - Accent5 6 3" xfId="5364" xr:uid="{00000000-0005-0000-0000-000015030000}"/>
    <cellStyle name="20% - Accent5 6 3 2" xfId="30663" xr:uid="{E2A088D4-43A3-4674-99C8-B91D3C41761A}"/>
    <cellStyle name="20% - Accent5 6 3 3" xfId="22234" xr:uid="{78F18756-C422-43AF-A469-6CE9B6B28884}"/>
    <cellStyle name="20% - Accent5 6 3 4" xfId="39091" xr:uid="{7DC304E6-0375-4E28-8543-F8660AF7AB0D}"/>
    <cellStyle name="20% - Accent5 6 3 5" xfId="13799" xr:uid="{7047C20C-E703-4F33-A2F1-5D5D6664115B}"/>
    <cellStyle name="20% - Accent5 6 4" xfId="26445" xr:uid="{50175149-B119-4848-83FF-42C9DB52F465}"/>
    <cellStyle name="20% - Accent5 6 5" xfId="18016" xr:uid="{BA25B718-E045-43CE-8CDD-468DA8209227}"/>
    <cellStyle name="20% - Accent5 6 6" xfId="34874" xr:uid="{D843A083-BB2C-44B3-B6A5-E57D90590AA9}"/>
    <cellStyle name="20% - Accent5 6 7" xfId="9581" xr:uid="{CECDB94D-F038-4273-A005-C6AA5E2612A4}"/>
    <cellStyle name="20% - Accent5 7" xfId="1469" xr:uid="{00000000-0005-0000-0000-000016030000}"/>
    <cellStyle name="20% - Accent5 7 2" xfId="3699" xr:uid="{00000000-0005-0000-0000-000017030000}"/>
    <cellStyle name="20% - Accent5 7 2 2" xfId="7922" xr:uid="{00000000-0005-0000-0000-000018030000}"/>
    <cellStyle name="20% - Accent5 7 2 2 2" xfId="33221" xr:uid="{347AA8D6-4034-48E6-8EF0-885F73D4958F}"/>
    <cellStyle name="20% - Accent5 7 2 2 3" xfId="24792" xr:uid="{37E12B9C-2F37-495A-9966-DED14306C5E5}"/>
    <cellStyle name="20% - Accent5 7 2 2 4" xfId="41649" xr:uid="{A67992D0-0044-4F98-8A93-3ADEC6F08450}"/>
    <cellStyle name="20% - Accent5 7 2 2 5" xfId="16357" xr:uid="{D3492DF1-9403-4906-BF8B-E03EA3E67281}"/>
    <cellStyle name="20% - Accent5 7 2 3" xfId="29003" xr:uid="{C73C7B2F-2D6E-4F69-8E35-B95FD6F82B35}"/>
    <cellStyle name="20% - Accent5 7 2 4" xfId="20574" xr:uid="{F108F6CB-BE97-4B26-B936-6AD27F1DC37B}"/>
    <cellStyle name="20% - Accent5 7 2 5" xfId="37432" xr:uid="{E506C662-7675-4465-93B8-57CA95E135F1}"/>
    <cellStyle name="20% - Accent5 7 2 6" xfId="12139" xr:uid="{4282459A-608B-46D3-87F2-BE24237EFED8}"/>
    <cellStyle name="20% - Accent5 7 3" xfId="5777" xr:uid="{00000000-0005-0000-0000-000019030000}"/>
    <cellStyle name="20% - Accent5 7 3 2" xfId="31076" xr:uid="{DBEE7335-4A88-44C7-B99F-B73A11CB9C89}"/>
    <cellStyle name="20% - Accent5 7 3 3" xfId="22647" xr:uid="{27513549-8CAE-440C-B966-B7F645A15AEF}"/>
    <cellStyle name="20% - Accent5 7 3 4" xfId="39504" xr:uid="{1B6593A8-27FD-4D15-864F-EFD79D4BAB5D}"/>
    <cellStyle name="20% - Accent5 7 3 5" xfId="14212" xr:uid="{FECF7A53-07F1-4B5F-B045-341608539A55}"/>
    <cellStyle name="20% - Accent5 7 4" xfId="26858" xr:uid="{4D0B7156-8710-4057-AEAC-AA2ABA1B684E}"/>
    <cellStyle name="20% - Accent5 7 5" xfId="18429" xr:uid="{AB22B9B5-87BB-481C-9BBD-E12F763A142D}"/>
    <cellStyle name="20% - Accent5 7 6" xfId="35287" xr:uid="{1C1BC59E-A5FD-46D9-A109-C628DD06F5E0}"/>
    <cellStyle name="20% - Accent5 7 7" xfId="9994" xr:uid="{B5241420-EB11-48FB-B312-F8B4A93833B0}"/>
    <cellStyle name="20% - Accent5 8" xfId="1883" xr:uid="{00000000-0005-0000-0000-00001A030000}"/>
    <cellStyle name="20% - Accent5 8 2" xfId="4112" xr:uid="{00000000-0005-0000-0000-00001B030000}"/>
    <cellStyle name="20% - Accent5 8 2 2" xfId="8335" xr:uid="{00000000-0005-0000-0000-00001C030000}"/>
    <cellStyle name="20% - Accent5 8 2 2 2" xfId="33634" xr:uid="{5FA1AA39-56D9-406E-8DDD-A9F34314E2A2}"/>
    <cellStyle name="20% - Accent5 8 2 2 3" xfId="25205" xr:uid="{A49C370B-1E98-46D4-B8DB-A2F891B48704}"/>
    <cellStyle name="20% - Accent5 8 2 2 4" xfId="42062" xr:uid="{55571C91-0351-4F7D-83BF-D34EF7F045D5}"/>
    <cellStyle name="20% - Accent5 8 2 2 5" xfId="16770" xr:uid="{D77280A3-6028-4CB3-B54E-1A72A0525AAE}"/>
    <cellStyle name="20% - Accent5 8 2 3" xfId="29416" xr:uid="{D801B8BE-BEB2-464E-86E6-3DB44CC2E00B}"/>
    <cellStyle name="20% - Accent5 8 2 4" xfId="20987" xr:uid="{D61ADA09-D990-4455-BF94-FE060BFAEEFE}"/>
    <cellStyle name="20% - Accent5 8 2 5" xfId="37845" xr:uid="{7CFF3915-5037-4BB8-BA2D-E9A92CB479B9}"/>
    <cellStyle name="20% - Accent5 8 2 6" xfId="12552" xr:uid="{243015AD-BEFF-4025-A02D-A831F7F6D0A0}"/>
    <cellStyle name="20% - Accent5 8 3" xfId="6190" xr:uid="{00000000-0005-0000-0000-00001D030000}"/>
    <cellStyle name="20% - Accent5 8 3 2" xfId="31489" xr:uid="{ED750404-57C1-4931-88B0-688C525B855D}"/>
    <cellStyle name="20% - Accent5 8 3 3" xfId="23060" xr:uid="{5C1D7F61-1DC5-4BA6-9626-209D6B7A9769}"/>
    <cellStyle name="20% - Accent5 8 3 4" xfId="39917" xr:uid="{CE68DF05-BA2C-407A-9284-CEF34C18162D}"/>
    <cellStyle name="20% - Accent5 8 3 5" xfId="14625" xr:uid="{93AD4480-F931-429B-A6DC-B325FE399CCD}"/>
    <cellStyle name="20% - Accent5 8 4" xfId="27271" xr:uid="{BE018403-2A4F-4339-91BE-C540C09B8D2B}"/>
    <cellStyle name="20% - Accent5 8 5" xfId="18842" xr:uid="{DB081C76-231A-465C-B521-3123CAF476B7}"/>
    <cellStyle name="20% - Accent5 8 6" xfId="35700" xr:uid="{7A4A00D7-F040-4333-9BEE-3AC0FBA1093C}"/>
    <cellStyle name="20% - Accent5 8 7" xfId="10407" xr:uid="{4F24D8C8-6820-41E6-AB51-8AE7343DA45E}"/>
    <cellStyle name="20% - Accent5 9" xfId="2296" xr:uid="{00000000-0005-0000-0000-00001E030000}"/>
    <cellStyle name="20% - Accent5 9 2" xfId="6603" xr:uid="{00000000-0005-0000-0000-00001F030000}"/>
    <cellStyle name="20% - Accent5 9 2 2" xfId="31902" xr:uid="{4C664BF7-71F4-4ECB-8FAA-4E17A0A5C3D3}"/>
    <cellStyle name="20% - Accent5 9 2 3" xfId="23473" xr:uid="{30AB2F82-7B0C-4092-9C96-03DA09DDF4B8}"/>
    <cellStyle name="20% - Accent5 9 2 4" xfId="40330" xr:uid="{FE060012-E81F-4A99-8419-82E0B4BCF054}"/>
    <cellStyle name="20% - Accent5 9 2 5" xfId="15038" xr:uid="{11CFD80F-4ADF-4573-81FA-0C7C9AB72200}"/>
    <cellStyle name="20% - Accent5 9 3" xfId="27684" xr:uid="{C08251D7-9C46-498A-8DA1-00DE202928E2}"/>
    <cellStyle name="20% - Accent5 9 4" xfId="19255" xr:uid="{EE89FD56-0817-4848-B5DB-084AFF615668}"/>
    <cellStyle name="20% - Accent5 9 5" xfId="36113" xr:uid="{64782AC1-00AA-41D1-80F6-40C89B26161E}"/>
    <cellStyle name="20% - Accent5 9 6" xfId="10820" xr:uid="{BFB441D3-6736-447E-8A99-EE58EFEF1211}"/>
    <cellStyle name="20% - Accent6" xfId="41" builtinId="50" customBuiltin="1"/>
    <cellStyle name="20% - Accent6 10" xfId="4545" xr:uid="{00000000-0005-0000-0000-000021030000}"/>
    <cellStyle name="20% - Accent6 10 2" xfId="29844" xr:uid="{40DA2C7B-07A6-4480-B89A-D5C609374A9B}"/>
    <cellStyle name="20% - Accent6 10 3" xfId="21415" xr:uid="{D1FBA293-C808-43D7-A93A-25CDB44DD172}"/>
    <cellStyle name="20% - Accent6 10 4" xfId="38272" xr:uid="{05180B1E-11EC-4E28-9CC1-A97BF894E391}"/>
    <cellStyle name="20% - Accent6 10 5" xfId="12980" xr:uid="{FAE595FA-44FF-409D-B2A4-F4AE82459656}"/>
    <cellStyle name="20% - Accent6 11" xfId="25626" xr:uid="{F2D6A80E-5C44-4C3C-B6CA-693721C70156}"/>
    <cellStyle name="20% - Accent6 12" xfId="17197" xr:uid="{74A389DC-877A-479A-9D16-3A4F666E8B25}"/>
    <cellStyle name="20% - Accent6 13" xfId="34055" xr:uid="{FCCD03C7-3FE6-4B5F-AB37-7DD03F853A62}"/>
    <cellStyle name="20% - Accent6 14" xfId="8762" xr:uid="{2D215EC7-7F3E-4673-837B-9AEA16167590}"/>
    <cellStyle name="20% - Accent6 2" xfId="42" xr:uid="{00000000-0005-0000-0000-000022030000}"/>
    <cellStyle name="20% - Accent6 2 10" xfId="25627" xr:uid="{5F9D95FE-22C3-4456-9BA0-F6A20577C740}"/>
    <cellStyle name="20% - Accent6 2 11" xfId="17198" xr:uid="{6813D02E-DA28-4607-912C-B5B2DE12BFE3}"/>
    <cellStyle name="20% - Accent6 2 12" xfId="34056" xr:uid="{58354073-7694-45EB-B714-3BE487FB8FED}"/>
    <cellStyle name="20% - Accent6 2 13" xfId="8763" xr:uid="{1596BF03-1FD1-4487-A4D6-B4946078E55C}"/>
    <cellStyle name="20% - Accent6 2 2" xfId="43" xr:uid="{00000000-0005-0000-0000-000023030000}"/>
    <cellStyle name="20% - Accent6 2 2 10" xfId="17199" xr:uid="{61298AAB-8553-4DFA-A2F5-1D5B800897EA}"/>
    <cellStyle name="20% - Accent6 2 2 11" xfId="34057" xr:uid="{7CAC578B-A9BD-42DB-8A34-35C59F5641DA}"/>
    <cellStyle name="20% - Accent6 2 2 12" xfId="8764" xr:uid="{0FB53DA9-E9C2-4F8B-A411-710905E1218D}"/>
    <cellStyle name="20% - Accent6 2 2 2" xfId="44" xr:uid="{00000000-0005-0000-0000-000024030000}"/>
    <cellStyle name="20% - Accent6 2 2 2 10" xfId="34058" xr:uid="{8180C1DE-3723-4B8C-84CF-2EA73E4CF2FD}"/>
    <cellStyle name="20% - Accent6 2 2 2 11" xfId="8765" xr:uid="{A73A9087-80A4-43BC-8A44-0EAD069ABBC3}"/>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32406" xr:uid="{876839E8-B462-4F44-9BA4-1CD127B3A11A}"/>
    <cellStyle name="20% - Accent6 2 2 2 2 2 2 3" xfId="23977" xr:uid="{D28659F5-5EFF-4353-88BD-73F22BEB72BB}"/>
    <cellStyle name="20% - Accent6 2 2 2 2 2 2 4" xfId="40834" xr:uid="{49A5AC1A-D182-4F7B-B05A-225235B9F966}"/>
    <cellStyle name="20% - Accent6 2 2 2 2 2 2 5" xfId="15542" xr:uid="{7A05366D-BC0A-4E0D-B300-98A79330A928}"/>
    <cellStyle name="20% - Accent6 2 2 2 2 2 3" xfId="28188" xr:uid="{306E3073-4B0D-4C16-8E0D-2F3055F34F1B}"/>
    <cellStyle name="20% - Accent6 2 2 2 2 2 4" xfId="19759" xr:uid="{829768C1-754B-45A0-8C9B-3EFCDC7EE344}"/>
    <cellStyle name="20% - Accent6 2 2 2 2 2 5" xfId="36617" xr:uid="{FEF1BD5F-C993-4340-BA9E-59D097CF10CB}"/>
    <cellStyle name="20% - Accent6 2 2 2 2 2 6" xfId="11324" xr:uid="{D5D53413-32C5-4595-AF47-B069F5ED96B3}"/>
    <cellStyle name="20% - Accent6 2 2 2 2 3" xfId="4962" xr:uid="{00000000-0005-0000-0000-000028030000}"/>
    <cellStyle name="20% - Accent6 2 2 2 2 3 2" xfId="30261" xr:uid="{EA6883DA-B065-438D-8BE4-8CD3AA446AF8}"/>
    <cellStyle name="20% - Accent6 2 2 2 2 3 3" xfId="21832" xr:uid="{56F4CA3F-AC66-4EA1-8E81-2FF9B0A5BB3C}"/>
    <cellStyle name="20% - Accent6 2 2 2 2 3 4" xfId="38689" xr:uid="{E660157D-928B-4539-98E3-D1E12E5F2D62}"/>
    <cellStyle name="20% - Accent6 2 2 2 2 3 5" xfId="13397" xr:uid="{6A35689C-E970-4722-99DA-68C7C7475A61}"/>
    <cellStyle name="20% - Accent6 2 2 2 2 4" xfId="26043" xr:uid="{F31C54F1-F239-460C-A420-AA6918C55649}"/>
    <cellStyle name="20% - Accent6 2 2 2 2 5" xfId="17614" xr:uid="{80A3421A-2423-4E38-B0A0-7A21FBC2F1C1}"/>
    <cellStyle name="20% - Accent6 2 2 2 2 6" xfId="34472" xr:uid="{A81BCDBA-8350-4CA4-95EF-9D7F3DBAB9C8}"/>
    <cellStyle name="20% - Accent6 2 2 2 2 7" xfId="9179" xr:uid="{03ADE1D0-7572-43F0-98B4-FC3257E50EC8}"/>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32819" xr:uid="{2718C541-3457-4933-96C5-748F69931973}"/>
    <cellStyle name="20% - Accent6 2 2 2 3 2 2 3" xfId="24390" xr:uid="{83C9A7CD-3F09-4607-86A6-A2B15C471569}"/>
    <cellStyle name="20% - Accent6 2 2 2 3 2 2 4" xfId="41247" xr:uid="{E4C2F66A-AF34-4EAF-B0D9-6B527B4E138C}"/>
    <cellStyle name="20% - Accent6 2 2 2 3 2 2 5" xfId="15955" xr:uid="{D415EB94-7EF2-40B2-BE97-076BF6CDE3A2}"/>
    <cellStyle name="20% - Accent6 2 2 2 3 2 3" xfId="28601" xr:uid="{4561F6DF-6F72-4456-8833-33400BB345AA}"/>
    <cellStyle name="20% - Accent6 2 2 2 3 2 4" xfId="20172" xr:uid="{CA1C24D5-A3E1-41F4-BDF6-7174628784BB}"/>
    <cellStyle name="20% - Accent6 2 2 2 3 2 5" xfId="37030" xr:uid="{1912D4E3-F76D-49B9-8427-6C7D1CB3ABC4}"/>
    <cellStyle name="20% - Accent6 2 2 2 3 2 6" xfId="11737" xr:uid="{E65261E2-D970-44FF-9E79-AD4129A1772D}"/>
    <cellStyle name="20% - Accent6 2 2 2 3 3" xfId="5375" xr:uid="{00000000-0005-0000-0000-00002C030000}"/>
    <cellStyle name="20% - Accent6 2 2 2 3 3 2" xfId="30674" xr:uid="{69CC8CC9-99B2-4B5E-8A56-370405657603}"/>
    <cellStyle name="20% - Accent6 2 2 2 3 3 3" xfId="22245" xr:uid="{6C9663A2-64EF-4D9C-9B5F-AD5CB6A11C10}"/>
    <cellStyle name="20% - Accent6 2 2 2 3 3 4" xfId="39102" xr:uid="{7BB8F842-FEF5-4CB8-9DD4-17382C681B64}"/>
    <cellStyle name="20% - Accent6 2 2 2 3 3 5" xfId="13810" xr:uid="{8ECB1F3A-06D5-4BA8-8702-A1B2735BB710}"/>
    <cellStyle name="20% - Accent6 2 2 2 3 4" xfId="26456" xr:uid="{5FDDA850-A8AF-44C4-83F6-C33455777103}"/>
    <cellStyle name="20% - Accent6 2 2 2 3 5" xfId="18027" xr:uid="{03D2E33C-BBC2-4B60-87F5-A4800053D774}"/>
    <cellStyle name="20% - Accent6 2 2 2 3 6" xfId="34885" xr:uid="{1EEB9FD2-DC8C-437F-8A8E-A86D893002A3}"/>
    <cellStyle name="20% - Accent6 2 2 2 3 7" xfId="9592" xr:uid="{C3D9124F-DD6D-4481-B613-23AE000E9571}"/>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33232" xr:uid="{735118BE-3F8B-49AD-845A-70C7A25F9B6D}"/>
    <cellStyle name="20% - Accent6 2 2 2 4 2 2 3" xfId="24803" xr:uid="{F5D4B253-CD6A-412C-8614-09FF3954EEBA}"/>
    <cellStyle name="20% - Accent6 2 2 2 4 2 2 4" xfId="41660" xr:uid="{AC643840-C0C4-4F42-B764-03BEF5E4EC70}"/>
    <cellStyle name="20% - Accent6 2 2 2 4 2 2 5" xfId="16368" xr:uid="{38481CAC-F54F-4A15-8C68-B7A3E7C42ADA}"/>
    <cellStyle name="20% - Accent6 2 2 2 4 2 3" xfId="29014" xr:uid="{D571F56F-26C1-4917-83F1-B42BD16B1D6E}"/>
    <cellStyle name="20% - Accent6 2 2 2 4 2 4" xfId="20585" xr:uid="{4C00AAEA-7002-4A42-8E54-2B0F7EC6C4D7}"/>
    <cellStyle name="20% - Accent6 2 2 2 4 2 5" xfId="37443" xr:uid="{C8CDDB87-8577-4BE3-9F01-8D9E964B4ED9}"/>
    <cellStyle name="20% - Accent6 2 2 2 4 2 6" xfId="12150" xr:uid="{974FEC76-7C1A-4A0A-8699-DD5119A32E6A}"/>
    <cellStyle name="20% - Accent6 2 2 2 4 3" xfId="5788" xr:uid="{00000000-0005-0000-0000-000030030000}"/>
    <cellStyle name="20% - Accent6 2 2 2 4 3 2" xfId="31087" xr:uid="{9D265404-CC96-4676-85C8-D2ED324CCACE}"/>
    <cellStyle name="20% - Accent6 2 2 2 4 3 3" xfId="22658" xr:uid="{14AAB827-66A8-4FC3-B41C-B75A9CC52B90}"/>
    <cellStyle name="20% - Accent6 2 2 2 4 3 4" xfId="39515" xr:uid="{F495B28A-54FA-4158-BD23-0973F777DB34}"/>
    <cellStyle name="20% - Accent6 2 2 2 4 3 5" xfId="14223" xr:uid="{47BDC817-E1DC-4F24-BA30-DD33ADD5537B}"/>
    <cellStyle name="20% - Accent6 2 2 2 4 4" xfId="26869" xr:uid="{851449C5-B4C8-415B-AC25-C4A059D00C1A}"/>
    <cellStyle name="20% - Accent6 2 2 2 4 5" xfId="18440" xr:uid="{F1006260-68E4-4222-9E85-F502FDE078C5}"/>
    <cellStyle name="20% - Accent6 2 2 2 4 6" xfId="35298" xr:uid="{A115ED56-6213-42F7-B68E-818C90F65DCE}"/>
    <cellStyle name="20% - Accent6 2 2 2 4 7" xfId="10005" xr:uid="{455E0D49-80FB-4902-96AA-249B0C9E1A76}"/>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33645" xr:uid="{C712468F-3639-434E-A35D-D56F4CDA8FF1}"/>
    <cellStyle name="20% - Accent6 2 2 2 5 2 2 3" xfId="25216" xr:uid="{ADB126D4-1125-4FD1-82D3-714D129F7509}"/>
    <cellStyle name="20% - Accent6 2 2 2 5 2 2 4" xfId="42073" xr:uid="{DE1A0698-46CD-477C-ACC9-28D8BC25D64A}"/>
    <cellStyle name="20% - Accent6 2 2 2 5 2 2 5" xfId="16781" xr:uid="{75CFF422-A7DA-4E62-8ED1-858DADE97A05}"/>
    <cellStyle name="20% - Accent6 2 2 2 5 2 3" xfId="29427" xr:uid="{5D20706B-50C3-42A9-A675-FA202C37CA02}"/>
    <cellStyle name="20% - Accent6 2 2 2 5 2 4" xfId="20998" xr:uid="{0F5DAA75-51CB-48DD-AAAC-96B7BCC3F60B}"/>
    <cellStyle name="20% - Accent6 2 2 2 5 2 5" xfId="37856" xr:uid="{56984AE6-6A2B-470D-80EA-F9A2A4E43438}"/>
    <cellStyle name="20% - Accent6 2 2 2 5 2 6" xfId="12563" xr:uid="{CE563EC8-51B5-47DC-A8E5-413C70E4D333}"/>
    <cellStyle name="20% - Accent6 2 2 2 5 3" xfId="6201" xr:uid="{00000000-0005-0000-0000-000034030000}"/>
    <cellStyle name="20% - Accent6 2 2 2 5 3 2" xfId="31500" xr:uid="{2480CDE3-5A6C-486B-971E-9183450D8CB2}"/>
    <cellStyle name="20% - Accent6 2 2 2 5 3 3" xfId="23071" xr:uid="{96C269C4-1739-428D-B859-5B40635C8D2C}"/>
    <cellStyle name="20% - Accent6 2 2 2 5 3 4" xfId="39928" xr:uid="{3E0C1CA4-FBE7-4D48-AC1E-B03C2BA5B7D3}"/>
    <cellStyle name="20% - Accent6 2 2 2 5 3 5" xfId="14636" xr:uid="{B3A924C4-F096-4990-9C42-3B618A5BFC23}"/>
    <cellStyle name="20% - Accent6 2 2 2 5 4" xfId="27282" xr:uid="{F6AD97D2-1836-4751-8C8C-1107A23E4A01}"/>
    <cellStyle name="20% - Accent6 2 2 2 5 5" xfId="18853" xr:uid="{3622223A-187A-47DD-AB37-D2DEC287426C}"/>
    <cellStyle name="20% - Accent6 2 2 2 5 6" xfId="35711" xr:uid="{F5286475-D85B-49C5-B82D-69115280D6E0}"/>
    <cellStyle name="20% - Accent6 2 2 2 5 7" xfId="10418" xr:uid="{A7FF1093-86D9-4379-B03E-1C203ED7EDD7}"/>
    <cellStyle name="20% - Accent6 2 2 2 6" xfId="2307" xr:uid="{00000000-0005-0000-0000-000035030000}"/>
    <cellStyle name="20% - Accent6 2 2 2 6 2" xfId="6614" xr:uid="{00000000-0005-0000-0000-000036030000}"/>
    <cellStyle name="20% - Accent6 2 2 2 6 2 2" xfId="31913" xr:uid="{B04AF176-3AF7-4459-B00A-C9F58B647178}"/>
    <cellStyle name="20% - Accent6 2 2 2 6 2 3" xfId="23484" xr:uid="{15CA9CF5-B137-4B54-A94E-7955E11F17C3}"/>
    <cellStyle name="20% - Accent6 2 2 2 6 2 4" xfId="40341" xr:uid="{E84B6056-44F6-46F8-A6F7-EA28F0C813DB}"/>
    <cellStyle name="20% - Accent6 2 2 2 6 2 5" xfId="15049" xr:uid="{C6298E14-537C-4459-962F-2FEC04716777}"/>
    <cellStyle name="20% - Accent6 2 2 2 6 3" xfId="27695" xr:uid="{6E55D240-EE33-42BA-9AAB-D3DB2765F6DE}"/>
    <cellStyle name="20% - Accent6 2 2 2 6 4" xfId="19266" xr:uid="{5D4C7AB7-592C-4B3D-BC17-6E2825B9321C}"/>
    <cellStyle name="20% - Accent6 2 2 2 6 5" xfId="36124" xr:uid="{AC6E5D91-CC4A-486B-AA58-51B96916ABAE}"/>
    <cellStyle name="20% - Accent6 2 2 2 6 6" xfId="10831" xr:uid="{2E07D79C-AB3B-49E9-80E1-524168C6400E}"/>
    <cellStyle name="20% - Accent6 2 2 2 7" xfId="4548" xr:uid="{00000000-0005-0000-0000-000037030000}"/>
    <cellStyle name="20% - Accent6 2 2 2 7 2" xfId="29847" xr:uid="{64C515CC-6290-47DC-A5BA-3933EB350E91}"/>
    <cellStyle name="20% - Accent6 2 2 2 7 3" xfId="21418" xr:uid="{0F08145C-3BDF-4D2B-94A9-89F65815506D}"/>
    <cellStyle name="20% - Accent6 2 2 2 7 4" xfId="38275" xr:uid="{E4749581-FB6B-415B-9DF8-8A9EC48FEAAA}"/>
    <cellStyle name="20% - Accent6 2 2 2 7 5" xfId="12983" xr:uid="{001779A2-27C5-4049-863C-3F2DCCCCCFB0}"/>
    <cellStyle name="20% - Accent6 2 2 2 8" xfId="25629" xr:uid="{B61FBC35-7FC3-4019-8457-B8648B8F1F9B}"/>
    <cellStyle name="20% - Accent6 2 2 2 9" xfId="17200" xr:uid="{C8D8AC52-4A77-4565-8D10-87C7BF774154}"/>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32405" xr:uid="{87BAC1EF-41A1-4923-952F-3F6198B37DBC}"/>
    <cellStyle name="20% - Accent6 2 2 3 2 2 3" xfId="23976" xr:uid="{8C6D2919-96B9-413B-8D06-7C52A78BA640}"/>
    <cellStyle name="20% - Accent6 2 2 3 2 2 4" xfId="40833" xr:uid="{CA97F942-73BE-4473-908D-E4C5C1C4669B}"/>
    <cellStyle name="20% - Accent6 2 2 3 2 2 5" xfId="15541" xr:uid="{5CAA05CE-2DAE-4930-A547-A483C57DF8CD}"/>
    <cellStyle name="20% - Accent6 2 2 3 2 3" xfId="28187" xr:uid="{5F3C9CD5-4BA3-40CD-8DE8-967CD2D07418}"/>
    <cellStyle name="20% - Accent6 2 2 3 2 4" xfId="19758" xr:uid="{A01E2271-596F-43E1-8146-4853FDE34E38}"/>
    <cellStyle name="20% - Accent6 2 2 3 2 5" xfId="36616" xr:uid="{BEB4A61C-986A-48B4-8956-15BABD16A330}"/>
    <cellStyle name="20% - Accent6 2 2 3 2 6" xfId="11323" xr:uid="{F11A1C4E-5681-41BD-94F2-E7711F167F71}"/>
    <cellStyle name="20% - Accent6 2 2 3 3" xfId="4961" xr:uid="{00000000-0005-0000-0000-00003B030000}"/>
    <cellStyle name="20% - Accent6 2 2 3 3 2" xfId="30260" xr:uid="{3CD557FE-710F-475D-8F00-943F5A621B58}"/>
    <cellStyle name="20% - Accent6 2 2 3 3 3" xfId="21831" xr:uid="{2C727710-F453-4470-969E-86AAD0BC1CE0}"/>
    <cellStyle name="20% - Accent6 2 2 3 3 4" xfId="38688" xr:uid="{C6962931-7CC7-47C4-B883-30BC890876CB}"/>
    <cellStyle name="20% - Accent6 2 2 3 3 5" xfId="13396" xr:uid="{38088F2D-937E-491A-8861-438476D2AE65}"/>
    <cellStyle name="20% - Accent6 2 2 3 4" xfId="26042" xr:uid="{1AB9323A-F4CC-4769-B395-116FD540EB07}"/>
    <cellStyle name="20% - Accent6 2 2 3 5" xfId="17613" xr:uid="{7AEB4198-641C-4855-BFA8-4445ADCE8492}"/>
    <cellStyle name="20% - Accent6 2 2 3 6" xfId="34471" xr:uid="{29B46BB4-0AEE-47B7-834D-CC482747CF21}"/>
    <cellStyle name="20% - Accent6 2 2 3 7" xfId="9178" xr:uid="{ABBB8674-D6B4-43BE-9771-7F301712535D}"/>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32818" xr:uid="{F4BFF7C7-95E5-4BE2-A9EC-47246C158B53}"/>
    <cellStyle name="20% - Accent6 2 2 4 2 2 3" xfId="24389" xr:uid="{B2BAF1D3-8A36-49F5-A756-ED85C1FBBF70}"/>
    <cellStyle name="20% - Accent6 2 2 4 2 2 4" xfId="41246" xr:uid="{7778F9FB-1146-440C-B4A5-BB174102E6B2}"/>
    <cellStyle name="20% - Accent6 2 2 4 2 2 5" xfId="15954" xr:uid="{767EC8B1-242E-4F47-AD52-C5A412E1541A}"/>
    <cellStyle name="20% - Accent6 2 2 4 2 3" xfId="28600" xr:uid="{A2CA683C-2459-4CCA-8F49-2D571F3916C5}"/>
    <cellStyle name="20% - Accent6 2 2 4 2 4" xfId="20171" xr:uid="{98CA197A-B5B2-4FB0-9040-9F4929813E97}"/>
    <cellStyle name="20% - Accent6 2 2 4 2 5" xfId="37029" xr:uid="{C5D4DBE1-D00C-499A-9C24-103F668E2A95}"/>
    <cellStyle name="20% - Accent6 2 2 4 2 6" xfId="11736" xr:uid="{4A6CF308-33AF-433F-B842-48350886EECA}"/>
    <cellStyle name="20% - Accent6 2 2 4 3" xfId="5374" xr:uid="{00000000-0005-0000-0000-00003F030000}"/>
    <cellStyle name="20% - Accent6 2 2 4 3 2" xfId="30673" xr:uid="{8552AEF7-6F66-45E0-ABA3-BFD04CA19490}"/>
    <cellStyle name="20% - Accent6 2 2 4 3 3" xfId="22244" xr:uid="{3380784F-361B-43B4-9F89-6321E80067CF}"/>
    <cellStyle name="20% - Accent6 2 2 4 3 4" xfId="39101" xr:uid="{F4915880-E1DC-42FB-90BC-71D4FA8EC8EB}"/>
    <cellStyle name="20% - Accent6 2 2 4 3 5" xfId="13809" xr:uid="{72992086-0CAE-4C49-93F8-FAC98B0D3E25}"/>
    <cellStyle name="20% - Accent6 2 2 4 4" xfId="26455" xr:uid="{BE74B1D8-5C51-4326-A807-40C87B441328}"/>
    <cellStyle name="20% - Accent6 2 2 4 5" xfId="18026" xr:uid="{AA697F17-9CC5-4216-9CFA-0EC8A22DFB6B}"/>
    <cellStyle name="20% - Accent6 2 2 4 6" xfId="34884" xr:uid="{E2FC3279-0E32-407F-858D-D5EEABA5D09C}"/>
    <cellStyle name="20% - Accent6 2 2 4 7" xfId="9591" xr:uid="{978C24D7-3A35-403B-BFB1-59D02493C0BA}"/>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33231" xr:uid="{8FDAA543-B388-45A6-9637-551FD2D94C22}"/>
    <cellStyle name="20% - Accent6 2 2 5 2 2 3" xfId="24802" xr:uid="{A9710AC4-F5E7-4441-9E73-65BD501E49A5}"/>
    <cellStyle name="20% - Accent6 2 2 5 2 2 4" xfId="41659" xr:uid="{E9F5401F-F502-4CA2-9784-77518342040C}"/>
    <cellStyle name="20% - Accent6 2 2 5 2 2 5" xfId="16367" xr:uid="{BF74DDF6-CA80-444C-93A3-5F2F0BDDE681}"/>
    <cellStyle name="20% - Accent6 2 2 5 2 3" xfId="29013" xr:uid="{C4C70B1A-879F-4416-957A-B556D45289BB}"/>
    <cellStyle name="20% - Accent6 2 2 5 2 4" xfId="20584" xr:uid="{D83A59EB-24EF-463E-A8B6-18A33D30DC55}"/>
    <cellStyle name="20% - Accent6 2 2 5 2 5" xfId="37442" xr:uid="{F128DA62-1004-4976-8E7E-42D3EFC56227}"/>
    <cellStyle name="20% - Accent6 2 2 5 2 6" xfId="12149" xr:uid="{BC557D01-82B2-482B-8D9D-83DC6858CA5B}"/>
    <cellStyle name="20% - Accent6 2 2 5 3" xfId="5787" xr:uid="{00000000-0005-0000-0000-000043030000}"/>
    <cellStyle name="20% - Accent6 2 2 5 3 2" xfId="31086" xr:uid="{77241C63-C009-4AC6-87FF-07F6666E6CBA}"/>
    <cellStyle name="20% - Accent6 2 2 5 3 3" xfId="22657" xr:uid="{74C29CB3-A65B-45BE-A85E-D83855293145}"/>
    <cellStyle name="20% - Accent6 2 2 5 3 4" xfId="39514" xr:uid="{3ADDCF93-D9B0-4645-AF5F-DF288FADB924}"/>
    <cellStyle name="20% - Accent6 2 2 5 3 5" xfId="14222" xr:uid="{6229AD14-3BCD-4B6D-B2DE-F2F517F1C3C0}"/>
    <cellStyle name="20% - Accent6 2 2 5 4" xfId="26868" xr:uid="{3DD9A712-8B0B-403D-9978-78C9890D1048}"/>
    <cellStyle name="20% - Accent6 2 2 5 5" xfId="18439" xr:uid="{3138B50A-DCF6-4DDA-B433-4EA28D327623}"/>
    <cellStyle name="20% - Accent6 2 2 5 6" xfId="35297" xr:uid="{9A67617A-6FED-4F9A-BDEC-2C38F2B7F03C}"/>
    <cellStyle name="20% - Accent6 2 2 5 7" xfId="10004" xr:uid="{A4413A02-F5FF-4E1B-B0F2-101044BA59D0}"/>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33644" xr:uid="{C91859BE-E1D7-40A2-B04B-B5E106EB76CB}"/>
    <cellStyle name="20% - Accent6 2 2 6 2 2 3" xfId="25215" xr:uid="{A927B59D-19E4-4C99-BF73-43D8E3E49712}"/>
    <cellStyle name="20% - Accent6 2 2 6 2 2 4" xfId="42072" xr:uid="{5FF4B251-8729-41B0-A9C2-B86665F5CDFC}"/>
    <cellStyle name="20% - Accent6 2 2 6 2 2 5" xfId="16780" xr:uid="{831F7197-4C53-4DF7-BABF-6F1F01D2AA45}"/>
    <cellStyle name="20% - Accent6 2 2 6 2 3" xfId="29426" xr:uid="{06775431-F073-4926-A707-1A596359A6DA}"/>
    <cellStyle name="20% - Accent6 2 2 6 2 4" xfId="20997" xr:uid="{126F3F28-DC38-4A28-9A10-EA902BA923F2}"/>
    <cellStyle name="20% - Accent6 2 2 6 2 5" xfId="37855" xr:uid="{BF8095E8-6B71-4CAD-BAB6-FA2294FBC909}"/>
    <cellStyle name="20% - Accent6 2 2 6 2 6" xfId="12562" xr:uid="{EF678DC5-9A5B-474D-8666-91FEEDAB9CAD}"/>
    <cellStyle name="20% - Accent6 2 2 6 3" xfId="6200" xr:uid="{00000000-0005-0000-0000-000047030000}"/>
    <cellStyle name="20% - Accent6 2 2 6 3 2" xfId="31499" xr:uid="{45614C42-EBAF-459D-B5BD-47E29A043EE8}"/>
    <cellStyle name="20% - Accent6 2 2 6 3 3" xfId="23070" xr:uid="{0B37715E-D869-4C86-B931-A44D5DB5B2C2}"/>
    <cellStyle name="20% - Accent6 2 2 6 3 4" xfId="39927" xr:uid="{02EAD985-1C09-4F52-8E01-3F0D0725108F}"/>
    <cellStyle name="20% - Accent6 2 2 6 3 5" xfId="14635" xr:uid="{E8627AB0-9033-48C9-811D-E271EFFD099E}"/>
    <cellStyle name="20% - Accent6 2 2 6 4" xfId="27281" xr:uid="{E9034A89-02EC-43DD-972C-483E20CCD86C}"/>
    <cellStyle name="20% - Accent6 2 2 6 5" xfId="18852" xr:uid="{20BAB1A1-83AF-4925-AC43-8BA26975A33E}"/>
    <cellStyle name="20% - Accent6 2 2 6 6" xfId="35710" xr:uid="{31528548-B35F-4AEC-9BFB-405634DAEBAD}"/>
    <cellStyle name="20% - Accent6 2 2 6 7" xfId="10417" xr:uid="{52392352-971E-483A-8322-7033FDEC01B6}"/>
    <cellStyle name="20% - Accent6 2 2 7" xfId="2306" xr:uid="{00000000-0005-0000-0000-000048030000}"/>
    <cellStyle name="20% - Accent6 2 2 7 2" xfId="6613" xr:uid="{00000000-0005-0000-0000-000049030000}"/>
    <cellStyle name="20% - Accent6 2 2 7 2 2" xfId="31912" xr:uid="{3A3BB59A-32A8-4E04-9190-65B72801EB5E}"/>
    <cellStyle name="20% - Accent6 2 2 7 2 3" xfId="23483" xr:uid="{53702537-BE73-4122-AD5B-1EFD1E8B110D}"/>
    <cellStyle name="20% - Accent6 2 2 7 2 4" xfId="40340" xr:uid="{326CE986-F0BA-495A-81AF-AD30D8F99B9C}"/>
    <cellStyle name="20% - Accent6 2 2 7 2 5" xfId="15048" xr:uid="{8A226FEA-61C0-4DD1-8AF0-FE1BCD721FE1}"/>
    <cellStyle name="20% - Accent6 2 2 7 3" xfId="27694" xr:uid="{FB72BC3E-B210-4E28-99AD-F51E92B51CDF}"/>
    <cellStyle name="20% - Accent6 2 2 7 4" xfId="19265" xr:uid="{5C1DD74D-4569-48FA-948F-3E63621B13D5}"/>
    <cellStyle name="20% - Accent6 2 2 7 5" xfId="36123" xr:uid="{851B1785-1185-45B3-A1F0-FAE2CE369F30}"/>
    <cellStyle name="20% - Accent6 2 2 7 6" xfId="10830" xr:uid="{4BB84F51-0B5F-4003-AB89-DF3FA025D75E}"/>
    <cellStyle name="20% - Accent6 2 2 8" xfId="4547" xr:uid="{00000000-0005-0000-0000-00004A030000}"/>
    <cellStyle name="20% - Accent6 2 2 8 2" xfId="29846" xr:uid="{B89FB27E-41C0-4794-BC8D-212EC0AB3D68}"/>
    <cellStyle name="20% - Accent6 2 2 8 3" xfId="21417" xr:uid="{AA1BA4E2-FB4A-411A-BCC9-43331CC3EB24}"/>
    <cellStyle name="20% - Accent6 2 2 8 4" xfId="38274" xr:uid="{B3BCFCC3-3E0E-4E9A-A5B5-B67A76D93CD8}"/>
    <cellStyle name="20% - Accent6 2 2 8 5" xfId="12982" xr:uid="{0F824E2A-DC6C-4EE1-9A0C-0B06BA20142D}"/>
    <cellStyle name="20% - Accent6 2 2 9" xfId="25628" xr:uid="{0951B44E-3C84-4088-BC18-3F38234B58EA}"/>
    <cellStyle name="20% - Accent6 2 3" xfId="45" xr:uid="{00000000-0005-0000-0000-00004B030000}"/>
    <cellStyle name="20% - Accent6 2 3 10" xfId="34059" xr:uid="{209B0FC9-D839-4CBC-9C81-3037D7CA4A37}"/>
    <cellStyle name="20% - Accent6 2 3 11" xfId="8766" xr:uid="{60897983-1FAB-4242-8EEA-12E9FC59178D}"/>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32407" xr:uid="{FDB3A8D5-DA1B-4DC9-AB0B-A416C65E9C39}"/>
    <cellStyle name="20% - Accent6 2 3 2 2 2 3" xfId="23978" xr:uid="{4C8B1FDC-1237-4A17-B4CE-9D1FF9A77CB6}"/>
    <cellStyle name="20% - Accent6 2 3 2 2 2 4" xfId="40835" xr:uid="{112811B3-A1F4-46E4-AE9A-B4222E563B01}"/>
    <cellStyle name="20% - Accent6 2 3 2 2 2 5" xfId="15543" xr:uid="{129396A6-8855-4990-91A2-96C563C7EC54}"/>
    <cellStyle name="20% - Accent6 2 3 2 2 3" xfId="28189" xr:uid="{49B71A4D-4CC0-4736-B71D-2F335C01F395}"/>
    <cellStyle name="20% - Accent6 2 3 2 2 4" xfId="19760" xr:uid="{9CD95E53-4C29-41DA-8E3F-1440049F37F9}"/>
    <cellStyle name="20% - Accent6 2 3 2 2 5" xfId="36618" xr:uid="{0B602CF3-0176-4855-83F5-3F2B6FD08901}"/>
    <cellStyle name="20% - Accent6 2 3 2 2 6" xfId="11325" xr:uid="{EE868E48-46DA-4C8E-90EF-A2AE72CD7DED}"/>
    <cellStyle name="20% - Accent6 2 3 2 3" xfId="4963" xr:uid="{00000000-0005-0000-0000-00004F030000}"/>
    <cellStyle name="20% - Accent6 2 3 2 3 2" xfId="30262" xr:uid="{BC9B7D93-311F-41F0-8972-1E70096C504D}"/>
    <cellStyle name="20% - Accent6 2 3 2 3 3" xfId="21833" xr:uid="{F29AB32C-E580-4259-A076-3BB0CED8350A}"/>
    <cellStyle name="20% - Accent6 2 3 2 3 4" xfId="38690" xr:uid="{8B1E3B78-9141-457F-9F65-947EDD14E8E6}"/>
    <cellStyle name="20% - Accent6 2 3 2 3 5" xfId="13398" xr:uid="{E2830A84-01B5-479D-AE13-20E8C532A5D2}"/>
    <cellStyle name="20% - Accent6 2 3 2 4" xfId="26044" xr:uid="{0201F28A-7BD0-436C-AEE0-A095ABF49704}"/>
    <cellStyle name="20% - Accent6 2 3 2 5" xfId="17615" xr:uid="{0F37C160-ECAD-4761-A57E-1EB1200F7B12}"/>
    <cellStyle name="20% - Accent6 2 3 2 6" xfId="34473" xr:uid="{F9119843-87A2-4AEF-ABE5-0B017C5E5585}"/>
    <cellStyle name="20% - Accent6 2 3 2 7" xfId="9180" xr:uid="{97114679-9E1C-471E-BE44-5D595CEE8E6D}"/>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32820" xr:uid="{0330F146-9F6F-44B2-B87D-61738D02433B}"/>
    <cellStyle name="20% - Accent6 2 3 3 2 2 3" xfId="24391" xr:uid="{51D3DA4E-82B5-4A13-8643-DE347A3C0231}"/>
    <cellStyle name="20% - Accent6 2 3 3 2 2 4" xfId="41248" xr:uid="{D33DD60F-92C0-4A3A-B237-33FBA9A4307B}"/>
    <cellStyle name="20% - Accent6 2 3 3 2 2 5" xfId="15956" xr:uid="{F752A629-C362-4B99-A0FF-7A48CAFE15EC}"/>
    <cellStyle name="20% - Accent6 2 3 3 2 3" xfId="28602" xr:uid="{E56A1850-A7CC-41F4-B205-ADFAE5893316}"/>
    <cellStyle name="20% - Accent6 2 3 3 2 4" xfId="20173" xr:uid="{B4E19266-02A5-4EC7-BBBB-D6E96B1A5991}"/>
    <cellStyle name="20% - Accent6 2 3 3 2 5" xfId="37031" xr:uid="{A8AC4BDF-F613-495D-BFA3-575D5B0447FD}"/>
    <cellStyle name="20% - Accent6 2 3 3 2 6" xfId="11738" xr:uid="{3FF77711-B7E7-4C0F-B647-DDB910662E63}"/>
    <cellStyle name="20% - Accent6 2 3 3 3" xfId="5376" xr:uid="{00000000-0005-0000-0000-000053030000}"/>
    <cellStyle name="20% - Accent6 2 3 3 3 2" xfId="30675" xr:uid="{63B539EC-FA01-4890-9750-BBC53CDDDDC1}"/>
    <cellStyle name="20% - Accent6 2 3 3 3 3" xfId="22246" xr:uid="{253FD105-7C96-42D2-B334-2422AD4F5279}"/>
    <cellStyle name="20% - Accent6 2 3 3 3 4" xfId="39103" xr:uid="{2F2040C9-8D99-49CB-9E81-C0571152FA1B}"/>
    <cellStyle name="20% - Accent6 2 3 3 3 5" xfId="13811" xr:uid="{B16AC3B9-F64A-4A44-B053-B3C1A0218465}"/>
    <cellStyle name="20% - Accent6 2 3 3 4" xfId="26457" xr:uid="{C8E41D22-47F3-4EE4-84FD-3907E28CD7C1}"/>
    <cellStyle name="20% - Accent6 2 3 3 5" xfId="18028" xr:uid="{06EC890C-23FD-474E-AAA5-C10FA29B08BC}"/>
    <cellStyle name="20% - Accent6 2 3 3 6" xfId="34886" xr:uid="{DAAE981D-B7ED-42D7-A0A0-DED13841695A}"/>
    <cellStyle name="20% - Accent6 2 3 3 7" xfId="9593" xr:uid="{C7ACC65E-2EB2-45B6-ADA8-DA1DD1751DCF}"/>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33233" xr:uid="{3C554143-FCCD-4704-9B3E-09E4EC5D5ED0}"/>
    <cellStyle name="20% - Accent6 2 3 4 2 2 3" xfId="24804" xr:uid="{3B6C6905-D21A-4D9A-B1FF-942665329920}"/>
    <cellStyle name="20% - Accent6 2 3 4 2 2 4" xfId="41661" xr:uid="{A51B4865-7E1B-4373-9FF9-8FC5AA776967}"/>
    <cellStyle name="20% - Accent6 2 3 4 2 2 5" xfId="16369" xr:uid="{AA62FCB2-B5E7-4ACB-BE1F-5AD5145BF0F7}"/>
    <cellStyle name="20% - Accent6 2 3 4 2 3" xfId="29015" xr:uid="{F4E4E8A8-281D-4BEE-8500-91EAA1E9845C}"/>
    <cellStyle name="20% - Accent6 2 3 4 2 4" xfId="20586" xr:uid="{96D77E1E-C567-4F71-8E04-F43C57F2F575}"/>
    <cellStyle name="20% - Accent6 2 3 4 2 5" xfId="37444" xr:uid="{1A9B0E37-CD1A-4FA6-8DDA-89C4DFB386A2}"/>
    <cellStyle name="20% - Accent6 2 3 4 2 6" xfId="12151" xr:uid="{4C3E0CFC-E55E-4F7B-AE58-8AF44AFE6C01}"/>
    <cellStyle name="20% - Accent6 2 3 4 3" xfId="5789" xr:uid="{00000000-0005-0000-0000-000057030000}"/>
    <cellStyle name="20% - Accent6 2 3 4 3 2" xfId="31088" xr:uid="{54D97D3C-FD13-47C4-AE8A-FAA4792142BF}"/>
    <cellStyle name="20% - Accent6 2 3 4 3 3" xfId="22659" xr:uid="{B7FF6B4F-C404-4CA6-BBB6-22B3AB3589BF}"/>
    <cellStyle name="20% - Accent6 2 3 4 3 4" xfId="39516" xr:uid="{BAB276B1-2B48-4807-BD02-A6CB0843B549}"/>
    <cellStyle name="20% - Accent6 2 3 4 3 5" xfId="14224" xr:uid="{86A52FA8-BC73-442B-9A33-7EC7E842BEBB}"/>
    <cellStyle name="20% - Accent6 2 3 4 4" xfId="26870" xr:uid="{FF920C69-EA10-4FA2-9E01-D29A150C5FE7}"/>
    <cellStyle name="20% - Accent6 2 3 4 5" xfId="18441" xr:uid="{2230B3F8-600A-48B9-A732-161CB3C4FF20}"/>
    <cellStyle name="20% - Accent6 2 3 4 6" xfId="35299" xr:uid="{28106FAA-F45C-4088-B65F-553B986FFC8A}"/>
    <cellStyle name="20% - Accent6 2 3 4 7" xfId="10006" xr:uid="{2E608541-23D2-4934-80FA-6C66EA5D4A02}"/>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33646" xr:uid="{3C7A8027-C966-4736-8BCA-34D57B1FA798}"/>
    <cellStyle name="20% - Accent6 2 3 5 2 2 3" xfId="25217" xr:uid="{AD7BC598-29DC-40A6-86D1-CFB073DFDCE3}"/>
    <cellStyle name="20% - Accent6 2 3 5 2 2 4" xfId="42074" xr:uid="{398946BE-3B83-4CB9-97C0-C6EC1880E4D6}"/>
    <cellStyle name="20% - Accent6 2 3 5 2 2 5" xfId="16782" xr:uid="{4BBDDDE8-CCA3-4B50-92A0-2DF01E8E7957}"/>
    <cellStyle name="20% - Accent6 2 3 5 2 3" xfId="29428" xr:uid="{45CF5DC0-2EEE-4741-BC52-1D42491B66D2}"/>
    <cellStyle name="20% - Accent6 2 3 5 2 4" xfId="20999" xr:uid="{C0A38F78-5EB5-40E4-9187-2AB1AFD61F4F}"/>
    <cellStyle name="20% - Accent6 2 3 5 2 5" xfId="37857" xr:uid="{0A954027-4821-48B3-901F-3086FAAE6692}"/>
    <cellStyle name="20% - Accent6 2 3 5 2 6" xfId="12564" xr:uid="{E06B3D43-6D97-4BC6-9398-33DCD99DEEF6}"/>
    <cellStyle name="20% - Accent6 2 3 5 3" xfId="6202" xr:uid="{00000000-0005-0000-0000-00005B030000}"/>
    <cellStyle name="20% - Accent6 2 3 5 3 2" xfId="31501" xr:uid="{9B718E60-F15C-4CCA-AAC5-5FBD833E735C}"/>
    <cellStyle name="20% - Accent6 2 3 5 3 3" xfId="23072" xr:uid="{AE1E1D7B-B64E-4E72-BB27-5B6A492AB4E4}"/>
    <cellStyle name="20% - Accent6 2 3 5 3 4" xfId="39929" xr:uid="{8D87D007-3A7D-473A-A58C-8A8E108F82D7}"/>
    <cellStyle name="20% - Accent6 2 3 5 3 5" xfId="14637" xr:uid="{38C88652-3869-477C-980D-D7C18A494798}"/>
    <cellStyle name="20% - Accent6 2 3 5 4" xfId="27283" xr:uid="{481530B4-2A1A-4DC3-8F09-F4CE81EDFEE3}"/>
    <cellStyle name="20% - Accent6 2 3 5 5" xfId="18854" xr:uid="{2CBB6017-ED6D-4F8A-A911-65F26CF1752F}"/>
    <cellStyle name="20% - Accent6 2 3 5 6" xfId="35712" xr:uid="{C6291078-B51E-4F9F-AD36-9118762E4813}"/>
    <cellStyle name="20% - Accent6 2 3 5 7" xfId="10419" xr:uid="{E70961DB-1CF3-4707-8FBE-377C154C462E}"/>
    <cellStyle name="20% - Accent6 2 3 6" xfId="2308" xr:uid="{00000000-0005-0000-0000-00005C030000}"/>
    <cellStyle name="20% - Accent6 2 3 6 2" xfId="6615" xr:uid="{00000000-0005-0000-0000-00005D030000}"/>
    <cellStyle name="20% - Accent6 2 3 6 2 2" xfId="31914" xr:uid="{CBEF7953-997E-41E8-9685-2CAAB7FD0267}"/>
    <cellStyle name="20% - Accent6 2 3 6 2 3" xfId="23485" xr:uid="{5489CDE6-789B-43D0-95B6-A7745CAB679E}"/>
    <cellStyle name="20% - Accent6 2 3 6 2 4" xfId="40342" xr:uid="{114D114E-9AB2-4E37-8FEC-8D61DCE112F6}"/>
    <cellStyle name="20% - Accent6 2 3 6 2 5" xfId="15050" xr:uid="{CC1DCFF7-521A-4927-968C-5E30671D0E05}"/>
    <cellStyle name="20% - Accent6 2 3 6 3" xfId="27696" xr:uid="{4928623F-48CD-494A-93F5-77783BF285D3}"/>
    <cellStyle name="20% - Accent6 2 3 6 4" xfId="19267" xr:uid="{2D554C1B-88E6-40E8-B393-60AFCFA795DC}"/>
    <cellStyle name="20% - Accent6 2 3 6 5" xfId="36125" xr:uid="{AFC007D4-8E7F-4C56-A7B2-9A73C499454D}"/>
    <cellStyle name="20% - Accent6 2 3 6 6" xfId="10832" xr:uid="{CE5FDA5C-A7F8-46A9-8C48-6ACCF6264285}"/>
    <cellStyle name="20% - Accent6 2 3 7" xfId="4549" xr:uid="{00000000-0005-0000-0000-00005E030000}"/>
    <cellStyle name="20% - Accent6 2 3 7 2" xfId="29848" xr:uid="{53EC5045-997B-4610-8AA7-C7E59BB5EF8A}"/>
    <cellStyle name="20% - Accent6 2 3 7 3" xfId="21419" xr:uid="{F41D24C5-6C76-4D20-A34B-554A70EB6CCB}"/>
    <cellStyle name="20% - Accent6 2 3 7 4" xfId="38276" xr:uid="{2B35B468-412D-46FD-8755-D5B92BCFBE96}"/>
    <cellStyle name="20% - Accent6 2 3 7 5" xfId="12984" xr:uid="{BF45B9B1-5953-4630-A2EE-14A22AD6E2D8}"/>
    <cellStyle name="20% - Accent6 2 3 8" xfId="25630" xr:uid="{832DE481-1857-40AF-BCF7-61FDD1856604}"/>
    <cellStyle name="20% - Accent6 2 3 9" xfId="17201" xr:uid="{C7AE98AD-FAE6-4DDE-9398-B5E5CC9A4861}"/>
    <cellStyle name="20% - Accent6 2 4" xfId="611" xr:uid="{00000000-0005-0000-0000-00005F030000}"/>
    <cellStyle name="20% - Accent6 2 4 2" xfId="2882" xr:uid="{00000000-0005-0000-0000-000060030000}"/>
    <cellStyle name="20% - Accent6 2 4 2 2" xfId="7105" xr:uid="{00000000-0005-0000-0000-000061030000}"/>
    <cellStyle name="20% - Accent6 2 4 2 2 2" xfId="32404" xr:uid="{4D8766DC-C843-46A9-AA50-94F5FF36EFD8}"/>
    <cellStyle name="20% - Accent6 2 4 2 2 3" xfId="23975" xr:uid="{30DC9B5A-3FBA-4581-8198-396504B87F7F}"/>
    <cellStyle name="20% - Accent6 2 4 2 2 4" xfId="40832" xr:uid="{7DB530F2-9B8C-440C-860D-7E3C8ED66F9A}"/>
    <cellStyle name="20% - Accent6 2 4 2 2 5" xfId="15540" xr:uid="{93B8E5F3-B205-4954-9890-D8B8CE7FA486}"/>
    <cellStyle name="20% - Accent6 2 4 2 3" xfId="28186" xr:uid="{E71B57C3-EE34-4376-9351-19DF2542B00F}"/>
    <cellStyle name="20% - Accent6 2 4 2 4" xfId="19757" xr:uid="{A28C8576-5EB4-4B77-BBDC-A48636185A45}"/>
    <cellStyle name="20% - Accent6 2 4 2 5" xfId="36615" xr:uid="{1AF387AA-06CE-4FD1-96DB-33763F0BF7BF}"/>
    <cellStyle name="20% - Accent6 2 4 2 6" xfId="11322" xr:uid="{44E8BE12-53ED-44EB-8AC4-0AFF17EBBEB3}"/>
    <cellStyle name="20% - Accent6 2 4 3" xfId="4960" xr:uid="{00000000-0005-0000-0000-000062030000}"/>
    <cellStyle name="20% - Accent6 2 4 3 2" xfId="30259" xr:uid="{60B40336-8B94-4F7B-AEBB-DE3FAC4FB5C5}"/>
    <cellStyle name="20% - Accent6 2 4 3 3" xfId="21830" xr:uid="{284A3FA1-A802-4ADE-A7E6-B5B9398C5EC7}"/>
    <cellStyle name="20% - Accent6 2 4 3 4" xfId="38687" xr:uid="{A4AD1781-F34B-4869-872C-D7EC81822359}"/>
    <cellStyle name="20% - Accent6 2 4 3 5" xfId="13395" xr:uid="{EC5E1181-5BAE-4EFA-A5D8-5CF031A91239}"/>
    <cellStyle name="20% - Accent6 2 4 4" xfId="26041" xr:uid="{D371BAE1-21E0-4C63-A93C-24606C0C5358}"/>
    <cellStyle name="20% - Accent6 2 4 5" xfId="17612" xr:uid="{30AB6020-F735-4FBD-8AC3-A4B398878019}"/>
    <cellStyle name="20% - Accent6 2 4 6" xfId="34470" xr:uid="{4E1581F0-789C-40A6-955A-E7B9CCD045FA}"/>
    <cellStyle name="20% - Accent6 2 4 7" xfId="9177" xr:uid="{B489CEB1-285A-4197-8B37-ACA072F409A1}"/>
    <cellStyle name="20% - Accent6 2 5" xfId="1064" xr:uid="{00000000-0005-0000-0000-000063030000}"/>
    <cellStyle name="20% - Accent6 2 5 2" xfId="3295" xr:uid="{00000000-0005-0000-0000-000064030000}"/>
    <cellStyle name="20% - Accent6 2 5 2 2" xfId="7518" xr:uid="{00000000-0005-0000-0000-000065030000}"/>
    <cellStyle name="20% - Accent6 2 5 2 2 2" xfId="32817" xr:uid="{FDAC8430-B50E-4045-884A-D3FCD8F68421}"/>
    <cellStyle name="20% - Accent6 2 5 2 2 3" xfId="24388" xr:uid="{ADABF270-E981-4C06-8173-55B56306EEE4}"/>
    <cellStyle name="20% - Accent6 2 5 2 2 4" xfId="41245" xr:uid="{85AD0632-8D62-4F79-8858-6283612E2107}"/>
    <cellStyle name="20% - Accent6 2 5 2 2 5" xfId="15953" xr:uid="{FC7AC1FC-3209-420F-A2AA-4D452263037A}"/>
    <cellStyle name="20% - Accent6 2 5 2 3" xfId="28599" xr:uid="{21F7391D-BDBF-42F0-ACDE-17AD36D36002}"/>
    <cellStyle name="20% - Accent6 2 5 2 4" xfId="20170" xr:uid="{A753784C-9775-425B-9AE6-653A1017345D}"/>
    <cellStyle name="20% - Accent6 2 5 2 5" xfId="37028" xr:uid="{786EA894-D883-4929-8A11-FFF20FD5EF7B}"/>
    <cellStyle name="20% - Accent6 2 5 2 6" xfId="11735" xr:uid="{734E6628-9304-4354-89B9-AD79170F7F25}"/>
    <cellStyle name="20% - Accent6 2 5 3" xfId="5373" xr:uid="{00000000-0005-0000-0000-000066030000}"/>
    <cellStyle name="20% - Accent6 2 5 3 2" xfId="30672" xr:uid="{6372D49A-79AA-4A77-B00F-FEC8561DAD65}"/>
    <cellStyle name="20% - Accent6 2 5 3 3" xfId="22243" xr:uid="{29BC1B2A-AC3F-4544-83DB-CC97A8E321FB}"/>
    <cellStyle name="20% - Accent6 2 5 3 4" xfId="39100" xr:uid="{87AF1E6A-84E1-4C1C-B5EE-4407CA102D71}"/>
    <cellStyle name="20% - Accent6 2 5 3 5" xfId="13808" xr:uid="{63ED143B-8BD5-4CA0-9D6E-284C4B40BB0F}"/>
    <cellStyle name="20% - Accent6 2 5 4" xfId="26454" xr:uid="{3E8B7FE3-B0D2-4BFF-8F18-B4477FEB1097}"/>
    <cellStyle name="20% - Accent6 2 5 5" xfId="18025" xr:uid="{F2DB0C38-4EB2-46FD-A09A-C61DE8068F60}"/>
    <cellStyle name="20% - Accent6 2 5 6" xfId="34883" xr:uid="{8DB33432-19C4-4F39-8156-72DC3DF66A61}"/>
    <cellStyle name="20% - Accent6 2 5 7" xfId="9590" xr:uid="{C3C5CE7E-9541-4492-9F25-BEB8EB1804AC}"/>
    <cellStyle name="20% - Accent6 2 6" xfId="1478" xr:uid="{00000000-0005-0000-0000-000067030000}"/>
    <cellStyle name="20% - Accent6 2 6 2" xfId="3708" xr:uid="{00000000-0005-0000-0000-000068030000}"/>
    <cellStyle name="20% - Accent6 2 6 2 2" xfId="7931" xr:uid="{00000000-0005-0000-0000-000069030000}"/>
    <cellStyle name="20% - Accent6 2 6 2 2 2" xfId="33230" xr:uid="{C61F472B-7BE0-4CB0-B410-52C92C8F9E41}"/>
    <cellStyle name="20% - Accent6 2 6 2 2 3" xfId="24801" xr:uid="{74F18C2F-FA9F-44C9-A3D1-B728CA44E8B5}"/>
    <cellStyle name="20% - Accent6 2 6 2 2 4" xfId="41658" xr:uid="{17FF96E9-CABF-45BA-BB53-23C111637FA9}"/>
    <cellStyle name="20% - Accent6 2 6 2 2 5" xfId="16366" xr:uid="{C36BDF24-9F34-4C3B-8560-30122852E9C2}"/>
    <cellStyle name="20% - Accent6 2 6 2 3" xfId="29012" xr:uid="{C2476B4C-864D-4437-B467-36892D4768A5}"/>
    <cellStyle name="20% - Accent6 2 6 2 4" xfId="20583" xr:uid="{5289CE0F-0779-44B9-BE13-844B3411CFC4}"/>
    <cellStyle name="20% - Accent6 2 6 2 5" xfId="37441" xr:uid="{62368560-1E99-4524-8755-524DBA9C618B}"/>
    <cellStyle name="20% - Accent6 2 6 2 6" xfId="12148" xr:uid="{99269E60-A65A-4437-95C3-1B04CE002EA3}"/>
    <cellStyle name="20% - Accent6 2 6 3" xfId="5786" xr:uid="{00000000-0005-0000-0000-00006A030000}"/>
    <cellStyle name="20% - Accent6 2 6 3 2" xfId="31085" xr:uid="{D97F0465-6774-4AF2-8437-D53C9EE9FCED}"/>
    <cellStyle name="20% - Accent6 2 6 3 3" xfId="22656" xr:uid="{99FEB7EC-AF17-485E-B6C9-D82F15B5CB12}"/>
    <cellStyle name="20% - Accent6 2 6 3 4" xfId="39513" xr:uid="{3A6DD6EC-033E-4EAC-88F7-719F00068AA6}"/>
    <cellStyle name="20% - Accent6 2 6 3 5" xfId="14221" xr:uid="{BE2452BD-0E85-40EF-B47D-3D2D24431690}"/>
    <cellStyle name="20% - Accent6 2 6 4" xfId="26867" xr:uid="{C574CBF4-B2AB-4F92-A198-F71FDDF3908E}"/>
    <cellStyle name="20% - Accent6 2 6 5" xfId="18438" xr:uid="{C78A649C-F1DF-4825-9E6B-E57DF2B249B9}"/>
    <cellStyle name="20% - Accent6 2 6 6" xfId="35296" xr:uid="{F2585911-1BFF-4023-AFDF-EA561B97CEA6}"/>
    <cellStyle name="20% - Accent6 2 6 7" xfId="10003" xr:uid="{3E428E9C-F114-46F7-830E-C5B59B319FB8}"/>
    <cellStyle name="20% - Accent6 2 7" xfId="1892" xr:uid="{00000000-0005-0000-0000-00006B030000}"/>
    <cellStyle name="20% - Accent6 2 7 2" xfId="4121" xr:uid="{00000000-0005-0000-0000-00006C030000}"/>
    <cellStyle name="20% - Accent6 2 7 2 2" xfId="8344" xr:uid="{00000000-0005-0000-0000-00006D030000}"/>
    <cellStyle name="20% - Accent6 2 7 2 2 2" xfId="33643" xr:uid="{AD5E610F-828B-4D49-806E-D1B09647B615}"/>
    <cellStyle name="20% - Accent6 2 7 2 2 3" xfId="25214" xr:uid="{9F49A791-BB0D-4EDA-8AB0-5B4DDB47BC8C}"/>
    <cellStyle name="20% - Accent6 2 7 2 2 4" xfId="42071" xr:uid="{CCD7F299-6203-4FDD-BCC2-1FB785A33C33}"/>
    <cellStyle name="20% - Accent6 2 7 2 2 5" xfId="16779" xr:uid="{894E5ADD-5F2B-4BC5-9596-20AFAA262133}"/>
    <cellStyle name="20% - Accent6 2 7 2 3" xfId="29425" xr:uid="{2F0B8A9F-6AC2-4E5C-9214-944B9E689617}"/>
    <cellStyle name="20% - Accent6 2 7 2 4" xfId="20996" xr:uid="{8761A2B6-45E4-4788-B5E1-0C150CD53550}"/>
    <cellStyle name="20% - Accent6 2 7 2 5" xfId="37854" xr:uid="{0F2978A8-8949-4932-A40E-7B382A3CE363}"/>
    <cellStyle name="20% - Accent6 2 7 2 6" xfId="12561" xr:uid="{7CF55F99-C0EC-484D-B3A1-603AB61505DE}"/>
    <cellStyle name="20% - Accent6 2 7 3" xfId="6199" xr:uid="{00000000-0005-0000-0000-00006E030000}"/>
    <cellStyle name="20% - Accent6 2 7 3 2" xfId="31498" xr:uid="{4E594D70-473D-4EB5-9790-67CFA507DEEF}"/>
    <cellStyle name="20% - Accent6 2 7 3 3" xfId="23069" xr:uid="{5C1E790E-340B-4415-902C-44AA269E4C8E}"/>
    <cellStyle name="20% - Accent6 2 7 3 4" xfId="39926" xr:uid="{01C6671B-1CE5-45F7-A571-3EDEAF32634E}"/>
    <cellStyle name="20% - Accent6 2 7 3 5" xfId="14634" xr:uid="{707631F0-457F-4127-8448-55E4A2D9A049}"/>
    <cellStyle name="20% - Accent6 2 7 4" xfId="27280" xr:uid="{C36FFE95-DB9B-4837-B2BB-3B034276C941}"/>
    <cellStyle name="20% - Accent6 2 7 5" xfId="18851" xr:uid="{F00603C0-A826-4AE0-A116-B1C2B4978DDA}"/>
    <cellStyle name="20% - Accent6 2 7 6" xfId="35709" xr:uid="{846DD7D4-43CC-4E43-B680-5456F2C419E7}"/>
    <cellStyle name="20% - Accent6 2 7 7" xfId="10416" xr:uid="{A81CBD29-A43E-459E-9D06-11DFFA0A2B53}"/>
    <cellStyle name="20% - Accent6 2 8" xfId="2305" xr:uid="{00000000-0005-0000-0000-00006F030000}"/>
    <cellStyle name="20% - Accent6 2 8 2" xfId="6612" xr:uid="{00000000-0005-0000-0000-000070030000}"/>
    <cellStyle name="20% - Accent6 2 8 2 2" xfId="31911" xr:uid="{66CD50C2-0A05-4618-A092-A8593CEAF1DB}"/>
    <cellStyle name="20% - Accent6 2 8 2 3" xfId="23482" xr:uid="{FE33B65B-7EEA-4558-BC52-A092050AF989}"/>
    <cellStyle name="20% - Accent6 2 8 2 4" xfId="40339" xr:uid="{B8888F83-9E6E-4BFD-8328-8F7057D1E877}"/>
    <cellStyle name="20% - Accent6 2 8 2 5" xfId="15047" xr:uid="{A9C5F087-7158-4F3F-B9EA-585F63916115}"/>
    <cellStyle name="20% - Accent6 2 8 3" xfId="27693" xr:uid="{68B0F3DB-DC46-4C6D-859D-A1501F439551}"/>
    <cellStyle name="20% - Accent6 2 8 4" xfId="19264" xr:uid="{0CDBE791-317B-4C85-8D93-92B8E0657206}"/>
    <cellStyle name="20% - Accent6 2 8 5" xfId="36122" xr:uid="{D0F14A51-36D9-43D8-86AE-7A4A94AE2C0F}"/>
    <cellStyle name="20% - Accent6 2 8 6" xfId="10829" xr:uid="{4EE7A9DD-D80F-4BB6-9F3C-87BFC017B88B}"/>
    <cellStyle name="20% - Accent6 2 9" xfId="4546" xr:uid="{00000000-0005-0000-0000-000071030000}"/>
    <cellStyle name="20% - Accent6 2 9 2" xfId="29845" xr:uid="{CDE66DB6-247D-4CB4-A5EA-5EB52FEE5C21}"/>
    <cellStyle name="20% - Accent6 2 9 3" xfId="21416" xr:uid="{A450F166-92C8-4D2B-A6F1-6A35DE158624}"/>
    <cellStyle name="20% - Accent6 2 9 4" xfId="38273" xr:uid="{0AA1A99C-BBB7-4591-B090-E6F3421A7681}"/>
    <cellStyle name="20% - Accent6 2 9 5" xfId="12981" xr:uid="{BDE2B97E-27C4-4CD9-B676-048671132462}"/>
    <cellStyle name="20% - Accent6 3" xfId="46" xr:uid="{00000000-0005-0000-0000-000072030000}"/>
    <cellStyle name="20% - Accent6 3 10" xfId="17202" xr:uid="{BFA3249F-CC47-4C1A-BCF4-29AB325B58BF}"/>
    <cellStyle name="20% - Accent6 3 11" xfId="34060" xr:uid="{8483D5DF-E796-41BE-ADFC-6F1FE7D836B9}"/>
    <cellStyle name="20% - Accent6 3 12" xfId="8767" xr:uid="{70322FC0-2F62-415E-AC52-424DF520FF62}"/>
    <cellStyle name="20% - Accent6 3 2" xfId="47" xr:uid="{00000000-0005-0000-0000-000073030000}"/>
    <cellStyle name="20% - Accent6 3 2 10" xfId="34061" xr:uid="{69E31C48-D5D6-4CFE-87F2-4BC083306A56}"/>
    <cellStyle name="20% - Accent6 3 2 11" xfId="8768" xr:uid="{E32A9821-4831-41D4-970D-91E1F4E12C64}"/>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32409" xr:uid="{AD02EAF2-4A3A-4007-A2B1-31F6721E3BE5}"/>
    <cellStyle name="20% - Accent6 3 2 2 2 2 3" xfId="23980" xr:uid="{283C7042-95B5-4979-BCF0-6F3D3D367DBA}"/>
    <cellStyle name="20% - Accent6 3 2 2 2 2 4" xfId="40837" xr:uid="{B1677BE1-D3EB-46A0-A70E-DFC4B5F2853F}"/>
    <cellStyle name="20% - Accent6 3 2 2 2 2 5" xfId="15545" xr:uid="{4B0F779B-0EEC-456C-8637-4374F7F75D21}"/>
    <cellStyle name="20% - Accent6 3 2 2 2 3" xfId="28191" xr:uid="{8064561D-EDFA-479F-B7EB-527EA611485E}"/>
    <cellStyle name="20% - Accent6 3 2 2 2 4" xfId="19762" xr:uid="{63ED22B3-9A67-4273-A667-48A8CE6DF06E}"/>
    <cellStyle name="20% - Accent6 3 2 2 2 5" xfId="36620" xr:uid="{5F597EB8-E14A-498B-9002-5896C1C8D9B9}"/>
    <cellStyle name="20% - Accent6 3 2 2 2 6" xfId="11327" xr:uid="{D8569E88-F19D-4B6A-B4B2-010935AE355D}"/>
    <cellStyle name="20% - Accent6 3 2 2 3" xfId="4965" xr:uid="{00000000-0005-0000-0000-000077030000}"/>
    <cellStyle name="20% - Accent6 3 2 2 3 2" xfId="30264" xr:uid="{8BE9E260-7C33-4C47-ABB6-7003D230B4EE}"/>
    <cellStyle name="20% - Accent6 3 2 2 3 3" xfId="21835" xr:uid="{FBC482A0-F0D2-40DF-9740-EB2D985282E5}"/>
    <cellStyle name="20% - Accent6 3 2 2 3 4" xfId="38692" xr:uid="{4DA84DAE-2932-47B7-B8F3-D1D2E782D10D}"/>
    <cellStyle name="20% - Accent6 3 2 2 3 5" xfId="13400" xr:uid="{2B739891-F830-4BE6-87EC-DE901ABE63D8}"/>
    <cellStyle name="20% - Accent6 3 2 2 4" xfId="26046" xr:uid="{11CAAAF1-4713-4AC9-A092-7D2864A6AEB3}"/>
    <cellStyle name="20% - Accent6 3 2 2 5" xfId="17617" xr:uid="{872368C4-7437-4BBD-94B3-343E855181E1}"/>
    <cellStyle name="20% - Accent6 3 2 2 6" xfId="34475" xr:uid="{E0093BA4-092D-4EDA-AF0D-5031BC8BC015}"/>
    <cellStyle name="20% - Accent6 3 2 2 7" xfId="9182" xr:uid="{D8388516-24E9-491B-A701-D5C8B05E104C}"/>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32822" xr:uid="{19724A8A-A277-41EC-AAFA-FD28550E2ABF}"/>
    <cellStyle name="20% - Accent6 3 2 3 2 2 3" xfId="24393" xr:uid="{DE071AD6-D56E-4EDB-B1DA-48D0CC3E79EB}"/>
    <cellStyle name="20% - Accent6 3 2 3 2 2 4" xfId="41250" xr:uid="{CFE0E39C-995E-457D-AB3A-D12E0271C0E2}"/>
    <cellStyle name="20% - Accent6 3 2 3 2 2 5" xfId="15958" xr:uid="{93A95EC8-428D-4F46-8A69-B307C57300ED}"/>
    <cellStyle name="20% - Accent6 3 2 3 2 3" xfId="28604" xr:uid="{4EE2E425-02D2-4FB2-9908-45A61D39D2DA}"/>
    <cellStyle name="20% - Accent6 3 2 3 2 4" xfId="20175" xr:uid="{EFCE2DA7-180E-409C-A121-D69FBD427EFC}"/>
    <cellStyle name="20% - Accent6 3 2 3 2 5" xfId="37033" xr:uid="{B9D3830B-F580-4549-A3BF-86D62BFA2B60}"/>
    <cellStyle name="20% - Accent6 3 2 3 2 6" xfId="11740" xr:uid="{F57EFA3D-65D1-4BA0-9B62-4D76A1260AE7}"/>
    <cellStyle name="20% - Accent6 3 2 3 3" xfId="5378" xr:uid="{00000000-0005-0000-0000-00007B030000}"/>
    <cellStyle name="20% - Accent6 3 2 3 3 2" xfId="30677" xr:uid="{E496C855-060A-4C55-B5D2-34EC4AC3D85C}"/>
    <cellStyle name="20% - Accent6 3 2 3 3 3" xfId="22248" xr:uid="{263FAAE3-11D6-492B-8D70-9A307F46D4DD}"/>
    <cellStyle name="20% - Accent6 3 2 3 3 4" xfId="39105" xr:uid="{C9CD8392-9ED4-45CE-86AF-3ACD4E6AC371}"/>
    <cellStyle name="20% - Accent6 3 2 3 3 5" xfId="13813" xr:uid="{B05E288F-A2F7-4A0D-B365-8E2A1BC5E4BC}"/>
    <cellStyle name="20% - Accent6 3 2 3 4" xfId="26459" xr:uid="{3FF2AE38-2F63-449D-98D4-C10B7265F24C}"/>
    <cellStyle name="20% - Accent6 3 2 3 5" xfId="18030" xr:uid="{B666B495-9FFE-4610-95F2-96BDFE996AC5}"/>
    <cellStyle name="20% - Accent6 3 2 3 6" xfId="34888" xr:uid="{22780F2C-DA2C-412D-AC22-FA5A83CB356D}"/>
    <cellStyle name="20% - Accent6 3 2 3 7" xfId="9595" xr:uid="{E50A3C8F-A666-40A1-934E-A73642330357}"/>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33235" xr:uid="{5545D084-8B1B-41F8-B2DE-D9D6D677B14B}"/>
    <cellStyle name="20% - Accent6 3 2 4 2 2 3" xfId="24806" xr:uid="{CA9C7888-D811-43D7-82C5-0A7BA0360553}"/>
    <cellStyle name="20% - Accent6 3 2 4 2 2 4" xfId="41663" xr:uid="{63529615-C283-45E5-9355-553E034AAB03}"/>
    <cellStyle name="20% - Accent6 3 2 4 2 2 5" xfId="16371" xr:uid="{AAFC0A71-B799-400E-BA5A-C2AE0265C8F0}"/>
    <cellStyle name="20% - Accent6 3 2 4 2 3" xfId="29017" xr:uid="{1A489521-7279-4B64-8C43-F7F4619F7D89}"/>
    <cellStyle name="20% - Accent6 3 2 4 2 4" xfId="20588" xr:uid="{2267694F-240F-41F1-8561-D5B377129165}"/>
    <cellStyle name="20% - Accent6 3 2 4 2 5" xfId="37446" xr:uid="{FC4D9296-DF72-4538-A7A7-D899F3E7B439}"/>
    <cellStyle name="20% - Accent6 3 2 4 2 6" xfId="12153" xr:uid="{52D8ED19-58DD-49DC-B061-9C5723F65834}"/>
    <cellStyle name="20% - Accent6 3 2 4 3" xfId="5791" xr:uid="{00000000-0005-0000-0000-00007F030000}"/>
    <cellStyle name="20% - Accent6 3 2 4 3 2" xfId="31090" xr:uid="{68018924-2F93-4EED-A182-D91D56883BD0}"/>
    <cellStyle name="20% - Accent6 3 2 4 3 3" xfId="22661" xr:uid="{D63A0E5B-A979-49DE-B1B8-8EB39ABF0E75}"/>
    <cellStyle name="20% - Accent6 3 2 4 3 4" xfId="39518" xr:uid="{12B0BAE7-96DC-402E-ADEE-A8D7088F19F1}"/>
    <cellStyle name="20% - Accent6 3 2 4 3 5" xfId="14226" xr:uid="{5A7E77FC-0359-4ACB-8E93-1E430DB978CA}"/>
    <cellStyle name="20% - Accent6 3 2 4 4" xfId="26872" xr:uid="{CCC29E4D-5A59-4A03-994C-B90478475C72}"/>
    <cellStyle name="20% - Accent6 3 2 4 5" xfId="18443" xr:uid="{A123582A-8B8D-4A86-ABED-6D2769EA8770}"/>
    <cellStyle name="20% - Accent6 3 2 4 6" xfId="35301" xr:uid="{75DF2736-8A97-45C5-A1A7-19B068A42F7C}"/>
    <cellStyle name="20% - Accent6 3 2 4 7" xfId="10008" xr:uid="{CBA60A0D-AED4-408D-890A-569B1E3BA3A7}"/>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33648" xr:uid="{3D271A37-592A-4F21-AECE-AEAFA4576DA1}"/>
    <cellStyle name="20% - Accent6 3 2 5 2 2 3" xfId="25219" xr:uid="{2CF309B4-85C1-45C4-A09C-601A8B1AE391}"/>
    <cellStyle name="20% - Accent6 3 2 5 2 2 4" xfId="42076" xr:uid="{8EF784C6-3969-469A-AE02-A58E36F86A88}"/>
    <cellStyle name="20% - Accent6 3 2 5 2 2 5" xfId="16784" xr:uid="{3B1F4788-8884-4C29-9882-EE48F3B38A92}"/>
    <cellStyle name="20% - Accent6 3 2 5 2 3" xfId="29430" xr:uid="{DA3B9B3D-E8A1-4601-8C08-1FFBCB20841F}"/>
    <cellStyle name="20% - Accent6 3 2 5 2 4" xfId="21001" xr:uid="{C6A3270B-62C4-458C-BE6B-2E24F5896ECA}"/>
    <cellStyle name="20% - Accent6 3 2 5 2 5" xfId="37859" xr:uid="{A53147F0-79BC-40BC-BBA7-3622057D06B3}"/>
    <cellStyle name="20% - Accent6 3 2 5 2 6" xfId="12566" xr:uid="{BF35D2A9-7F56-40C8-B38C-5ECD23012DB0}"/>
    <cellStyle name="20% - Accent6 3 2 5 3" xfId="6204" xr:uid="{00000000-0005-0000-0000-000083030000}"/>
    <cellStyle name="20% - Accent6 3 2 5 3 2" xfId="31503" xr:uid="{31FCE356-BFF2-4C4E-8FC1-0D7EABABD22B}"/>
    <cellStyle name="20% - Accent6 3 2 5 3 3" xfId="23074" xr:uid="{CDABC7E5-E7CE-4910-B6F4-CABE548206AD}"/>
    <cellStyle name="20% - Accent6 3 2 5 3 4" xfId="39931" xr:uid="{E7BB63E2-F540-4A18-8F5F-474FCF109360}"/>
    <cellStyle name="20% - Accent6 3 2 5 3 5" xfId="14639" xr:uid="{37AC4113-ED00-4EBD-BD55-8F9BDC2408F6}"/>
    <cellStyle name="20% - Accent6 3 2 5 4" xfId="27285" xr:uid="{AA3DD684-EA9D-4648-8BD8-461B882CEF85}"/>
    <cellStyle name="20% - Accent6 3 2 5 5" xfId="18856" xr:uid="{1F39E50A-A940-40C5-8799-743296B14B05}"/>
    <cellStyle name="20% - Accent6 3 2 5 6" xfId="35714" xr:uid="{E3F89AB8-AA2B-4E57-9D11-EDADEBB77F92}"/>
    <cellStyle name="20% - Accent6 3 2 5 7" xfId="10421" xr:uid="{A24F4327-E6DD-4A9C-8084-3A39CB434185}"/>
    <cellStyle name="20% - Accent6 3 2 6" xfId="2310" xr:uid="{00000000-0005-0000-0000-000084030000}"/>
    <cellStyle name="20% - Accent6 3 2 6 2" xfId="6617" xr:uid="{00000000-0005-0000-0000-000085030000}"/>
    <cellStyle name="20% - Accent6 3 2 6 2 2" xfId="31916" xr:uid="{8898400E-6A9A-49D1-98A7-5C8741C8E21D}"/>
    <cellStyle name="20% - Accent6 3 2 6 2 3" xfId="23487" xr:uid="{9094A113-3ABD-4E0D-8081-6F6718FAA897}"/>
    <cellStyle name="20% - Accent6 3 2 6 2 4" xfId="40344" xr:uid="{4492475C-FCA9-414C-A69D-D3D9027CDF84}"/>
    <cellStyle name="20% - Accent6 3 2 6 2 5" xfId="15052" xr:uid="{09DC7358-9EF3-4A2F-A164-61582489B165}"/>
    <cellStyle name="20% - Accent6 3 2 6 3" xfId="27698" xr:uid="{C5B4D852-5A90-4E47-AAB9-60F13E49F422}"/>
    <cellStyle name="20% - Accent6 3 2 6 4" xfId="19269" xr:uid="{15FC264D-B499-44A9-A0F5-E529602BA38A}"/>
    <cellStyle name="20% - Accent6 3 2 6 5" xfId="36127" xr:uid="{89940B84-3A67-422F-9A7C-8124A54C5739}"/>
    <cellStyle name="20% - Accent6 3 2 6 6" xfId="10834" xr:uid="{1ACAA321-E431-4CC1-9C41-2F2DFF8E19D6}"/>
    <cellStyle name="20% - Accent6 3 2 7" xfId="4551" xr:uid="{00000000-0005-0000-0000-000086030000}"/>
    <cellStyle name="20% - Accent6 3 2 7 2" xfId="29850" xr:uid="{21DCB0F3-FCB2-49A8-BD82-319EA2A51AA1}"/>
    <cellStyle name="20% - Accent6 3 2 7 3" xfId="21421" xr:uid="{4B680C8C-5D0C-4B9A-836E-2782B233027B}"/>
    <cellStyle name="20% - Accent6 3 2 7 4" xfId="38278" xr:uid="{270A948F-F8FE-4E0E-81FB-DA7C82BECD63}"/>
    <cellStyle name="20% - Accent6 3 2 7 5" xfId="12986" xr:uid="{9FE69936-082F-4EA4-BEEE-9DC3DC23661A}"/>
    <cellStyle name="20% - Accent6 3 2 8" xfId="25632" xr:uid="{8B5256F3-233C-4C50-9300-8774677C5BFE}"/>
    <cellStyle name="20% - Accent6 3 2 9" xfId="17203" xr:uid="{7A5670C1-7995-4A1A-BFA1-14345C08E73A}"/>
    <cellStyle name="20% - Accent6 3 3" xfId="615" xr:uid="{00000000-0005-0000-0000-000087030000}"/>
    <cellStyle name="20% - Accent6 3 3 2" xfId="2886" xr:uid="{00000000-0005-0000-0000-000088030000}"/>
    <cellStyle name="20% - Accent6 3 3 2 2" xfId="7109" xr:uid="{00000000-0005-0000-0000-000089030000}"/>
    <cellStyle name="20% - Accent6 3 3 2 2 2" xfId="32408" xr:uid="{D669882B-C9C8-4201-851A-D1855E72FEB5}"/>
    <cellStyle name="20% - Accent6 3 3 2 2 3" xfId="23979" xr:uid="{2B4CA780-0DAF-47A1-B96E-896108FC2351}"/>
    <cellStyle name="20% - Accent6 3 3 2 2 4" xfId="40836" xr:uid="{7D79B761-2E5D-41E8-9A9B-E5E386F79CA0}"/>
    <cellStyle name="20% - Accent6 3 3 2 2 5" xfId="15544" xr:uid="{E4DBA6E9-BD9A-4FAF-B21F-FA1F5C1F3C25}"/>
    <cellStyle name="20% - Accent6 3 3 2 3" xfId="28190" xr:uid="{B0FDE2CB-9892-47E9-9B66-10B9EB28C168}"/>
    <cellStyle name="20% - Accent6 3 3 2 4" xfId="19761" xr:uid="{28E96357-0AF6-49DD-962C-733CD1FB5B07}"/>
    <cellStyle name="20% - Accent6 3 3 2 5" xfId="36619" xr:uid="{870657E5-86C7-46D1-A064-778FBA895616}"/>
    <cellStyle name="20% - Accent6 3 3 2 6" xfId="11326" xr:uid="{B51B3A39-C51B-40E0-BD00-5532C3420CFE}"/>
    <cellStyle name="20% - Accent6 3 3 3" xfId="4964" xr:uid="{00000000-0005-0000-0000-00008A030000}"/>
    <cellStyle name="20% - Accent6 3 3 3 2" xfId="30263" xr:uid="{65314C05-EB54-482F-835C-E5A95704CD28}"/>
    <cellStyle name="20% - Accent6 3 3 3 3" xfId="21834" xr:uid="{F14D7BC1-C3A0-4B42-BADD-BB4C9375EA3F}"/>
    <cellStyle name="20% - Accent6 3 3 3 4" xfId="38691" xr:uid="{9FC8C0DF-A97D-475C-B7D1-2285EF370555}"/>
    <cellStyle name="20% - Accent6 3 3 3 5" xfId="13399" xr:uid="{AA9EB94E-430E-4560-90D0-525D13374636}"/>
    <cellStyle name="20% - Accent6 3 3 4" xfId="26045" xr:uid="{FDEE498B-3D4D-484D-8322-B55DA507C362}"/>
    <cellStyle name="20% - Accent6 3 3 5" xfId="17616" xr:uid="{D34F7B4E-7214-460C-90D0-D2A59AD443DC}"/>
    <cellStyle name="20% - Accent6 3 3 6" xfId="34474" xr:uid="{30489074-D4BE-42D8-81A5-FCE467FAEC24}"/>
    <cellStyle name="20% - Accent6 3 3 7" xfId="9181" xr:uid="{225636FC-5ED9-472C-927A-9B7C95C809AC}"/>
    <cellStyle name="20% - Accent6 3 4" xfId="1068" xr:uid="{00000000-0005-0000-0000-00008B030000}"/>
    <cellStyle name="20% - Accent6 3 4 2" xfId="3299" xr:uid="{00000000-0005-0000-0000-00008C030000}"/>
    <cellStyle name="20% - Accent6 3 4 2 2" xfId="7522" xr:uid="{00000000-0005-0000-0000-00008D030000}"/>
    <cellStyle name="20% - Accent6 3 4 2 2 2" xfId="32821" xr:uid="{22D485DD-B7C6-4B83-84B5-EFE475ADB9A5}"/>
    <cellStyle name="20% - Accent6 3 4 2 2 3" xfId="24392" xr:uid="{A2EEBFE6-14F0-46CA-A175-34778376EA86}"/>
    <cellStyle name="20% - Accent6 3 4 2 2 4" xfId="41249" xr:uid="{718C2E7E-7AF2-42D9-A0B0-EB6CB26E7CF5}"/>
    <cellStyle name="20% - Accent6 3 4 2 2 5" xfId="15957" xr:uid="{0857B584-4859-4E2D-8C3D-C680AE1AFD0D}"/>
    <cellStyle name="20% - Accent6 3 4 2 3" xfId="28603" xr:uid="{EE7EA168-501B-42B9-A495-257A9D980033}"/>
    <cellStyle name="20% - Accent6 3 4 2 4" xfId="20174" xr:uid="{1637E2CB-245C-4B75-B66A-C77A7587F5CE}"/>
    <cellStyle name="20% - Accent6 3 4 2 5" xfId="37032" xr:uid="{0B71F01D-E27C-407A-9DBF-8C21AD2EAB69}"/>
    <cellStyle name="20% - Accent6 3 4 2 6" xfId="11739" xr:uid="{6D741E50-77AE-4042-8ED9-607729455821}"/>
    <cellStyle name="20% - Accent6 3 4 3" xfId="5377" xr:uid="{00000000-0005-0000-0000-00008E030000}"/>
    <cellStyle name="20% - Accent6 3 4 3 2" xfId="30676" xr:uid="{0CD5D881-47B4-4367-96BB-EC71F714981F}"/>
    <cellStyle name="20% - Accent6 3 4 3 3" xfId="22247" xr:uid="{C47FA113-4ED7-498E-AAE4-2C2C85B2219E}"/>
    <cellStyle name="20% - Accent6 3 4 3 4" xfId="39104" xr:uid="{69C7E15A-D00C-4AFD-ADA4-61E9C2EBE9A7}"/>
    <cellStyle name="20% - Accent6 3 4 3 5" xfId="13812" xr:uid="{2E027A2F-BF65-4835-AC89-A07F1D143A8A}"/>
    <cellStyle name="20% - Accent6 3 4 4" xfId="26458" xr:uid="{F0588B1F-1068-4DAD-9B5A-BA36696416AA}"/>
    <cellStyle name="20% - Accent6 3 4 5" xfId="18029" xr:uid="{4D73ED1B-0987-41AF-A3C6-D477B638AB4D}"/>
    <cellStyle name="20% - Accent6 3 4 6" xfId="34887" xr:uid="{6D5EB37A-EBCD-4914-B091-F92E193B48C2}"/>
    <cellStyle name="20% - Accent6 3 4 7" xfId="9594" xr:uid="{143278B5-AC91-4C4B-B7CF-3723DC06020B}"/>
    <cellStyle name="20% - Accent6 3 5" xfId="1482" xr:uid="{00000000-0005-0000-0000-00008F030000}"/>
    <cellStyle name="20% - Accent6 3 5 2" xfId="3712" xr:uid="{00000000-0005-0000-0000-000090030000}"/>
    <cellStyle name="20% - Accent6 3 5 2 2" xfId="7935" xr:uid="{00000000-0005-0000-0000-000091030000}"/>
    <cellStyle name="20% - Accent6 3 5 2 2 2" xfId="33234" xr:uid="{66944D6B-35D5-4786-93EF-E90F451E7563}"/>
    <cellStyle name="20% - Accent6 3 5 2 2 3" xfId="24805" xr:uid="{210C5BF9-B96F-4CDB-A7D0-14FE9165C9EA}"/>
    <cellStyle name="20% - Accent6 3 5 2 2 4" xfId="41662" xr:uid="{7C7F7A52-AAAF-494D-B78C-4E5CD25C3985}"/>
    <cellStyle name="20% - Accent6 3 5 2 2 5" xfId="16370" xr:uid="{9BBDD16E-9A17-4495-A9F2-0B906EA18037}"/>
    <cellStyle name="20% - Accent6 3 5 2 3" xfId="29016" xr:uid="{559DF2B2-6A7B-47F5-BF50-ACB01D4CDB8F}"/>
    <cellStyle name="20% - Accent6 3 5 2 4" xfId="20587" xr:uid="{3B112D60-089F-4705-A6F1-1466016B82CC}"/>
    <cellStyle name="20% - Accent6 3 5 2 5" xfId="37445" xr:uid="{15E65E72-E5E8-4819-B342-497FAD9E2262}"/>
    <cellStyle name="20% - Accent6 3 5 2 6" xfId="12152" xr:uid="{BB386FB8-C2D6-41BE-A635-486F3428D83F}"/>
    <cellStyle name="20% - Accent6 3 5 3" xfId="5790" xr:uid="{00000000-0005-0000-0000-000092030000}"/>
    <cellStyle name="20% - Accent6 3 5 3 2" xfId="31089" xr:uid="{AFDB7022-0622-498F-AB82-39715F14D77C}"/>
    <cellStyle name="20% - Accent6 3 5 3 3" xfId="22660" xr:uid="{668DE046-846A-4E9B-9CC7-72EC186D0E51}"/>
    <cellStyle name="20% - Accent6 3 5 3 4" xfId="39517" xr:uid="{CE901415-7161-463C-95D0-E579527DDDFB}"/>
    <cellStyle name="20% - Accent6 3 5 3 5" xfId="14225" xr:uid="{595F6CE9-4BB7-4F3D-B5EE-78C165660A2A}"/>
    <cellStyle name="20% - Accent6 3 5 4" xfId="26871" xr:uid="{9D92B9D1-1451-4F36-A111-18B64FCE64FB}"/>
    <cellStyle name="20% - Accent6 3 5 5" xfId="18442" xr:uid="{7D14FAB7-75F8-4E98-B4DF-13EB6FFA183D}"/>
    <cellStyle name="20% - Accent6 3 5 6" xfId="35300" xr:uid="{B1C8F127-EDEA-40B0-A9F0-AA9F3F63A33B}"/>
    <cellStyle name="20% - Accent6 3 5 7" xfId="10007" xr:uid="{D11B93A7-5CFA-409E-8338-A59F400B62FE}"/>
    <cellStyle name="20% - Accent6 3 6" xfId="1896" xr:uid="{00000000-0005-0000-0000-000093030000}"/>
    <cellStyle name="20% - Accent6 3 6 2" xfId="4125" xr:uid="{00000000-0005-0000-0000-000094030000}"/>
    <cellStyle name="20% - Accent6 3 6 2 2" xfId="8348" xr:uid="{00000000-0005-0000-0000-000095030000}"/>
    <cellStyle name="20% - Accent6 3 6 2 2 2" xfId="33647" xr:uid="{D58C3A6B-BF45-4ADA-B36B-1F4940A2E611}"/>
    <cellStyle name="20% - Accent6 3 6 2 2 3" xfId="25218" xr:uid="{68D21E31-A152-48DD-8E00-BE5BFC026346}"/>
    <cellStyle name="20% - Accent6 3 6 2 2 4" xfId="42075" xr:uid="{D7AD3BF4-4C56-491C-9E57-A5E47CB4182E}"/>
    <cellStyle name="20% - Accent6 3 6 2 2 5" xfId="16783" xr:uid="{F2672FE5-ABC6-4BB1-800C-DD73C9B188E5}"/>
    <cellStyle name="20% - Accent6 3 6 2 3" xfId="29429" xr:uid="{169EE422-BE1D-4C21-BEE8-2A5570E0D308}"/>
    <cellStyle name="20% - Accent6 3 6 2 4" xfId="21000" xr:uid="{9A8041F8-D980-4782-A229-F4923366CD89}"/>
    <cellStyle name="20% - Accent6 3 6 2 5" xfId="37858" xr:uid="{5F550DB6-C21C-4E20-BCF0-A022F4DB7460}"/>
    <cellStyle name="20% - Accent6 3 6 2 6" xfId="12565" xr:uid="{15B0CDED-65B1-48F0-8D20-9649CB786581}"/>
    <cellStyle name="20% - Accent6 3 6 3" xfId="6203" xr:uid="{00000000-0005-0000-0000-000096030000}"/>
    <cellStyle name="20% - Accent6 3 6 3 2" xfId="31502" xr:uid="{3A0C5AC6-A831-49A7-9FD3-359A0E3E0CA2}"/>
    <cellStyle name="20% - Accent6 3 6 3 3" xfId="23073" xr:uid="{739AFA54-87C4-446D-A905-FFD0A0AC59D0}"/>
    <cellStyle name="20% - Accent6 3 6 3 4" xfId="39930" xr:uid="{A0BFCF46-800C-4596-B62C-5178E374103E}"/>
    <cellStyle name="20% - Accent6 3 6 3 5" xfId="14638" xr:uid="{AEB6BE45-D67D-49C9-9B8A-B2116BD0F48C}"/>
    <cellStyle name="20% - Accent6 3 6 4" xfId="27284" xr:uid="{E97724D3-BE3B-448B-AF08-AC8E492E99F8}"/>
    <cellStyle name="20% - Accent6 3 6 5" xfId="18855" xr:uid="{15AB278A-284F-4E1F-A6FD-08481E0E782D}"/>
    <cellStyle name="20% - Accent6 3 6 6" xfId="35713" xr:uid="{D39AC740-22D3-4338-B8E7-75A002DEFFB1}"/>
    <cellStyle name="20% - Accent6 3 6 7" xfId="10420" xr:uid="{4B923C1A-7DD0-4A44-ABCC-BD184E9BE95C}"/>
    <cellStyle name="20% - Accent6 3 7" xfId="2309" xr:uid="{00000000-0005-0000-0000-000097030000}"/>
    <cellStyle name="20% - Accent6 3 7 2" xfId="6616" xr:uid="{00000000-0005-0000-0000-000098030000}"/>
    <cellStyle name="20% - Accent6 3 7 2 2" xfId="31915" xr:uid="{AC169DAF-8A3D-437F-BF43-145BDDEED7D6}"/>
    <cellStyle name="20% - Accent6 3 7 2 3" xfId="23486" xr:uid="{25984CFB-324E-42CF-917F-54962D3FBCE6}"/>
    <cellStyle name="20% - Accent6 3 7 2 4" xfId="40343" xr:uid="{D42CB473-4BE4-4839-807D-CB0624EDC090}"/>
    <cellStyle name="20% - Accent6 3 7 2 5" xfId="15051" xr:uid="{70462224-47EE-4780-9A35-D50BA1305D23}"/>
    <cellStyle name="20% - Accent6 3 7 3" xfId="27697" xr:uid="{863531FC-BC05-449D-810F-A34ABAEB5DB6}"/>
    <cellStyle name="20% - Accent6 3 7 4" xfId="19268" xr:uid="{5A675438-B652-4AA1-9CB9-F84A35F38187}"/>
    <cellStyle name="20% - Accent6 3 7 5" xfId="36126" xr:uid="{9CC03E6D-BD99-431F-B75B-141BEA7C2F47}"/>
    <cellStyle name="20% - Accent6 3 7 6" xfId="10833" xr:uid="{6B8D20EC-5633-4908-AEEE-C36AD8337E1B}"/>
    <cellStyle name="20% - Accent6 3 8" xfId="4550" xr:uid="{00000000-0005-0000-0000-000099030000}"/>
    <cellStyle name="20% - Accent6 3 8 2" xfId="29849" xr:uid="{3F1357D9-130C-4A6F-A137-A8697450ED83}"/>
    <cellStyle name="20% - Accent6 3 8 3" xfId="21420" xr:uid="{1FF80DAA-8AC1-43DD-9209-75FAF4228810}"/>
    <cellStyle name="20% - Accent6 3 8 4" xfId="38277" xr:uid="{69374FE0-ED9B-44E3-BAC4-5A5E433E55F4}"/>
    <cellStyle name="20% - Accent6 3 8 5" xfId="12985" xr:uid="{2A46F26A-A1BA-42AD-B978-D806E3384122}"/>
    <cellStyle name="20% - Accent6 3 9" xfId="25631" xr:uid="{2E7AB737-B4BB-489D-95C3-7F3552735E0C}"/>
    <cellStyle name="20% - Accent6 4" xfId="48" xr:uid="{00000000-0005-0000-0000-00009A030000}"/>
    <cellStyle name="20% - Accent6 4 10" xfId="34062" xr:uid="{B8F688CF-121D-4594-A70E-97B84C1242FB}"/>
    <cellStyle name="20% - Accent6 4 11" xfId="8769" xr:uid="{D487C88B-9123-4B49-9616-52E3AFB4D9AC}"/>
    <cellStyle name="20% - Accent6 4 2" xfId="617" xr:uid="{00000000-0005-0000-0000-00009B030000}"/>
    <cellStyle name="20% - Accent6 4 2 2" xfId="2888" xr:uid="{00000000-0005-0000-0000-00009C030000}"/>
    <cellStyle name="20% - Accent6 4 2 2 2" xfId="7111" xr:uid="{00000000-0005-0000-0000-00009D030000}"/>
    <cellStyle name="20% - Accent6 4 2 2 2 2" xfId="32410" xr:uid="{2BA563DC-894A-4350-8F2D-E814704FB3C2}"/>
    <cellStyle name="20% - Accent6 4 2 2 2 3" xfId="23981" xr:uid="{A1314114-A538-42A9-9E7C-5C61B9C26F33}"/>
    <cellStyle name="20% - Accent6 4 2 2 2 4" xfId="40838" xr:uid="{B7482567-2393-4460-941E-E7A3B193B1B5}"/>
    <cellStyle name="20% - Accent6 4 2 2 2 5" xfId="15546" xr:uid="{39F2F053-22DD-45C5-8DD5-25B454FDCAAD}"/>
    <cellStyle name="20% - Accent6 4 2 2 3" xfId="28192" xr:uid="{1288B423-DDC6-4711-AFBB-531B31D6B211}"/>
    <cellStyle name="20% - Accent6 4 2 2 4" xfId="19763" xr:uid="{91A62F10-1A7C-4A1A-A64E-40AB5D5A49BB}"/>
    <cellStyle name="20% - Accent6 4 2 2 5" xfId="36621" xr:uid="{EB6EB4B0-45EF-42AA-9C81-284EDA1CD90E}"/>
    <cellStyle name="20% - Accent6 4 2 2 6" xfId="11328" xr:uid="{D6B41367-667D-4E7D-8FE9-82A9B313D329}"/>
    <cellStyle name="20% - Accent6 4 2 3" xfId="4966" xr:uid="{00000000-0005-0000-0000-00009E030000}"/>
    <cellStyle name="20% - Accent6 4 2 3 2" xfId="30265" xr:uid="{94DA981D-588C-421E-A9B1-DF93BC60A27F}"/>
    <cellStyle name="20% - Accent6 4 2 3 3" xfId="21836" xr:uid="{569502DC-49B3-4143-9450-A0A1573D243C}"/>
    <cellStyle name="20% - Accent6 4 2 3 4" xfId="38693" xr:uid="{B2BB818E-2F11-47D7-A293-5D8106251E57}"/>
    <cellStyle name="20% - Accent6 4 2 3 5" xfId="13401" xr:uid="{6094E424-5E7B-45A5-BF89-C010D51A98F4}"/>
    <cellStyle name="20% - Accent6 4 2 4" xfId="26047" xr:uid="{0D2A2288-E0C1-48D4-9C8F-AA4998731C69}"/>
    <cellStyle name="20% - Accent6 4 2 5" xfId="17618" xr:uid="{D992F6B2-96E0-4449-BEED-05E98FD5F134}"/>
    <cellStyle name="20% - Accent6 4 2 6" xfId="34476" xr:uid="{DF5D99DC-D57B-441F-9823-EC268DEBE4C1}"/>
    <cellStyle name="20% - Accent6 4 2 7" xfId="9183" xr:uid="{F63F9837-4FAA-49F2-941F-03BAB63AF5A7}"/>
    <cellStyle name="20% - Accent6 4 3" xfId="1070" xr:uid="{00000000-0005-0000-0000-00009F030000}"/>
    <cellStyle name="20% - Accent6 4 3 2" xfId="3301" xr:uid="{00000000-0005-0000-0000-0000A0030000}"/>
    <cellStyle name="20% - Accent6 4 3 2 2" xfId="7524" xr:uid="{00000000-0005-0000-0000-0000A1030000}"/>
    <cellStyle name="20% - Accent6 4 3 2 2 2" xfId="32823" xr:uid="{E3E32F96-FEF8-4EE6-9F94-C1346F20FEAA}"/>
    <cellStyle name="20% - Accent6 4 3 2 2 3" xfId="24394" xr:uid="{9F31657B-5E97-486C-B292-0D84148AFDDC}"/>
    <cellStyle name="20% - Accent6 4 3 2 2 4" xfId="41251" xr:uid="{68EEEE01-2A32-42DA-8E6E-5DAF045916B4}"/>
    <cellStyle name="20% - Accent6 4 3 2 2 5" xfId="15959" xr:uid="{DB8F23BF-1EB5-47D4-8A03-D64165D5CDAE}"/>
    <cellStyle name="20% - Accent6 4 3 2 3" xfId="28605" xr:uid="{1ECB6A54-C788-42EE-8757-C39C7011432F}"/>
    <cellStyle name="20% - Accent6 4 3 2 4" xfId="20176" xr:uid="{048DAD2B-C552-467C-B00C-A5DA487BDF35}"/>
    <cellStyle name="20% - Accent6 4 3 2 5" xfId="37034" xr:uid="{5FAD9950-8036-45D7-94B6-923EFE1659B6}"/>
    <cellStyle name="20% - Accent6 4 3 2 6" xfId="11741" xr:uid="{FFCADBF3-794B-4B3C-9D10-6DB568AC9120}"/>
    <cellStyle name="20% - Accent6 4 3 3" xfId="5379" xr:uid="{00000000-0005-0000-0000-0000A2030000}"/>
    <cellStyle name="20% - Accent6 4 3 3 2" xfId="30678" xr:uid="{255DC60D-1744-424D-BAD7-CB5F5CF01303}"/>
    <cellStyle name="20% - Accent6 4 3 3 3" xfId="22249" xr:uid="{C98347B2-7A44-41D3-A9E7-E83CF2758C16}"/>
    <cellStyle name="20% - Accent6 4 3 3 4" xfId="39106" xr:uid="{E0ACD7B2-DF2A-493E-B768-E0406834B8DB}"/>
    <cellStyle name="20% - Accent6 4 3 3 5" xfId="13814" xr:uid="{7F183AC0-EC06-47DB-9965-BD5375F716E5}"/>
    <cellStyle name="20% - Accent6 4 3 4" xfId="26460" xr:uid="{71E0A80C-C9A7-42D9-910A-2ECB271038A0}"/>
    <cellStyle name="20% - Accent6 4 3 5" xfId="18031" xr:uid="{97EF5170-5C71-4518-9AAD-079276488425}"/>
    <cellStyle name="20% - Accent6 4 3 6" xfId="34889" xr:uid="{33B0C962-762E-4889-A637-36BDDECAE735}"/>
    <cellStyle name="20% - Accent6 4 3 7" xfId="9596" xr:uid="{0AC06DEA-DF24-49C7-8141-C3492C548AB6}"/>
    <cellStyle name="20% - Accent6 4 4" xfId="1484" xr:uid="{00000000-0005-0000-0000-0000A3030000}"/>
    <cellStyle name="20% - Accent6 4 4 2" xfId="3714" xr:uid="{00000000-0005-0000-0000-0000A4030000}"/>
    <cellStyle name="20% - Accent6 4 4 2 2" xfId="7937" xr:uid="{00000000-0005-0000-0000-0000A5030000}"/>
    <cellStyle name="20% - Accent6 4 4 2 2 2" xfId="33236" xr:uid="{E0CA07D0-130A-4CA3-B945-AB0916AD70D2}"/>
    <cellStyle name="20% - Accent6 4 4 2 2 3" xfId="24807" xr:uid="{2E66B092-2FE4-4A47-BADB-1DAE5A80CCDB}"/>
    <cellStyle name="20% - Accent6 4 4 2 2 4" xfId="41664" xr:uid="{8D0ABFF4-732E-461F-B3C7-8EE30E82642C}"/>
    <cellStyle name="20% - Accent6 4 4 2 2 5" xfId="16372" xr:uid="{BCAADA3F-FE97-4F5A-AE52-5DA2E3C93B14}"/>
    <cellStyle name="20% - Accent6 4 4 2 3" xfId="29018" xr:uid="{649A43CD-D4DE-4C83-8A02-796DC8BD029F}"/>
    <cellStyle name="20% - Accent6 4 4 2 4" xfId="20589" xr:uid="{64F9B8FD-330C-4D4F-B310-C8ED3B9ECAD0}"/>
    <cellStyle name="20% - Accent6 4 4 2 5" xfId="37447" xr:uid="{83F3E033-E2AB-4C3C-9DBC-E63ACF93FA77}"/>
    <cellStyle name="20% - Accent6 4 4 2 6" xfId="12154" xr:uid="{8CCAD2DA-64D7-4D65-BEC1-A5D390971CC3}"/>
    <cellStyle name="20% - Accent6 4 4 3" xfId="5792" xr:uid="{00000000-0005-0000-0000-0000A6030000}"/>
    <cellStyle name="20% - Accent6 4 4 3 2" xfId="31091" xr:uid="{BB1DE5DB-D9E4-451A-A1EC-F0B23A606614}"/>
    <cellStyle name="20% - Accent6 4 4 3 3" xfId="22662" xr:uid="{22C1D125-57AE-4105-A6C9-9A520CB70946}"/>
    <cellStyle name="20% - Accent6 4 4 3 4" xfId="39519" xr:uid="{F5FDDA96-6C47-47C1-818D-5975CB0A8A8A}"/>
    <cellStyle name="20% - Accent6 4 4 3 5" xfId="14227" xr:uid="{3BBF706B-4425-4842-BCB8-893E4BFB5AAC}"/>
    <cellStyle name="20% - Accent6 4 4 4" xfId="26873" xr:uid="{88BBB51E-2BC5-4EE6-AAD4-24DBA1F3324A}"/>
    <cellStyle name="20% - Accent6 4 4 5" xfId="18444" xr:uid="{2241E870-939B-4C28-9C6E-E9AA87EF7F9B}"/>
    <cellStyle name="20% - Accent6 4 4 6" xfId="35302" xr:uid="{9A3B0E57-071A-4F1C-A0EA-5CDBA8AE3957}"/>
    <cellStyle name="20% - Accent6 4 4 7" xfId="10009" xr:uid="{9C8CFAFA-96B6-435E-BBE2-7747E844DA4B}"/>
    <cellStyle name="20% - Accent6 4 5" xfId="1898" xr:uid="{00000000-0005-0000-0000-0000A7030000}"/>
    <cellStyle name="20% - Accent6 4 5 2" xfId="4127" xr:uid="{00000000-0005-0000-0000-0000A8030000}"/>
    <cellStyle name="20% - Accent6 4 5 2 2" xfId="8350" xr:uid="{00000000-0005-0000-0000-0000A9030000}"/>
    <cellStyle name="20% - Accent6 4 5 2 2 2" xfId="33649" xr:uid="{3DEBF25B-1F47-4EAB-BB36-B8C115782EFD}"/>
    <cellStyle name="20% - Accent6 4 5 2 2 3" xfId="25220" xr:uid="{39E1C611-9D55-43D8-9842-0334F61F0737}"/>
    <cellStyle name="20% - Accent6 4 5 2 2 4" xfId="42077" xr:uid="{C02F8F93-5700-43F8-8AD7-1042E10A083B}"/>
    <cellStyle name="20% - Accent6 4 5 2 2 5" xfId="16785" xr:uid="{0A176077-0431-4C97-8A4A-349C3C7F15D6}"/>
    <cellStyle name="20% - Accent6 4 5 2 3" xfId="29431" xr:uid="{A06C5B95-E80E-489F-834B-B52FDED8CCBF}"/>
    <cellStyle name="20% - Accent6 4 5 2 4" xfId="21002" xr:uid="{C8F976BF-F508-4A61-AF0D-836A49A4115B}"/>
    <cellStyle name="20% - Accent6 4 5 2 5" xfId="37860" xr:uid="{346E475F-3CD5-4B09-BBC9-E4672A3D38E5}"/>
    <cellStyle name="20% - Accent6 4 5 2 6" xfId="12567" xr:uid="{8367F96B-541E-4E73-9529-7024AB02BA28}"/>
    <cellStyle name="20% - Accent6 4 5 3" xfId="6205" xr:uid="{00000000-0005-0000-0000-0000AA030000}"/>
    <cellStyle name="20% - Accent6 4 5 3 2" xfId="31504" xr:uid="{1B48F500-F852-49BE-9D44-E929997C2DC2}"/>
    <cellStyle name="20% - Accent6 4 5 3 3" xfId="23075" xr:uid="{89B5B9B5-BB1A-40E9-A5F9-1EA94620FC48}"/>
    <cellStyle name="20% - Accent6 4 5 3 4" xfId="39932" xr:uid="{10517995-CD9D-4555-9299-D51AE3035BE6}"/>
    <cellStyle name="20% - Accent6 4 5 3 5" xfId="14640" xr:uid="{54068EA6-4E78-4298-AE1E-AA2E0BB09727}"/>
    <cellStyle name="20% - Accent6 4 5 4" xfId="27286" xr:uid="{218192FD-1AC0-4681-A2F1-8313E224D68D}"/>
    <cellStyle name="20% - Accent6 4 5 5" xfId="18857" xr:uid="{4EDB97D9-4CBF-46B0-AA49-10D8A183B746}"/>
    <cellStyle name="20% - Accent6 4 5 6" xfId="35715" xr:uid="{4160400C-0086-4348-A003-7BEC5FE481C7}"/>
    <cellStyle name="20% - Accent6 4 5 7" xfId="10422" xr:uid="{D642DD14-55FC-4DF8-9C64-B2CF46C66224}"/>
    <cellStyle name="20% - Accent6 4 6" xfId="2311" xr:uid="{00000000-0005-0000-0000-0000AB030000}"/>
    <cellStyle name="20% - Accent6 4 6 2" xfId="6618" xr:uid="{00000000-0005-0000-0000-0000AC030000}"/>
    <cellStyle name="20% - Accent6 4 6 2 2" xfId="31917" xr:uid="{DFDA2683-DA05-49D0-A5D2-EAFEFC51F12A}"/>
    <cellStyle name="20% - Accent6 4 6 2 3" xfId="23488" xr:uid="{3AD98937-20AC-48E8-8D3F-D9D72F5DC6F9}"/>
    <cellStyle name="20% - Accent6 4 6 2 4" xfId="40345" xr:uid="{A494DDD3-7837-4C92-82FB-5893C2FDFE77}"/>
    <cellStyle name="20% - Accent6 4 6 2 5" xfId="15053" xr:uid="{7B273C6D-C0C0-4350-A667-3C1A1F3F42A4}"/>
    <cellStyle name="20% - Accent6 4 6 3" xfId="27699" xr:uid="{AB4722B2-1277-419B-B8E9-1DB1F574F64F}"/>
    <cellStyle name="20% - Accent6 4 6 4" xfId="19270" xr:uid="{28A4FA06-93C5-4FD1-9FA8-2968399E08AC}"/>
    <cellStyle name="20% - Accent6 4 6 5" xfId="36128" xr:uid="{403160FB-CECF-4AEC-8DC7-374BE5AD5E04}"/>
    <cellStyle name="20% - Accent6 4 6 6" xfId="10835" xr:uid="{0735003D-48F3-4DD3-83D0-EC535A26F912}"/>
    <cellStyle name="20% - Accent6 4 7" xfId="4552" xr:uid="{00000000-0005-0000-0000-0000AD030000}"/>
    <cellStyle name="20% - Accent6 4 7 2" xfId="29851" xr:uid="{6F9CD37C-FAB9-4572-8586-6615990AEEAF}"/>
    <cellStyle name="20% - Accent6 4 7 3" xfId="21422" xr:uid="{BCC475C6-1CBD-4581-AA98-51897EFEABC6}"/>
    <cellStyle name="20% - Accent6 4 7 4" xfId="38279" xr:uid="{4547EF2B-2707-4A1A-B644-F607D039AB53}"/>
    <cellStyle name="20% - Accent6 4 7 5" xfId="12987" xr:uid="{31313C52-3E6D-47AC-B934-E22459803AF6}"/>
    <cellStyle name="20% - Accent6 4 8" xfId="25633" xr:uid="{BB862E26-B216-47A4-BCEC-99051AC4CF44}"/>
    <cellStyle name="20% - Accent6 4 9" xfId="17204" xr:uid="{BAED57F7-7B47-4AB2-A0B7-769BBEFC3549}"/>
    <cellStyle name="20% - Accent6 5" xfId="610" xr:uid="{00000000-0005-0000-0000-0000AE030000}"/>
    <cellStyle name="20% - Accent6 5 2" xfId="2881" xr:uid="{00000000-0005-0000-0000-0000AF030000}"/>
    <cellStyle name="20% - Accent6 5 2 2" xfId="7104" xr:uid="{00000000-0005-0000-0000-0000B0030000}"/>
    <cellStyle name="20% - Accent6 5 2 2 2" xfId="32403" xr:uid="{E31A4535-7584-4E2F-A07B-EC62BE222F57}"/>
    <cellStyle name="20% - Accent6 5 2 2 3" xfId="23974" xr:uid="{73622CA7-3C28-4951-B950-CCB0855400CC}"/>
    <cellStyle name="20% - Accent6 5 2 2 4" xfId="40831" xr:uid="{8F5611E5-B9A2-46D1-A643-B51A55F4D1D1}"/>
    <cellStyle name="20% - Accent6 5 2 2 5" xfId="15539" xr:uid="{049BE2CA-F7B2-4816-B1FB-84945E1ABF70}"/>
    <cellStyle name="20% - Accent6 5 2 3" xfId="28185" xr:uid="{1927454E-0996-476E-B84F-B306ECEB3004}"/>
    <cellStyle name="20% - Accent6 5 2 4" xfId="19756" xr:uid="{26DCF7C3-833E-498C-957D-F37DA821BD94}"/>
    <cellStyle name="20% - Accent6 5 2 5" xfId="36614" xr:uid="{4D6FA8B9-5C99-400E-87B2-1B69B802D680}"/>
    <cellStyle name="20% - Accent6 5 2 6" xfId="11321" xr:uid="{737C736E-BB09-481F-9A6E-B40A7AA33BD0}"/>
    <cellStyle name="20% - Accent6 5 3" xfId="4959" xr:uid="{00000000-0005-0000-0000-0000B1030000}"/>
    <cellStyle name="20% - Accent6 5 3 2" xfId="30258" xr:uid="{AD1265E6-A221-4597-A98C-F396544E0742}"/>
    <cellStyle name="20% - Accent6 5 3 3" xfId="21829" xr:uid="{9B77DE9A-21C6-4685-BF7B-D2413C10D401}"/>
    <cellStyle name="20% - Accent6 5 3 4" xfId="38686" xr:uid="{384BCB1F-D143-499A-954C-7852F537CCFB}"/>
    <cellStyle name="20% - Accent6 5 3 5" xfId="13394" xr:uid="{79B2E5A4-547D-4F14-A4C9-374CD97EDC23}"/>
    <cellStyle name="20% - Accent6 5 4" xfId="26040" xr:uid="{0C484565-A10D-48DE-BFAB-DB9802BBDE98}"/>
    <cellStyle name="20% - Accent6 5 5" xfId="17611" xr:uid="{3721C22C-579B-48EB-B4A8-3097D88FC4BF}"/>
    <cellStyle name="20% - Accent6 5 6" xfId="34469" xr:uid="{2A682F0C-24EC-421E-9064-FA1B6AA9B963}"/>
    <cellStyle name="20% - Accent6 5 7" xfId="9176" xr:uid="{7DBACCDE-60B3-4617-93D1-8F64ECA5C259}"/>
    <cellStyle name="20% - Accent6 6" xfId="1063" xr:uid="{00000000-0005-0000-0000-0000B2030000}"/>
    <cellStyle name="20% - Accent6 6 2" xfId="3294" xr:uid="{00000000-0005-0000-0000-0000B3030000}"/>
    <cellStyle name="20% - Accent6 6 2 2" xfId="7517" xr:uid="{00000000-0005-0000-0000-0000B4030000}"/>
    <cellStyle name="20% - Accent6 6 2 2 2" xfId="32816" xr:uid="{3C191518-5052-44C2-BBCC-919F83AE7689}"/>
    <cellStyle name="20% - Accent6 6 2 2 3" xfId="24387" xr:uid="{3F4DEBAD-DE44-46BA-822E-B585B08CB66B}"/>
    <cellStyle name="20% - Accent6 6 2 2 4" xfId="41244" xr:uid="{CABD460F-E07D-4A2A-825D-4CADD1177B53}"/>
    <cellStyle name="20% - Accent6 6 2 2 5" xfId="15952" xr:uid="{525E29DA-F216-4473-BC79-94E4E3EF103A}"/>
    <cellStyle name="20% - Accent6 6 2 3" xfId="28598" xr:uid="{136A9458-9120-4B58-9143-8F9F5357EBC8}"/>
    <cellStyle name="20% - Accent6 6 2 4" xfId="20169" xr:uid="{4C45EC97-2617-4BFF-8E6C-00CCB90B5AD6}"/>
    <cellStyle name="20% - Accent6 6 2 5" xfId="37027" xr:uid="{31469113-C85C-4B23-8E5D-05AABC23B9E2}"/>
    <cellStyle name="20% - Accent6 6 2 6" xfId="11734" xr:uid="{2E4E4B68-81EE-4F12-A68A-582A6DA5BEBF}"/>
    <cellStyle name="20% - Accent6 6 3" xfId="5372" xr:uid="{00000000-0005-0000-0000-0000B5030000}"/>
    <cellStyle name="20% - Accent6 6 3 2" xfId="30671" xr:uid="{C0BCD5CE-BAC6-4776-A102-BD352BF5E3EB}"/>
    <cellStyle name="20% - Accent6 6 3 3" xfId="22242" xr:uid="{EB722AC1-E793-4450-92CA-E899132B13DB}"/>
    <cellStyle name="20% - Accent6 6 3 4" xfId="39099" xr:uid="{4CC9911A-55C3-4C63-B7D5-66B1C460F2B9}"/>
    <cellStyle name="20% - Accent6 6 3 5" xfId="13807" xr:uid="{0C833C22-7036-482A-B9A8-A0ED84594EEB}"/>
    <cellStyle name="20% - Accent6 6 4" xfId="26453" xr:uid="{0DEA1047-20CE-4D9A-9435-5783765AFEF7}"/>
    <cellStyle name="20% - Accent6 6 5" xfId="18024" xr:uid="{5461DDAA-DAB9-4200-98ED-9A874A9E5A43}"/>
    <cellStyle name="20% - Accent6 6 6" xfId="34882" xr:uid="{363DF35C-A39E-4113-8CC6-13059646A9F5}"/>
    <cellStyle name="20% - Accent6 6 7" xfId="9589" xr:uid="{896C1D65-5C24-4147-8C69-249C9D5144AE}"/>
    <cellStyle name="20% - Accent6 7" xfId="1477" xr:uid="{00000000-0005-0000-0000-0000B6030000}"/>
    <cellStyle name="20% - Accent6 7 2" xfId="3707" xr:uid="{00000000-0005-0000-0000-0000B7030000}"/>
    <cellStyle name="20% - Accent6 7 2 2" xfId="7930" xr:uid="{00000000-0005-0000-0000-0000B8030000}"/>
    <cellStyle name="20% - Accent6 7 2 2 2" xfId="33229" xr:uid="{0883B201-9527-4F18-AA1B-AE5671D5E5A4}"/>
    <cellStyle name="20% - Accent6 7 2 2 3" xfId="24800" xr:uid="{9F11388E-E118-4020-AFD3-EF7BAF9D4C53}"/>
    <cellStyle name="20% - Accent6 7 2 2 4" xfId="41657" xr:uid="{FE709FF2-7D24-4386-A59F-6DDAF8005ADA}"/>
    <cellStyle name="20% - Accent6 7 2 2 5" xfId="16365" xr:uid="{63A6497C-8FE6-4BEF-8B0E-F84F27CBCC06}"/>
    <cellStyle name="20% - Accent6 7 2 3" xfId="29011" xr:uid="{1F38F846-A24B-43C4-8D63-B4A4B8F5F521}"/>
    <cellStyle name="20% - Accent6 7 2 4" xfId="20582" xr:uid="{F7DB9051-1271-4CE9-B094-8FB9A4146672}"/>
    <cellStyle name="20% - Accent6 7 2 5" xfId="37440" xr:uid="{27C3C677-7B87-416A-8293-9AAB2059DE0C}"/>
    <cellStyle name="20% - Accent6 7 2 6" xfId="12147" xr:uid="{627A7B1B-05EC-4888-9442-80F2800C9464}"/>
    <cellStyle name="20% - Accent6 7 3" xfId="5785" xr:uid="{00000000-0005-0000-0000-0000B9030000}"/>
    <cellStyle name="20% - Accent6 7 3 2" xfId="31084" xr:uid="{44C5F766-EF40-4DCD-B00B-89379432FE85}"/>
    <cellStyle name="20% - Accent6 7 3 3" xfId="22655" xr:uid="{B20EE989-1339-4500-90BF-AF052A105F78}"/>
    <cellStyle name="20% - Accent6 7 3 4" xfId="39512" xr:uid="{900B74A9-398D-46F7-B772-A301306FEE80}"/>
    <cellStyle name="20% - Accent6 7 3 5" xfId="14220" xr:uid="{3CB040F2-F662-44DD-BC5C-0426F37B5297}"/>
    <cellStyle name="20% - Accent6 7 4" xfId="26866" xr:uid="{669E5E83-AEF0-4B8A-AEDB-658A8B371435}"/>
    <cellStyle name="20% - Accent6 7 5" xfId="18437" xr:uid="{63A51ABF-BA81-4344-90CC-CCBFA9440C3C}"/>
    <cellStyle name="20% - Accent6 7 6" xfId="35295" xr:uid="{32AAB7E6-AF94-4FB6-B82D-DB10CF46555F}"/>
    <cellStyle name="20% - Accent6 7 7" xfId="10002" xr:uid="{DDFAD382-ABFE-4846-8C18-1C03F6078046}"/>
    <cellStyle name="20% - Accent6 8" xfId="1891" xr:uid="{00000000-0005-0000-0000-0000BA030000}"/>
    <cellStyle name="20% - Accent6 8 2" xfId="4120" xr:uid="{00000000-0005-0000-0000-0000BB030000}"/>
    <cellStyle name="20% - Accent6 8 2 2" xfId="8343" xr:uid="{00000000-0005-0000-0000-0000BC030000}"/>
    <cellStyle name="20% - Accent6 8 2 2 2" xfId="33642" xr:uid="{C3E9C69E-0874-4DD6-8E6C-E8CE13D5E114}"/>
    <cellStyle name="20% - Accent6 8 2 2 3" xfId="25213" xr:uid="{D8E7B098-6FCC-4FAE-B0BA-285804EFBD3B}"/>
    <cellStyle name="20% - Accent6 8 2 2 4" xfId="42070" xr:uid="{BD67E1F0-543E-4109-9D72-B172D311660C}"/>
    <cellStyle name="20% - Accent6 8 2 2 5" xfId="16778" xr:uid="{91FDE3E2-81DB-4867-9E6B-B0A57A8BBB09}"/>
    <cellStyle name="20% - Accent6 8 2 3" xfId="29424" xr:uid="{03577D04-4AEC-4F19-ADBB-917ACEA156C1}"/>
    <cellStyle name="20% - Accent6 8 2 4" xfId="20995" xr:uid="{DF7FDC52-FE43-4158-8C3B-4638E84AAA93}"/>
    <cellStyle name="20% - Accent6 8 2 5" xfId="37853" xr:uid="{6AC6CA75-B68D-4290-A1B9-EFE3593D19EF}"/>
    <cellStyle name="20% - Accent6 8 2 6" xfId="12560" xr:uid="{BC09C609-0289-4741-9983-8DE2562AF53A}"/>
    <cellStyle name="20% - Accent6 8 3" xfId="6198" xr:uid="{00000000-0005-0000-0000-0000BD030000}"/>
    <cellStyle name="20% - Accent6 8 3 2" xfId="31497" xr:uid="{9344B28C-EA94-4B37-83E3-D331449BC6C9}"/>
    <cellStyle name="20% - Accent6 8 3 3" xfId="23068" xr:uid="{9194CB96-2670-4DFB-8D15-558B4629430B}"/>
    <cellStyle name="20% - Accent6 8 3 4" xfId="39925" xr:uid="{EB0B902D-D96A-4230-B9EF-ED1E28DF0413}"/>
    <cellStyle name="20% - Accent6 8 3 5" xfId="14633" xr:uid="{FAC6031E-E910-49B7-B49B-6E949E7E4615}"/>
    <cellStyle name="20% - Accent6 8 4" xfId="27279" xr:uid="{D8D6149A-2B49-4409-97EF-9C466A0D7C36}"/>
    <cellStyle name="20% - Accent6 8 5" xfId="18850" xr:uid="{018E8561-EB2B-4848-88A8-D655DA52A71D}"/>
    <cellStyle name="20% - Accent6 8 6" xfId="35708" xr:uid="{C785E0B6-1A28-4AFC-A461-E99AE332B077}"/>
    <cellStyle name="20% - Accent6 8 7" xfId="10415" xr:uid="{43D0CE03-F77C-43AB-AD54-CDFEED274793}"/>
    <cellStyle name="20% - Accent6 9" xfId="2304" xr:uid="{00000000-0005-0000-0000-0000BE030000}"/>
    <cellStyle name="20% - Accent6 9 2" xfId="6611" xr:uid="{00000000-0005-0000-0000-0000BF030000}"/>
    <cellStyle name="20% - Accent6 9 2 2" xfId="31910" xr:uid="{5255E992-D271-4FCC-9F1D-7FC75245692D}"/>
    <cellStyle name="20% - Accent6 9 2 3" xfId="23481" xr:uid="{4BEB2C4F-7DE6-4CFB-BE55-66C37F886759}"/>
    <cellStyle name="20% - Accent6 9 2 4" xfId="40338" xr:uid="{7903852B-013F-447E-97AD-4B0DCBC7575C}"/>
    <cellStyle name="20% - Accent6 9 2 5" xfId="15046" xr:uid="{B062D938-5513-4346-AD71-14130A551A3D}"/>
    <cellStyle name="20% - Accent6 9 3" xfId="27692" xr:uid="{B76762E0-82DA-4BCF-8680-EB13AEB9022A}"/>
    <cellStyle name="20% - Accent6 9 4" xfId="19263" xr:uid="{884AAD41-9CE7-4DB2-B6FA-092F9E3122A8}"/>
    <cellStyle name="20% - Accent6 9 5" xfId="36121" xr:uid="{44158D34-D059-4853-A290-E54A3D64AEDC}"/>
    <cellStyle name="20% - Accent6 9 6" xfId="10828" xr:uid="{41815259-ADE5-43E6-8ADD-559E57296776}"/>
    <cellStyle name="40% - Accent1" xfId="49" builtinId="31" customBuiltin="1"/>
    <cellStyle name="40% - Accent1 10" xfId="4553" xr:uid="{00000000-0005-0000-0000-0000C1030000}"/>
    <cellStyle name="40% - Accent1 10 2" xfId="29852" xr:uid="{1F233C4B-7175-47DB-B300-A2F72090998E}"/>
    <cellStyle name="40% - Accent1 10 3" xfId="21423" xr:uid="{9AA8AA86-BB6D-4A46-871D-53F6CDB97696}"/>
    <cellStyle name="40% - Accent1 10 4" xfId="38280" xr:uid="{652CA83D-B1AA-4623-8986-5BFEFB2E1162}"/>
    <cellStyle name="40% - Accent1 10 5" xfId="12988" xr:uid="{633418B6-2DA3-4FC7-A8E2-8D5F27ACD54E}"/>
    <cellStyle name="40% - Accent1 11" xfId="25634" xr:uid="{89B112B5-3CF7-46AA-8A80-C6C436F425F1}"/>
    <cellStyle name="40% - Accent1 12" xfId="17205" xr:uid="{C21570F9-5395-430E-9E6B-DEB8BD4466BB}"/>
    <cellStyle name="40% - Accent1 13" xfId="34063" xr:uid="{D243AB45-EC96-43B6-8277-500509215213}"/>
    <cellStyle name="40% - Accent1 14" xfId="8770" xr:uid="{0991DCBE-2392-4D12-B126-B7C7DDB2A5CF}"/>
    <cellStyle name="40% - Accent1 2" xfId="50" xr:uid="{00000000-0005-0000-0000-0000C2030000}"/>
    <cellStyle name="40% - Accent1 2 10" xfId="25635" xr:uid="{1AFFE0A7-C456-4AB8-9AD1-051A0E38F7DC}"/>
    <cellStyle name="40% - Accent1 2 11" xfId="17206" xr:uid="{55625010-6A87-4BD2-B552-C7E95072BD5C}"/>
    <cellStyle name="40% - Accent1 2 12" xfId="34064" xr:uid="{D9A58370-5C19-49FC-9CFA-8DBA5A392B5C}"/>
    <cellStyle name="40% - Accent1 2 13" xfId="8771" xr:uid="{5BB081D8-6C06-4BF9-AFDF-D3AAE40E56C4}"/>
    <cellStyle name="40% - Accent1 2 2" xfId="51" xr:uid="{00000000-0005-0000-0000-0000C3030000}"/>
    <cellStyle name="40% - Accent1 2 2 10" xfId="17207" xr:uid="{ECFE4630-E01B-483A-91BB-0B073F130F83}"/>
    <cellStyle name="40% - Accent1 2 2 11" xfId="34065" xr:uid="{99D4EC86-0A84-4BEF-AC75-AB27C939BE37}"/>
    <cellStyle name="40% - Accent1 2 2 12" xfId="8772" xr:uid="{3D61108A-91B5-48C3-8C0A-792AD6173375}"/>
    <cellStyle name="40% - Accent1 2 2 2" xfId="52" xr:uid="{00000000-0005-0000-0000-0000C4030000}"/>
    <cellStyle name="40% - Accent1 2 2 2 10" xfId="34066" xr:uid="{3364E716-C87D-4AA5-845E-B8B14C5B0664}"/>
    <cellStyle name="40% - Accent1 2 2 2 11" xfId="8773" xr:uid="{F33AD51C-474A-4569-BC52-BC624A12E175}"/>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32414" xr:uid="{C7664FD2-CFC6-4054-AEC1-EA6912FE58AE}"/>
    <cellStyle name="40% - Accent1 2 2 2 2 2 2 3" xfId="23985" xr:uid="{DAA7DAC7-9B84-4E83-949D-6932D706CC47}"/>
    <cellStyle name="40% - Accent1 2 2 2 2 2 2 4" xfId="40842" xr:uid="{A6EC7328-257E-48F9-8CAE-41697E32E27B}"/>
    <cellStyle name="40% - Accent1 2 2 2 2 2 2 5" xfId="15550" xr:uid="{7CAEC849-F9F1-4778-BD35-EC080AED8775}"/>
    <cellStyle name="40% - Accent1 2 2 2 2 2 3" xfId="28196" xr:uid="{3AC41634-D89A-4FA1-85B5-D682C612940D}"/>
    <cellStyle name="40% - Accent1 2 2 2 2 2 4" xfId="19767" xr:uid="{33CE56F1-FA40-43EC-B6A4-BDFD29BEA561}"/>
    <cellStyle name="40% - Accent1 2 2 2 2 2 5" xfId="36625" xr:uid="{E3808FF2-FC89-4C88-8DE9-CB3FC11C53B5}"/>
    <cellStyle name="40% - Accent1 2 2 2 2 2 6" xfId="11332" xr:uid="{7B5255C0-233D-419C-9F0C-326B97AA4C8F}"/>
    <cellStyle name="40% - Accent1 2 2 2 2 3" xfId="4970" xr:uid="{00000000-0005-0000-0000-0000C8030000}"/>
    <cellStyle name="40% - Accent1 2 2 2 2 3 2" xfId="30269" xr:uid="{9B1C382B-5F39-48F5-9F38-66B94D7C86D3}"/>
    <cellStyle name="40% - Accent1 2 2 2 2 3 3" xfId="21840" xr:uid="{7565918E-D419-4064-A7FF-C7908333F337}"/>
    <cellStyle name="40% - Accent1 2 2 2 2 3 4" xfId="38697" xr:uid="{018A84EA-5A83-44FB-ABB4-207878B5F562}"/>
    <cellStyle name="40% - Accent1 2 2 2 2 3 5" xfId="13405" xr:uid="{B0512559-E2A8-4AC2-92B8-5CF5D0D4316C}"/>
    <cellStyle name="40% - Accent1 2 2 2 2 4" xfId="26051" xr:uid="{66F4CE6B-E027-405F-B69E-241DF2284E58}"/>
    <cellStyle name="40% - Accent1 2 2 2 2 5" xfId="17622" xr:uid="{2593C766-F64E-4690-B10C-F98B7EE7525F}"/>
    <cellStyle name="40% - Accent1 2 2 2 2 6" xfId="34480" xr:uid="{815988F4-850A-430D-BB4D-37A17A35B963}"/>
    <cellStyle name="40% - Accent1 2 2 2 2 7" xfId="9187" xr:uid="{9A3341E3-CECF-4A8F-8329-9D5D8DA80A3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32827" xr:uid="{6F53D17F-7C44-4355-A187-4E6D2314E5C1}"/>
    <cellStyle name="40% - Accent1 2 2 2 3 2 2 3" xfId="24398" xr:uid="{E2D723B1-9A98-4941-9C01-B1539016CDA8}"/>
    <cellStyle name="40% - Accent1 2 2 2 3 2 2 4" xfId="41255" xr:uid="{F9CEE9D7-1B44-4CF0-9EBC-41BBD5CB6333}"/>
    <cellStyle name="40% - Accent1 2 2 2 3 2 2 5" xfId="15963" xr:uid="{02064DD7-65E9-4E61-974E-18739A500FA2}"/>
    <cellStyle name="40% - Accent1 2 2 2 3 2 3" xfId="28609" xr:uid="{A5747DDF-A29A-41C0-87B1-CECF2801E875}"/>
    <cellStyle name="40% - Accent1 2 2 2 3 2 4" xfId="20180" xr:uid="{B2F5882F-60B5-44F9-8D81-70E9C3BB2B80}"/>
    <cellStyle name="40% - Accent1 2 2 2 3 2 5" xfId="37038" xr:uid="{934BE0A5-9150-4B6E-9E0B-7EB3046C8B5C}"/>
    <cellStyle name="40% - Accent1 2 2 2 3 2 6" xfId="11745" xr:uid="{9258777C-EF7C-4E0F-B6F4-FAD64BC2BF24}"/>
    <cellStyle name="40% - Accent1 2 2 2 3 3" xfId="5383" xr:uid="{00000000-0005-0000-0000-0000CC030000}"/>
    <cellStyle name="40% - Accent1 2 2 2 3 3 2" xfId="30682" xr:uid="{E298D532-A3B6-4749-823A-F706D51269DA}"/>
    <cellStyle name="40% - Accent1 2 2 2 3 3 3" xfId="22253" xr:uid="{3476E1CD-FC89-46A1-B2F0-3347B98D245D}"/>
    <cellStyle name="40% - Accent1 2 2 2 3 3 4" xfId="39110" xr:uid="{4F28452F-88AF-4A2A-8E95-DE70FB1AE518}"/>
    <cellStyle name="40% - Accent1 2 2 2 3 3 5" xfId="13818" xr:uid="{5DE7F4C4-8CAE-4739-98E9-6F13B22A5ED8}"/>
    <cellStyle name="40% - Accent1 2 2 2 3 4" xfId="26464" xr:uid="{21A3DFD5-5AC8-4065-AA29-C38B76EC62A9}"/>
    <cellStyle name="40% - Accent1 2 2 2 3 5" xfId="18035" xr:uid="{E5796A1C-018D-45F2-B8AC-1CF2DA73A29C}"/>
    <cellStyle name="40% - Accent1 2 2 2 3 6" xfId="34893" xr:uid="{D29C25B8-6CF6-494E-AE18-3EA23AAF99FE}"/>
    <cellStyle name="40% - Accent1 2 2 2 3 7" xfId="9600" xr:uid="{0600197F-1138-4670-AEB6-59D896598E35}"/>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33240" xr:uid="{DF02544E-6957-404A-8B1B-5C5CD468DBB1}"/>
    <cellStyle name="40% - Accent1 2 2 2 4 2 2 3" xfId="24811" xr:uid="{00D18975-2363-4F3D-B554-3D549162B02A}"/>
    <cellStyle name="40% - Accent1 2 2 2 4 2 2 4" xfId="41668" xr:uid="{A6FDF82A-0463-4556-8778-500B1AA57068}"/>
    <cellStyle name="40% - Accent1 2 2 2 4 2 2 5" xfId="16376" xr:uid="{D30C47E5-7450-43D7-99E5-A0C63B248565}"/>
    <cellStyle name="40% - Accent1 2 2 2 4 2 3" xfId="29022" xr:uid="{9822519A-DFE5-4982-A15F-CEB811A69EE4}"/>
    <cellStyle name="40% - Accent1 2 2 2 4 2 4" xfId="20593" xr:uid="{7D3CF729-CDC5-4B96-BD99-675ACF2D304C}"/>
    <cellStyle name="40% - Accent1 2 2 2 4 2 5" xfId="37451" xr:uid="{D5C8C04C-C7AA-4B48-A618-3EE22C644E56}"/>
    <cellStyle name="40% - Accent1 2 2 2 4 2 6" xfId="12158" xr:uid="{0E934CAD-5256-4130-B222-3A06C302768F}"/>
    <cellStyle name="40% - Accent1 2 2 2 4 3" xfId="5796" xr:uid="{00000000-0005-0000-0000-0000D0030000}"/>
    <cellStyle name="40% - Accent1 2 2 2 4 3 2" xfId="31095" xr:uid="{E3AFC539-CDDF-48B7-A55B-994A111B2DFD}"/>
    <cellStyle name="40% - Accent1 2 2 2 4 3 3" xfId="22666" xr:uid="{6B0A9C4F-7D2D-4009-A15F-AC613DF05585}"/>
    <cellStyle name="40% - Accent1 2 2 2 4 3 4" xfId="39523" xr:uid="{F31D93FD-8F46-4672-9CA6-594C63807C1A}"/>
    <cellStyle name="40% - Accent1 2 2 2 4 3 5" xfId="14231" xr:uid="{40C66AD7-5F0D-47CD-BC5E-6F950D87803D}"/>
    <cellStyle name="40% - Accent1 2 2 2 4 4" xfId="26877" xr:uid="{CADF8EE8-3AB7-4036-8935-37A1C79AF405}"/>
    <cellStyle name="40% - Accent1 2 2 2 4 5" xfId="18448" xr:uid="{F8131CBB-CFD6-4509-882B-EB77C88F03B6}"/>
    <cellStyle name="40% - Accent1 2 2 2 4 6" xfId="35306" xr:uid="{1E71F702-02C3-4CC6-BC85-C1EE0BEB7F16}"/>
    <cellStyle name="40% - Accent1 2 2 2 4 7" xfId="10013" xr:uid="{6AD899FE-A1D6-4229-B022-E4CB14FF3CA5}"/>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33653" xr:uid="{984A3BBD-B9FB-431C-8AE7-F273CB0D75D6}"/>
    <cellStyle name="40% - Accent1 2 2 2 5 2 2 3" xfId="25224" xr:uid="{31647ECD-FA03-48AC-A8AD-E9C2808EA711}"/>
    <cellStyle name="40% - Accent1 2 2 2 5 2 2 4" xfId="42081" xr:uid="{CA9ABFAA-2842-4127-B646-DF1EFF7AB324}"/>
    <cellStyle name="40% - Accent1 2 2 2 5 2 2 5" xfId="16789" xr:uid="{CCB6628E-0BCF-4097-940B-E8555D917262}"/>
    <cellStyle name="40% - Accent1 2 2 2 5 2 3" xfId="29435" xr:uid="{1B2F709C-3250-4F26-A79D-915FA682C465}"/>
    <cellStyle name="40% - Accent1 2 2 2 5 2 4" xfId="21006" xr:uid="{8BF2E8B9-C164-42E4-B0AA-3C4D3FC40411}"/>
    <cellStyle name="40% - Accent1 2 2 2 5 2 5" xfId="37864" xr:uid="{DB1D9932-E2BA-47BC-B604-64B1A9CA597C}"/>
    <cellStyle name="40% - Accent1 2 2 2 5 2 6" xfId="12571" xr:uid="{F778A4AF-B681-45F7-8E84-1DEFB001838C}"/>
    <cellStyle name="40% - Accent1 2 2 2 5 3" xfId="6209" xr:uid="{00000000-0005-0000-0000-0000D4030000}"/>
    <cellStyle name="40% - Accent1 2 2 2 5 3 2" xfId="31508" xr:uid="{276F9B27-B11F-4088-9708-2AF4409DFB50}"/>
    <cellStyle name="40% - Accent1 2 2 2 5 3 3" xfId="23079" xr:uid="{18698104-59A2-4F1B-BC68-F973D3136C22}"/>
    <cellStyle name="40% - Accent1 2 2 2 5 3 4" xfId="39936" xr:uid="{FC92D94F-4AF8-4ADF-BF92-162501E58E33}"/>
    <cellStyle name="40% - Accent1 2 2 2 5 3 5" xfId="14644" xr:uid="{ED2E291A-EE8B-4D83-A155-5F5477B7C667}"/>
    <cellStyle name="40% - Accent1 2 2 2 5 4" xfId="27290" xr:uid="{B028D552-69A2-47F2-A545-47B3034DC69D}"/>
    <cellStyle name="40% - Accent1 2 2 2 5 5" xfId="18861" xr:uid="{F4255434-44BE-4EF7-9FEC-B0AFB5BDD5CF}"/>
    <cellStyle name="40% - Accent1 2 2 2 5 6" xfId="35719" xr:uid="{1454D36C-B11F-4A59-9D8B-8665E05BADD8}"/>
    <cellStyle name="40% - Accent1 2 2 2 5 7" xfId="10426" xr:uid="{925DC9C4-6082-4D47-A3F1-181CC1511B25}"/>
    <cellStyle name="40% - Accent1 2 2 2 6" xfId="2315" xr:uid="{00000000-0005-0000-0000-0000D5030000}"/>
    <cellStyle name="40% - Accent1 2 2 2 6 2" xfId="6622" xr:uid="{00000000-0005-0000-0000-0000D6030000}"/>
    <cellStyle name="40% - Accent1 2 2 2 6 2 2" xfId="31921" xr:uid="{0AA5BB51-9831-4FB5-BB56-71920B5864BD}"/>
    <cellStyle name="40% - Accent1 2 2 2 6 2 3" xfId="23492" xr:uid="{2BE1F93D-2056-4BBF-8FF0-B43218129E6D}"/>
    <cellStyle name="40% - Accent1 2 2 2 6 2 4" xfId="40349" xr:uid="{F878C902-6484-4652-A6D1-E6D690357438}"/>
    <cellStyle name="40% - Accent1 2 2 2 6 2 5" xfId="15057" xr:uid="{A215F9A9-752C-4686-A5F8-02B3E76EE1A3}"/>
    <cellStyle name="40% - Accent1 2 2 2 6 3" xfId="27703" xr:uid="{4BF52411-1DDB-4407-82CE-6837A128AFE2}"/>
    <cellStyle name="40% - Accent1 2 2 2 6 4" xfId="19274" xr:uid="{7D6C1798-E03C-4260-8549-663612907533}"/>
    <cellStyle name="40% - Accent1 2 2 2 6 5" xfId="36132" xr:uid="{0A2B3332-5867-470C-9CB0-2AE1608FEF3A}"/>
    <cellStyle name="40% - Accent1 2 2 2 6 6" xfId="10839" xr:uid="{AAA8445A-273D-4E37-BE1F-5F9941005ADF}"/>
    <cellStyle name="40% - Accent1 2 2 2 7" xfId="4556" xr:uid="{00000000-0005-0000-0000-0000D7030000}"/>
    <cellStyle name="40% - Accent1 2 2 2 7 2" xfId="29855" xr:uid="{08F4F3E9-41AA-468E-AB8B-74A6A893907A}"/>
    <cellStyle name="40% - Accent1 2 2 2 7 3" xfId="21426" xr:uid="{DEE722B6-0B01-4622-8E3D-6F69BDD8315E}"/>
    <cellStyle name="40% - Accent1 2 2 2 7 4" xfId="38283" xr:uid="{F6005648-E8D2-4B8B-8674-64B646FDC4C5}"/>
    <cellStyle name="40% - Accent1 2 2 2 7 5" xfId="12991" xr:uid="{43B95076-5312-483A-9EA1-BEE3FACFB217}"/>
    <cellStyle name="40% - Accent1 2 2 2 8" xfId="25637" xr:uid="{7903EF10-FE89-4348-9B9E-4BEA1F886A04}"/>
    <cellStyle name="40% - Accent1 2 2 2 9" xfId="17208" xr:uid="{8CC0D5FD-CF23-4D02-B33A-81F30D7904BE}"/>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32413" xr:uid="{932271D6-8548-4406-98A9-B3E0FC3C1CF3}"/>
    <cellStyle name="40% - Accent1 2 2 3 2 2 3" xfId="23984" xr:uid="{0694DBE1-A045-4B11-99D5-96954D76C4BE}"/>
    <cellStyle name="40% - Accent1 2 2 3 2 2 4" xfId="40841" xr:uid="{39C4A5F2-02B6-45A4-9399-8D54080AF887}"/>
    <cellStyle name="40% - Accent1 2 2 3 2 2 5" xfId="15549" xr:uid="{650FD1D2-F13A-44E4-AC99-EF0BC6A5916F}"/>
    <cellStyle name="40% - Accent1 2 2 3 2 3" xfId="28195" xr:uid="{6ABB8698-D53F-499D-8599-54E9625C95A8}"/>
    <cellStyle name="40% - Accent1 2 2 3 2 4" xfId="19766" xr:uid="{1C1613D1-9487-40FC-B677-9D774213FC9F}"/>
    <cellStyle name="40% - Accent1 2 2 3 2 5" xfId="36624" xr:uid="{B0BC42C2-49C2-4E9E-B353-532D3A936061}"/>
    <cellStyle name="40% - Accent1 2 2 3 2 6" xfId="11331" xr:uid="{7C3BDC4D-0AE4-4C60-A85A-150058113C93}"/>
    <cellStyle name="40% - Accent1 2 2 3 3" xfId="4969" xr:uid="{00000000-0005-0000-0000-0000DB030000}"/>
    <cellStyle name="40% - Accent1 2 2 3 3 2" xfId="30268" xr:uid="{98014BB6-576F-4C08-8833-3AB29ECDE44D}"/>
    <cellStyle name="40% - Accent1 2 2 3 3 3" xfId="21839" xr:uid="{C2ADC492-0F1C-4ECC-84F1-DC97A711787D}"/>
    <cellStyle name="40% - Accent1 2 2 3 3 4" xfId="38696" xr:uid="{744D7614-90B4-43ED-BAA5-B0ED240EBE67}"/>
    <cellStyle name="40% - Accent1 2 2 3 3 5" xfId="13404" xr:uid="{89E4F7F3-87FD-4A84-B606-62EBF165F9AF}"/>
    <cellStyle name="40% - Accent1 2 2 3 4" xfId="26050" xr:uid="{CABC275E-5FBA-4404-941E-855598AD7EE2}"/>
    <cellStyle name="40% - Accent1 2 2 3 5" xfId="17621" xr:uid="{4A6BF6C9-AAA9-4253-8B60-D37A7D3150C2}"/>
    <cellStyle name="40% - Accent1 2 2 3 6" xfId="34479" xr:uid="{833CA8B7-2E06-49AC-8DFF-C95B0F357B54}"/>
    <cellStyle name="40% - Accent1 2 2 3 7" xfId="9186" xr:uid="{D49889F8-14BC-4BA5-98C6-269F2AEDF9E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32826" xr:uid="{6C3FC334-0045-40D6-AB81-3ADBBB3D021D}"/>
    <cellStyle name="40% - Accent1 2 2 4 2 2 3" xfId="24397" xr:uid="{24AADDE6-7EB5-42D0-A801-5464AA28C4D3}"/>
    <cellStyle name="40% - Accent1 2 2 4 2 2 4" xfId="41254" xr:uid="{3D07AAFF-764A-45BA-9A55-3EE940FDC861}"/>
    <cellStyle name="40% - Accent1 2 2 4 2 2 5" xfId="15962" xr:uid="{CD088869-7676-47C7-9572-8D3F6CAEC5DE}"/>
    <cellStyle name="40% - Accent1 2 2 4 2 3" xfId="28608" xr:uid="{E56FCAC2-0368-4049-86D8-B755AFCC8940}"/>
    <cellStyle name="40% - Accent1 2 2 4 2 4" xfId="20179" xr:uid="{2C8621F0-9600-483A-95E0-B5984EC00B92}"/>
    <cellStyle name="40% - Accent1 2 2 4 2 5" xfId="37037" xr:uid="{0C0BBAD5-434B-4AEA-A8DC-CA65E04E740C}"/>
    <cellStyle name="40% - Accent1 2 2 4 2 6" xfId="11744" xr:uid="{911A3B1C-F108-4960-B897-CF97C617818E}"/>
    <cellStyle name="40% - Accent1 2 2 4 3" xfId="5382" xr:uid="{00000000-0005-0000-0000-0000DF030000}"/>
    <cellStyle name="40% - Accent1 2 2 4 3 2" xfId="30681" xr:uid="{D8E719E3-BED2-4D0D-9B75-CBD072E9563E}"/>
    <cellStyle name="40% - Accent1 2 2 4 3 3" xfId="22252" xr:uid="{26B7751D-955E-4051-8136-0B9B09285726}"/>
    <cellStyle name="40% - Accent1 2 2 4 3 4" xfId="39109" xr:uid="{19D4CE19-F24C-489D-84AE-913F74C641DD}"/>
    <cellStyle name="40% - Accent1 2 2 4 3 5" xfId="13817" xr:uid="{6935B782-CBFB-428A-845F-2C0757574ABA}"/>
    <cellStyle name="40% - Accent1 2 2 4 4" xfId="26463" xr:uid="{93CAB65A-9875-4039-9258-1EABCEAC0D93}"/>
    <cellStyle name="40% - Accent1 2 2 4 5" xfId="18034" xr:uid="{EEAC32BE-F511-4EE4-B8C3-E505F2773111}"/>
    <cellStyle name="40% - Accent1 2 2 4 6" xfId="34892" xr:uid="{3AA36556-7EBE-43A7-A675-0EBB7651AF84}"/>
    <cellStyle name="40% - Accent1 2 2 4 7" xfId="9599" xr:uid="{2DE5E989-96A5-4CDC-A131-886897CE3A48}"/>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33239" xr:uid="{910791A3-92A4-4706-8F01-782A515EBE27}"/>
    <cellStyle name="40% - Accent1 2 2 5 2 2 3" xfId="24810" xr:uid="{837B1DB2-389D-4A3E-B7F2-A788CE507D06}"/>
    <cellStyle name="40% - Accent1 2 2 5 2 2 4" xfId="41667" xr:uid="{3177A2A9-C9DE-4934-839D-5F2AA8CF112A}"/>
    <cellStyle name="40% - Accent1 2 2 5 2 2 5" xfId="16375" xr:uid="{59687F32-DF8A-4D6E-B339-2A6A6B575AE6}"/>
    <cellStyle name="40% - Accent1 2 2 5 2 3" xfId="29021" xr:uid="{EC6495C3-532D-476D-9A45-1C6C76D202F0}"/>
    <cellStyle name="40% - Accent1 2 2 5 2 4" xfId="20592" xr:uid="{A729180C-DED0-47CD-B8FB-DBF22B108606}"/>
    <cellStyle name="40% - Accent1 2 2 5 2 5" xfId="37450" xr:uid="{8E03A9D0-9941-403D-95FC-B12B63C9DAB7}"/>
    <cellStyle name="40% - Accent1 2 2 5 2 6" xfId="12157" xr:uid="{68E31B98-4E53-4407-BE07-D61843AF9E9F}"/>
    <cellStyle name="40% - Accent1 2 2 5 3" xfId="5795" xr:uid="{00000000-0005-0000-0000-0000E3030000}"/>
    <cellStyle name="40% - Accent1 2 2 5 3 2" xfId="31094" xr:uid="{DBBA2CC1-8334-4C3B-B0C0-70A58F033AB4}"/>
    <cellStyle name="40% - Accent1 2 2 5 3 3" xfId="22665" xr:uid="{FE4A9AD2-DA5D-4BC1-848A-8F3D264D90A7}"/>
    <cellStyle name="40% - Accent1 2 2 5 3 4" xfId="39522" xr:uid="{36D53333-9C3D-4BAE-92C8-3DA644006508}"/>
    <cellStyle name="40% - Accent1 2 2 5 3 5" xfId="14230" xr:uid="{92029F3B-0991-4E74-B72C-1A16DD4D6D5D}"/>
    <cellStyle name="40% - Accent1 2 2 5 4" xfId="26876" xr:uid="{3F399889-099B-4DEE-9FDD-0B90E15B561D}"/>
    <cellStyle name="40% - Accent1 2 2 5 5" xfId="18447" xr:uid="{D8524AA5-BEB8-44DA-9553-F8E5A25564DF}"/>
    <cellStyle name="40% - Accent1 2 2 5 6" xfId="35305" xr:uid="{D04E9FFE-052B-47A2-9989-402460380253}"/>
    <cellStyle name="40% - Accent1 2 2 5 7" xfId="10012" xr:uid="{437CD39A-EB5C-4E51-91D1-898DB85BD91B}"/>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33652" xr:uid="{98CCFCF0-17D9-4637-BDA5-FDE132329DA8}"/>
    <cellStyle name="40% - Accent1 2 2 6 2 2 3" xfId="25223" xr:uid="{CD3C2107-1D90-419B-901F-F14560EFC94D}"/>
    <cellStyle name="40% - Accent1 2 2 6 2 2 4" xfId="42080" xr:uid="{E0397ACE-886D-4DF6-B23D-E7F628372E30}"/>
    <cellStyle name="40% - Accent1 2 2 6 2 2 5" xfId="16788" xr:uid="{74F6D2E4-3FE1-4199-B2CC-B27854DBE39E}"/>
    <cellStyle name="40% - Accent1 2 2 6 2 3" xfId="29434" xr:uid="{FDBC5D3E-CB2E-42B9-BA2B-34C29B4B1DD9}"/>
    <cellStyle name="40% - Accent1 2 2 6 2 4" xfId="21005" xr:uid="{9A7533B7-E2FC-44CF-B718-24EF20B3BA91}"/>
    <cellStyle name="40% - Accent1 2 2 6 2 5" xfId="37863" xr:uid="{665E01A0-122C-4472-9E70-2DEF12CC3652}"/>
    <cellStyle name="40% - Accent1 2 2 6 2 6" xfId="12570" xr:uid="{3F233553-5923-42A6-8FBD-22731EB1F9C4}"/>
    <cellStyle name="40% - Accent1 2 2 6 3" xfId="6208" xr:uid="{00000000-0005-0000-0000-0000E7030000}"/>
    <cellStyle name="40% - Accent1 2 2 6 3 2" xfId="31507" xr:uid="{98902254-BBAE-41BD-9B27-AED717B4E056}"/>
    <cellStyle name="40% - Accent1 2 2 6 3 3" xfId="23078" xr:uid="{28B0C1E5-A32B-4E1E-A3DA-8239542E0DB8}"/>
    <cellStyle name="40% - Accent1 2 2 6 3 4" xfId="39935" xr:uid="{61D8CBF4-E436-4963-A9DC-1F41FD9B907E}"/>
    <cellStyle name="40% - Accent1 2 2 6 3 5" xfId="14643" xr:uid="{7E4102F5-63C3-4151-82FF-74A4D7590EBC}"/>
    <cellStyle name="40% - Accent1 2 2 6 4" xfId="27289" xr:uid="{91082608-48D3-434D-8B61-9839B87B44D7}"/>
    <cellStyle name="40% - Accent1 2 2 6 5" xfId="18860" xr:uid="{4D16E0DC-F029-40EA-9DC8-EF627EE674B5}"/>
    <cellStyle name="40% - Accent1 2 2 6 6" xfId="35718" xr:uid="{1A70FDDD-E193-410D-9AFD-7AE85F65139E}"/>
    <cellStyle name="40% - Accent1 2 2 6 7" xfId="10425" xr:uid="{0BFA2DF5-F882-4FA5-B141-5BC7C070DA8D}"/>
    <cellStyle name="40% - Accent1 2 2 7" xfId="2314" xr:uid="{00000000-0005-0000-0000-0000E8030000}"/>
    <cellStyle name="40% - Accent1 2 2 7 2" xfId="6621" xr:uid="{00000000-0005-0000-0000-0000E9030000}"/>
    <cellStyle name="40% - Accent1 2 2 7 2 2" xfId="31920" xr:uid="{A0BD19EE-5F30-4FBC-9517-9F637F8C4E15}"/>
    <cellStyle name="40% - Accent1 2 2 7 2 3" xfId="23491" xr:uid="{BDF29A4D-2F4D-4A89-891D-2965DC250E4D}"/>
    <cellStyle name="40% - Accent1 2 2 7 2 4" xfId="40348" xr:uid="{5645D89F-5DBD-4FA4-824F-AABFC4875599}"/>
    <cellStyle name="40% - Accent1 2 2 7 2 5" xfId="15056" xr:uid="{65DBB8C0-07E6-4D9E-B2B9-15430A946AAA}"/>
    <cellStyle name="40% - Accent1 2 2 7 3" xfId="27702" xr:uid="{73C76EF2-2351-4907-AF01-0765C7AE1152}"/>
    <cellStyle name="40% - Accent1 2 2 7 4" xfId="19273" xr:uid="{25734FA1-EC3F-429A-8CE6-B6D28496EE32}"/>
    <cellStyle name="40% - Accent1 2 2 7 5" xfId="36131" xr:uid="{44B8F8C9-3C36-4F05-947B-72995929D3EE}"/>
    <cellStyle name="40% - Accent1 2 2 7 6" xfId="10838" xr:uid="{249B9F8D-4976-441A-AA95-409CD8209F48}"/>
    <cellStyle name="40% - Accent1 2 2 8" xfId="4555" xr:uid="{00000000-0005-0000-0000-0000EA030000}"/>
    <cellStyle name="40% - Accent1 2 2 8 2" xfId="29854" xr:uid="{35AC3090-E908-4809-9128-10C302CC00F3}"/>
    <cellStyle name="40% - Accent1 2 2 8 3" xfId="21425" xr:uid="{5AF38CAF-E170-423C-81BF-FB68308BC308}"/>
    <cellStyle name="40% - Accent1 2 2 8 4" xfId="38282" xr:uid="{A8903B1E-E5B3-4541-B76D-CDE91BE199F7}"/>
    <cellStyle name="40% - Accent1 2 2 8 5" xfId="12990" xr:uid="{1426272C-2FA7-4F0B-B2ED-9B8E57E23140}"/>
    <cellStyle name="40% - Accent1 2 2 9" xfId="25636" xr:uid="{30E8231B-EDCA-4493-9C09-D1ED24BA9255}"/>
    <cellStyle name="40% - Accent1 2 3" xfId="53" xr:uid="{00000000-0005-0000-0000-0000EB030000}"/>
    <cellStyle name="40% - Accent1 2 3 10" xfId="34067" xr:uid="{44F79DC4-3E4D-4B7F-B26A-A63B78CC44B6}"/>
    <cellStyle name="40% - Accent1 2 3 11" xfId="8774" xr:uid="{0CFC0CA7-61DE-44CC-892E-BE9620F58A4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32415" xr:uid="{76D9AA03-11B2-4767-9F13-8C28F1D45BA6}"/>
    <cellStyle name="40% - Accent1 2 3 2 2 2 3" xfId="23986" xr:uid="{BA632932-3F4D-4213-84F3-551506983B25}"/>
    <cellStyle name="40% - Accent1 2 3 2 2 2 4" xfId="40843" xr:uid="{34F6F95D-5979-42E4-AB76-83555B9C2AD0}"/>
    <cellStyle name="40% - Accent1 2 3 2 2 2 5" xfId="15551" xr:uid="{E8290F8B-7CDD-4FDA-A157-369276DE6EEF}"/>
    <cellStyle name="40% - Accent1 2 3 2 2 3" xfId="28197" xr:uid="{EDF4D2C9-E2F2-40E7-A0C6-C60C1230D0F1}"/>
    <cellStyle name="40% - Accent1 2 3 2 2 4" xfId="19768" xr:uid="{E5B9EA9C-37C6-4F19-8D50-E5B659AF0E90}"/>
    <cellStyle name="40% - Accent1 2 3 2 2 5" xfId="36626" xr:uid="{BFFC1ACE-C2C0-43B3-B268-FB7F222EC83E}"/>
    <cellStyle name="40% - Accent1 2 3 2 2 6" xfId="11333" xr:uid="{E7CA9806-D6C8-4630-802A-3EDD5253EF50}"/>
    <cellStyle name="40% - Accent1 2 3 2 3" xfId="4971" xr:uid="{00000000-0005-0000-0000-0000EF030000}"/>
    <cellStyle name="40% - Accent1 2 3 2 3 2" xfId="30270" xr:uid="{3DD08345-3206-48A8-A0CB-1AF88B79FEF8}"/>
    <cellStyle name="40% - Accent1 2 3 2 3 3" xfId="21841" xr:uid="{6E47A059-3CFB-4D60-92BF-12C45B564994}"/>
    <cellStyle name="40% - Accent1 2 3 2 3 4" xfId="38698" xr:uid="{006BE8E5-A6D8-46EC-97DB-16A487087B2B}"/>
    <cellStyle name="40% - Accent1 2 3 2 3 5" xfId="13406" xr:uid="{1BA9C06C-D16E-4DA7-9DBE-F42A53F12BA2}"/>
    <cellStyle name="40% - Accent1 2 3 2 4" xfId="26052" xr:uid="{EAE2C575-BCB9-4DC4-A1E6-733B96D41C99}"/>
    <cellStyle name="40% - Accent1 2 3 2 5" xfId="17623" xr:uid="{349CB409-2140-4E74-8D2A-A8D48F910D86}"/>
    <cellStyle name="40% - Accent1 2 3 2 6" xfId="34481" xr:uid="{7186C68B-A874-4515-AD65-6427BCD64DF6}"/>
    <cellStyle name="40% - Accent1 2 3 2 7" xfId="9188" xr:uid="{FF45BA04-485C-42CA-B425-E5098B732FE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32828" xr:uid="{0CFCCA72-83BE-4DC5-913A-AFB63A501685}"/>
    <cellStyle name="40% - Accent1 2 3 3 2 2 3" xfId="24399" xr:uid="{AB5280BE-74D8-42E0-9B6B-062153412D08}"/>
    <cellStyle name="40% - Accent1 2 3 3 2 2 4" xfId="41256" xr:uid="{7E99C642-142C-473D-87A8-2750DEE6D834}"/>
    <cellStyle name="40% - Accent1 2 3 3 2 2 5" xfId="15964" xr:uid="{820F5BC5-E2BE-4267-9D15-05BD16908E35}"/>
    <cellStyle name="40% - Accent1 2 3 3 2 3" xfId="28610" xr:uid="{27B55D82-5957-487D-A10B-77D6D3F06827}"/>
    <cellStyle name="40% - Accent1 2 3 3 2 4" xfId="20181" xr:uid="{F4840D16-9B9D-44D6-A152-E4D6C0FF8E08}"/>
    <cellStyle name="40% - Accent1 2 3 3 2 5" xfId="37039" xr:uid="{08F97AEA-20D9-4977-94B8-8F0E94162FF9}"/>
    <cellStyle name="40% - Accent1 2 3 3 2 6" xfId="11746" xr:uid="{7C1C8BC2-EB9C-4B5C-B84B-AFAF9504B9BB}"/>
    <cellStyle name="40% - Accent1 2 3 3 3" xfId="5384" xr:uid="{00000000-0005-0000-0000-0000F3030000}"/>
    <cellStyle name="40% - Accent1 2 3 3 3 2" xfId="30683" xr:uid="{6EB8A869-1C96-4CCA-BC08-19998A77BB0A}"/>
    <cellStyle name="40% - Accent1 2 3 3 3 3" xfId="22254" xr:uid="{A5589C2F-B085-495C-895A-476BB72BE01E}"/>
    <cellStyle name="40% - Accent1 2 3 3 3 4" xfId="39111" xr:uid="{4BB00DC3-DE75-4C40-A481-EE254832EAFA}"/>
    <cellStyle name="40% - Accent1 2 3 3 3 5" xfId="13819" xr:uid="{4105714F-0A4C-46DE-8D73-9BA148BF0C93}"/>
    <cellStyle name="40% - Accent1 2 3 3 4" xfId="26465" xr:uid="{B26C7BDC-FD25-4240-9EA6-F49B05B40B81}"/>
    <cellStyle name="40% - Accent1 2 3 3 5" xfId="18036" xr:uid="{2D6B6A58-03A0-48D3-A73F-276F1A75AFDE}"/>
    <cellStyle name="40% - Accent1 2 3 3 6" xfId="34894" xr:uid="{7C3F5D47-2927-4792-84DB-72919C3C556F}"/>
    <cellStyle name="40% - Accent1 2 3 3 7" xfId="9601" xr:uid="{8096FE69-7799-48E8-89E7-881B10787BE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33241" xr:uid="{F5306BC6-346A-4D90-9578-B7F831616D6F}"/>
    <cellStyle name="40% - Accent1 2 3 4 2 2 3" xfId="24812" xr:uid="{AA0B5C8A-1791-4086-8EA9-5730AE77AD1D}"/>
    <cellStyle name="40% - Accent1 2 3 4 2 2 4" xfId="41669" xr:uid="{A3DF6DB3-69A2-4C76-845D-8B5528A62783}"/>
    <cellStyle name="40% - Accent1 2 3 4 2 2 5" xfId="16377" xr:uid="{4B06BCE6-FCF6-4786-B738-EF15EE1F9DB7}"/>
    <cellStyle name="40% - Accent1 2 3 4 2 3" xfId="29023" xr:uid="{4F1381B7-D768-40AC-9788-A25BA8537A9C}"/>
    <cellStyle name="40% - Accent1 2 3 4 2 4" xfId="20594" xr:uid="{E4E42A5B-DAD5-4E43-B4F0-D3DA7CF9551C}"/>
    <cellStyle name="40% - Accent1 2 3 4 2 5" xfId="37452" xr:uid="{DBAF512B-23B7-4184-ABFB-D993206057E7}"/>
    <cellStyle name="40% - Accent1 2 3 4 2 6" xfId="12159" xr:uid="{74D48965-89B4-467D-BF50-3C44FDC8538F}"/>
    <cellStyle name="40% - Accent1 2 3 4 3" xfId="5797" xr:uid="{00000000-0005-0000-0000-0000F7030000}"/>
    <cellStyle name="40% - Accent1 2 3 4 3 2" xfId="31096" xr:uid="{6DFC93A7-442B-49EB-94B4-BCAEC5DD82BF}"/>
    <cellStyle name="40% - Accent1 2 3 4 3 3" xfId="22667" xr:uid="{8277D1AA-6F35-4A94-9EE3-2607E70C81D2}"/>
    <cellStyle name="40% - Accent1 2 3 4 3 4" xfId="39524" xr:uid="{1EBB6D50-E9A8-4D3D-B744-97F4A7177422}"/>
    <cellStyle name="40% - Accent1 2 3 4 3 5" xfId="14232" xr:uid="{7DB4900D-7E83-4E3C-B2C3-3F22C62A808D}"/>
    <cellStyle name="40% - Accent1 2 3 4 4" xfId="26878" xr:uid="{35061AB0-BB07-4593-AC77-BDC31F3CA8DF}"/>
    <cellStyle name="40% - Accent1 2 3 4 5" xfId="18449" xr:uid="{020A4FC1-DA41-42BD-95ED-0A07E8A8B229}"/>
    <cellStyle name="40% - Accent1 2 3 4 6" xfId="35307" xr:uid="{070B05BA-A5D2-4CE3-8D6A-6F7DD8D1C044}"/>
    <cellStyle name="40% - Accent1 2 3 4 7" xfId="10014" xr:uid="{BD201873-1820-4ADC-97BB-B0EE8DA4A843}"/>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33654" xr:uid="{879486B8-1810-4F2C-A367-E95E2CE1FF64}"/>
    <cellStyle name="40% - Accent1 2 3 5 2 2 3" xfId="25225" xr:uid="{42E0DB92-85C7-4F01-B655-425B50BD9F31}"/>
    <cellStyle name="40% - Accent1 2 3 5 2 2 4" xfId="42082" xr:uid="{099C5A78-DF40-43CA-944A-23E1CD9396B5}"/>
    <cellStyle name="40% - Accent1 2 3 5 2 2 5" xfId="16790" xr:uid="{F849C5CF-3AF1-480F-9514-AD9544626017}"/>
    <cellStyle name="40% - Accent1 2 3 5 2 3" xfId="29436" xr:uid="{8C3000FC-CE3E-4C84-B1C3-081E02123A79}"/>
    <cellStyle name="40% - Accent1 2 3 5 2 4" xfId="21007" xr:uid="{CD4F024F-B60E-4C59-BB5C-8B113FEFCFD8}"/>
    <cellStyle name="40% - Accent1 2 3 5 2 5" xfId="37865" xr:uid="{9AE270B6-1982-40F5-8163-AC6F7C9E1214}"/>
    <cellStyle name="40% - Accent1 2 3 5 2 6" xfId="12572" xr:uid="{F5291A0C-65F9-4134-AB04-07CC4C37CDC8}"/>
    <cellStyle name="40% - Accent1 2 3 5 3" xfId="6210" xr:uid="{00000000-0005-0000-0000-0000FB030000}"/>
    <cellStyle name="40% - Accent1 2 3 5 3 2" xfId="31509" xr:uid="{4BC323ED-FD51-4FB5-9C25-4BE8A34B18EA}"/>
    <cellStyle name="40% - Accent1 2 3 5 3 3" xfId="23080" xr:uid="{19D54858-6BE0-4201-8225-E4D1AD7E6A0E}"/>
    <cellStyle name="40% - Accent1 2 3 5 3 4" xfId="39937" xr:uid="{7D97D605-1E0A-4121-AB25-B6231359CFD8}"/>
    <cellStyle name="40% - Accent1 2 3 5 3 5" xfId="14645" xr:uid="{D1F7A35F-BC7C-4DF0-B55D-9038C2D27C09}"/>
    <cellStyle name="40% - Accent1 2 3 5 4" xfId="27291" xr:uid="{1BB12849-F073-4854-AF63-391F6FEEB359}"/>
    <cellStyle name="40% - Accent1 2 3 5 5" xfId="18862" xr:uid="{FE36D735-805F-4922-BB11-C6EBDFADD2E8}"/>
    <cellStyle name="40% - Accent1 2 3 5 6" xfId="35720" xr:uid="{34B8E5F4-29C6-4BE1-BE42-111E392DBB1F}"/>
    <cellStyle name="40% - Accent1 2 3 5 7" xfId="10427" xr:uid="{F16178C0-C449-411B-8CDE-1D0860B26B2E}"/>
    <cellStyle name="40% - Accent1 2 3 6" xfId="2316" xr:uid="{00000000-0005-0000-0000-0000FC030000}"/>
    <cellStyle name="40% - Accent1 2 3 6 2" xfId="6623" xr:uid="{00000000-0005-0000-0000-0000FD030000}"/>
    <cellStyle name="40% - Accent1 2 3 6 2 2" xfId="31922" xr:uid="{5CEFE929-0626-4D71-A7E1-D3178F31172C}"/>
    <cellStyle name="40% - Accent1 2 3 6 2 3" xfId="23493" xr:uid="{0422C3F8-5AA7-4588-8D58-BA82438DB57C}"/>
    <cellStyle name="40% - Accent1 2 3 6 2 4" xfId="40350" xr:uid="{3059E185-20C9-4D44-9297-99A9F59421D2}"/>
    <cellStyle name="40% - Accent1 2 3 6 2 5" xfId="15058" xr:uid="{6487ECA3-00F3-44E6-B9CA-6BBE94356A3A}"/>
    <cellStyle name="40% - Accent1 2 3 6 3" xfId="27704" xr:uid="{DE5C181C-CC47-4E79-95B0-B4F348E209D0}"/>
    <cellStyle name="40% - Accent1 2 3 6 4" xfId="19275" xr:uid="{3266CB28-FE3F-4D47-9876-54F71179C11D}"/>
    <cellStyle name="40% - Accent1 2 3 6 5" xfId="36133" xr:uid="{E9B03A85-F19A-49DB-A707-4BB32FD5CF0E}"/>
    <cellStyle name="40% - Accent1 2 3 6 6" xfId="10840" xr:uid="{22B2F9A2-FB63-4F98-BA65-2C2BF5E9E728}"/>
    <cellStyle name="40% - Accent1 2 3 7" xfId="4557" xr:uid="{00000000-0005-0000-0000-0000FE030000}"/>
    <cellStyle name="40% - Accent1 2 3 7 2" xfId="29856" xr:uid="{EFAAE702-65F9-45D8-8759-9B9AC08ABBA4}"/>
    <cellStyle name="40% - Accent1 2 3 7 3" xfId="21427" xr:uid="{4D087036-EE64-4EE5-9C58-CBFAEE15A974}"/>
    <cellStyle name="40% - Accent1 2 3 7 4" xfId="38284" xr:uid="{C71D8772-9C6F-4D57-B1DE-26169DAA3DBA}"/>
    <cellStyle name="40% - Accent1 2 3 7 5" xfId="12992" xr:uid="{A69F8ABD-A812-473A-BEA7-967FFFAF13A0}"/>
    <cellStyle name="40% - Accent1 2 3 8" xfId="25638" xr:uid="{1D1548DC-89D5-4C62-A9DB-1F705EE4B8FC}"/>
    <cellStyle name="40% - Accent1 2 3 9" xfId="17209" xr:uid="{C7D24A17-DCFC-48F0-A8BD-C0A8AB6D54BA}"/>
    <cellStyle name="40% - Accent1 2 4" xfId="619" xr:uid="{00000000-0005-0000-0000-0000FF030000}"/>
    <cellStyle name="40% - Accent1 2 4 2" xfId="2890" xr:uid="{00000000-0005-0000-0000-000000040000}"/>
    <cellStyle name="40% - Accent1 2 4 2 2" xfId="7113" xr:uid="{00000000-0005-0000-0000-000001040000}"/>
    <cellStyle name="40% - Accent1 2 4 2 2 2" xfId="32412" xr:uid="{09D9F186-4A7E-4A09-965D-ACDF09C5B4AC}"/>
    <cellStyle name="40% - Accent1 2 4 2 2 3" xfId="23983" xr:uid="{7A230636-94FC-49C6-A54F-84B712FEBB75}"/>
    <cellStyle name="40% - Accent1 2 4 2 2 4" xfId="40840" xr:uid="{95C191A8-6D38-4725-A9A3-EAA5B7663F6C}"/>
    <cellStyle name="40% - Accent1 2 4 2 2 5" xfId="15548" xr:uid="{08FD0B9B-1062-4D3C-B5F2-5F17859AD5B8}"/>
    <cellStyle name="40% - Accent1 2 4 2 3" xfId="28194" xr:uid="{8E0AF03A-4A97-433C-92F5-01D2A0DDCEF5}"/>
    <cellStyle name="40% - Accent1 2 4 2 4" xfId="19765" xr:uid="{CFBA4208-A3D4-4694-973D-8529CE9212F1}"/>
    <cellStyle name="40% - Accent1 2 4 2 5" xfId="36623" xr:uid="{456D6577-45BF-4785-9B1C-5EAFE7FB5155}"/>
    <cellStyle name="40% - Accent1 2 4 2 6" xfId="11330" xr:uid="{D98DD3F8-C03B-430B-9D0B-33E6EF2E113D}"/>
    <cellStyle name="40% - Accent1 2 4 3" xfId="4968" xr:uid="{00000000-0005-0000-0000-000002040000}"/>
    <cellStyle name="40% - Accent1 2 4 3 2" xfId="30267" xr:uid="{A24D45F8-BF90-42FB-85F7-68CBC821E912}"/>
    <cellStyle name="40% - Accent1 2 4 3 3" xfId="21838" xr:uid="{9DD3A70E-8CAB-4A2F-AA3B-B27C1D5FF35B}"/>
    <cellStyle name="40% - Accent1 2 4 3 4" xfId="38695" xr:uid="{4BCB0C3A-07EA-4206-A09A-8211A6902BF5}"/>
    <cellStyle name="40% - Accent1 2 4 3 5" xfId="13403" xr:uid="{F7300A21-A06C-417B-9A54-9E64B9B4CDD5}"/>
    <cellStyle name="40% - Accent1 2 4 4" xfId="26049" xr:uid="{67E2F502-9DF2-4546-86B1-83E37250DEB4}"/>
    <cellStyle name="40% - Accent1 2 4 5" xfId="17620" xr:uid="{B03221B4-14A6-4529-A959-2A7939AB5C89}"/>
    <cellStyle name="40% - Accent1 2 4 6" xfId="34478" xr:uid="{8FE06414-879A-4236-B125-7F03D7D7E367}"/>
    <cellStyle name="40% - Accent1 2 4 7" xfId="9185" xr:uid="{FF4E04BE-E404-4993-BDB2-8BD842208443}"/>
    <cellStyle name="40% - Accent1 2 5" xfId="1072" xr:uid="{00000000-0005-0000-0000-000003040000}"/>
    <cellStyle name="40% - Accent1 2 5 2" xfId="3303" xr:uid="{00000000-0005-0000-0000-000004040000}"/>
    <cellStyle name="40% - Accent1 2 5 2 2" xfId="7526" xr:uid="{00000000-0005-0000-0000-000005040000}"/>
    <cellStyle name="40% - Accent1 2 5 2 2 2" xfId="32825" xr:uid="{39AD8BD9-0D8C-4866-8D63-5AB5383325FE}"/>
    <cellStyle name="40% - Accent1 2 5 2 2 3" xfId="24396" xr:uid="{868AE223-B95D-4953-9695-AE40008625B7}"/>
    <cellStyle name="40% - Accent1 2 5 2 2 4" xfId="41253" xr:uid="{812E31CE-DB20-4B04-8708-B6909E6501DC}"/>
    <cellStyle name="40% - Accent1 2 5 2 2 5" xfId="15961" xr:uid="{5674268E-1D0A-41A0-B9DA-296C6620B2C0}"/>
    <cellStyle name="40% - Accent1 2 5 2 3" xfId="28607" xr:uid="{E9F611BB-372B-4BF3-AFEC-0666B06E1361}"/>
    <cellStyle name="40% - Accent1 2 5 2 4" xfId="20178" xr:uid="{93C237D5-A9F6-44E7-BF66-126C4693795E}"/>
    <cellStyle name="40% - Accent1 2 5 2 5" xfId="37036" xr:uid="{2CFB526B-D234-4F39-95EA-8548F0BE84A6}"/>
    <cellStyle name="40% - Accent1 2 5 2 6" xfId="11743" xr:uid="{09D3C3B7-A5F5-459D-B02C-D04B8539E41D}"/>
    <cellStyle name="40% - Accent1 2 5 3" xfId="5381" xr:uid="{00000000-0005-0000-0000-000006040000}"/>
    <cellStyle name="40% - Accent1 2 5 3 2" xfId="30680" xr:uid="{BE2B921A-B07D-4F3F-9483-49FAC0978CE1}"/>
    <cellStyle name="40% - Accent1 2 5 3 3" xfId="22251" xr:uid="{F8278F6C-AF61-4D90-82B7-CD8C843FB41B}"/>
    <cellStyle name="40% - Accent1 2 5 3 4" xfId="39108" xr:uid="{A0C6D01E-DA25-4A76-98D9-3076E0FBE0B8}"/>
    <cellStyle name="40% - Accent1 2 5 3 5" xfId="13816" xr:uid="{CBF2BC58-D978-4CBE-92AE-44DC0A495BE3}"/>
    <cellStyle name="40% - Accent1 2 5 4" xfId="26462" xr:uid="{60BD396A-E28D-4AA3-858F-96BCC2B54B77}"/>
    <cellStyle name="40% - Accent1 2 5 5" xfId="18033" xr:uid="{7E53819D-1C7A-4459-8FD8-5A38E8D7BEA6}"/>
    <cellStyle name="40% - Accent1 2 5 6" xfId="34891" xr:uid="{F21A8A2A-8379-4C85-8B7F-B081B059EDFB}"/>
    <cellStyle name="40% - Accent1 2 5 7" xfId="9598" xr:uid="{E12E161F-CC11-420C-A304-4FE0E1FF4E97}"/>
    <cellStyle name="40% - Accent1 2 6" xfId="1486" xr:uid="{00000000-0005-0000-0000-000007040000}"/>
    <cellStyle name="40% - Accent1 2 6 2" xfId="3716" xr:uid="{00000000-0005-0000-0000-000008040000}"/>
    <cellStyle name="40% - Accent1 2 6 2 2" xfId="7939" xr:uid="{00000000-0005-0000-0000-000009040000}"/>
    <cellStyle name="40% - Accent1 2 6 2 2 2" xfId="33238" xr:uid="{CB1B57F6-35AA-41E3-B10B-DC1C7CA64D9A}"/>
    <cellStyle name="40% - Accent1 2 6 2 2 3" xfId="24809" xr:uid="{9C4B6A73-FD90-4C00-AFBD-6F7B08E640D0}"/>
    <cellStyle name="40% - Accent1 2 6 2 2 4" xfId="41666" xr:uid="{B21C3096-9E42-4BF9-9927-167D36889C8E}"/>
    <cellStyle name="40% - Accent1 2 6 2 2 5" xfId="16374" xr:uid="{545BB1ED-4B49-4B87-AF8F-B4B71D3BD200}"/>
    <cellStyle name="40% - Accent1 2 6 2 3" xfId="29020" xr:uid="{85EA5B7A-8D56-43AC-AFC7-B4727648469E}"/>
    <cellStyle name="40% - Accent1 2 6 2 4" xfId="20591" xr:uid="{02607E4B-9C67-47EC-A98E-F37EFC7AC789}"/>
    <cellStyle name="40% - Accent1 2 6 2 5" xfId="37449" xr:uid="{28B14570-5CCF-4B51-BAF4-4A4ACD62DD82}"/>
    <cellStyle name="40% - Accent1 2 6 2 6" xfId="12156" xr:uid="{9B01E946-2116-45D3-8A36-56295513B730}"/>
    <cellStyle name="40% - Accent1 2 6 3" xfId="5794" xr:uid="{00000000-0005-0000-0000-00000A040000}"/>
    <cellStyle name="40% - Accent1 2 6 3 2" xfId="31093" xr:uid="{AB4DFB32-DAFC-4431-AF91-A291AA59461D}"/>
    <cellStyle name="40% - Accent1 2 6 3 3" xfId="22664" xr:uid="{79A5754B-1C0E-4159-AB7A-B4E15CC66707}"/>
    <cellStyle name="40% - Accent1 2 6 3 4" xfId="39521" xr:uid="{1216DB8A-15E6-4957-8241-0AA5113B839F}"/>
    <cellStyle name="40% - Accent1 2 6 3 5" xfId="14229" xr:uid="{93D6592E-8FFC-4290-9F3E-061CD29198A6}"/>
    <cellStyle name="40% - Accent1 2 6 4" xfId="26875" xr:uid="{13DEA08B-6889-4C22-B758-B8A426E5EBAC}"/>
    <cellStyle name="40% - Accent1 2 6 5" xfId="18446" xr:uid="{33D7AB15-846E-4835-9EF1-5EBDE2DFA198}"/>
    <cellStyle name="40% - Accent1 2 6 6" xfId="35304" xr:uid="{C20EBF58-865B-4588-B6DC-C45C9B2D2190}"/>
    <cellStyle name="40% - Accent1 2 6 7" xfId="10011" xr:uid="{BE647636-95E6-4C0A-ABDB-C4640A71096C}"/>
    <cellStyle name="40% - Accent1 2 7" xfId="1900" xr:uid="{00000000-0005-0000-0000-00000B040000}"/>
    <cellStyle name="40% - Accent1 2 7 2" xfId="4129" xr:uid="{00000000-0005-0000-0000-00000C040000}"/>
    <cellStyle name="40% - Accent1 2 7 2 2" xfId="8352" xr:uid="{00000000-0005-0000-0000-00000D040000}"/>
    <cellStyle name="40% - Accent1 2 7 2 2 2" xfId="33651" xr:uid="{959EA491-E39A-4836-8563-4DBE6DD12BA6}"/>
    <cellStyle name="40% - Accent1 2 7 2 2 3" xfId="25222" xr:uid="{CBBAEBED-5749-42C0-B163-460574BF4E44}"/>
    <cellStyle name="40% - Accent1 2 7 2 2 4" xfId="42079" xr:uid="{45421689-4A33-4389-BB09-8282E94C6FCA}"/>
    <cellStyle name="40% - Accent1 2 7 2 2 5" xfId="16787" xr:uid="{A60F4C79-59DA-439E-B087-9F6C2500342F}"/>
    <cellStyle name="40% - Accent1 2 7 2 3" xfId="29433" xr:uid="{B7240E60-935F-4BE9-81BB-60EA0A904427}"/>
    <cellStyle name="40% - Accent1 2 7 2 4" xfId="21004" xr:uid="{A03260F0-0B1A-44B2-B6B1-B9DFF7D3FE15}"/>
    <cellStyle name="40% - Accent1 2 7 2 5" xfId="37862" xr:uid="{319F757F-A31B-4B6D-BDB1-0890182FFB7F}"/>
    <cellStyle name="40% - Accent1 2 7 2 6" xfId="12569" xr:uid="{B9744628-2FC0-4136-84EA-E7B65A4C19E3}"/>
    <cellStyle name="40% - Accent1 2 7 3" xfId="6207" xr:uid="{00000000-0005-0000-0000-00000E040000}"/>
    <cellStyle name="40% - Accent1 2 7 3 2" xfId="31506" xr:uid="{D8019D39-7EF9-4A12-8369-2BA3A429FFF8}"/>
    <cellStyle name="40% - Accent1 2 7 3 3" xfId="23077" xr:uid="{8FD100F4-B4E5-4ABF-A9A7-8D07BB940A41}"/>
    <cellStyle name="40% - Accent1 2 7 3 4" xfId="39934" xr:uid="{ED12827E-FE0B-4FCB-9A75-826618C3AE6C}"/>
    <cellStyle name="40% - Accent1 2 7 3 5" xfId="14642" xr:uid="{779FC7AF-FA10-4FA1-BD63-5B1B0EF30522}"/>
    <cellStyle name="40% - Accent1 2 7 4" xfId="27288" xr:uid="{6F6B83AE-E16C-48A6-8BEF-1BFB567899B7}"/>
    <cellStyle name="40% - Accent1 2 7 5" xfId="18859" xr:uid="{AB24E1BB-7AFC-45E7-910F-4E2D5B0D58A0}"/>
    <cellStyle name="40% - Accent1 2 7 6" xfId="35717" xr:uid="{FCACA6A9-F6D0-4EC0-8E52-FC64F6EA6D66}"/>
    <cellStyle name="40% - Accent1 2 7 7" xfId="10424" xr:uid="{F4890066-BF87-40E5-BABE-EC49324D382F}"/>
    <cellStyle name="40% - Accent1 2 8" xfId="2313" xr:uid="{00000000-0005-0000-0000-00000F040000}"/>
    <cellStyle name="40% - Accent1 2 8 2" xfId="6620" xr:uid="{00000000-0005-0000-0000-000010040000}"/>
    <cellStyle name="40% - Accent1 2 8 2 2" xfId="31919" xr:uid="{8DD12A72-826A-40C6-B28F-BF1B48BB49EA}"/>
    <cellStyle name="40% - Accent1 2 8 2 3" xfId="23490" xr:uid="{5EFCC9B2-F29D-4487-9C28-94784EED93EA}"/>
    <cellStyle name="40% - Accent1 2 8 2 4" xfId="40347" xr:uid="{0C919CE0-87F7-4CAA-BBDA-F01033E2B05C}"/>
    <cellStyle name="40% - Accent1 2 8 2 5" xfId="15055" xr:uid="{362E99D6-F844-4E52-B69B-B4540101BE23}"/>
    <cellStyle name="40% - Accent1 2 8 3" xfId="27701" xr:uid="{ADA13CB4-6472-4A05-A16A-2233DD234C5C}"/>
    <cellStyle name="40% - Accent1 2 8 4" xfId="19272" xr:uid="{92AA2163-1C00-4C4E-BBBE-19A6787AD92E}"/>
    <cellStyle name="40% - Accent1 2 8 5" xfId="36130" xr:uid="{0911C3CD-9B85-4B8E-B1A3-AB1D0B2725D7}"/>
    <cellStyle name="40% - Accent1 2 8 6" xfId="10837" xr:uid="{F07347B3-FAC5-417B-B85B-7975E604FE0E}"/>
    <cellStyle name="40% - Accent1 2 9" xfId="4554" xr:uid="{00000000-0005-0000-0000-000011040000}"/>
    <cellStyle name="40% - Accent1 2 9 2" xfId="29853" xr:uid="{6BEC8133-CED4-40F1-BFDE-6154FD63E09F}"/>
    <cellStyle name="40% - Accent1 2 9 3" xfId="21424" xr:uid="{44D61BB2-B8A0-4DFD-BEDF-E6CD0DC527C2}"/>
    <cellStyle name="40% - Accent1 2 9 4" xfId="38281" xr:uid="{007917B7-0E13-433E-BC72-5AD3487704A9}"/>
    <cellStyle name="40% - Accent1 2 9 5" xfId="12989" xr:uid="{C0F29151-6A97-4008-A5CE-8ABF4AA32B71}"/>
    <cellStyle name="40% - Accent1 3" xfId="54" xr:uid="{00000000-0005-0000-0000-000012040000}"/>
    <cellStyle name="40% - Accent1 3 10" xfId="17210" xr:uid="{436EE8A4-7E56-4131-9C17-B34A1E5397B2}"/>
    <cellStyle name="40% - Accent1 3 11" xfId="34068" xr:uid="{9D8172EF-251B-4E52-A940-CB0A7D80E1CE}"/>
    <cellStyle name="40% - Accent1 3 12" xfId="8775" xr:uid="{ECDFD146-4983-4CA3-A2DC-C02E3F89A56F}"/>
    <cellStyle name="40% - Accent1 3 2" xfId="55" xr:uid="{00000000-0005-0000-0000-000013040000}"/>
    <cellStyle name="40% - Accent1 3 2 10" xfId="34069" xr:uid="{B6772720-87FD-40BA-ACC2-FB865DE3C14A}"/>
    <cellStyle name="40% - Accent1 3 2 11" xfId="8776" xr:uid="{F48943A8-C0CF-4AF1-AA53-51BED976EDC1}"/>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32417" xr:uid="{CBA9A21D-5F53-43E8-A767-D66D8B2E2E37}"/>
    <cellStyle name="40% - Accent1 3 2 2 2 2 3" xfId="23988" xr:uid="{B9A1EF31-CB26-4BEC-A5D7-2996FC752543}"/>
    <cellStyle name="40% - Accent1 3 2 2 2 2 4" xfId="40845" xr:uid="{9B0E9DA6-BDB5-48EF-8F56-78F65AF70C87}"/>
    <cellStyle name="40% - Accent1 3 2 2 2 2 5" xfId="15553" xr:uid="{E8E272B2-2C05-40A5-8B21-A250618E0F7B}"/>
    <cellStyle name="40% - Accent1 3 2 2 2 3" xfId="28199" xr:uid="{B8D40DF6-796F-4504-B299-C48EBC76A6EC}"/>
    <cellStyle name="40% - Accent1 3 2 2 2 4" xfId="19770" xr:uid="{CAB4A146-647D-4CAA-A5BF-7F69F80A80FF}"/>
    <cellStyle name="40% - Accent1 3 2 2 2 5" xfId="36628" xr:uid="{7B1759A6-BCAF-40D2-BB88-9465D73209E1}"/>
    <cellStyle name="40% - Accent1 3 2 2 2 6" xfId="11335" xr:uid="{40D1DAE3-08EF-481A-BC03-3670FD36A65A}"/>
    <cellStyle name="40% - Accent1 3 2 2 3" xfId="4973" xr:uid="{00000000-0005-0000-0000-000017040000}"/>
    <cellStyle name="40% - Accent1 3 2 2 3 2" xfId="30272" xr:uid="{E0AB263D-2AD6-407F-B571-816EA5C94D71}"/>
    <cellStyle name="40% - Accent1 3 2 2 3 3" xfId="21843" xr:uid="{39E23CFA-8FB6-4547-9086-E7D7E3116881}"/>
    <cellStyle name="40% - Accent1 3 2 2 3 4" xfId="38700" xr:uid="{80755B30-AB2D-4917-BE96-E1049847D1CD}"/>
    <cellStyle name="40% - Accent1 3 2 2 3 5" xfId="13408" xr:uid="{5F6E24C3-F229-4376-8CDD-76CBF2CCFCEF}"/>
    <cellStyle name="40% - Accent1 3 2 2 4" xfId="26054" xr:uid="{8E205346-AF5B-47A9-8E36-69AC45EAF275}"/>
    <cellStyle name="40% - Accent1 3 2 2 5" xfId="17625" xr:uid="{B37E6A8F-4A72-402B-8FA1-FEE41134C10A}"/>
    <cellStyle name="40% - Accent1 3 2 2 6" xfId="34483" xr:uid="{7999AF63-8506-4A21-A59C-2C99C36FB9BB}"/>
    <cellStyle name="40% - Accent1 3 2 2 7" xfId="9190" xr:uid="{F86D3585-AB09-4ED4-AE9A-B0B1D9A40F9A}"/>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32830" xr:uid="{963E37D7-67A8-45B5-B1E5-F28977CCC957}"/>
    <cellStyle name="40% - Accent1 3 2 3 2 2 3" xfId="24401" xr:uid="{2558F03D-C6A8-49BC-A8BE-E99200DE0AD7}"/>
    <cellStyle name="40% - Accent1 3 2 3 2 2 4" xfId="41258" xr:uid="{DDAC7174-6463-4CE5-A57F-A687E65015E2}"/>
    <cellStyle name="40% - Accent1 3 2 3 2 2 5" xfId="15966" xr:uid="{D06BAD30-E2E4-426A-AD84-FE53A1E5955B}"/>
    <cellStyle name="40% - Accent1 3 2 3 2 3" xfId="28612" xr:uid="{665ECCE2-CA73-48AB-8E47-1708EB2ACF55}"/>
    <cellStyle name="40% - Accent1 3 2 3 2 4" xfId="20183" xr:uid="{AA92E5A2-7892-420C-B686-E6A15BEE45AF}"/>
    <cellStyle name="40% - Accent1 3 2 3 2 5" xfId="37041" xr:uid="{5A9E5BE1-2226-48CF-BE08-65E35F69AB02}"/>
    <cellStyle name="40% - Accent1 3 2 3 2 6" xfId="11748" xr:uid="{51413619-A8AA-4F50-9366-184DC133F7A9}"/>
    <cellStyle name="40% - Accent1 3 2 3 3" xfId="5386" xr:uid="{00000000-0005-0000-0000-00001B040000}"/>
    <cellStyle name="40% - Accent1 3 2 3 3 2" xfId="30685" xr:uid="{7AB21B0B-12A0-49E3-935F-DE5D4F387FE2}"/>
    <cellStyle name="40% - Accent1 3 2 3 3 3" xfId="22256" xr:uid="{74EB551A-2CA5-4F75-8C03-3A44159B376A}"/>
    <cellStyle name="40% - Accent1 3 2 3 3 4" xfId="39113" xr:uid="{AEB0B075-CEA3-456A-A98C-228B8A76BD36}"/>
    <cellStyle name="40% - Accent1 3 2 3 3 5" xfId="13821" xr:uid="{77C221E8-0EEC-48A4-A4C7-DD459C4BF89F}"/>
    <cellStyle name="40% - Accent1 3 2 3 4" xfId="26467" xr:uid="{237CDAA7-57A6-4A7A-8F68-A48C3FFDB16D}"/>
    <cellStyle name="40% - Accent1 3 2 3 5" xfId="18038" xr:uid="{73004DD8-FC9B-4971-A671-AD7C250A1D89}"/>
    <cellStyle name="40% - Accent1 3 2 3 6" xfId="34896" xr:uid="{18D9153D-DD58-4A81-B0C8-D616CA81523F}"/>
    <cellStyle name="40% - Accent1 3 2 3 7" xfId="9603" xr:uid="{A246BBE2-5F3E-49EB-9834-85428AE8E02F}"/>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33243" xr:uid="{4BDECE34-651A-4818-8213-14384DCF1246}"/>
    <cellStyle name="40% - Accent1 3 2 4 2 2 3" xfId="24814" xr:uid="{358301C0-32A3-4AEF-B9AF-BFCF5CB48112}"/>
    <cellStyle name="40% - Accent1 3 2 4 2 2 4" xfId="41671" xr:uid="{6E26A271-8959-49C7-9911-31724770DA56}"/>
    <cellStyle name="40% - Accent1 3 2 4 2 2 5" xfId="16379" xr:uid="{5555ABC5-E44E-4B2C-853D-18A16ECBDC35}"/>
    <cellStyle name="40% - Accent1 3 2 4 2 3" xfId="29025" xr:uid="{C8102BCC-30E8-4EBA-AEA5-1E6F9FC12C42}"/>
    <cellStyle name="40% - Accent1 3 2 4 2 4" xfId="20596" xr:uid="{2F9DB39A-B0E0-4B76-9CC0-DD5B51DC7D87}"/>
    <cellStyle name="40% - Accent1 3 2 4 2 5" xfId="37454" xr:uid="{F2A14638-5621-4782-A7F0-7EB21B00FFE4}"/>
    <cellStyle name="40% - Accent1 3 2 4 2 6" xfId="12161" xr:uid="{95530510-3193-4E5C-A05D-6345334047C9}"/>
    <cellStyle name="40% - Accent1 3 2 4 3" xfId="5799" xr:uid="{00000000-0005-0000-0000-00001F040000}"/>
    <cellStyle name="40% - Accent1 3 2 4 3 2" xfId="31098" xr:uid="{4F8A2C4B-0CCC-485A-8D40-1C733BA018D1}"/>
    <cellStyle name="40% - Accent1 3 2 4 3 3" xfId="22669" xr:uid="{28CBFE08-216F-4DB4-9C04-30FFDD054B93}"/>
    <cellStyle name="40% - Accent1 3 2 4 3 4" xfId="39526" xr:uid="{2187CB89-4569-4788-884F-7E03A9C5F5B4}"/>
    <cellStyle name="40% - Accent1 3 2 4 3 5" xfId="14234" xr:uid="{5000DE2C-58FA-4825-91C7-996B62ABCEA1}"/>
    <cellStyle name="40% - Accent1 3 2 4 4" xfId="26880" xr:uid="{51A32976-AAA5-401E-9184-D0126B736109}"/>
    <cellStyle name="40% - Accent1 3 2 4 5" xfId="18451" xr:uid="{BA8C8500-94F1-4746-A730-C3D3474D94E8}"/>
    <cellStyle name="40% - Accent1 3 2 4 6" xfId="35309" xr:uid="{B6001F1E-A1F1-40BC-BB61-B5D6EBD3E15F}"/>
    <cellStyle name="40% - Accent1 3 2 4 7" xfId="10016" xr:uid="{59C646CD-A3FE-468D-9C9F-907416F41158}"/>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33656" xr:uid="{D1171858-E70A-4B9A-B097-F5E197547D91}"/>
    <cellStyle name="40% - Accent1 3 2 5 2 2 3" xfId="25227" xr:uid="{EC9C2E39-938A-46CA-BEDB-133921E39088}"/>
    <cellStyle name="40% - Accent1 3 2 5 2 2 4" xfId="42084" xr:uid="{09164B3F-7156-49B4-9674-2E3986FEF1B4}"/>
    <cellStyle name="40% - Accent1 3 2 5 2 2 5" xfId="16792" xr:uid="{6ECA721B-0CF4-44A9-A6EA-8C218C2427B3}"/>
    <cellStyle name="40% - Accent1 3 2 5 2 3" xfId="29438" xr:uid="{EC905A68-ADF1-4027-833A-7291F3F32CF5}"/>
    <cellStyle name="40% - Accent1 3 2 5 2 4" xfId="21009" xr:uid="{DEABADE6-BE5E-4F01-8405-D0F359D23464}"/>
    <cellStyle name="40% - Accent1 3 2 5 2 5" xfId="37867" xr:uid="{7682B416-4407-461A-B738-B1E7CDE31967}"/>
    <cellStyle name="40% - Accent1 3 2 5 2 6" xfId="12574" xr:uid="{6D7F326C-1D29-45AC-9CCA-F51685B5B5FF}"/>
    <cellStyle name="40% - Accent1 3 2 5 3" xfId="6212" xr:uid="{00000000-0005-0000-0000-000023040000}"/>
    <cellStyle name="40% - Accent1 3 2 5 3 2" xfId="31511" xr:uid="{26B59C31-1B9A-40B5-A136-2995E0D8E37E}"/>
    <cellStyle name="40% - Accent1 3 2 5 3 3" xfId="23082" xr:uid="{DA4CEFC3-8396-4782-ADB0-B9B9163BC257}"/>
    <cellStyle name="40% - Accent1 3 2 5 3 4" xfId="39939" xr:uid="{7D0F50EC-D1D4-4589-96A2-EC392913194A}"/>
    <cellStyle name="40% - Accent1 3 2 5 3 5" xfId="14647" xr:uid="{CFBB4F87-637B-4E20-9DEE-FD800369B593}"/>
    <cellStyle name="40% - Accent1 3 2 5 4" xfId="27293" xr:uid="{DCDB6E9B-827B-4539-8E7B-37F439EDC4BB}"/>
    <cellStyle name="40% - Accent1 3 2 5 5" xfId="18864" xr:uid="{5076EC63-AE63-4D88-B22E-B2C35FCF96F9}"/>
    <cellStyle name="40% - Accent1 3 2 5 6" xfId="35722" xr:uid="{86E39F4C-0A58-4247-A705-6842183A7318}"/>
    <cellStyle name="40% - Accent1 3 2 5 7" xfId="10429" xr:uid="{C86E48D1-C58F-45E3-AAD5-F158A5B03B48}"/>
    <cellStyle name="40% - Accent1 3 2 6" xfId="2318" xr:uid="{00000000-0005-0000-0000-000024040000}"/>
    <cellStyle name="40% - Accent1 3 2 6 2" xfId="6625" xr:uid="{00000000-0005-0000-0000-000025040000}"/>
    <cellStyle name="40% - Accent1 3 2 6 2 2" xfId="31924" xr:uid="{61B9361D-E617-4401-ACE0-E230583325AA}"/>
    <cellStyle name="40% - Accent1 3 2 6 2 3" xfId="23495" xr:uid="{23B12121-5654-436E-AD4A-7B996A2ABF84}"/>
    <cellStyle name="40% - Accent1 3 2 6 2 4" xfId="40352" xr:uid="{AA053E2C-B97B-4731-85A9-2DAACC49D8A2}"/>
    <cellStyle name="40% - Accent1 3 2 6 2 5" xfId="15060" xr:uid="{8ABA7B3D-DB39-42F6-871A-96BB9D7764A8}"/>
    <cellStyle name="40% - Accent1 3 2 6 3" xfId="27706" xr:uid="{1A2B298C-CEC6-4C8E-ACE8-3E2AD829635D}"/>
    <cellStyle name="40% - Accent1 3 2 6 4" xfId="19277" xr:uid="{2F05D7A8-AA7B-4C46-A611-3302A7088952}"/>
    <cellStyle name="40% - Accent1 3 2 6 5" xfId="36135" xr:uid="{903D3C89-34A0-4342-8193-7A06972704FC}"/>
    <cellStyle name="40% - Accent1 3 2 6 6" xfId="10842" xr:uid="{17545D36-14E6-4510-9D13-87E90AEBD21B}"/>
    <cellStyle name="40% - Accent1 3 2 7" xfId="4559" xr:uid="{00000000-0005-0000-0000-000026040000}"/>
    <cellStyle name="40% - Accent1 3 2 7 2" xfId="29858" xr:uid="{A32BC387-BC5F-4E30-8816-6A324CEC9D38}"/>
    <cellStyle name="40% - Accent1 3 2 7 3" xfId="21429" xr:uid="{DA197390-7D4D-40D5-A5C5-3006D07F83F3}"/>
    <cellStyle name="40% - Accent1 3 2 7 4" xfId="38286" xr:uid="{56B5D3C1-8746-46EC-819D-575378A76943}"/>
    <cellStyle name="40% - Accent1 3 2 7 5" xfId="12994" xr:uid="{6EDAE987-3F7F-498F-9329-3C4B9CFE56DE}"/>
    <cellStyle name="40% - Accent1 3 2 8" xfId="25640" xr:uid="{546530D3-3610-4524-A64C-7745437B2E4C}"/>
    <cellStyle name="40% - Accent1 3 2 9" xfId="17211" xr:uid="{0CD67055-80A3-412E-BEED-DABEE4CA5706}"/>
    <cellStyle name="40% - Accent1 3 3" xfId="623" xr:uid="{00000000-0005-0000-0000-000027040000}"/>
    <cellStyle name="40% - Accent1 3 3 2" xfId="2894" xr:uid="{00000000-0005-0000-0000-000028040000}"/>
    <cellStyle name="40% - Accent1 3 3 2 2" xfId="7117" xr:uid="{00000000-0005-0000-0000-000029040000}"/>
    <cellStyle name="40% - Accent1 3 3 2 2 2" xfId="32416" xr:uid="{D65DC01C-3FB3-4E91-A86E-E65A10D2E570}"/>
    <cellStyle name="40% - Accent1 3 3 2 2 3" xfId="23987" xr:uid="{8B31CFE5-0C93-46CD-A8DE-CE384BDD30E5}"/>
    <cellStyle name="40% - Accent1 3 3 2 2 4" xfId="40844" xr:uid="{27226E18-5637-4C03-AD2D-F0E05532A11C}"/>
    <cellStyle name="40% - Accent1 3 3 2 2 5" xfId="15552" xr:uid="{F03C38A9-E7BE-41B3-B5DC-176610A92BD8}"/>
    <cellStyle name="40% - Accent1 3 3 2 3" xfId="28198" xr:uid="{CA28F92F-1DC9-4AD3-8CD7-D1138E1B50DF}"/>
    <cellStyle name="40% - Accent1 3 3 2 4" xfId="19769" xr:uid="{17AD8122-F896-4DDE-88B5-D439E93A8B82}"/>
    <cellStyle name="40% - Accent1 3 3 2 5" xfId="36627" xr:uid="{407F5282-742B-4188-8C06-BCA3174F36ED}"/>
    <cellStyle name="40% - Accent1 3 3 2 6" xfId="11334" xr:uid="{F7F0E516-202C-421C-94FA-498D892AC4C6}"/>
    <cellStyle name="40% - Accent1 3 3 3" xfId="4972" xr:uid="{00000000-0005-0000-0000-00002A040000}"/>
    <cellStyle name="40% - Accent1 3 3 3 2" xfId="30271" xr:uid="{4B0EDE79-4745-4DB2-8930-2BC6F5DBDABD}"/>
    <cellStyle name="40% - Accent1 3 3 3 3" xfId="21842" xr:uid="{56784C2B-9865-4AC8-8062-3A8D718E2650}"/>
    <cellStyle name="40% - Accent1 3 3 3 4" xfId="38699" xr:uid="{6C25B83B-5307-41F1-BF83-EF4FD4AC90CA}"/>
    <cellStyle name="40% - Accent1 3 3 3 5" xfId="13407" xr:uid="{06D39C45-123F-4E13-8B98-B05500CBA8C4}"/>
    <cellStyle name="40% - Accent1 3 3 4" xfId="26053" xr:uid="{F790BD7B-1F37-4345-ACF0-DE1D4A616496}"/>
    <cellStyle name="40% - Accent1 3 3 5" xfId="17624" xr:uid="{F8C670E3-BEEA-444A-9016-11B9A4EFA5D0}"/>
    <cellStyle name="40% - Accent1 3 3 6" xfId="34482" xr:uid="{2CD33A4C-0925-47E4-B7B6-264E7F014178}"/>
    <cellStyle name="40% - Accent1 3 3 7" xfId="9189" xr:uid="{0CD84EA2-985E-49D9-AF2D-B36AFD04630F}"/>
    <cellStyle name="40% - Accent1 3 4" xfId="1076" xr:uid="{00000000-0005-0000-0000-00002B040000}"/>
    <cellStyle name="40% - Accent1 3 4 2" xfId="3307" xr:uid="{00000000-0005-0000-0000-00002C040000}"/>
    <cellStyle name="40% - Accent1 3 4 2 2" xfId="7530" xr:uid="{00000000-0005-0000-0000-00002D040000}"/>
    <cellStyle name="40% - Accent1 3 4 2 2 2" xfId="32829" xr:uid="{CAC13CE7-70FE-42D5-9E8E-20928C703B4E}"/>
    <cellStyle name="40% - Accent1 3 4 2 2 3" xfId="24400" xr:uid="{4BA09F2E-F797-4FE5-A7B7-CFD8D7F3109E}"/>
    <cellStyle name="40% - Accent1 3 4 2 2 4" xfId="41257" xr:uid="{82F08B57-148F-48CA-80BB-0BDAE63F9829}"/>
    <cellStyle name="40% - Accent1 3 4 2 2 5" xfId="15965" xr:uid="{2DAD0256-F7CB-45C4-ACE1-187BFFCA9AF9}"/>
    <cellStyle name="40% - Accent1 3 4 2 3" xfId="28611" xr:uid="{4E46BBF6-8AA6-42E7-930C-289C9831EFC7}"/>
    <cellStyle name="40% - Accent1 3 4 2 4" xfId="20182" xr:uid="{8268ED91-5D54-4722-83B6-3B71DCF07867}"/>
    <cellStyle name="40% - Accent1 3 4 2 5" xfId="37040" xr:uid="{CE5C58EB-6383-41A5-A364-EB9714791468}"/>
    <cellStyle name="40% - Accent1 3 4 2 6" xfId="11747" xr:uid="{D79D3D28-B1F6-4887-91EC-FA3CBE13D784}"/>
    <cellStyle name="40% - Accent1 3 4 3" xfId="5385" xr:uid="{00000000-0005-0000-0000-00002E040000}"/>
    <cellStyle name="40% - Accent1 3 4 3 2" xfId="30684" xr:uid="{72510293-F953-45D1-8564-26B321B3DDF1}"/>
    <cellStyle name="40% - Accent1 3 4 3 3" xfId="22255" xr:uid="{45695DB9-704E-40DD-9B18-D6492C7A1508}"/>
    <cellStyle name="40% - Accent1 3 4 3 4" xfId="39112" xr:uid="{45728BC5-2BCB-4E77-979B-C86CFCF5D79C}"/>
    <cellStyle name="40% - Accent1 3 4 3 5" xfId="13820" xr:uid="{642B8DFF-386E-482F-9A1B-9CDEBC06196A}"/>
    <cellStyle name="40% - Accent1 3 4 4" xfId="26466" xr:uid="{9A140584-1D64-4785-90A0-D1D69B2BD95A}"/>
    <cellStyle name="40% - Accent1 3 4 5" xfId="18037" xr:uid="{E430173E-8709-40E8-B9BA-71B6B196DABF}"/>
    <cellStyle name="40% - Accent1 3 4 6" xfId="34895" xr:uid="{2C6458D5-2B1A-4878-9928-889DB0D457B1}"/>
    <cellStyle name="40% - Accent1 3 4 7" xfId="9602" xr:uid="{C6FEFE37-AE96-4F40-A8D1-3176F7DB5E72}"/>
    <cellStyle name="40% - Accent1 3 5" xfId="1490" xr:uid="{00000000-0005-0000-0000-00002F040000}"/>
    <cellStyle name="40% - Accent1 3 5 2" xfId="3720" xr:uid="{00000000-0005-0000-0000-000030040000}"/>
    <cellStyle name="40% - Accent1 3 5 2 2" xfId="7943" xr:uid="{00000000-0005-0000-0000-000031040000}"/>
    <cellStyle name="40% - Accent1 3 5 2 2 2" xfId="33242" xr:uid="{0E69EBC4-4179-4DE5-B8BC-65FF9E460275}"/>
    <cellStyle name="40% - Accent1 3 5 2 2 3" xfId="24813" xr:uid="{FD674F7E-EDB3-47F7-B110-74F79E58326E}"/>
    <cellStyle name="40% - Accent1 3 5 2 2 4" xfId="41670" xr:uid="{BEB7030D-1296-4526-8049-94AA8008330F}"/>
    <cellStyle name="40% - Accent1 3 5 2 2 5" xfId="16378" xr:uid="{FCBD5BA0-F321-4BDD-89F5-FE49B3F3AB38}"/>
    <cellStyle name="40% - Accent1 3 5 2 3" xfId="29024" xr:uid="{985EAA89-2D7C-4FED-B765-BA148A0E7B3D}"/>
    <cellStyle name="40% - Accent1 3 5 2 4" xfId="20595" xr:uid="{BA2257BA-68DD-4E57-9FE0-9AD961C5B755}"/>
    <cellStyle name="40% - Accent1 3 5 2 5" xfId="37453" xr:uid="{5BF46B7D-F80B-45C7-BF41-160EBF9CC19B}"/>
    <cellStyle name="40% - Accent1 3 5 2 6" xfId="12160" xr:uid="{E489BA7C-7B72-4813-B2F6-BA0E29DF4231}"/>
    <cellStyle name="40% - Accent1 3 5 3" xfId="5798" xr:uid="{00000000-0005-0000-0000-000032040000}"/>
    <cellStyle name="40% - Accent1 3 5 3 2" xfId="31097" xr:uid="{767C4CCC-897C-4A16-975E-067F70C0B54C}"/>
    <cellStyle name="40% - Accent1 3 5 3 3" xfId="22668" xr:uid="{EAE82A36-CBE9-464F-BDEC-CA3C31885566}"/>
    <cellStyle name="40% - Accent1 3 5 3 4" xfId="39525" xr:uid="{A03BFB51-1048-417E-A39D-F46071DAB024}"/>
    <cellStyle name="40% - Accent1 3 5 3 5" xfId="14233" xr:uid="{6AA4CAF8-3B76-43FD-B954-BA466B8B4387}"/>
    <cellStyle name="40% - Accent1 3 5 4" xfId="26879" xr:uid="{0DB1262B-9D88-4A21-8684-E9FD58C3DDC6}"/>
    <cellStyle name="40% - Accent1 3 5 5" xfId="18450" xr:uid="{B7C05265-7BA5-4347-AA49-C7CDFEEFF176}"/>
    <cellStyle name="40% - Accent1 3 5 6" xfId="35308" xr:uid="{1E28260E-4318-4EFA-9720-FB14C460E31B}"/>
    <cellStyle name="40% - Accent1 3 5 7" xfId="10015" xr:uid="{7A4F7881-F8E0-42BA-9D75-E084F9EEE9DA}"/>
    <cellStyle name="40% - Accent1 3 6" xfId="1904" xr:uid="{00000000-0005-0000-0000-000033040000}"/>
    <cellStyle name="40% - Accent1 3 6 2" xfId="4133" xr:uid="{00000000-0005-0000-0000-000034040000}"/>
    <cellStyle name="40% - Accent1 3 6 2 2" xfId="8356" xr:uid="{00000000-0005-0000-0000-000035040000}"/>
    <cellStyle name="40% - Accent1 3 6 2 2 2" xfId="33655" xr:uid="{9517EC4E-0D2A-48ED-BCE1-80F2D85BE692}"/>
    <cellStyle name="40% - Accent1 3 6 2 2 3" xfId="25226" xr:uid="{E01E581F-5DD0-4FEE-AA18-608748A49095}"/>
    <cellStyle name="40% - Accent1 3 6 2 2 4" xfId="42083" xr:uid="{A3463CDD-D0F1-49FF-BD95-CD7B289FC8C3}"/>
    <cellStyle name="40% - Accent1 3 6 2 2 5" xfId="16791" xr:uid="{9DCE7EBC-5220-464A-8CF9-1F5D4E1506ED}"/>
    <cellStyle name="40% - Accent1 3 6 2 3" xfId="29437" xr:uid="{690F7302-C869-4B4B-8C72-7CE2A0E9661B}"/>
    <cellStyle name="40% - Accent1 3 6 2 4" xfId="21008" xr:uid="{906F43AC-AF27-4D01-A6FC-8C8B9251B7C1}"/>
    <cellStyle name="40% - Accent1 3 6 2 5" xfId="37866" xr:uid="{E4DA7F89-B51E-468F-9124-CF7376180163}"/>
    <cellStyle name="40% - Accent1 3 6 2 6" xfId="12573" xr:uid="{B3DD904D-E6C6-4C08-B8E7-5B0B9C41C5E0}"/>
    <cellStyle name="40% - Accent1 3 6 3" xfId="6211" xr:uid="{00000000-0005-0000-0000-000036040000}"/>
    <cellStyle name="40% - Accent1 3 6 3 2" xfId="31510" xr:uid="{D04FFE81-6E3E-47DE-A269-950DECB1926F}"/>
    <cellStyle name="40% - Accent1 3 6 3 3" xfId="23081" xr:uid="{434B1FBB-532B-483F-85F7-3C464FE49AE1}"/>
    <cellStyle name="40% - Accent1 3 6 3 4" xfId="39938" xr:uid="{56AD648E-A56A-4EE1-8D69-1D3E90785A43}"/>
    <cellStyle name="40% - Accent1 3 6 3 5" xfId="14646" xr:uid="{BD1E9492-6707-41D5-83E9-A7D4F3CB4776}"/>
    <cellStyle name="40% - Accent1 3 6 4" xfId="27292" xr:uid="{E817AB01-7063-42AA-AC4F-D5D0EA1B1E10}"/>
    <cellStyle name="40% - Accent1 3 6 5" xfId="18863" xr:uid="{B0050BDA-6000-4693-A084-EA84C5696BB4}"/>
    <cellStyle name="40% - Accent1 3 6 6" xfId="35721" xr:uid="{A4C031B1-6354-41C5-9F51-C0941FD2F2B9}"/>
    <cellStyle name="40% - Accent1 3 6 7" xfId="10428" xr:uid="{FB025CD7-B041-4115-8A60-FCF5079ED336}"/>
    <cellStyle name="40% - Accent1 3 7" xfId="2317" xr:uid="{00000000-0005-0000-0000-000037040000}"/>
    <cellStyle name="40% - Accent1 3 7 2" xfId="6624" xr:uid="{00000000-0005-0000-0000-000038040000}"/>
    <cellStyle name="40% - Accent1 3 7 2 2" xfId="31923" xr:uid="{9292B638-13ED-4AEE-B22B-A4050A0AFC16}"/>
    <cellStyle name="40% - Accent1 3 7 2 3" xfId="23494" xr:uid="{1DF0B277-3D04-4313-8D94-DF4CC9D5F1A1}"/>
    <cellStyle name="40% - Accent1 3 7 2 4" xfId="40351" xr:uid="{2A8B8F01-C5EB-49A5-9B78-14FFFB22A53B}"/>
    <cellStyle name="40% - Accent1 3 7 2 5" xfId="15059" xr:uid="{F2E2355B-9A1D-4881-AD69-98F0BD6954BD}"/>
    <cellStyle name="40% - Accent1 3 7 3" xfId="27705" xr:uid="{8809D08F-96D2-4456-A16B-BF7E8AFEA310}"/>
    <cellStyle name="40% - Accent1 3 7 4" xfId="19276" xr:uid="{7DCD9E0D-1564-4F02-A0AF-5E9A08D91D10}"/>
    <cellStyle name="40% - Accent1 3 7 5" xfId="36134" xr:uid="{CCC4238D-742C-4680-ADA4-31C9E56EDBA8}"/>
    <cellStyle name="40% - Accent1 3 7 6" xfId="10841" xr:uid="{1E0719A0-D739-4E8D-821B-E64D988677DC}"/>
    <cellStyle name="40% - Accent1 3 8" xfId="4558" xr:uid="{00000000-0005-0000-0000-000039040000}"/>
    <cellStyle name="40% - Accent1 3 8 2" xfId="29857" xr:uid="{3D7BBA56-7551-4F55-869A-12F6F14A49FD}"/>
    <cellStyle name="40% - Accent1 3 8 3" xfId="21428" xr:uid="{E8A8F2D0-825D-400F-A0B4-778E946E1620}"/>
    <cellStyle name="40% - Accent1 3 8 4" xfId="38285" xr:uid="{71A25C2A-5097-49A8-AB62-0015B9AD9626}"/>
    <cellStyle name="40% - Accent1 3 8 5" xfId="12993" xr:uid="{F01C7E24-DA67-4497-AD53-7F9735715E24}"/>
    <cellStyle name="40% - Accent1 3 9" xfId="25639" xr:uid="{D4E25E06-7F50-4913-B791-96CFD9F10AA3}"/>
    <cellStyle name="40% - Accent1 4" xfId="56" xr:uid="{00000000-0005-0000-0000-00003A040000}"/>
    <cellStyle name="40% - Accent1 4 10" xfId="34070" xr:uid="{60933785-8C16-4377-BABC-A05C53C505DA}"/>
    <cellStyle name="40% - Accent1 4 11" xfId="8777" xr:uid="{0F563027-829D-4300-90FD-FA228C4F9066}"/>
    <cellStyle name="40% - Accent1 4 2" xfId="625" xr:uid="{00000000-0005-0000-0000-00003B040000}"/>
    <cellStyle name="40% - Accent1 4 2 2" xfId="2896" xr:uid="{00000000-0005-0000-0000-00003C040000}"/>
    <cellStyle name="40% - Accent1 4 2 2 2" xfId="7119" xr:uid="{00000000-0005-0000-0000-00003D040000}"/>
    <cellStyle name="40% - Accent1 4 2 2 2 2" xfId="32418" xr:uid="{6745FC08-7B47-4A12-957C-CEECD1082AA5}"/>
    <cellStyle name="40% - Accent1 4 2 2 2 3" xfId="23989" xr:uid="{39907710-A4EA-464C-91B3-C750A98E6225}"/>
    <cellStyle name="40% - Accent1 4 2 2 2 4" xfId="40846" xr:uid="{89FD37D2-2A00-421B-AE70-19FAA0DB9614}"/>
    <cellStyle name="40% - Accent1 4 2 2 2 5" xfId="15554" xr:uid="{66D9AF14-FD43-482B-9BAC-04F839F66585}"/>
    <cellStyle name="40% - Accent1 4 2 2 3" xfId="28200" xr:uid="{FC042896-CBB2-42F8-84DE-25CFF377BB5C}"/>
    <cellStyle name="40% - Accent1 4 2 2 4" xfId="19771" xr:uid="{E2539459-1D7B-42B1-B54B-0C368C5F3302}"/>
    <cellStyle name="40% - Accent1 4 2 2 5" xfId="36629" xr:uid="{4D7C1A9A-48B3-44BA-9018-9F8FB927D832}"/>
    <cellStyle name="40% - Accent1 4 2 2 6" xfId="11336" xr:uid="{2EED32DC-79B8-42B0-A6CA-6C17DEE8660E}"/>
    <cellStyle name="40% - Accent1 4 2 3" xfId="4974" xr:uid="{00000000-0005-0000-0000-00003E040000}"/>
    <cellStyle name="40% - Accent1 4 2 3 2" xfId="30273" xr:uid="{8D9D53C6-93A9-498C-A8D3-50D6D4C086DA}"/>
    <cellStyle name="40% - Accent1 4 2 3 3" xfId="21844" xr:uid="{7F2554C0-FC06-48EE-883E-A546F196CF97}"/>
    <cellStyle name="40% - Accent1 4 2 3 4" xfId="38701" xr:uid="{C63D21F6-9F27-40C8-AB2C-5B57B23EC2F0}"/>
    <cellStyle name="40% - Accent1 4 2 3 5" xfId="13409" xr:uid="{B2567B2A-5651-4721-ABF2-C8886CFEB044}"/>
    <cellStyle name="40% - Accent1 4 2 4" xfId="26055" xr:uid="{E20EE0D6-1913-4CF8-9C31-28249EA89AFA}"/>
    <cellStyle name="40% - Accent1 4 2 5" xfId="17626" xr:uid="{2B71267B-4E8B-45FC-B9E9-6003A2131514}"/>
    <cellStyle name="40% - Accent1 4 2 6" xfId="34484" xr:uid="{E821041A-341B-44E8-BD3C-6AC5A7C67AB0}"/>
    <cellStyle name="40% - Accent1 4 2 7" xfId="9191" xr:uid="{F6615162-8BDB-47EF-9228-259DD31D82B2}"/>
    <cellStyle name="40% - Accent1 4 3" xfId="1078" xr:uid="{00000000-0005-0000-0000-00003F040000}"/>
    <cellStyle name="40% - Accent1 4 3 2" xfId="3309" xr:uid="{00000000-0005-0000-0000-000040040000}"/>
    <cellStyle name="40% - Accent1 4 3 2 2" xfId="7532" xr:uid="{00000000-0005-0000-0000-000041040000}"/>
    <cellStyle name="40% - Accent1 4 3 2 2 2" xfId="32831" xr:uid="{B64828BE-382B-4C55-B419-4E220E263AAA}"/>
    <cellStyle name="40% - Accent1 4 3 2 2 3" xfId="24402" xr:uid="{6DC47275-E3F0-495B-9B85-72B25574D8E3}"/>
    <cellStyle name="40% - Accent1 4 3 2 2 4" xfId="41259" xr:uid="{62EEB1BC-62D2-42D6-99D9-61FF757911D5}"/>
    <cellStyle name="40% - Accent1 4 3 2 2 5" xfId="15967" xr:uid="{8BE96C71-87E7-4199-A3E6-DF5D852A641F}"/>
    <cellStyle name="40% - Accent1 4 3 2 3" xfId="28613" xr:uid="{533FAB00-C599-42AF-BB93-1039973B9BD6}"/>
    <cellStyle name="40% - Accent1 4 3 2 4" xfId="20184" xr:uid="{9404C32C-F1F9-4E32-B5B2-DC6F88DCABAB}"/>
    <cellStyle name="40% - Accent1 4 3 2 5" xfId="37042" xr:uid="{A824FE71-F547-49F8-9DC8-ED67C624282C}"/>
    <cellStyle name="40% - Accent1 4 3 2 6" xfId="11749" xr:uid="{7EC17689-AFFD-4270-96CA-F144C74831C6}"/>
    <cellStyle name="40% - Accent1 4 3 3" xfId="5387" xr:uid="{00000000-0005-0000-0000-000042040000}"/>
    <cellStyle name="40% - Accent1 4 3 3 2" xfId="30686" xr:uid="{503ABCF6-ED19-4828-9E8F-CF57F3EC7C55}"/>
    <cellStyle name="40% - Accent1 4 3 3 3" xfId="22257" xr:uid="{C397A6A7-71DE-425B-AC8F-B77A4A811D1D}"/>
    <cellStyle name="40% - Accent1 4 3 3 4" xfId="39114" xr:uid="{55C3EA9B-41AA-46A0-9262-684D41668880}"/>
    <cellStyle name="40% - Accent1 4 3 3 5" xfId="13822" xr:uid="{594FC07C-405E-4652-9F21-91D92C4752DE}"/>
    <cellStyle name="40% - Accent1 4 3 4" xfId="26468" xr:uid="{AF9B9920-E932-4CD9-AF10-04AB86294D4D}"/>
    <cellStyle name="40% - Accent1 4 3 5" xfId="18039" xr:uid="{54457523-EB82-4462-B162-8483277C66C3}"/>
    <cellStyle name="40% - Accent1 4 3 6" xfId="34897" xr:uid="{1F0AB15B-3E93-4228-90BA-F0897DA705A3}"/>
    <cellStyle name="40% - Accent1 4 3 7" xfId="9604" xr:uid="{DAE3A3E4-5574-4DF4-8F79-E4A0B8D900FF}"/>
    <cellStyle name="40% - Accent1 4 4" xfId="1492" xr:uid="{00000000-0005-0000-0000-000043040000}"/>
    <cellStyle name="40% - Accent1 4 4 2" xfId="3722" xr:uid="{00000000-0005-0000-0000-000044040000}"/>
    <cellStyle name="40% - Accent1 4 4 2 2" xfId="7945" xr:uid="{00000000-0005-0000-0000-000045040000}"/>
    <cellStyle name="40% - Accent1 4 4 2 2 2" xfId="33244" xr:uid="{412B93A9-3C02-477B-BBD9-D4C06F8713D8}"/>
    <cellStyle name="40% - Accent1 4 4 2 2 3" xfId="24815" xr:uid="{E8AA7D77-EE1F-4E2D-A3C2-60F8CEBEF9B0}"/>
    <cellStyle name="40% - Accent1 4 4 2 2 4" xfId="41672" xr:uid="{249DE646-ED31-4B55-A9A2-FBF60B7C475D}"/>
    <cellStyle name="40% - Accent1 4 4 2 2 5" xfId="16380" xr:uid="{C36081B0-FEAF-4F51-9D72-C9C21EF6FDF2}"/>
    <cellStyle name="40% - Accent1 4 4 2 3" xfId="29026" xr:uid="{4BEF5718-68BB-4B76-B2F1-4E761A78C5B0}"/>
    <cellStyle name="40% - Accent1 4 4 2 4" xfId="20597" xr:uid="{9911A04D-0C02-4DC3-B739-2CFFF3AB2D33}"/>
    <cellStyle name="40% - Accent1 4 4 2 5" xfId="37455" xr:uid="{CDC2DD7E-9AB4-47A7-9FD4-5F5564BC7E95}"/>
    <cellStyle name="40% - Accent1 4 4 2 6" xfId="12162" xr:uid="{7E6412A3-F73A-45AD-A571-386037FE39B5}"/>
    <cellStyle name="40% - Accent1 4 4 3" xfId="5800" xr:uid="{00000000-0005-0000-0000-000046040000}"/>
    <cellStyle name="40% - Accent1 4 4 3 2" xfId="31099" xr:uid="{3DBD3906-8894-4811-B7E5-3F63215B39EA}"/>
    <cellStyle name="40% - Accent1 4 4 3 3" xfId="22670" xr:uid="{7A0058AD-C84B-4EAA-A4E3-C4A7D453D1CC}"/>
    <cellStyle name="40% - Accent1 4 4 3 4" xfId="39527" xr:uid="{119A8A64-9A35-41DD-9754-10D1C3767FE8}"/>
    <cellStyle name="40% - Accent1 4 4 3 5" xfId="14235" xr:uid="{49CB5A45-21DC-4BEC-B2B5-542482B79356}"/>
    <cellStyle name="40% - Accent1 4 4 4" xfId="26881" xr:uid="{CD679875-EC7F-4CE9-B118-CD30BB23FD90}"/>
    <cellStyle name="40% - Accent1 4 4 5" xfId="18452" xr:uid="{C27580A9-4F99-4E7F-A5FB-880F5A7BB924}"/>
    <cellStyle name="40% - Accent1 4 4 6" xfId="35310" xr:uid="{E9AA5568-3212-4755-AC1F-781918E55AF8}"/>
    <cellStyle name="40% - Accent1 4 4 7" xfId="10017" xr:uid="{00632A8F-4E0F-4C53-9663-CCF37A6978B8}"/>
    <cellStyle name="40% - Accent1 4 5" xfId="1906" xr:uid="{00000000-0005-0000-0000-000047040000}"/>
    <cellStyle name="40% - Accent1 4 5 2" xfId="4135" xr:uid="{00000000-0005-0000-0000-000048040000}"/>
    <cellStyle name="40% - Accent1 4 5 2 2" xfId="8358" xr:uid="{00000000-0005-0000-0000-000049040000}"/>
    <cellStyle name="40% - Accent1 4 5 2 2 2" xfId="33657" xr:uid="{F1DFA96B-A92E-42DB-B542-FFD721F0200B}"/>
    <cellStyle name="40% - Accent1 4 5 2 2 3" xfId="25228" xr:uid="{3A4D459A-9189-4006-87A5-F1FD9FF6E814}"/>
    <cellStyle name="40% - Accent1 4 5 2 2 4" xfId="42085" xr:uid="{1B99C05F-0D5B-42F1-B22D-9ACC8A4B14F8}"/>
    <cellStyle name="40% - Accent1 4 5 2 2 5" xfId="16793" xr:uid="{52672EF8-C217-4921-9BEF-C1663454B0F2}"/>
    <cellStyle name="40% - Accent1 4 5 2 3" xfId="29439" xr:uid="{6DB072AF-E837-4E2E-8917-47F8EFF0419D}"/>
    <cellStyle name="40% - Accent1 4 5 2 4" xfId="21010" xr:uid="{0BA1162D-9F8A-4BB5-9BCA-574EE00468F1}"/>
    <cellStyle name="40% - Accent1 4 5 2 5" xfId="37868" xr:uid="{443994AC-1A28-4633-819C-EAB0A103C5C0}"/>
    <cellStyle name="40% - Accent1 4 5 2 6" xfId="12575" xr:uid="{BFD6AFAF-CD88-4C3B-A7BE-1A7066EF4BB1}"/>
    <cellStyle name="40% - Accent1 4 5 3" xfId="6213" xr:uid="{00000000-0005-0000-0000-00004A040000}"/>
    <cellStyle name="40% - Accent1 4 5 3 2" xfId="31512" xr:uid="{3F9BD9ED-69A4-4710-9DAE-B5CE64E599A3}"/>
    <cellStyle name="40% - Accent1 4 5 3 3" xfId="23083" xr:uid="{D390F7CF-FD93-420A-BB47-5231E79823B8}"/>
    <cellStyle name="40% - Accent1 4 5 3 4" xfId="39940" xr:uid="{91C9C0F4-783A-4641-9553-AB64F746618E}"/>
    <cellStyle name="40% - Accent1 4 5 3 5" xfId="14648" xr:uid="{19535F16-2E6A-4200-BC89-59D5873DDEBB}"/>
    <cellStyle name="40% - Accent1 4 5 4" xfId="27294" xr:uid="{7DB7680C-4ED3-4533-AF36-28121B645E7A}"/>
    <cellStyle name="40% - Accent1 4 5 5" xfId="18865" xr:uid="{166C174D-E574-47FA-9DC2-E7CA8B30A72C}"/>
    <cellStyle name="40% - Accent1 4 5 6" xfId="35723" xr:uid="{E1BC2CC2-63D9-49FD-88FA-03E7E67DF733}"/>
    <cellStyle name="40% - Accent1 4 5 7" xfId="10430" xr:uid="{FD22290A-1714-4E73-B4D1-635C0857C5AD}"/>
    <cellStyle name="40% - Accent1 4 6" xfId="2319" xr:uid="{00000000-0005-0000-0000-00004B040000}"/>
    <cellStyle name="40% - Accent1 4 6 2" xfId="6626" xr:uid="{00000000-0005-0000-0000-00004C040000}"/>
    <cellStyle name="40% - Accent1 4 6 2 2" xfId="31925" xr:uid="{AC3031F0-AC70-4C70-824C-C8F49CD5D9FE}"/>
    <cellStyle name="40% - Accent1 4 6 2 3" xfId="23496" xr:uid="{51537B41-1F7B-4EF5-9750-A6AAB5241280}"/>
    <cellStyle name="40% - Accent1 4 6 2 4" xfId="40353" xr:uid="{67A0ACE2-8E33-4066-BD28-D325B0BE8114}"/>
    <cellStyle name="40% - Accent1 4 6 2 5" xfId="15061" xr:uid="{AB46848D-15F5-4FD2-9609-843A5CA3F4AD}"/>
    <cellStyle name="40% - Accent1 4 6 3" xfId="27707" xr:uid="{7957FC61-C8DD-4A10-B012-8700E3B6676F}"/>
    <cellStyle name="40% - Accent1 4 6 4" xfId="19278" xr:uid="{A2A8D58D-6DB6-4E23-B57C-D0DD5FABE2BB}"/>
    <cellStyle name="40% - Accent1 4 6 5" xfId="36136" xr:uid="{216E44BC-402A-4D69-9C63-500A86E52E72}"/>
    <cellStyle name="40% - Accent1 4 6 6" xfId="10843" xr:uid="{BC589FC0-5E5F-4CE8-ADF8-DBF16012FFBB}"/>
    <cellStyle name="40% - Accent1 4 7" xfId="4560" xr:uid="{00000000-0005-0000-0000-00004D040000}"/>
    <cellStyle name="40% - Accent1 4 7 2" xfId="29859" xr:uid="{42B964B0-3A1D-4459-9411-D5299DB87850}"/>
    <cellStyle name="40% - Accent1 4 7 3" xfId="21430" xr:uid="{486BEC6A-1159-473E-A210-8E426BA4030B}"/>
    <cellStyle name="40% - Accent1 4 7 4" xfId="38287" xr:uid="{D9DEFFA8-2DE8-48D5-A1C0-7A44BB219CB8}"/>
    <cellStyle name="40% - Accent1 4 7 5" xfId="12995" xr:uid="{4039FDEC-979C-43B0-8690-26FA15C4840B}"/>
    <cellStyle name="40% - Accent1 4 8" xfId="25641" xr:uid="{FCCB9381-BD6A-4BD3-8885-FCC8F59390FD}"/>
    <cellStyle name="40% - Accent1 4 9" xfId="17212" xr:uid="{941656DB-239F-43E7-AF07-A1E72F0F4E94}"/>
    <cellStyle name="40% - Accent1 5" xfId="618" xr:uid="{00000000-0005-0000-0000-00004E040000}"/>
    <cellStyle name="40% - Accent1 5 2" xfId="2889" xr:uid="{00000000-0005-0000-0000-00004F040000}"/>
    <cellStyle name="40% - Accent1 5 2 2" xfId="7112" xr:uid="{00000000-0005-0000-0000-000050040000}"/>
    <cellStyle name="40% - Accent1 5 2 2 2" xfId="32411" xr:uid="{C763744F-3C4E-4C46-AD8D-3B9B448E9E84}"/>
    <cellStyle name="40% - Accent1 5 2 2 3" xfId="23982" xr:uid="{6989A114-AE97-471B-9061-ED1DCEC80D8A}"/>
    <cellStyle name="40% - Accent1 5 2 2 4" xfId="40839" xr:uid="{DD4637E1-ACED-4584-A11D-DAB7C99BFF32}"/>
    <cellStyle name="40% - Accent1 5 2 2 5" xfId="15547" xr:uid="{F4E2D223-44D7-494E-8C96-8006A6148E0D}"/>
    <cellStyle name="40% - Accent1 5 2 3" xfId="28193" xr:uid="{CFD8677E-981F-4CED-AED5-2A71108A7758}"/>
    <cellStyle name="40% - Accent1 5 2 4" xfId="19764" xr:uid="{5969EE76-6478-417D-832C-4CD2BBDBD8D4}"/>
    <cellStyle name="40% - Accent1 5 2 5" xfId="36622" xr:uid="{471BA9EE-43D2-43AF-BDED-49B532348BC3}"/>
    <cellStyle name="40% - Accent1 5 2 6" xfId="11329" xr:uid="{AFB423B0-7099-4341-9403-6CBEAABE9645}"/>
    <cellStyle name="40% - Accent1 5 3" xfId="4967" xr:uid="{00000000-0005-0000-0000-000051040000}"/>
    <cellStyle name="40% - Accent1 5 3 2" xfId="30266" xr:uid="{5A1C301D-8088-437C-ADBA-4FE55AE108D4}"/>
    <cellStyle name="40% - Accent1 5 3 3" xfId="21837" xr:uid="{50265C96-CF99-4240-A305-765310F69EFC}"/>
    <cellStyle name="40% - Accent1 5 3 4" xfId="38694" xr:uid="{B6143F61-A128-4B53-A613-344947AB686F}"/>
    <cellStyle name="40% - Accent1 5 3 5" xfId="13402" xr:uid="{D31D089F-3D23-4EC6-AAE0-EE0824EF8F87}"/>
    <cellStyle name="40% - Accent1 5 4" xfId="26048" xr:uid="{143FB9C6-9FC2-4EDE-AE2B-425851714DC6}"/>
    <cellStyle name="40% - Accent1 5 5" xfId="17619" xr:uid="{10038319-EF6C-4F08-9C4F-4F968B47EFB1}"/>
    <cellStyle name="40% - Accent1 5 6" xfId="34477" xr:uid="{EFDB7456-DF0D-432F-A1FD-D0897A4A9D9D}"/>
    <cellStyle name="40% - Accent1 5 7" xfId="9184" xr:uid="{B7E94988-A514-4456-8EC6-4F46538DD45C}"/>
    <cellStyle name="40% - Accent1 6" xfId="1071" xr:uid="{00000000-0005-0000-0000-000052040000}"/>
    <cellStyle name="40% - Accent1 6 2" xfId="3302" xr:uid="{00000000-0005-0000-0000-000053040000}"/>
    <cellStyle name="40% - Accent1 6 2 2" xfId="7525" xr:uid="{00000000-0005-0000-0000-000054040000}"/>
    <cellStyle name="40% - Accent1 6 2 2 2" xfId="32824" xr:uid="{16F1097B-3614-485A-8FBB-FA51E675C9F8}"/>
    <cellStyle name="40% - Accent1 6 2 2 3" xfId="24395" xr:uid="{F30ADDD8-E65A-4D4C-8F1B-08834D1DC0BE}"/>
    <cellStyle name="40% - Accent1 6 2 2 4" xfId="41252" xr:uid="{C31988A3-E7E8-4D8F-85E2-D08617282D72}"/>
    <cellStyle name="40% - Accent1 6 2 2 5" xfId="15960" xr:uid="{5D493A9D-0619-407A-981E-6D2C61948D81}"/>
    <cellStyle name="40% - Accent1 6 2 3" xfId="28606" xr:uid="{6CE5C43A-58FE-4626-8F69-B5B5769C42B0}"/>
    <cellStyle name="40% - Accent1 6 2 4" xfId="20177" xr:uid="{93815A39-9E72-488B-92FF-2527549DC7B6}"/>
    <cellStyle name="40% - Accent1 6 2 5" xfId="37035" xr:uid="{533D3676-EA17-4512-AC13-069E762E9D0F}"/>
    <cellStyle name="40% - Accent1 6 2 6" xfId="11742" xr:uid="{5E121BC9-5E76-4480-A702-C6545B7F2524}"/>
    <cellStyle name="40% - Accent1 6 3" xfId="5380" xr:uid="{00000000-0005-0000-0000-000055040000}"/>
    <cellStyle name="40% - Accent1 6 3 2" xfId="30679" xr:uid="{03664F3D-34D9-4205-8341-BD406F96DD85}"/>
    <cellStyle name="40% - Accent1 6 3 3" xfId="22250" xr:uid="{8BEF320A-72D2-4ABC-9651-ADF9B7892870}"/>
    <cellStyle name="40% - Accent1 6 3 4" xfId="39107" xr:uid="{C7DF3C15-7DAB-4D64-BEB1-B1AF1ED8C8BB}"/>
    <cellStyle name="40% - Accent1 6 3 5" xfId="13815" xr:uid="{CBC4DB0E-38F5-45DA-AAAC-769C79D51DD5}"/>
    <cellStyle name="40% - Accent1 6 4" xfId="26461" xr:uid="{BCBE05E5-62D9-43C5-B2A1-37760E645976}"/>
    <cellStyle name="40% - Accent1 6 5" xfId="18032" xr:uid="{CEBBF09D-34A3-421D-99CB-D194B89A9AD0}"/>
    <cellStyle name="40% - Accent1 6 6" xfId="34890" xr:uid="{8338B73D-EC96-4E16-9314-4D6586901324}"/>
    <cellStyle name="40% - Accent1 6 7" xfId="9597" xr:uid="{4F61BF73-CBF5-41EC-8D97-5EE1F861E667}"/>
    <cellStyle name="40% - Accent1 7" xfId="1485" xr:uid="{00000000-0005-0000-0000-000056040000}"/>
    <cellStyle name="40% - Accent1 7 2" xfId="3715" xr:uid="{00000000-0005-0000-0000-000057040000}"/>
    <cellStyle name="40% - Accent1 7 2 2" xfId="7938" xr:uid="{00000000-0005-0000-0000-000058040000}"/>
    <cellStyle name="40% - Accent1 7 2 2 2" xfId="33237" xr:uid="{0F092112-EA50-4B19-A35D-4BEB96F73256}"/>
    <cellStyle name="40% - Accent1 7 2 2 3" xfId="24808" xr:uid="{943FDA31-1E18-41D3-9E55-114AA77CF0D2}"/>
    <cellStyle name="40% - Accent1 7 2 2 4" xfId="41665" xr:uid="{EFA88B12-1A61-49CB-87DA-0E9BC6F48081}"/>
    <cellStyle name="40% - Accent1 7 2 2 5" xfId="16373" xr:uid="{E4B5D09C-BB12-45FC-866E-D78074E77B41}"/>
    <cellStyle name="40% - Accent1 7 2 3" xfId="29019" xr:uid="{BE37D05B-2003-478D-B438-C70D9AF270C2}"/>
    <cellStyle name="40% - Accent1 7 2 4" xfId="20590" xr:uid="{71A07505-FE72-40FF-8E10-41C618768E84}"/>
    <cellStyle name="40% - Accent1 7 2 5" xfId="37448" xr:uid="{345BBE55-4D7E-48A9-9C64-15F901379B4A}"/>
    <cellStyle name="40% - Accent1 7 2 6" xfId="12155" xr:uid="{EBA0C3A4-A4C4-46AE-A0ED-30D15B793E7A}"/>
    <cellStyle name="40% - Accent1 7 3" xfId="5793" xr:uid="{00000000-0005-0000-0000-000059040000}"/>
    <cellStyle name="40% - Accent1 7 3 2" xfId="31092" xr:uid="{2B5EA797-3B8D-4559-8958-07A0142627D5}"/>
    <cellStyle name="40% - Accent1 7 3 3" xfId="22663" xr:uid="{B2EF75B4-D521-4095-833E-0D02B5B75BCF}"/>
    <cellStyle name="40% - Accent1 7 3 4" xfId="39520" xr:uid="{DF785F29-85CB-4E8D-9E8B-54CC4E9DF1A6}"/>
    <cellStyle name="40% - Accent1 7 3 5" xfId="14228" xr:uid="{6F9F9996-7180-4641-8795-33788FA67ED3}"/>
    <cellStyle name="40% - Accent1 7 4" xfId="26874" xr:uid="{1738A005-B75A-46F9-8445-B3685AE3532D}"/>
    <cellStyle name="40% - Accent1 7 5" xfId="18445" xr:uid="{61D4A3E4-FD0F-4853-A4A9-873713064C5A}"/>
    <cellStyle name="40% - Accent1 7 6" xfId="35303" xr:uid="{F6F2918D-3DE5-439A-A46F-311A7A83BF74}"/>
    <cellStyle name="40% - Accent1 7 7" xfId="10010" xr:uid="{60813368-17F4-4C5E-81A0-A239EB5C104E}"/>
    <cellStyle name="40% - Accent1 8" xfId="1899" xr:uid="{00000000-0005-0000-0000-00005A040000}"/>
    <cellStyle name="40% - Accent1 8 2" xfId="4128" xr:uid="{00000000-0005-0000-0000-00005B040000}"/>
    <cellStyle name="40% - Accent1 8 2 2" xfId="8351" xr:uid="{00000000-0005-0000-0000-00005C040000}"/>
    <cellStyle name="40% - Accent1 8 2 2 2" xfId="33650" xr:uid="{ECEDEB12-F502-43E5-87C3-D95CC314E3C8}"/>
    <cellStyle name="40% - Accent1 8 2 2 3" xfId="25221" xr:uid="{FD425F65-32DB-47A8-8DFB-9A30ACB1A556}"/>
    <cellStyle name="40% - Accent1 8 2 2 4" xfId="42078" xr:uid="{226A4A52-E31D-4DA4-8CD6-D280294AB3F0}"/>
    <cellStyle name="40% - Accent1 8 2 2 5" xfId="16786" xr:uid="{68C96F59-75E3-4C71-A95E-A7958257E51F}"/>
    <cellStyle name="40% - Accent1 8 2 3" xfId="29432" xr:uid="{654BCF27-27FA-4656-8FE7-643D16A79055}"/>
    <cellStyle name="40% - Accent1 8 2 4" xfId="21003" xr:uid="{1DF13204-5274-46DB-9FA8-180F3F9AE88D}"/>
    <cellStyle name="40% - Accent1 8 2 5" xfId="37861" xr:uid="{66DB8BB0-5627-4F9F-A5E2-CB843994B64E}"/>
    <cellStyle name="40% - Accent1 8 2 6" xfId="12568" xr:uid="{5D7C7263-1612-449F-BF7A-C0B9982D355C}"/>
    <cellStyle name="40% - Accent1 8 3" xfId="6206" xr:uid="{00000000-0005-0000-0000-00005D040000}"/>
    <cellStyle name="40% - Accent1 8 3 2" xfId="31505" xr:uid="{100D5FFC-2F5F-45ED-AAB3-702180936740}"/>
    <cellStyle name="40% - Accent1 8 3 3" xfId="23076" xr:uid="{D82B870A-1C3A-4DB4-8101-130BB409B5C4}"/>
    <cellStyle name="40% - Accent1 8 3 4" xfId="39933" xr:uid="{D9DC6318-E7AF-436C-AD65-17FFC0E21735}"/>
    <cellStyle name="40% - Accent1 8 3 5" xfId="14641" xr:uid="{3061B240-5F57-412F-B681-3EB0DC466CB1}"/>
    <cellStyle name="40% - Accent1 8 4" xfId="27287" xr:uid="{F6B41AA3-67DE-4087-9D7E-8BA8BEB170EA}"/>
    <cellStyle name="40% - Accent1 8 5" xfId="18858" xr:uid="{0D07DD50-2758-4B4D-A69B-E60709627346}"/>
    <cellStyle name="40% - Accent1 8 6" xfId="35716" xr:uid="{B1D4ECA1-5F9E-4E3E-9FF5-821A13C69115}"/>
    <cellStyle name="40% - Accent1 8 7" xfId="10423" xr:uid="{5270FCCF-DD7B-4F00-B6E4-3DC329A68A26}"/>
    <cellStyle name="40% - Accent1 9" xfId="2312" xr:uid="{00000000-0005-0000-0000-00005E040000}"/>
    <cellStyle name="40% - Accent1 9 2" xfId="6619" xr:uid="{00000000-0005-0000-0000-00005F040000}"/>
    <cellStyle name="40% - Accent1 9 2 2" xfId="31918" xr:uid="{E2AA1EF3-CEFE-450F-9014-45BE8FE0A58B}"/>
    <cellStyle name="40% - Accent1 9 2 3" xfId="23489" xr:uid="{0C54EC63-3A70-43E1-924A-F9FE92C2E096}"/>
    <cellStyle name="40% - Accent1 9 2 4" xfId="40346" xr:uid="{3F66B64B-3427-4B9E-8641-8A14F97E6511}"/>
    <cellStyle name="40% - Accent1 9 2 5" xfId="15054" xr:uid="{E51DAEB0-11CE-4BCD-9F49-A06E32E0AA0A}"/>
    <cellStyle name="40% - Accent1 9 3" xfId="27700" xr:uid="{AD618242-F3B3-4757-BABA-E2EC3D8498C2}"/>
    <cellStyle name="40% - Accent1 9 4" xfId="19271" xr:uid="{91C5B229-43BB-42BB-BD73-EB04252B1B5F}"/>
    <cellStyle name="40% - Accent1 9 5" xfId="36129" xr:uid="{D1595CD0-19B9-498B-9964-84DBDD5A4A76}"/>
    <cellStyle name="40% - Accent1 9 6" xfId="10836" xr:uid="{46B387A3-D919-4B92-80AE-21C0B8F99CC0}"/>
    <cellStyle name="40% - Accent2" xfId="57" builtinId="35" customBuiltin="1"/>
    <cellStyle name="40% - Accent2 10" xfId="4561" xr:uid="{00000000-0005-0000-0000-000061040000}"/>
    <cellStyle name="40% - Accent2 10 2" xfId="29860" xr:uid="{C6EAA80F-72AC-429B-B8EC-53BAF748F790}"/>
    <cellStyle name="40% - Accent2 10 3" xfId="21431" xr:uid="{B7A2A726-8C5B-469F-B626-0761BD717E92}"/>
    <cellStyle name="40% - Accent2 10 4" xfId="38288" xr:uid="{57915482-2B66-40D2-AFA8-1D31713FF92F}"/>
    <cellStyle name="40% - Accent2 10 5" xfId="12996" xr:uid="{DB8F4DFB-FE9A-4805-90B5-FA3017728F58}"/>
    <cellStyle name="40% - Accent2 11" xfId="25642" xr:uid="{EFB9C1D3-F95E-4BFE-8990-23E600D9B62E}"/>
    <cellStyle name="40% - Accent2 12" xfId="17213" xr:uid="{B57802CA-8FAA-4AD5-89CE-5FBED0B6EB89}"/>
    <cellStyle name="40% - Accent2 13" xfId="34071" xr:uid="{EDFFDF5A-C206-432D-83D4-6B04CAF65DF1}"/>
    <cellStyle name="40% - Accent2 14" xfId="8778" xr:uid="{9F5D2AEC-9072-4A44-B2EC-C4B31A3E5EF7}"/>
    <cellStyle name="40% - Accent2 2" xfId="58" xr:uid="{00000000-0005-0000-0000-000062040000}"/>
    <cellStyle name="40% - Accent2 2 10" xfId="25643" xr:uid="{C0351791-78E3-4C65-88AC-02D7FBAB9D4B}"/>
    <cellStyle name="40% - Accent2 2 11" xfId="17214" xr:uid="{5705D56A-CDA5-4A63-AF9C-E4EFB6A43FE2}"/>
    <cellStyle name="40% - Accent2 2 12" xfId="34072" xr:uid="{3598485A-6B30-407C-8FF0-B16C94D9EBA8}"/>
    <cellStyle name="40% - Accent2 2 13" xfId="8779" xr:uid="{DDAC4597-D5E3-4930-ABCE-A766B259FAAF}"/>
    <cellStyle name="40% - Accent2 2 2" xfId="59" xr:uid="{00000000-0005-0000-0000-000063040000}"/>
    <cellStyle name="40% - Accent2 2 2 10" xfId="17215" xr:uid="{FE027C22-45F2-41A6-B9B0-E4E012D335C8}"/>
    <cellStyle name="40% - Accent2 2 2 11" xfId="34073" xr:uid="{59AA4CE9-0160-47B6-93B0-DE18FE24D41A}"/>
    <cellStyle name="40% - Accent2 2 2 12" xfId="8780" xr:uid="{ECB5B82D-6FE8-4F75-83D5-F4BF0352EC5A}"/>
    <cellStyle name="40% - Accent2 2 2 2" xfId="60" xr:uid="{00000000-0005-0000-0000-000064040000}"/>
    <cellStyle name="40% - Accent2 2 2 2 10" xfId="34074" xr:uid="{EDA749D5-F54C-43FC-B21D-253EC651A1E8}"/>
    <cellStyle name="40% - Accent2 2 2 2 11" xfId="8781" xr:uid="{AB7A695B-8443-4A00-80BE-3A0A36E83B22}"/>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32422" xr:uid="{9365F212-5B74-4958-B993-96DBF0976A2E}"/>
    <cellStyle name="40% - Accent2 2 2 2 2 2 2 3" xfId="23993" xr:uid="{3D01B03B-CD34-4B09-8C58-B0069C8CE45A}"/>
    <cellStyle name="40% - Accent2 2 2 2 2 2 2 4" xfId="40850" xr:uid="{2682F984-F1FE-4936-9E4E-F596ED581CDC}"/>
    <cellStyle name="40% - Accent2 2 2 2 2 2 2 5" xfId="15558" xr:uid="{1D4EC59E-FFDE-4524-84EC-0D18A2ED8B91}"/>
    <cellStyle name="40% - Accent2 2 2 2 2 2 3" xfId="28204" xr:uid="{779F6C50-5A0B-4A13-A2D7-42D60C2E2803}"/>
    <cellStyle name="40% - Accent2 2 2 2 2 2 4" xfId="19775" xr:uid="{1B90EE22-58FC-44A1-8B21-8A97E356F93D}"/>
    <cellStyle name="40% - Accent2 2 2 2 2 2 5" xfId="36633" xr:uid="{FF09EB20-7CE2-4266-89AA-6C9CDABC9E70}"/>
    <cellStyle name="40% - Accent2 2 2 2 2 2 6" xfId="11340" xr:uid="{30235C12-CD98-4B7D-9E7C-A20E4014675F}"/>
    <cellStyle name="40% - Accent2 2 2 2 2 3" xfId="4978" xr:uid="{00000000-0005-0000-0000-000068040000}"/>
    <cellStyle name="40% - Accent2 2 2 2 2 3 2" xfId="30277" xr:uid="{09120D8F-4DF9-4432-A0ED-1C83D08457BA}"/>
    <cellStyle name="40% - Accent2 2 2 2 2 3 3" xfId="21848" xr:uid="{BA340CB3-8AF0-44E5-8050-267D6E30EB52}"/>
    <cellStyle name="40% - Accent2 2 2 2 2 3 4" xfId="38705" xr:uid="{552CC3C0-69D3-4F95-937F-6F8D418B33A3}"/>
    <cellStyle name="40% - Accent2 2 2 2 2 3 5" xfId="13413" xr:uid="{42E99F0D-F6DB-43D5-9F91-6516707C88FC}"/>
    <cellStyle name="40% - Accent2 2 2 2 2 4" xfId="26059" xr:uid="{E872E6F7-AD93-4CC8-9BB1-F4CA48412878}"/>
    <cellStyle name="40% - Accent2 2 2 2 2 5" xfId="17630" xr:uid="{D1499F40-7AD4-4BD3-BF53-2C22DC9973C1}"/>
    <cellStyle name="40% - Accent2 2 2 2 2 6" xfId="34488" xr:uid="{3BA7121C-8F15-4001-9542-FF8076773DA4}"/>
    <cellStyle name="40% - Accent2 2 2 2 2 7" xfId="9195" xr:uid="{66B8AC65-55F2-4E4E-8813-B368A1555397}"/>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32835" xr:uid="{472F2692-A0A2-4AA6-9F57-7C796CB61A57}"/>
    <cellStyle name="40% - Accent2 2 2 2 3 2 2 3" xfId="24406" xr:uid="{58614D93-4680-4ECC-83CF-34E1AC0775ED}"/>
    <cellStyle name="40% - Accent2 2 2 2 3 2 2 4" xfId="41263" xr:uid="{6212379E-3897-4BBB-8AEB-81CC2842CAA3}"/>
    <cellStyle name="40% - Accent2 2 2 2 3 2 2 5" xfId="15971" xr:uid="{03103FE6-3A3B-46A5-ACFB-95E60BF8B474}"/>
    <cellStyle name="40% - Accent2 2 2 2 3 2 3" xfId="28617" xr:uid="{FE177548-D203-4FF0-A226-96C451CD6766}"/>
    <cellStyle name="40% - Accent2 2 2 2 3 2 4" xfId="20188" xr:uid="{9B82A51D-2A6A-43B6-90F3-D3CEB62C5192}"/>
    <cellStyle name="40% - Accent2 2 2 2 3 2 5" xfId="37046" xr:uid="{D864BBAD-357E-462D-AA87-DD35253F43ED}"/>
    <cellStyle name="40% - Accent2 2 2 2 3 2 6" xfId="11753" xr:uid="{B388F295-0051-4897-9D01-9D6670D14514}"/>
    <cellStyle name="40% - Accent2 2 2 2 3 3" xfId="5391" xr:uid="{00000000-0005-0000-0000-00006C040000}"/>
    <cellStyle name="40% - Accent2 2 2 2 3 3 2" xfId="30690" xr:uid="{92B90534-9DAC-4765-A0AA-2042CFD88A4B}"/>
    <cellStyle name="40% - Accent2 2 2 2 3 3 3" xfId="22261" xr:uid="{8C80AAA5-2952-40AC-892B-859322CF8A48}"/>
    <cellStyle name="40% - Accent2 2 2 2 3 3 4" xfId="39118" xr:uid="{E2801C17-8C5B-4136-B08E-A5D0F5DE722D}"/>
    <cellStyle name="40% - Accent2 2 2 2 3 3 5" xfId="13826" xr:uid="{482E1435-797F-4DF5-AF84-C7167C7396E3}"/>
    <cellStyle name="40% - Accent2 2 2 2 3 4" xfId="26472" xr:uid="{B2450B12-D68F-4092-9612-7F522C3F9EC3}"/>
    <cellStyle name="40% - Accent2 2 2 2 3 5" xfId="18043" xr:uid="{7BF390F7-BCDD-4A49-8F41-B5AE0B830019}"/>
    <cellStyle name="40% - Accent2 2 2 2 3 6" xfId="34901" xr:uid="{816FDECF-6F8D-4113-ACC3-E08B7E6B4197}"/>
    <cellStyle name="40% - Accent2 2 2 2 3 7" xfId="9608" xr:uid="{A27ABF91-4C93-4D37-9DB2-D5C3220B541C}"/>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33248" xr:uid="{DCD1E5AE-CADD-49B4-976D-161C5E6E80B4}"/>
    <cellStyle name="40% - Accent2 2 2 2 4 2 2 3" xfId="24819" xr:uid="{13851EBC-82A1-4C5C-BBEB-EFCD4E601621}"/>
    <cellStyle name="40% - Accent2 2 2 2 4 2 2 4" xfId="41676" xr:uid="{8A24A795-F065-43B5-BBCC-149FA166AB73}"/>
    <cellStyle name="40% - Accent2 2 2 2 4 2 2 5" xfId="16384" xr:uid="{B29DC035-C52C-4B3F-895C-86E3A1086A97}"/>
    <cellStyle name="40% - Accent2 2 2 2 4 2 3" xfId="29030" xr:uid="{3A1FBA30-AF67-4241-BDB9-BF2AC1424F04}"/>
    <cellStyle name="40% - Accent2 2 2 2 4 2 4" xfId="20601" xr:uid="{2FF78AD4-E817-4639-B7FB-EB673F1C07D2}"/>
    <cellStyle name="40% - Accent2 2 2 2 4 2 5" xfId="37459" xr:uid="{BCD868A9-93AA-47EE-B9A0-847CAE7412C7}"/>
    <cellStyle name="40% - Accent2 2 2 2 4 2 6" xfId="12166" xr:uid="{41DF9C6A-E7BE-4B02-AEA4-87EA09AB88A1}"/>
    <cellStyle name="40% - Accent2 2 2 2 4 3" xfId="5804" xr:uid="{00000000-0005-0000-0000-000070040000}"/>
    <cellStyle name="40% - Accent2 2 2 2 4 3 2" xfId="31103" xr:uid="{E4C81918-D2E0-4F1A-B7D4-1DD4186C8293}"/>
    <cellStyle name="40% - Accent2 2 2 2 4 3 3" xfId="22674" xr:uid="{6184944D-0877-4A66-B3D0-59D8EAC2CA48}"/>
    <cellStyle name="40% - Accent2 2 2 2 4 3 4" xfId="39531" xr:uid="{ACC51AA1-7F89-4948-9E06-9A72C9318652}"/>
    <cellStyle name="40% - Accent2 2 2 2 4 3 5" xfId="14239" xr:uid="{CB01E9DB-C206-402E-B9F8-6F082C4B8649}"/>
    <cellStyle name="40% - Accent2 2 2 2 4 4" xfId="26885" xr:uid="{A0194B05-0869-4BF3-B24E-AB629B6176BF}"/>
    <cellStyle name="40% - Accent2 2 2 2 4 5" xfId="18456" xr:uid="{655D2AC8-38B3-4B50-A79E-66B5918F1D8F}"/>
    <cellStyle name="40% - Accent2 2 2 2 4 6" xfId="35314" xr:uid="{AFEC9101-A0FC-4D21-9D19-00E93820A9F5}"/>
    <cellStyle name="40% - Accent2 2 2 2 4 7" xfId="10021" xr:uid="{C76CC705-42AD-4D7E-B277-EAC9D45B3FC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33661" xr:uid="{9DBC15C3-08D1-4263-A500-CC864872F835}"/>
    <cellStyle name="40% - Accent2 2 2 2 5 2 2 3" xfId="25232" xr:uid="{7B91DB27-BD6D-4C72-A1E5-9ABE688999E8}"/>
    <cellStyle name="40% - Accent2 2 2 2 5 2 2 4" xfId="42089" xr:uid="{E8E9A318-A36F-406E-B6F1-BA4ACB777CAB}"/>
    <cellStyle name="40% - Accent2 2 2 2 5 2 2 5" xfId="16797" xr:uid="{B4AC91E5-FBE4-4933-A9A6-698A31E4FD83}"/>
    <cellStyle name="40% - Accent2 2 2 2 5 2 3" xfId="29443" xr:uid="{E4CE48F8-5A2D-4297-B29C-F96D422A70D4}"/>
    <cellStyle name="40% - Accent2 2 2 2 5 2 4" xfId="21014" xr:uid="{D129ACDF-B9AD-456B-80D9-77ED76335B24}"/>
    <cellStyle name="40% - Accent2 2 2 2 5 2 5" xfId="37872" xr:uid="{466A3B85-78B5-4932-B2AB-532CD53A644E}"/>
    <cellStyle name="40% - Accent2 2 2 2 5 2 6" xfId="12579" xr:uid="{BBE65D63-9D73-4A56-9A31-990FCD6ADC8A}"/>
    <cellStyle name="40% - Accent2 2 2 2 5 3" xfId="6217" xr:uid="{00000000-0005-0000-0000-000074040000}"/>
    <cellStyle name="40% - Accent2 2 2 2 5 3 2" xfId="31516" xr:uid="{99860ACD-201C-4AD4-8FA7-E8905B4BE589}"/>
    <cellStyle name="40% - Accent2 2 2 2 5 3 3" xfId="23087" xr:uid="{7E1C6DBE-DFBD-449D-A2CC-9054909D0F1E}"/>
    <cellStyle name="40% - Accent2 2 2 2 5 3 4" xfId="39944" xr:uid="{77A062F8-F039-425A-A323-5317B8EA5C80}"/>
    <cellStyle name="40% - Accent2 2 2 2 5 3 5" xfId="14652" xr:uid="{A0B76C5F-0A38-43E8-891B-DF598162755E}"/>
    <cellStyle name="40% - Accent2 2 2 2 5 4" xfId="27298" xr:uid="{F3563B89-D600-4041-8CB5-19AB4DB0AA00}"/>
    <cellStyle name="40% - Accent2 2 2 2 5 5" xfId="18869" xr:uid="{D7100CCF-477C-49FD-ABED-F202C9552242}"/>
    <cellStyle name="40% - Accent2 2 2 2 5 6" xfId="35727" xr:uid="{D9216912-DA4B-46B6-B11B-ED1BA135D91C}"/>
    <cellStyle name="40% - Accent2 2 2 2 5 7" xfId="10434" xr:uid="{CA77FBCA-DA80-400A-8D31-E5C4C4277EF5}"/>
    <cellStyle name="40% - Accent2 2 2 2 6" xfId="2323" xr:uid="{00000000-0005-0000-0000-000075040000}"/>
    <cellStyle name="40% - Accent2 2 2 2 6 2" xfId="6630" xr:uid="{00000000-0005-0000-0000-000076040000}"/>
    <cellStyle name="40% - Accent2 2 2 2 6 2 2" xfId="31929" xr:uid="{AEABA679-C96B-4F1E-8FF7-BDD8E3A54A80}"/>
    <cellStyle name="40% - Accent2 2 2 2 6 2 3" xfId="23500" xr:uid="{DB57E570-B3F7-416D-83A5-42E649C7D46C}"/>
    <cellStyle name="40% - Accent2 2 2 2 6 2 4" xfId="40357" xr:uid="{AC900180-FEF7-4B12-8238-E14E2296F89C}"/>
    <cellStyle name="40% - Accent2 2 2 2 6 2 5" xfId="15065" xr:uid="{BC530C45-93C5-4519-821B-324576EAB7A9}"/>
    <cellStyle name="40% - Accent2 2 2 2 6 3" xfId="27711" xr:uid="{03296709-48B9-44E5-A00E-F6E01E8CE7FA}"/>
    <cellStyle name="40% - Accent2 2 2 2 6 4" xfId="19282" xr:uid="{24356ADE-7993-4AFD-8423-2DAF562F61C1}"/>
    <cellStyle name="40% - Accent2 2 2 2 6 5" xfId="36140" xr:uid="{AF2F13EB-7635-4A26-9059-5372195F1DBF}"/>
    <cellStyle name="40% - Accent2 2 2 2 6 6" xfId="10847" xr:uid="{9D9E1673-2AC6-4420-ACCC-3EC7F6CFACA4}"/>
    <cellStyle name="40% - Accent2 2 2 2 7" xfId="4564" xr:uid="{00000000-0005-0000-0000-000077040000}"/>
    <cellStyle name="40% - Accent2 2 2 2 7 2" xfId="29863" xr:uid="{3F1C2A23-307A-4329-9CFA-69892DC469F5}"/>
    <cellStyle name="40% - Accent2 2 2 2 7 3" xfId="21434" xr:uid="{2F11CEFF-C9A7-4C33-ADED-AB6721C35CB0}"/>
    <cellStyle name="40% - Accent2 2 2 2 7 4" xfId="38291" xr:uid="{C7CB9A77-D8C2-4E04-8888-BB52355BA311}"/>
    <cellStyle name="40% - Accent2 2 2 2 7 5" xfId="12999" xr:uid="{86DC474C-09CB-4E68-9B0E-F6E6A4FECEBB}"/>
    <cellStyle name="40% - Accent2 2 2 2 8" xfId="25645" xr:uid="{22D9391C-9271-40ED-8C87-A003FDB7855E}"/>
    <cellStyle name="40% - Accent2 2 2 2 9" xfId="17216" xr:uid="{E64851E7-0D0F-4B9D-B662-620457F3CECF}"/>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32421" xr:uid="{CA9361D8-5D11-4E45-9AB6-B9EC820B5992}"/>
    <cellStyle name="40% - Accent2 2 2 3 2 2 3" xfId="23992" xr:uid="{9D6BDE87-D44B-459A-93CE-7EE8292803E0}"/>
    <cellStyle name="40% - Accent2 2 2 3 2 2 4" xfId="40849" xr:uid="{446EBFB7-E199-4963-8FA4-63126DCB5B45}"/>
    <cellStyle name="40% - Accent2 2 2 3 2 2 5" xfId="15557" xr:uid="{179DA41F-ABB9-43DE-BB48-5B434B14DF2E}"/>
    <cellStyle name="40% - Accent2 2 2 3 2 3" xfId="28203" xr:uid="{77A25D15-1B6D-4D62-B62F-587B981D366B}"/>
    <cellStyle name="40% - Accent2 2 2 3 2 4" xfId="19774" xr:uid="{6E7D4667-ACAC-4606-B6F3-66D65177A614}"/>
    <cellStyle name="40% - Accent2 2 2 3 2 5" xfId="36632" xr:uid="{AFD5210D-D09C-485D-8958-73BBD59706F7}"/>
    <cellStyle name="40% - Accent2 2 2 3 2 6" xfId="11339" xr:uid="{D1551D4D-5E75-4179-9A7B-EFA5C21BCCB4}"/>
    <cellStyle name="40% - Accent2 2 2 3 3" xfId="4977" xr:uid="{00000000-0005-0000-0000-00007B040000}"/>
    <cellStyle name="40% - Accent2 2 2 3 3 2" xfId="30276" xr:uid="{FDE8BAEB-EC16-4D03-A698-CED5C44DC9FE}"/>
    <cellStyle name="40% - Accent2 2 2 3 3 3" xfId="21847" xr:uid="{74310B19-B7F8-4113-8F63-51F61844EB1C}"/>
    <cellStyle name="40% - Accent2 2 2 3 3 4" xfId="38704" xr:uid="{2A8D7243-0102-4F75-AE49-D0F62EE77811}"/>
    <cellStyle name="40% - Accent2 2 2 3 3 5" xfId="13412" xr:uid="{FFBE31C0-2646-4B83-9E16-0B22FB2B1635}"/>
    <cellStyle name="40% - Accent2 2 2 3 4" xfId="26058" xr:uid="{03D11F9F-5210-4DC5-9E18-E56D6470AD1B}"/>
    <cellStyle name="40% - Accent2 2 2 3 5" xfId="17629" xr:uid="{3C73C754-0BB1-48AA-A90F-AC64EF0C7BD7}"/>
    <cellStyle name="40% - Accent2 2 2 3 6" xfId="34487" xr:uid="{6816EF8B-63B4-4E3E-AF0A-002FBE1CD1C5}"/>
    <cellStyle name="40% - Accent2 2 2 3 7" xfId="9194" xr:uid="{81B202BB-7D7D-40FD-8829-1C2365E2BEDD}"/>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32834" xr:uid="{E815E883-8F69-4BA3-9364-5C5CE5D60BB4}"/>
    <cellStyle name="40% - Accent2 2 2 4 2 2 3" xfId="24405" xr:uid="{5E4BC5B3-AB18-47E9-A12D-FBDED4AA48D8}"/>
    <cellStyle name="40% - Accent2 2 2 4 2 2 4" xfId="41262" xr:uid="{F39F8DD8-F936-412A-BDDD-C892031479AA}"/>
    <cellStyle name="40% - Accent2 2 2 4 2 2 5" xfId="15970" xr:uid="{6EF1B607-B13B-493B-A17B-A481D01C1CED}"/>
    <cellStyle name="40% - Accent2 2 2 4 2 3" xfId="28616" xr:uid="{3486D821-A0C7-4F70-8A92-0405D80EBE4A}"/>
    <cellStyle name="40% - Accent2 2 2 4 2 4" xfId="20187" xr:uid="{33820D72-0318-4806-87A2-187AE9FB8E6C}"/>
    <cellStyle name="40% - Accent2 2 2 4 2 5" xfId="37045" xr:uid="{65AED552-ECFD-4E45-A4BC-07C3C8E8CB7A}"/>
    <cellStyle name="40% - Accent2 2 2 4 2 6" xfId="11752" xr:uid="{16AA1C08-0384-4CC0-BDFA-A0C64DD9E75A}"/>
    <cellStyle name="40% - Accent2 2 2 4 3" xfId="5390" xr:uid="{00000000-0005-0000-0000-00007F040000}"/>
    <cellStyle name="40% - Accent2 2 2 4 3 2" xfId="30689" xr:uid="{4B3DEFC7-29B0-493D-A594-A9BE9A4AEE82}"/>
    <cellStyle name="40% - Accent2 2 2 4 3 3" xfId="22260" xr:uid="{6A668DF2-621C-44D7-92FB-7B73589CC323}"/>
    <cellStyle name="40% - Accent2 2 2 4 3 4" xfId="39117" xr:uid="{0A7C85D9-1ADD-4FAD-87D0-366128F87B5A}"/>
    <cellStyle name="40% - Accent2 2 2 4 3 5" xfId="13825" xr:uid="{496DB33B-AB89-408C-AB82-9866BB20610A}"/>
    <cellStyle name="40% - Accent2 2 2 4 4" xfId="26471" xr:uid="{70106F83-42F3-45A1-8225-46B357F086BA}"/>
    <cellStyle name="40% - Accent2 2 2 4 5" xfId="18042" xr:uid="{04B0D6F9-3945-43D8-87D0-5FE293918F23}"/>
    <cellStyle name="40% - Accent2 2 2 4 6" xfId="34900" xr:uid="{5C6A9527-06C5-49A1-96DA-E32BE37AD3DE}"/>
    <cellStyle name="40% - Accent2 2 2 4 7" xfId="9607" xr:uid="{F98736B8-F624-4ACA-804E-B19C47026BCC}"/>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33247" xr:uid="{39B92578-C7D8-47F0-B743-3A96586193DB}"/>
    <cellStyle name="40% - Accent2 2 2 5 2 2 3" xfId="24818" xr:uid="{4DFBB849-59A1-4723-978F-745FAF1F87AB}"/>
    <cellStyle name="40% - Accent2 2 2 5 2 2 4" xfId="41675" xr:uid="{6363B269-ED04-4574-BF40-9055758784B0}"/>
    <cellStyle name="40% - Accent2 2 2 5 2 2 5" xfId="16383" xr:uid="{4B3BD975-01DA-4B1E-8461-6C868F2F03D5}"/>
    <cellStyle name="40% - Accent2 2 2 5 2 3" xfId="29029" xr:uid="{835C61CE-ABAD-46B9-B2EA-928A0E43A0A1}"/>
    <cellStyle name="40% - Accent2 2 2 5 2 4" xfId="20600" xr:uid="{AF5BE4FF-75A6-412B-BAA4-7A0E0E36497F}"/>
    <cellStyle name="40% - Accent2 2 2 5 2 5" xfId="37458" xr:uid="{22DEB863-87AF-4CF3-BBC3-A67E00E41729}"/>
    <cellStyle name="40% - Accent2 2 2 5 2 6" xfId="12165" xr:uid="{0F0B7B99-5AB0-4213-A092-8E9478879DB2}"/>
    <cellStyle name="40% - Accent2 2 2 5 3" xfId="5803" xr:uid="{00000000-0005-0000-0000-000083040000}"/>
    <cellStyle name="40% - Accent2 2 2 5 3 2" xfId="31102" xr:uid="{FDCAA553-2CE3-478C-B58C-62AEC24ADF41}"/>
    <cellStyle name="40% - Accent2 2 2 5 3 3" xfId="22673" xr:uid="{DC3C343B-E88D-4582-B960-BBC62016B328}"/>
    <cellStyle name="40% - Accent2 2 2 5 3 4" xfId="39530" xr:uid="{89838DCF-A284-4B0C-A561-604C68B4821E}"/>
    <cellStyle name="40% - Accent2 2 2 5 3 5" xfId="14238" xr:uid="{E7FEB755-90F7-4039-BB71-A8AD51EEB846}"/>
    <cellStyle name="40% - Accent2 2 2 5 4" xfId="26884" xr:uid="{91D272A5-7A3B-4677-846A-5615301432C1}"/>
    <cellStyle name="40% - Accent2 2 2 5 5" xfId="18455" xr:uid="{3CB389F9-E0AA-4B55-8D7C-5D38C1E3D225}"/>
    <cellStyle name="40% - Accent2 2 2 5 6" xfId="35313" xr:uid="{15860100-5004-4981-9333-C8F034D1820F}"/>
    <cellStyle name="40% - Accent2 2 2 5 7" xfId="10020" xr:uid="{8534FCD1-4FA9-4C4C-8BEE-AF1B50F4B75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33660" xr:uid="{D948E3D0-7C8F-493C-9DDC-27F12720DB4A}"/>
    <cellStyle name="40% - Accent2 2 2 6 2 2 3" xfId="25231" xr:uid="{F81FE444-D3D5-4028-8C5C-E2EC1DA0881F}"/>
    <cellStyle name="40% - Accent2 2 2 6 2 2 4" xfId="42088" xr:uid="{25571AE9-00D2-4D62-910D-C06602EE6444}"/>
    <cellStyle name="40% - Accent2 2 2 6 2 2 5" xfId="16796" xr:uid="{53813CAE-722E-403A-BE9D-33B4004E0320}"/>
    <cellStyle name="40% - Accent2 2 2 6 2 3" xfId="29442" xr:uid="{5FB7FF35-1DA8-48FB-AD2A-442C900241DC}"/>
    <cellStyle name="40% - Accent2 2 2 6 2 4" xfId="21013" xr:uid="{ABF7F3A0-CB22-4EDB-85A6-F4C4F3B8ECDA}"/>
    <cellStyle name="40% - Accent2 2 2 6 2 5" xfId="37871" xr:uid="{099F7522-31D1-44FF-88C7-2C8955303978}"/>
    <cellStyle name="40% - Accent2 2 2 6 2 6" xfId="12578" xr:uid="{B98B27E0-D119-4268-B661-0FEEE0C71166}"/>
    <cellStyle name="40% - Accent2 2 2 6 3" xfId="6216" xr:uid="{00000000-0005-0000-0000-000087040000}"/>
    <cellStyle name="40% - Accent2 2 2 6 3 2" xfId="31515" xr:uid="{D1D1E8A0-46BD-40AF-AC37-53B89B54954C}"/>
    <cellStyle name="40% - Accent2 2 2 6 3 3" xfId="23086" xr:uid="{9E4F7E84-CB44-4132-B2F6-36536735995C}"/>
    <cellStyle name="40% - Accent2 2 2 6 3 4" xfId="39943" xr:uid="{ACA4589D-6210-4EFF-8601-1A3D9A834AB9}"/>
    <cellStyle name="40% - Accent2 2 2 6 3 5" xfId="14651" xr:uid="{EA1F0BF0-28BE-47C0-A8D5-247BE04E3E5D}"/>
    <cellStyle name="40% - Accent2 2 2 6 4" xfId="27297" xr:uid="{3FABAE4B-E907-462C-B818-D3F9415E15EB}"/>
    <cellStyle name="40% - Accent2 2 2 6 5" xfId="18868" xr:uid="{E311F80B-8F94-4E2B-B221-88D904F4C43B}"/>
    <cellStyle name="40% - Accent2 2 2 6 6" xfId="35726" xr:uid="{9664A0B1-A9C8-4CA8-A2BD-9CF14E386BB0}"/>
    <cellStyle name="40% - Accent2 2 2 6 7" xfId="10433" xr:uid="{12304F4A-9BD3-47D4-B98F-FB1C002FD4A1}"/>
    <cellStyle name="40% - Accent2 2 2 7" xfId="2322" xr:uid="{00000000-0005-0000-0000-000088040000}"/>
    <cellStyle name="40% - Accent2 2 2 7 2" xfId="6629" xr:uid="{00000000-0005-0000-0000-000089040000}"/>
    <cellStyle name="40% - Accent2 2 2 7 2 2" xfId="31928" xr:uid="{ABC0A6A9-9057-423A-839B-2CC5062AEA81}"/>
    <cellStyle name="40% - Accent2 2 2 7 2 3" xfId="23499" xr:uid="{98923878-1E38-46C7-B631-206267A4C1FF}"/>
    <cellStyle name="40% - Accent2 2 2 7 2 4" xfId="40356" xr:uid="{A90D4070-BE9F-4B19-96D2-DCA6309147A4}"/>
    <cellStyle name="40% - Accent2 2 2 7 2 5" xfId="15064" xr:uid="{5F8E3183-A7BC-478F-BDE5-AC3347E37696}"/>
    <cellStyle name="40% - Accent2 2 2 7 3" xfId="27710" xr:uid="{E1AD111E-7439-477C-9E64-A52F0A8C1BE9}"/>
    <cellStyle name="40% - Accent2 2 2 7 4" xfId="19281" xr:uid="{BAE539AD-544E-4A5E-B84E-E2F30FEB2B2C}"/>
    <cellStyle name="40% - Accent2 2 2 7 5" xfId="36139" xr:uid="{3C5E83EC-2BBA-451C-B268-5B966650BDC4}"/>
    <cellStyle name="40% - Accent2 2 2 7 6" xfId="10846" xr:uid="{C0A507D6-E9E1-4D85-99FB-8A88BFE9772D}"/>
    <cellStyle name="40% - Accent2 2 2 8" xfId="4563" xr:uid="{00000000-0005-0000-0000-00008A040000}"/>
    <cellStyle name="40% - Accent2 2 2 8 2" xfId="29862" xr:uid="{C748A40B-4DED-458E-8E55-94C1105E35A2}"/>
    <cellStyle name="40% - Accent2 2 2 8 3" xfId="21433" xr:uid="{0D4E9CCB-F963-4A72-82C9-E246658BEF45}"/>
    <cellStyle name="40% - Accent2 2 2 8 4" xfId="38290" xr:uid="{5DA2503A-0B61-42F8-8DB7-7C464E734550}"/>
    <cellStyle name="40% - Accent2 2 2 8 5" xfId="12998" xr:uid="{E8EA275D-2CAF-46B3-893D-11450DD1EFCD}"/>
    <cellStyle name="40% - Accent2 2 2 9" xfId="25644" xr:uid="{8878AA54-9CA0-4696-8B19-A6BA42C2720C}"/>
    <cellStyle name="40% - Accent2 2 3" xfId="61" xr:uid="{00000000-0005-0000-0000-00008B040000}"/>
    <cellStyle name="40% - Accent2 2 3 10" xfId="34075" xr:uid="{A1F625AB-BC4E-4753-9B0E-326484CA81AF}"/>
    <cellStyle name="40% - Accent2 2 3 11" xfId="8782" xr:uid="{DF6BA35D-3693-4D4A-9BF1-2CCAA796027B}"/>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32423" xr:uid="{9716F591-BAC2-417E-9CE7-86CF15722E71}"/>
    <cellStyle name="40% - Accent2 2 3 2 2 2 3" xfId="23994" xr:uid="{EC10554B-6EAE-4368-9CB1-D96A0EEBB450}"/>
    <cellStyle name="40% - Accent2 2 3 2 2 2 4" xfId="40851" xr:uid="{30BB67AC-FFEF-4FAA-8BB7-A5DAE2346730}"/>
    <cellStyle name="40% - Accent2 2 3 2 2 2 5" xfId="15559" xr:uid="{D972F668-DEE0-4EF6-8CA7-941FDBCEE7F7}"/>
    <cellStyle name="40% - Accent2 2 3 2 2 3" xfId="28205" xr:uid="{B4F89935-7B34-41EB-9C16-1535C9E35A39}"/>
    <cellStyle name="40% - Accent2 2 3 2 2 4" xfId="19776" xr:uid="{BFFA2289-0813-4A3D-8F27-7CB87FF3255A}"/>
    <cellStyle name="40% - Accent2 2 3 2 2 5" xfId="36634" xr:uid="{325A04F6-4BA0-4A10-ACFC-CBB4EE6B95AD}"/>
    <cellStyle name="40% - Accent2 2 3 2 2 6" xfId="11341" xr:uid="{3773BB5A-22E3-4564-848A-CA38A789B573}"/>
    <cellStyle name="40% - Accent2 2 3 2 3" xfId="4979" xr:uid="{00000000-0005-0000-0000-00008F040000}"/>
    <cellStyle name="40% - Accent2 2 3 2 3 2" xfId="30278" xr:uid="{3902900A-5F10-4477-B1E7-6DF3BF648ECE}"/>
    <cellStyle name="40% - Accent2 2 3 2 3 3" xfId="21849" xr:uid="{FDDA9859-87E1-49BC-8BDC-1333520A0CCA}"/>
    <cellStyle name="40% - Accent2 2 3 2 3 4" xfId="38706" xr:uid="{7A6C1D34-56F4-4365-BC54-E23DF2202F98}"/>
    <cellStyle name="40% - Accent2 2 3 2 3 5" xfId="13414" xr:uid="{B6C5B6BB-F769-4D1C-A048-BAA4A7CD6DE7}"/>
    <cellStyle name="40% - Accent2 2 3 2 4" xfId="26060" xr:uid="{48BC9188-F961-4A6B-BFAB-2161E6CF5ED6}"/>
    <cellStyle name="40% - Accent2 2 3 2 5" xfId="17631" xr:uid="{9B57660C-4E30-4487-96FF-50C9335A4AB5}"/>
    <cellStyle name="40% - Accent2 2 3 2 6" xfId="34489" xr:uid="{64633B7E-FABD-4449-ABC9-44B3D74289BC}"/>
    <cellStyle name="40% - Accent2 2 3 2 7" xfId="9196" xr:uid="{6C5FCAF0-CB3A-4EBB-8244-9669164CEC9F}"/>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32836" xr:uid="{FB84577B-385E-4573-9106-A7DAE544607E}"/>
    <cellStyle name="40% - Accent2 2 3 3 2 2 3" xfId="24407" xr:uid="{F0F70638-AAAD-4B95-8828-CEF99C994077}"/>
    <cellStyle name="40% - Accent2 2 3 3 2 2 4" xfId="41264" xr:uid="{F4B34C4D-F362-49B7-B161-8817F845DCA9}"/>
    <cellStyle name="40% - Accent2 2 3 3 2 2 5" xfId="15972" xr:uid="{FF2FFE1A-C4FF-44EE-9F5F-28B37ED957DA}"/>
    <cellStyle name="40% - Accent2 2 3 3 2 3" xfId="28618" xr:uid="{D06B345A-6CCA-4C73-B6DE-04652E7E4F20}"/>
    <cellStyle name="40% - Accent2 2 3 3 2 4" xfId="20189" xr:uid="{764274CB-E14A-48C9-A81B-236A29085E8B}"/>
    <cellStyle name="40% - Accent2 2 3 3 2 5" xfId="37047" xr:uid="{31BBE9A5-C023-4799-811F-132F4F042C02}"/>
    <cellStyle name="40% - Accent2 2 3 3 2 6" xfId="11754" xr:uid="{CFC5E272-8132-4D6C-918A-25AD6B48BC8B}"/>
    <cellStyle name="40% - Accent2 2 3 3 3" xfId="5392" xr:uid="{00000000-0005-0000-0000-000093040000}"/>
    <cellStyle name="40% - Accent2 2 3 3 3 2" xfId="30691" xr:uid="{A92FBDA2-3F46-44F6-AF56-211268ACCFD3}"/>
    <cellStyle name="40% - Accent2 2 3 3 3 3" xfId="22262" xr:uid="{4CA2A3E6-FC94-4964-905F-A27BA485B054}"/>
    <cellStyle name="40% - Accent2 2 3 3 3 4" xfId="39119" xr:uid="{89EBEE93-6FBD-4AA1-9500-8658C3AA62A7}"/>
    <cellStyle name="40% - Accent2 2 3 3 3 5" xfId="13827" xr:uid="{4D0A83B3-4A65-47D9-9365-C0323C3EFB2E}"/>
    <cellStyle name="40% - Accent2 2 3 3 4" xfId="26473" xr:uid="{54E326A7-EEE7-4630-8D36-B578E703CA1F}"/>
    <cellStyle name="40% - Accent2 2 3 3 5" xfId="18044" xr:uid="{7B70E009-C5CB-47E9-96F9-930CF934982A}"/>
    <cellStyle name="40% - Accent2 2 3 3 6" xfId="34902" xr:uid="{C27FE85A-23F4-469B-A079-224223737F05}"/>
    <cellStyle name="40% - Accent2 2 3 3 7" xfId="9609" xr:uid="{B3F562AD-7D3F-4E66-B483-A9EEC698BCC1}"/>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33249" xr:uid="{1E887632-DB79-4D3E-8BE6-6CD06EF337A6}"/>
    <cellStyle name="40% - Accent2 2 3 4 2 2 3" xfId="24820" xr:uid="{12D50E39-C881-4CA9-B8F6-9E1311B33219}"/>
    <cellStyle name="40% - Accent2 2 3 4 2 2 4" xfId="41677" xr:uid="{8784B98F-6384-4022-BD14-3A51AF530B81}"/>
    <cellStyle name="40% - Accent2 2 3 4 2 2 5" xfId="16385" xr:uid="{B57AA852-DBF7-498D-8D1D-CB2BD228BFD1}"/>
    <cellStyle name="40% - Accent2 2 3 4 2 3" xfId="29031" xr:uid="{803C5A53-40EA-412A-A7B8-7E408FAD3C8F}"/>
    <cellStyle name="40% - Accent2 2 3 4 2 4" xfId="20602" xr:uid="{6FCFAE4D-1A83-4E71-896D-03ACB645CFFB}"/>
    <cellStyle name="40% - Accent2 2 3 4 2 5" xfId="37460" xr:uid="{3771A6FD-0019-4815-B973-7C6101652638}"/>
    <cellStyle name="40% - Accent2 2 3 4 2 6" xfId="12167" xr:uid="{ADCAC020-01E7-49AB-91E5-DA3C448BABA6}"/>
    <cellStyle name="40% - Accent2 2 3 4 3" xfId="5805" xr:uid="{00000000-0005-0000-0000-000097040000}"/>
    <cellStyle name="40% - Accent2 2 3 4 3 2" xfId="31104" xr:uid="{18C444E2-56A1-4135-B54F-80A6C0A4AC8A}"/>
    <cellStyle name="40% - Accent2 2 3 4 3 3" xfId="22675" xr:uid="{9D62327A-A38B-43BC-95F6-A6CDE5FCFEA1}"/>
    <cellStyle name="40% - Accent2 2 3 4 3 4" xfId="39532" xr:uid="{0F467C53-15E2-410E-BEB1-C710DBDE773C}"/>
    <cellStyle name="40% - Accent2 2 3 4 3 5" xfId="14240" xr:uid="{3F568E0A-54CB-407D-BA17-8C57C57383DB}"/>
    <cellStyle name="40% - Accent2 2 3 4 4" xfId="26886" xr:uid="{DBD125CB-D430-4802-8BD8-E8CB14EBFBD2}"/>
    <cellStyle name="40% - Accent2 2 3 4 5" xfId="18457" xr:uid="{2DC14703-6C3D-4187-BC07-E2D8DFE8A668}"/>
    <cellStyle name="40% - Accent2 2 3 4 6" xfId="35315" xr:uid="{6B644ECD-612A-433E-B8DE-0026F3D39047}"/>
    <cellStyle name="40% - Accent2 2 3 4 7" xfId="10022" xr:uid="{12FCE8E6-98DE-4630-8F05-89E91FE6E111}"/>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33662" xr:uid="{474A0C62-74AD-4261-970B-C4D0FDC148F2}"/>
    <cellStyle name="40% - Accent2 2 3 5 2 2 3" xfId="25233" xr:uid="{29B7B6D9-B430-461F-B82D-48AF2266ABC1}"/>
    <cellStyle name="40% - Accent2 2 3 5 2 2 4" xfId="42090" xr:uid="{79987FEE-DE9F-4A0B-BFB4-F37E04F559E1}"/>
    <cellStyle name="40% - Accent2 2 3 5 2 2 5" xfId="16798" xr:uid="{9B9127FB-1DD5-43FF-A416-D106A5D84995}"/>
    <cellStyle name="40% - Accent2 2 3 5 2 3" xfId="29444" xr:uid="{2C53EEBE-64AC-4921-B4B2-E157CE8224FE}"/>
    <cellStyle name="40% - Accent2 2 3 5 2 4" xfId="21015" xr:uid="{11C22011-9A4C-4F86-A823-3C18997C021E}"/>
    <cellStyle name="40% - Accent2 2 3 5 2 5" xfId="37873" xr:uid="{165809EF-6332-4627-8124-B3EAB23D52BF}"/>
    <cellStyle name="40% - Accent2 2 3 5 2 6" xfId="12580" xr:uid="{9F2327FA-4A19-42C5-B50F-30201D1DDD89}"/>
    <cellStyle name="40% - Accent2 2 3 5 3" xfId="6218" xr:uid="{00000000-0005-0000-0000-00009B040000}"/>
    <cellStyle name="40% - Accent2 2 3 5 3 2" xfId="31517" xr:uid="{D001DCFB-39E8-4688-8BD4-3664B1FCDCD1}"/>
    <cellStyle name="40% - Accent2 2 3 5 3 3" xfId="23088" xr:uid="{CEFC770E-9AA6-477B-AF74-99743994A13C}"/>
    <cellStyle name="40% - Accent2 2 3 5 3 4" xfId="39945" xr:uid="{5E1DC21A-2C11-48B7-B9C0-024D87A128BD}"/>
    <cellStyle name="40% - Accent2 2 3 5 3 5" xfId="14653" xr:uid="{5FF5FA33-CF45-439B-95D8-23518B23CE71}"/>
    <cellStyle name="40% - Accent2 2 3 5 4" xfId="27299" xr:uid="{D57467FD-E514-423A-87E8-0CBB60862B52}"/>
    <cellStyle name="40% - Accent2 2 3 5 5" xfId="18870" xr:uid="{6BB6FF3C-0926-4269-905D-FEC962EF63C4}"/>
    <cellStyle name="40% - Accent2 2 3 5 6" xfId="35728" xr:uid="{AFDCFC38-D885-44DE-BB2F-E6D60C6ABB99}"/>
    <cellStyle name="40% - Accent2 2 3 5 7" xfId="10435" xr:uid="{BF884C02-4B32-4C16-B32F-D6F1E5D07690}"/>
    <cellStyle name="40% - Accent2 2 3 6" xfId="2324" xr:uid="{00000000-0005-0000-0000-00009C040000}"/>
    <cellStyle name="40% - Accent2 2 3 6 2" xfId="6631" xr:uid="{00000000-0005-0000-0000-00009D040000}"/>
    <cellStyle name="40% - Accent2 2 3 6 2 2" xfId="31930" xr:uid="{8D8FEFDD-0006-4491-AB51-1947225782EE}"/>
    <cellStyle name="40% - Accent2 2 3 6 2 3" xfId="23501" xr:uid="{DD51AB52-7921-4205-9030-C64350A902E0}"/>
    <cellStyle name="40% - Accent2 2 3 6 2 4" xfId="40358" xr:uid="{E74BFC9D-0B55-426D-9C74-3B9AECE076E2}"/>
    <cellStyle name="40% - Accent2 2 3 6 2 5" xfId="15066" xr:uid="{FBE13BE1-527D-4865-97BB-40C09DAE1787}"/>
    <cellStyle name="40% - Accent2 2 3 6 3" xfId="27712" xr:uid="{56F57448-D117-49BC-BBAC-5706B535B248}"/>
    <cellStyle name="40% - Accent2 2 3 6 4" xfId="19283" xr:uid="{C906671E-F176-4412-BEDE-FC59ADBD4F28}"/>
    <cellStyle name="40% - Accent2 2 3 6 5" xfId="36141" xr:uid="{4F76E3FC-25EC-4027-9E3D-B3C84291F31C}"/>
    <cellStyle name="40% - Accent2 2 3 6 6" xfId="10848" xr:uid="{94BB7E7A-A2C4-4F53-87C3-941EA2CCBE71}"/>
    <cellStyle name="40% - Accent2 2 3 7" xfId="4565" xr:uid="{00000000-0005-0000-0000-00009E040000}"/>
    <cellStyle name="40% - Accent2 2 3 7 2" xfId="29864" xr:uid="{B680A3AA-0834-4DDE-9D60-D2F930788A35}"/>
    <cellStyle name="40% - Accent2 2 3 7 3" xfId="21435" xr:uid="{A26724A2-317D-40ED-8A2D-97CEB909C62E}"/>
    <cellStyle name="40% - Accent2 2 3 7 4" xfId="38292" xr:uid="{CFFAC577-1F9E-4282-B6A1-C9BFCA4B6433}"/>
    <cellStyle name="40% - Accent2 2 3 7 5" xfId="13000" xr:uid="{21D5148E-6F55-4E1D-BB28-FB3938D6A196}"/>
    <cellStyle name="40% - Accent2 2 3 8" xfId="25646" xr:uid="{812B020B-D60C-489C-8C78-5C94BDE513B1}"/>
    <cellStyle name="40% - Accent2 2 3 9" xfId="17217" xr:uid="{4F67E0DC-98A6-4893-A9E0-35AEEA8AC75D}"/>
    <cellStyle name="40% - Accent2 2 4" xfId="627" xr:uid="{00000000-0005-0000-0000-00009F040000}"/>
    <cellStyle name="40% - Accent2 2 4 2" xfId="2898" xr:uid="{00000000-0005-0000-0000-0000A0040000}"/>
    <cellStyle name="40% - Accent2 2 4 2 2" xfId="7121" xr:uid="{00000000-0005-0000-0000-0000A1040000}"/>
    <cellStyle name="40% - Accent2 2 4 2 2 2" xfId="32420" xr:uid="{B28AABB6-73AE-44E5-96B8-F79E9FA8A15C}"/>
    <cellStyle name="40% - Accent2 2 4 2 2 3" xfId="23991" xr:uid="{A936F601-AC7B-4743-9644-2937B512AB6C}"/>
    <cellStyle name="40% - Accent2 2 4 2 2 4" xfId="40848" xr:uid="{DD915D7A-88D5-48E1-84FD-832D65C38929}"/>
    <cellStyle name="40% - Accent2 2 4 2 2 5" xfId="15556" xr:uid="{DD099DBC-B04D-4BD5-83C6-82D1DC06004A}"/>
    <cellStyle name="40% - Accent2 2 4 2 3" xfId="28202" xr:uid="{942E63B3-7144-4B61-B5F4-8633BC131F1F}"/>
    <cellStyle name="40% - Accent2 2 4 2 4" xfId="19773" xr:uid="{6A406726-3E13-4ED6-AC5A-1B1878F15CDF}"/>
    <cellStyle name="40% - Accent2 2 4 2 5" xfId="36631" xr:uid="{75B9D216-DB55-4F52-96C3-CAEAAFC1F398}"/>
    <cellStyle name="40% - Accent2 2 4 2 6" xfId="11338" xr:uid="{9D330CC2-E437-484B-BDE3-81BE973E3EDE}"/>
    <cellStyle name="40% - Accent2 2 4 3" xfId="4976" xr:uid="{00000000-0005-0000-0000-0000A2040000}"/>
    <cellStyle name="40% - Accent2 2 4 3 2" xfId="30275" xr:uid="{A2CCE12B-6031-4DF0-8517-F1BC2ED4D9C3}"/>
    <cellStyle name="40% - Accent2 2 4 3 3" xfId="21846" xr:uid="{BBFC606C-188C-49E2-BBD7-EFE20FD26930}"/>
    <cellStyle name="40% - Accent2 2 4 3 4" xfId="38703" xr:uid="{BF85796D-F22F-420B-AC22-B707ABF0847B}"/>
    <cellStyle name="40% - Accent2 2 4 3 5" xfId="13411" xr:uid="{DED30D76-459A-40FA-9619-C6F8222A6DFF}"/>
    <cellStyle name="40% - Accent2 2 4 4" xfId="26057" xr:uid="{7AEA4948-FB89-48C0-AEB7-442A37FC0D6E}"/>
    <cellStyle name="40% - Accent2 2 4 5" xfId="17628" xr:uid="{79D499E2-3138-4D81-B8BC-3D23F1CFC514}"/>
    <cellStyle name="40% - Accent2 2 4 6" xfId="34486" xr:uid="{9E8D2555-BEBF-4674-872A-3E69764B2035}"/>
    <cellStyle name="40% - Accent2 2 4 7" xfId="9193" xr:uid="{FEFEC876-393F-48C1-8F45-A3D1C1102D59}"/>
    <cellStyle name="40% - Accent2 2 5" xfId="1080" xr:uid="{00000000-0005-0000-0000-0000A3040000}"/>
    <cellStyle name="40% - Accent2 2 5 2" xfId="3311" xr:uid="{00000000-0005-0000-0000-0000A4040000}"/>
    <cellStyle name="40% - Accent2 2 5 2 2" xfId="7534" xr:uid="{00000000-0005-0000-0000-0000A5040000}"/>
    <cellStyle name="40% - Accent2 2 5 2 2 2" xfId="32833" xr:uid="{106029F2-9FD5-4019-935D-7C4667096CE4}"/>
    <cellStyle name="40% - Accent2 2 5 2 2 3" xfId="24404" xr:uid="{B8080FEA-F9BF-4E51-93A8-009069C015B5}"/>
    <cellStyle name="40% - Accent2 2 5 2 2 4" xfId="41261" xr:uid="{35FCEF97-0658-454A-96E7-7181683FC3A8}"/>
    <cellStyle name="40% - Accent2 2 5 2 2 5" xfId="15969" xr:uid="{6E51A515-1420-4A77-B016-4DECB5D89C26}"/>
    <cellStyle name="40% - Accent2 2 5 2 3" xfId="28615" xr:uid="{76F9E401-E8F2-4D99-A7B5-A05A15B7BD2E}"/>
    <cellStyle name="40% - Accent2 2 5 2 4" xfId="20186" xr:uid="{9C4B78A3-3736-42B2-ABAD-C756D2829337}"/>
    <cellStyle name="40% - Accent2 2 5 2 5" xfId="37044" xr:uid="{B6C41D69-59B0-4B80-8262-298FBE186F58}"/>
    <cellStyle name="40% - Accent2 2 5 2 6" xfId="11751" xr:uid="{0FAB184E-AB3A-4ED3-B8CE-E08D7DEEA4C9}"/>
    <cellStyle name="40% - Accent2 2 5 3" xfId="5389" xr:uid="{00000000-0005-0000-0000-0000A6040000}"/>
    <cellStyle name="40% - Accent2 2 5 3 2" xfId="30688" xr:uid="{359598D1-ABCA-4C14-A771-5DABFD1B7F91}"/>
    <cellStyle name="40% - Accent2 2 5 3 3" xfId="22259" xr:uid="{251966EA-249E-41B8-8F14-1761A1A8C8D0}"/>
    <cellStyle name="40% - Accent2 2 5 3 4" xfId="39116" xr:uid="{DACBC4C1-F5C7-4826-82C4-6E08DEA94052}"/>
    <cellStyle name="40% - Accent2 2 5 3 5" xfId="13824" xr:uid="{F2E4FC64-5426-48ED-B852-0D4128BA0E89}"/>
    <cellStyle name="40% - Accent2 2 5 4" xfId="26470" xr:uid="{789BDAB4-07AC-4561-B434-9E5193963DCD}"/>
    <cellStyle name="40% - Accent2 2 5 5" xfId="18041" xr:uid="{37EE0636-CD2C-49DE-90EE-262317E5C04C}"/>
    <cellStyle name="40% - Accent2 2 5 6" xfId="34899" xr:uid="{F84DEB80-8B1F-42CA-B751-9CAC88866DDE}"/>
    <cellStyle name="40% - Accent2 2 5 7" xfId="9606" xr:uid="{606962DA-786C-4B1C-8691-C781FA823758}"/>
    <cellStyle name="40% - Accent2 2 6" xfId="1494" xr:uid="{00000000-0005-0000-0000-0000A7040000}"/>
    <cellStyle name="40% - Accent2 2 6 2" xfId="3724" xr:uid="{00000000-0005-0000-0000-0000A8040000}"/>
    <cellStyle name="40% - Accent2 2 6 2 2" xfId="7947" xr:uid="{00000000-0005-0000-0000-0000A9040000}"/>
    <cellStyle name="40% - Accent2 2 6 2 2 2" xfId="33246" xr:uid="{797A8552-6E22-4948-A657-A2D5CFB364D2}"/>
    <cellStyle name="40% - Accent2 2 6 2 2 3" xfId="24817" xr:uid="{779CFEE5-A101-43F6-BDB6-4FAFAE91B4D6}"/>
    <cellStyle name="40% - Accent2 2 6 2 2 4" xfId="41674" xr:uid="{2C906C47-76B1-4F60-9CC0-8A6444AE6105}"/>
    <cellStyle name="40% - Accent2 2 6 2 2 5" xfId="16382" xr:uid="{CD9CDC07-D1CD-4DBA-8CDF-1D274B4F8C19}"/>
    <cellStyle name="40% - Accent2 2 6 2 3" xfId="29028" xr:uid="{8C4FC513-F3BE-4F13-823D-D468E1DA8963}"/>
    <cellStyle name="40% - Accent2 2 6 2 4" xfId="20599" xr:uid="{5FE2F8F9-8116-46E8-8B2C-019F3A32E7AB}"/>
    <cellStyle name="40% - Accent2 2 6 2 5" xfId="37457" xr:uid="{07ED3ED8-0E82-47CB-810F-ED06103D757E}"/>
    <cellStyle name="40% - Accent2 2 6 2 6" xfId="12164" xr:uid="{CBEB89D1-D391-424C-A1B5-51389B7E2736}"/>
    <cellStyle name="40% - Accent2 2 6 3" xfId="5802" xr:uid="{00000000-0005-0000-0000-0000AA040000}"/>
    <cellStyle name="40% - Accent2 2 6 3 2" xfId="31101" xr:uid="{F4F810EC-50A6-402C-B435-546B0A549D39}"/>
    <cellStyle name="40% - Accent2 2 6 3 3" xfId="22672" xr:uid="{C4FB6DEE-D5B2-44F6-8BBA-2C5DC59C1B4D}"/>
    <cellStyle name="40% - Accent2 2 6 3 4" xfId="39529" xr:uid="{94A9E106-20FB-45DC-9648-2B92ECA58679}"/>
    <cellStyle name="40% - Accent2 2 6 3 5" xfId="14237" xr:uid="{F8C7A6C1-7B6F-4CA9-9789-FFA39CED0CA6}"/>
    <cellStyle name="40% - Accent2 2 6 4" xfId="26883" xr:uid="{747A5CDB-AE66-4B91-BC43-D5D012324C54}"/>
    <cellStyle name="40% - Accent2 2 6 5" xfId="18454" xr:uid="{FDB23E16-ECE7-4C36-949E-3FF01B528BFA}"/>
    <cellStyle name="40% - Accent2 2 6 6" xfId="35312" xr:uid="{DCCC3AE3-C9EB-4B28-9846-E9E199988CC2}"/>
    <cellStyle name="40% - Accent2 2 6 7" xfId="10019" xr:uid="{8FB00B41-8CD6-4E6A-942D-69D72244FD54}"/>
    <cellStyle name="40% - Accent2 2 7" xfId="1908" xr:uid="{00000000-0005-0000-0000-0000AB040000}"/>
    <cellStyle name="40% - Accent2 2 7 2" xfId="4137" xr:uid="{00000000-0005-0000-0000-0000AC040000}"/>
    <cellStyle name="40% - Accent2 2 7 2 2" xfId="8360" xr:uid="{00000000-0005-0000-0000-0000AD040000}"/>
    <cellStyle name="40% - Accent2 2 7 2 2 2" xfId="33659" xr:uid="{0422B2F8-9FA7-423B-9D73-56761A24C96B}"/>
    <cellStyle name="40% - Accent2 2 7 2 2 3" xfId="25230" xr:uid="{86DE6756-0A30-4681-90D3-D3EAD06AFC70}"/>
    <cellStyle name="40% - Accent2 2 7 2 2 4" xfId="42087" xr:uid="{C600B90E-D16A-4521-A83D-2558283C564B}"/>
    <cellStyle name="40% - Accent2 2 7 2 2 5" xfId="16795" xr:uid="{FCAB8233-75A9-474D-B796-7334F1039119}"/>
    <cellStyle name="40% - Accent2 2 7 2 3" xfId="29441" xr:uid="{39CD2437-1C35-4A1F-BE62-9148C8905F43}"/>
    <cellStyle name="40% - Accent2 2 7 2 4" xfId="21012" xr:uid="{C7414ACE-E068-4307-980E-DFD65C952D2D}"/>
    <cellStyle name="40% - Accent2 2 7 2 5" xfId="37870" xr:uid="{C55E31A7-36DA-45F5-A91F-4EB13F5C1982}"/>
    <cellStyle name="40% - Accent2 2 7 2 6" xfId="12577" xr:uid="{74B2F747-3EB5-4EC1-A52B-03CA04A816BF}"/>
    <cellStyle name="40% - Accent2 2 7 3" xfId="6215" xr:uid="{00000000-0005-0000-0000-0000AE040000}"/>
    <cellStyle name="40% - Accent2 2 7 3 2" xfId="31514" xr:uid="{3A36A239-1007-4CD2-A8E0-7130092EF083}"/>
    <cellStyle name="40% - Accent2 2 7 3 3" xfId="23085" xr:uid="{B39F27D9-43E4-4904-8AD8-90FD018FD502}"/>
    <cellStyle name="40% - Accent2 2 7 3 4" xfId="39942" xr:uid="{F7BEEB18-48E5-4EB1-AAAE-993AC6B388F1}"/>
    <cellStyle name="40% - Accent2 2 7 3 5" xfId="14650" xr:uid="{8112DD38-EE94-4FE5-8DBD-8E3CFE7AE4BF}"/>
    <cellStyle name="40% - Accent2 2 7 4" xfId="27296" xr:uid="{8917A4D7-2381-47E9-BE55-11583B393247}"/>
    <cellStyle name="40% - Accent2 2 7 5" xfId="18867" xr:uid="{0E598653-0940-42DA-8B72-E937778CDC9D}"/>
    <cellStyle name="40% - Accent2 2 7 6" xfId="35725" xr:uid="{8932AD4C-9DD3-486F-8F5C-32FA19A9210B}"/>
    <cellStyle name="40% - Accent2 2 7 7" xfId="10432" xr:uid="{8F38EEBA-D4C8-475F-894A-CB89CE329652}"/>
    <cellStyle name="40% - Accent2 2 8" xfId="2321" xr:uid="{00000000-0005-0000-0000-0000AF040000}"/>
    <cellStyle name="40% - Accent2 2 8 2" xfId="6628" xr:uid="{00000000-0005-0000-0000-0000B0040000}"/>
    <cellStyle name="40% - Accent2 2 8 2 2" xfId="31927" xr:uid="{6F0E8DA8-96D7-429A-A4CB-69A1925281D3}"/>
    <cellStyle name="40% - Accent2 2 8 2 3" xfId="23498" xr:uid="{952A625E-A0B7-49A6-93F8-E1B47B4994D8}"/>
    <cellStyle name="40% - Accent2 2 8 2 4" xfId="40355" xr:uid="{7FAF6770-DF10-437A-ACF6-EC585693CA20}"/>
    <cellStyle name="40% - Accent2 2 8 2 5" xfId="15063" xr:uid="{70BBBDF4-E4CE-46C5-98F0-AA3782B6BD05}"/>
    <cellStyle name="40% - Accent2 2 8 3" xfId="27709" xr:uid="{9F3D7AD2-3563-48A4-8E5C-2C030FEBBEAB}"/>
    <cellStyle name="40% - Accent2 2 8 4" xfId="19280" xr:uid="{30EC399C-13DA-44B4-9B17-E45A2B9F62B8}"/>
    <cellStyle name="40% - Accent2 2 8 5" xfId="36138" xr:uid="{E39C18ED-5AA7-47D9-AFFE-F2395EF318B3}"/>
    <cellStyle name="40% - Accent2 2 8 6" xfId="10845" xr:uid="{485EF5D1-9E50-45F1-A868-ACE32ED76A9A}"/>
    <cellStyle name="40% - Accent2 2 9" xfId="4562" xr:uid="{00000000-0005-0000-0000-0000B1040000}"/>
    <cellStyle name="40% - Accent2 2 9 2" xfId="29861" xr:uid="{7A808EFC-F38C-4C5E-9D8E-C9F04F729686}"/>
    <cellStyle name="40% - Accent2 2 9 3" xfId="21432" xr:uid="{758F2965-A3D3-4F33-84E1-2E726BEB3C70}"/>
    <cellStyle name="40% - Accent2 2 9 4" xfId="38289" xr:uid="{7C59DA6F-B3AD-48C3-B393-40E6C9A53623}"/>
    <cellStyle name="40% - Accent2 2 9 5" xfId="12997" xr:uid="{54C336B8-DB98-4302-9A9E-8071876AB956}"/>
    <cellStyle name="40% - Accent2 3" xfId="62" xr:uid="{00000000-0005-0000-0000-0000B2040000}"/>
    <cellStyle name="40% - Accent2 3 10" xfId="17218" xr:uid="{C02D0B8E-45B8-41ED-8F8D-4184334003F3}"/>
    <cellStyle name="40% - Accent2 3 11" xfId="34076" xr:uid="{52F974C7-4EF6-4B9E-8CBD-113CC12EE3B1}"/>
    <cellStyle name="40% - Accent2 3 12" xfId="8783" xr:uid="{07E1EE6C-5AA0-4532-97EE-C242ACDAA913}"/>
    <cellStyle name="40% - Accent2 3 2" xfId="63" xr:uid="{00000000-0005-0000-0000-0000B3040000}"/>
    <cellStyle name="40% - Accent2 3 2 10" xfId="34077" xr:uid="{31EB80E6-518D-45E2-9A3D-1CA03DAB4DAF}"/>
    <cellStyle name="40% - Accent2 3 2 11" xfId="8784" xr:uid="{D2A44774-2913-4AE1-8008-48CB94027A32}"/>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32425" xr:uid="{52679B31-25A8-4CBE-9292-44B336CD6E0C}"/>
    <cellStyle name="40% - Accent2 3 2 2 2 2 3" xfId="23996" xr:uid="{6771C10F-3ABE-4B31-BBC8-DF063CE492A1}"/>
    <cellStyle name="40% - Accent2 3 2 2 2 2 4" xfId="40853" xr:uid="{590A3905-7336-4B8A-8DF3-29FA16D24392}"/>
    <cellStyle name="40% - Accent2 3 2 2 2 2 5" xfId="15561" xr:uid="{B41D8CDC-E6A4-4ACC-8D13-DEBF9C7B4AB3}"/>
    <cellStyle name="40% - Accent2 3 2 2 2 3" xfId="28207" xr:uid="{0F6B73A2-FA4B-42C8-9778-3C62D6286A7E}"/>
    <cellStyle name="40% - Accent2 3 2 2 2 4" xfId="19778" xr:uid="{D7B910D1-F94C-43AE-A302-2BE164EC8686}"/>
    <cellStyle name="40% - Accent2 3 2 2 2 5" xfId="36636" xr:uid="{F167FAB0-AE77-4F0F-BD8C-DCAEB8C51879}"/>
    <cellStyle name="40% - Accent2 3 2 2 2 6" xfId="11343" xr:uid="{79B276FB-6EEC-45D7-9629-D4AF3D2486CD}"/>
    <cellStyle name="40% - Accent2 3 2 2 3" xfId="4981" xr:uid="{00000000-0005-0000-0000-0000B7040000}"/>
    <cellStyle name="40% - Accent2 3 2 2 3 2" xfId="30280" xr:uid="{D1238D44-ECF3-4BE1-B463-21D04B75C33F}"/>
    <cellStyle name="40% - Accent2 3 2 2 3 3" xfId="21851" xr:uid="{A1AA4475-5BF3-456C-BA3D-83987508E7A5}"/>
    <cellStyle name="40% - Accent2 3 2 2 3 4" xfId="38708" xr:uid="{BB138CCE-EB22-4096-8E7D-84C3FAED541A}"/>
    <cellStyle name="40% - Accent2 3 2 2 3 5" xfId="13416" xr:uid="{972136DE-9555-4B91-BBCC-EA8973F61C67}"/>
    <cellStyle name="40% - Accent2 3 2 2 4" xfId="26062" xr:uid="{916C633C-592E-4AA3-BB77-3967BE6F4D3D}"/>
    <cellStyle name="40% - Accent2 3 2 2 5" xfId="17633" xr:uid="{F3E8769A-2C94-41D6-B777-C49AECE0E532}"/>
    <cellStyle name="40% - Accent2 3 2 2 6" xfId="34491" xr:uid="{B35115AB-67FC-4EB0-A6AC-A2B73F7E6395}"/>
    <cellStyle name="40% - Accent2 3 2 2 7" xfId="9198" xr:uid="{25C3386F-60F1-4727-B800-3846B49422B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32838" xr:uid="{BE00A4DB-ECE7-45F6-B5BC-7BB20358FAED}"/>
    <cellStyle name="40% - Accent2 3 2 3 2 2 3" xfId="24409" xr:uid="{ABE61814-E106-44CF-AD33-B710CD48D447}"/>
    <cellStyle name="40% - Accent2 3 2 3 2 2 4" xfId="41266" xr:uid="{26F0CEFE-C735-466B-8E1A-54470E1A0463}"/>
    <cellStyle name="40% - Accent2 3 2 3 2 2 5" xfId="15974" xr:uid="{7536AB56-1C71-41B1-A13D-C74030FCF0F7}"/>
    <cellStyle name="40% - Accent2 3 2 3 2 3" xfId="28620" xr:uid="{EF0CB64D-AD8F-4206-ABB3-80F706CA4BB8}"/>
    <cellStyle name="40% - Accent2 3 2 3 2 4" xfId="20191" xr:uid="{525108A9-7D55-431C-BEBB-4DA9E1823F7C}"/>
    <cellStyle name="40% - Accent2 3 2 3 2 5" xfId="37049" xr:uid="{254EFB78-AFB7-4922-8541-25A03D467569}"/>
    <cellStyle name="40% - Accent2 3 2 3 2 6" xfId="11756" xr:uid="{38DEB2D2-963E-48EC-AFE1-A01725F08EA0}"/>
    <cellStyle name="40% - Accent2 3 2 3 3" xfId="5394" xr:uid="{00000000-0005-0000-0000-0000BB040000}"/>
    <cellStyle name="40% - Accent2 3 2 3 3 2" xfId="30693" xr:uid="{07ABCC0F-D307-4EA9-B401-37FF8FFF8B73}"/>
    <cellStyle name="40% - Accent2 3 2 3 3 3" xfId="22264" xr:uid="{A0578A0F-85AE-4D61-BD70-661BDE6CC41B}"/>
    <cellStyle name="40% - Accent2 3 2 3 3 4" xfId="39121" xr:uid="{64EE8D18-302D-4C4D-9716-3A67BB8A69D5}"/>
    <cellStyle name="40% - Accent2 3 2 3 3 5" xfId="13829" xr:uid="{F467FC34-B9B3-4629-AF98-53A6D7459FE2}"/>
    <cellStyle name="40% - Accent2 3 2 3 4" xfId="26475" xr:uid="{1823DADB-AB7C-4ADD-A454-01F73AC903FB}"/>
    <cellStyle name="40% - Accent2 3 2 3 5" xfId="18046" xr:uid="{137BB766-8730-4FDB-B6F2-807549A16593}"/>
    <cellStyle name="40% - Accent2 3 2 3 6" xfId="34904" xr:uid="{EFCE024F-54EC-476E-8D05-78F6C972BE91}"/>
    <cellStyle name="40% - Accent2 3 2 3 7" xfId="9611" xr:uid="{D2F7DBD9-0ED8-4AF3-A520-019B335E853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33251" xr:uid="{1BE5B2A6-98E4-43CC-B922-36A506372730}"/>
    <cellStyle name="40% - Accent2 3 2 4 2 2 3" xfId="24822" xr:uid="{7F4C39C3-E355-4B3E-9BEC-05A54C3438D6}"/>
    <cellStyle name="40% - Accent2 3 2 4 2 2 4" xfId="41679" xr:uid="{0ED791DC-6ECB-4F1E-9377-47CB538A37DE}"/>
    <cellStyle name="40% - Accent2 3 2 4 2 2 5" xfId="16387" xr:uid="{313BBC7B-F2F0-4523-9393-6D0B50D3E833}"/>
    <cellStyle name="40% - Accent2 3 2 4 2 3" xfId="29033" xr:uid="{155CD5CB-01DF-4D9C-BD04-E94FF77C44D3}"/>
    <cellStyle name="40% - Accent2 3 2 4 2 4" xfId="20604" xr:uid="{EA8F1DFC-A2D8-4FC5-9DB9-AC4073AC00BB}"/>
    <cellStyle name="40% - Accent2 3 2 4 2 5" xfId="37462" xr:uid="{95745CB9-DB96-4D87-9448-B86DA8E2F2A4}"/>
    <cellStyle name="40% - Accent2 3 2 4 2 6" xfId="12169" xr:uid="{63259C62-B891-4D9B-B64C-6D029499B46F}"/>
    <cellStyle name="40% - Accent2 3 2 4 3" xfId="5807" xr:uid="{00000000-0005-0000-0000-0000BF040000}"/>
    <cellStyle name="40% - Accent2 3 2 4 3 2" xfId="31106" xr:uid="{6C1EE1C0-DEEC-46DE-83C7-F4D04FC79E95}"/>
    <cellStyle name="40% - Accent2 3 2 4 3 3" xfId="22677" xr:uid="{BB8F57B9-3244-4B8C-8D4B-C5352C7ABBF0}"/>
    <cellStyle name="40% - Accent2 3 2 4 3 4" xfId="39534" xr:uid="{C76D7A0D-747E-4440-8B17-D6A80DD3CCC4}"/>
    <cellStyle name="40% - Accent2 3 2 4 3 5" xfId="14242" xr:uid="{BD974B0A-DEAA-4825-83D3-7818D15C3207}"/>
    <cellStyle name="40% - Accent2 3 2 4 4" xfId="26888" xr:uid="{3581800D-026A-4C51-8A23-9F012AD43677}"/>
    <cellStyle name="40% - Accent2 3 2 4 5" xfId="18459" xr:uid="{7FFEE46E-2A12-4E5B-A409-352959524369}"/>
    <cellStyle name="40% - Accent2 3 2 4 6" xfId="35317" xr:uid="{32919AA3-B989-4035-A80E-F8B63B475E83}"/>
    <cellStyle name="40% - Accent2 3 2 4 7" xfId="10024" xr:uid="{ABDBC6DD-7455-4FE0-BF89-01B78C61A133}"/>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33664" xr:uid="{C4C38B49-B198-4910-9E1D-F455AF4AE42C}"/>
    <cellStyle name="40% - Accent2 3 2 5 2 2 3" xfId="25235" xr:uid="{45957CCE-9497-414D-BCB2-F94303915F48}"/>
    <cellStyle name="40% - Accent2 3 2 5 2 2 4" xfId="42092" xr:uid="{20843C84-BC47-4954-B752-E2425ED58065}"/>
    <cellStyle name="40% - Accent2 3 2 5 2 2 5" xfId="16800" xr:uid="{7A3EA7D5-81DA-4CD0-9452-F28BBB1F77B0}"/>
    <cellStyle name="40% - Accent2 3 2 5 2 3" xfId="29446" xr:uid="{2116D3EC-07CB-4B47-84AF-1338BCC81330}"/>
    <cellStyle name="40% - Accent2 3 2 5 2 4" xfId="21017" xr:uid="{DE8F1D20-E082-4C9C-B418-8490529BC30E}"/>
    <cellStyle name="40% - Accent2 3 2 5 2 5" xfId="37875" xr:uid="{854CE636-ED1C-43CD-92B0-584444C17D8E}"/>
    <cellStyle name="40% - Accent2 3 2 5 2 6" xfId="12582" xr:uid="{6959A1E9-EF03-4236-B60A-FF196D5091DB}"/>
    <cellStyle name="40% - Accent2 3 2 5 3" xfId="6220" xr:uid="{00000000-0005-0000-0000-0000C3040000}"/>
    <cellStyle name="40% - Accent2 3 2 5 3 2" xfId="31519" xr:uid="{F960F771-5787-417F-BF65-AA465918EC28}"/>
    <cellStyle name="40% - Accent2 3 2 5 3 3" xfId="23090" xr:uid="{40992838-06EB-44AD-AB5D-9340FF64E1E8}"/>
    <cellStyle name="40% - Accent2 3 2 5 3 4" xfId="39947" xr:uid="{6F40609F-2E11-4439-96D5-88820259E8C1}"/>
    <cellStyle name="40% - Accent2 3 2 5 3 5" xfId="14655" xr:uid="{B4820B95-888B-49EE-814D-68830F8456BB}"/>
    <cellStyle name="40% - Accent2 3 2 5 4" xfId="27301" xr:uid="{0190EEC3-D12A-4685-8589-22371E45BFE6}"/>
    <cellStyle name="40% - Accent2 3 2 5 5" xfId="18872" xr:uid="{114A7034-CBC3-42ED-8836-3495B873BD88}"/>
    <cellStyle name="40% - Accent2 3 2 5 6" xfId="35730" xr:uid="{3EB8CC69-7D88-4965-8F72-BA5C004CB1A4}"/>
    <cellStyle name="40% - Accent2 3 2 5 7" xfId="10437" xr:uid="{6A57162D-E5BF-4E8B-B143-375B24E9DAD2}"/>
    <cellStyle name="40% - Accent2 3 2 6" xfId="2326" xr:uid="{00000000-0005-0000-0000-0000C4040000}"/>
    <cellStyle name="40% - Accent2 3 2 6 2" xfId="6633" xr:uid="{00000000-0005-0000-0000-0000C5040000}"/>
    <cellStyle name="40% - Accent2 3 2 6 2 2" xfId="31932" xr:uid="{FEC343A7-0B63-4C1D-BB8B-969AF3CC3B56}"/>
    <cellStyle name="40% - Accent2 3 2 6 2 3" xfId="23503" xr:uid="{19EC2F5D-6644-4C93-B365-B86CB39ADD48}"/>
    <cellStyle name="40% - Accent2 3 2 6 2 4" xfId="40360" xr:uid="{5A9B194E-F516-42B8-AF83-DFD38BAD8A97}"/>
    <cellStyle name="40% - Accent2 3 2 6 2 5" xfId="15068" xr:uid="{7D0DF0A9-0648-40B0-80A6-9018FEAB5D6F}"/>
    <cellStyle name="40% - Accent2 3 2 6 3" xfId="27714" xr:uid="{8F5E8D51-535B-4660-BC86-71BE2DADC15C}"/>
    <cellStyle name="40% - Accent2 3 2 6 4" xfId="19285" xr:uid="{284BA73D-C26C-48E0-9B8C-CAFC77EF1985}"/>
    <cellStyle name="40% - Accent2 3 2 6 5" xfId="36143" xr:uid="{D2906051-CAA2-47A9-8D18-7030726852F5}"/>
    <cellStyle name="40% - Accent2 3 2 6 6" xfId="10850" xr:uid="{ACF4B5C7-0695-49F9-A1B9-30864C202E03}"/>
    <cellStyle name="40% - Accent2 3 2 7" xfId="4567" xr:uid="{00000000-0005-0000-0000-0000C6040000}"/>
    <cellStyle name="40% - Accent2 3 2 7 2" xfId="29866" xr:uid="{95949A75-D7A9-44C9-9C2E-87B66BAD22FC}"/>
    <cellStyle name="40% - Accent2 3 2 7 3" xfId="21437" xr:uid="{0F7D3B16-D460-4914-AF94-127A2DC3F621}"/>
    <cellStyle name="40% - Accent2 3 2 7 4" xfId="38294" xr:uid="{772A2187-3A70-441D-90AB-CFD257D68AD4}"/>
    <cellStyle name="40% - Accent2 3 2 7 5" xfId="13002" xr:uid="{61447BB2-B114-4CC1-A553-EA7A22785434}"/>
    <cellStyle name="40% - Accent2 3 2 8" xfId="25648" xr:uid="{50B45018-727F-4D9B-95C0-B5E442D0A132}"/>
    <cellStyle name="40% - Accent2 3 2 9" xfId="17219" xr:uid="{E262782B-143D-4B01-9086-CA6FADAD064D}"/>
    <cellStyle name="40% - Accent2 3 3" xfId="631" xr:uid="{00000000-0005-0000-0000-0000C7040000}"/>
    <cellStyle name="40% - Accent2 3 3 2" xfId="2902" xr:uid="{00000000-0005-0000-0000-0000C8040000}"/>
    <cellStyle name="40% - Accent2 3 3 2 2" xfId="7125" xr:uid="{00000000-0005-0000-0000-0000C9040000}"/>
    <cellStyle name="40% - Accent2 3 3 2 2 2" xfId="32424" xr:uid="{14D61CB5-20B5-4E8F-AE88-77FFE5D17753}"/>
    <cellStyle name="40% - Accent2 3 3 2 2 3" xfId="23995" xr:uid="{40D860DF-33E0-4B0B-9D76-D5F35A4D8CE3}"/>
    <cellStyle name="40% - Accent2 3 3 2 2 4" xfId="40852" xr:uid="{FADD6D94-274F-47B3-83CA-8CACAF000411}"/>
    <cellStyle name="40% - Accent2 3 3 2 2 5" xfId="15560" xr:uid="{31368172-DEFC-4807-BA59-459E12889259}"/>
    <cellStyle name="40% - Accent2 3 3 2 3" xfId="28206" xr:uid="{FD76BB89-BF3A-4701-963B-E7D6D346EB40}"/>
    <cellStyle name="40% - Accent2 3 3 2 4" xfId="19777" xr:uid="{7DD8AE1E-DA03-45F5-9D74-3FAC78DDC788}"/>
    <cellStyle name="40% - Accent2 3 3 2 5" xfId="36635" xr:uid="{E3686C58-C6F6-4035-BD49-A8EAD6F67433}"/>
    <cellStyle name="40% - Accent2 3 3 2 6" xfId="11342" xr:uid="{965878AC-AE13-4A74-8EB6-9AD0553DF1E2}"/>
    <cellStyle name="40% - Accent2 3 3 3" xfId="4980" xr:uid="{00000000-0005-0000-0000-0000CA040000}"/>
    <cellStyle name="40% - Accent2 3 3 3 2" xfId="30279" xr:uid="{7B2096E1-3DD8-4398-9789-3E8E15DDCF54}"/>
    <cellStyle name="40% - Accent2 3 3 3 3" xfId="21850" xr:uid="{CFF7870C-DD3B-469C-9629-EC221261FB01}"/>
    <cellStyle name="40% - Accent2 3 3 3 4" xfId="38707" xr:uid="{E323A752-B76B-4C67-B212-2B3AD282CCF0}"/>
    <cellStyle name="40% - Accent2 3 3 3 5" xfId="13415" xr:uid="{6268B4BD-D9F9-4AB5-B1F0-7A6929D8DF75}"/>
    <cellStyle name="40% - Accent2 3 3 4" xfId="26061" xr:uid="{40F0806F-0639-4507-A788-3F6C4956187D}"/>
    <cellStyle name="40% - Accent2 3 3 5" xfId="17632" xr:uid="{3DB11946-4E08-4DD6-A036-86E9E3772D7B}"/>
    <cellStyle name="40% - Accent2 3 3 6" xfId="34490" xr:uid="{1FB3F06C-1638-4E3B-9F97-C80FAC1EDF56}"/>
    <cellStyle name="40% - Accent2 3 3 7" xfId="9197" xr:uid="{7521E1B8-6D38-4E25-8A3A-E522ECA4B8F8}"/>
    <cellStyle name="40% - Accent2 3 4" xfId="1084" xr:uid="{00000000-0005-0000-0000-0000CB040000}"/>
    <cellStyle name="40% - Accent2 3 4 2" xfId="3315" xr:uid="{00000000-0005-0000-0000-0000CC040000}"/>
    <cellStyle name="40% - Accent2 3 4 2 2" xfId="7538" xr:uid="{00000000-0005-0000-0000-0000CD040000}"/>
    <cellStyle name="40% - Accent2 3 4 2 2 2" xfId="32837" xr:uid="{11387C6C-9903-4361-BBAB-482A884AF6E0}"/>
    <cellStyle name="40% - Accent2 3 4 2 2 3" xfId="24408" xr:uid="{192E4EDA-6500-4DE7-8E4A-B795FDF58E6C}"/>
    <cellStyle name="40% - Accent2 3 4 2 2 4" xfId="41265" xr:uid="{59AD0DBD-6AD5-4691-9F14-5B67FE572956}"/>
    <cellStyle name="40% - Accent2 3 4 2 2 5" xfId="15973" xr:uid="{CA2024F1-FE22-4571-B8D9-74E5BA1EDC0E}"/>
    <cellStyle name="40% - Accent2 3 4 2 3" xfId="28619" xr:uid="{B78A86BA-B25F-4F3C-9749-72FFF0BEEC29}"/>
    <cellStyle name="40% - Accent2 3 4 2 4" xfId="20190" xr:uid="{D303F516-289B-4665-9AF8-229B831FB62C}"/>
    <cellStyle name="40% - Accent2 3 4 2 5" xfId="37048" xr:uid="{9DBE05A9-2ECE-4867-A9DD-D6C08DF0FBC6}"/>
    <cellStyle name="40% - Accent2 3 4 2 6" xfId="11755" xr:uid="{4622344C-F122-430E-907A-586F4B064AB5}"/>
    <cellStyle name="40% - Accent2 3 4 3" xfId="5393" xr:uid="{00000000-0005-0000-0000-0000CE040000}"/>
    <cellStyle name="40% - Accent2 3 4 3 2" xfId="30692" xr:uid="{0FA7C483-E60A-4BAA-937F-B7EE2973C083}"/>
    <cellStyle name="40% - Accent2 3 4 3 3" xfId="22263" xr:uid="{16FEEA86-D87F-4CFC-8536-A3ED99CEDE78}"/>
    <cellStyle name="40% - Accent2 3 4 3 4" xfId="39120" xr:uid="{9679596C-7468-45BB-96A2-B7CD2E709829}"/>
    <cellStyle name="40% - Accent2 3 4 3 5" xfId="13828" xr:uid="{8A2B7929-3828-4AB7-BF79-3A499C3D29F8}"/>
    <cellStyle name="40% - Accent2 3 4 4" xfId="26474" xr:uid="{8E5E5A6A-5666-4514-96F3-358BC47095C2}"/>
    <cellStyle name="40% - Accent2 3 4 5" xfId="18045" xr:uid="{0FDBABD9-995E-4C55-91C6-7A9D810646BC}"/>
    <cellStyle name="40% - Accent2 3 4 6" xfId="34903" xr:uid="{7BFB3DC1-5EC8-474A-84F8-965E38A5EC4A}"/>
    <cellStyle name="40% - Accent2 3 4 7" xfId="9610" xr:uid="{40D815BC-D6C4-4952-A14D-154BD16CB7F9}"/>
    <cellStyle name="40% - Accent2 3 5" xfId="1498" xr:uid="{00000000-0005-0000-0000-0000CF040000}"/>
    <cellStyle name="40% - Accent2 3 5 2" xfId="3728" xr:uid="{00000000-0005-0000-0000-0000D0040000}"/>
    <cellStyle name="40% - Accent2 3 5 2 2" xfId="7951" xr:uid="{00000000-0005-0000-0000-0000D1040000}"/>
    <cellStyle name="40% - Accent2 3 5 2 2 2" xfId="33250" xr:uid="{5A92FACD-6B67-433E-86C2-02821BBC8BB7}"/>
    <cellStyle name="40% - Accent2 3 5 2 2 3" xfId="24821" xr:uid="{DA963830-D2C1-44D0-8FB3-C64E63DF0653}"/>
    <cellStyle name="40% - Accent2 3 5 2 2 4" xfId="41678" xr:uid="{3388C7A3-5973-4640-98BE-25CACC7B9902}"/>
    <cellStyle name="40% - Accent2 3 5 2 2 5" xfId="16386" xr:uid="{1A3F3654-132F-48A0-A26C-88218FBD9C72}"/>
    <cellStyle name="40% - Accent2 3 5 2 3" xfId="29032" xr:uid="{199B89F7-53C2-4EC5-BD03-A300417950EA}"/>
    <cellStyle name="40% - Accent2 3 5 2 4" xfId="20603" xr:uid="{E36F57B9-FEEF-4471-97E4-D1EB9A6A047C}"/>
    <cellStyle name="40% - Accent2 3 5 2 5" xfId="37461" xr:uid="{CED31158-E2DF-44A0-9DD5-AAD2CBEEACFD}"/>
    <cellStyle name="40% - Accent2 3 5 2 6" xfId="12168" xr:uid="{B52D18C6-0B88-488A-94BB-AD14C3D1257A}"/>
    <cellStyle name="40% - Accent2 3 5 3" xfId="5806" xr:uid="{00000000-0005-0000-0000-0000D2040000}"/>
    <cellStyle name="40% - Accent2 3 5 3 2" xfId="31105" xr:uid="{6D5C90F6-A2D2-446B-873D-0481E4A6406F}"/>
    <cellStyle name="40% - Accent2 3 5 3 3" xfId="22676" xr:uid="{4804DC6F-0AFD-41BD-A0FE-F2275361F596}"/>
    <cellStyle name="40% - Accent2 3 5 3 4" xfId="39533" xr:uid="{8FBE625B-3AED-4238-8145-EF9A9EA72893}"/>
    <cellStyle name="40% - Accent2 3 5 3 5" xfId="14241" xr:uid="{6CBB7CE0-9583-4F55-B06A-8D3ECF7F006A}"/>
    <cellStyle name="40% - Accent2 3 5 4" xfId="26887" xr:uid="{C625B691-EDE5-45D4-94FE-0F45D3D368DF}"/>
    <cellStyle name="40% - Accent2 3 5 5" xfId="18458" xr:uid="{3708608F-4F4C-4C30-8815-F33F357FCC18}"/>
    <cellStyle name="40% - Accent2 3 5 6" xfId="35316" xr:uid="{D035C54F-F7B7-4DAD-AC19-3DAEE417559B}"/>
    <cellStyle name="40% - Accent2 3 5 7" xfId="10023" xr:uid="{D033F6AF-94AA-4902-98AF-EE0537EEF0EE}"/>
    <cellStyle name="40% - Accent2 3 6" xfId="1912" xr:uid="{00000000-0005-0000-0000-0000D3040000}"/>
    <cellStyle name="40% - Accent2 3 6 2" xfId="4141" xr:uid="{00000000-0005-0000-0000-0000D4040000}"/>
    <cellStyle name="40% - Accent2 3 6 2 2" xfId="8364" xr:uid="{00000000-0005-0000-0000-0000D5040000}"/>
    <cellStyle name="40% - Accent2 3 6 2 2 2" xfId="33663" xr:uid="{D0A85018-7CEE-4E23-AC37-6F42DD064483}"/>
    <cellStyle name="40% - Accent2 3 6 2 2 3" xfId="25234" xr:uid="{7D3D70A4-C9D5-48B3-AC51-F34B1EAC331D}"/>
    <cellStyle name="40% - Accent2 3 6 2 2 4" xfId="42091" xr:uid="{1A7C8820-0926-4DE5-ABFE-B8990D07398C}"/>
    <cellStyle name="40% - Accent2 3 6 2 2 5" xfId="16799" xr:uid="{17F38DA7-474A-4A27-8EF9-4CA443760D2D}"/>
    <cellStyle name="40% - Accent2 3 6 2 3" xfId="29445" xr:uid="{4805F73A-E5C5-4013-9D77-B92806BF6E09}"/>
    <cellStyle name="40% - Accent2 3 6 2 4" xfId="21016" xr:uid="{5702572F-5C04-4CD7-B8DB-7EFE26FD04AF}"/>
    <cellStyle name="40% - Accent2 3 6 2 5" xfId="37874" xr:uid="{C83A1A46-0E13-4A03-B8F2-8BC91C6B1661}"/>
    <cellStyle name="40% - Accent2 3 6 2 6" xfId="12581" xr:uid="{C07B571A-B153-4476-87B9-5C9EA7087EDE}"/>
    <cellStyle name="40% - Accent2 3 6 3" xfId="6219" xr:uid="{00000000-0005-0000-0000-0000D6040000}"/>
    <cellStyle name="40% - Accent2 3 6 3 2" xfId="31518" xr:uid="{3567E2DC-FAC1-4481-9D29-3C5539277D36}"/>
    <cellStyle name="40% - Accent2 3 6 3 3" xfId="23089" xr:uid="{3D4F92AE-9717-4005-A091-5B68C1349C92}"/>
    <cellStyle name="40% - Accent2 3 6 3 4" xfId="39946" xr:uid="{31B79D76-841C-4E1C-BA28-5F4D758EBE14}"/>
    <cellStyle name="40% - Accent2 3 6 3 5" xfId="14654" xr:uid="{BB059279-CD75-4FD1-886B-CB7C4F6A41D1}"/>
    <cellStyle name="40% - Accent2 3 6 4" xfId="27300" xr:uid="{1CF2D11A-5316-4D31-BDF5-A85BA9DBA8A1}"/>
    <cellStyle name="40% - Accent2 3 6 5" xfId="18871" xr:uid="{F2F1F5A2-B1FF-4D12-8206-5ADEE05903F8}"/>
    <cellStyle name="40% - Accent2 3 6 6" xfId="35729" xr:uid="{6A01217F-BF7F-4EEF-8D1F-23739897A681}"/>
    <cellStyle name="40% - Accent2 3 6 7" xfId="10436" xr:uid="{9254B1EF-0B64-4AA1-B44A-E9B985730F37}"/>
    <cellStyle name="40% - Accent2 3 7" xfId="2325" xr:uid="{00000000-0005-0000-0000-0000D7040000}"/>
    <cellStyle name="40% - Accent2 3 7 2" xfId="6632" xr:uid="{00000000-0005-0000-0000-0000D8040000}"/>
    <cellStyle name="40% - Accent2 3 7 2 2" xfId="31931" xr:uid="{634DE89C-3149-426D-B609-BA233394D819}"/>
    <cellStyle name="40% - Accent2 3 7 2 3" xfId="23502" xr:uid="{D5F03068-2D65-4537-87FD-1391316004AA}"/>
    <cellStyle name="40% - Accent2 3 7 2 4" xfId="40359" xr:uid="{C405E060-691B-4263-B8BB-BBDBF41C1376}"/>
    <cellStyle name="40% - Accent2 3 7 2 5" xfId="15067" xr:uid="{5A1AF818-1893-498E-BCC3-CD035F441889}"/>
    <cellStyle name="40% - Accent2 3 7 3" xfId="27713" xr:uid="{7BE50953-7E1C-4DB3-9BC5-CFA23B45B43E}"/>
    <cellStyle name="40% - Accent2 3 7 4" xfId="19284" xr:uid="{36EF3299-D7FA-4552-892B-4A71791AB22A}"/>
    <cellStyle name="40% - Accent2 3 7 5" xfId="36142" xr:uid="{CF542491-734D-4B82-B7F6-38866F828644}"/>
    <cellStyle name="40% - Accent2 3 7 6" xfId="10849" xr:uid="{09302C9B-CECB-40F1-B4EE-904E882C51FB}"/>
    <cellStyle name="40% - Accent2 3 8" xfId="4566" xr:uid="{00000000-0005-0000-0000-0000D9040000}"/>
    <cellStyle name="40% - Accent2 3 8 2" xfId="29865" xr:uid="{E95278A3-445E-44A1-826B-70EFEF9223CB}"/>
    <cellStyle name="40% - Accent2 3 8 3" xfId="21436" xr:uid="{B2AF7C20-6908-43F2-99CA-F92D6CF58127}"/>
    <cellStyle name="40% - Accent2 3 8 4" xfId="38293" xr:uid="{403C5222-E3D5-4E77-B653-E436338D68FC}"/>
    <cellStyle name="40% - Accent2 3 8 5" xfId="13001" xr:uid="{02EBDD1D-5130-4E91-8E93-82FEF8FC8BFF}"/>
    <cellStyle name="40% - Accent2 3 9" xfId="25647" xr:uid="{A18CE34C-0791-4ED2-9FC5-6FF13DC54DF5}"/>
    <cellStyle name="40% - Accent2 4" xfId="64" xr:uid="{00000000-0005-0000-0000-0000DA040000}"/>
    <cellStyle name="40% - Accent2 4 10" xfId="34078" xr:uid="{6475156B-51CD-4C03-AA57-C5BCF37B63EB}"/>
    <cellStyle name="40% - Accent2 4 11" xfId="8785" xr:uid="{E05F9BF9-8BCA-4143-A61F-6E81F06ED22C}"/>
    <cellStyle name="40% - Accent2 4 2" xfId="633" xr:uid="{00000000-0005-0000-0000-0000DB040000}"/>
    <cellStyle name="40% - Accent2 4 2 2" xfId="2904" xr:uid="{00000000-0005-0000-0000-0000DC040000}"/>
    <cellStyle name="40% - Accent2 4 2 2 2" xfId="7127" xr:uid="{00000000-0005-0000-0000-0000DD040000}"/>
    <cellStyle name="40% - Accent2 4 2 2 2 2" xfId="32426" xr:uid="{66B103BC-DCE9-49F5-A979-374129644A19}"/>
    <cellStyle name="40% - Accent2 4 2 2 2 3" xfId="23997" xr:uid="{59131D8D-478C-4916-B065-51AEFC7EC1B4}"/>
    <cellStyle name="40% - Accent2 4 2 2 2 4" xfId="40854" xr:uid="{6F456C6A-3FCD-4020-9BEE-E8E7FFC105D1}"/>
    <cellStyle name="40% - Accent2 4 2 2 2 5" xfId="15562" xr:uid="{52F8F3EE-C444-45D3-BA5F-2A0054A565A0}"/>
    <cellStyle name="40% - Accent2 4 2 2 3" xfId="28208" xr:uid="{3CD8A850-50B9-4406-9F9D-D0D3D8039EE4}"/>
    <cellStyle name="40% - Accent2 4 2 2 4" xfId="19779" xr:uid="{EA5A8658-361F-4260-BBBE-CBD267D1F19F}"/>
    <cellStyle name="40% - Accent2 4 2 2 5" xfId="36637" xr:uid="{0EE976A3-D947-4F02-9D25-BF4F6858DF00}"/>
    <cellStyle name="40% - Accent2 4 2 2 6" xfId="11344" xr:uid="{FF48BF6F-06DC-4451-B6F8-E7DF91C59BEE}"/>
    <cellStyle name="40% - Accent2 4 2 3" xfId="4982" xr:uid="{00000000-0005-0000-0000-0000DE040000}"/>
    <cellStyle name="40% - Accent2 4 2 3 2" xfId="30281" xr:uid="{0CC34B4B-1877-4183-A5EA-1DFEFDCA21DD}"/>
    <cellStyle name="40% - Accent2 4 2 3 3" xfId="21852" xr:uid="{D7A3BFC8-9A2C-4BC6-8788-2390847427FF}"/>
    <cellStyle name="40% - Accent2 4 2 3 4" xfId="38709" xr:uid="{C340800F-9202-4B49-A2F6-B0D62B46AC28}"/>
    <cellStyle name="40% - Accent2 4 2 3 5" xfId="13417" xr:uid="{8644459A-02C3-4FAE-90EF-D00DC9B30239}"/>
    <cellStyle name="40% - Accent2 4 2 4" xfId="26063" xr:uid="{4534751E-3091-4F1B-8DBA-1A980A4F4BAD}"/>
    <cellStyle name="40% - Accent2 4 2 5" xfId="17634" xr:uid="{EF46B4CD-77C2-4680-8A86-46B768F0B4E6}"/>
    <cellStyle name="40% - Accent2 4 2 6" xfId="34492" xr:uid="{B30CA90E-12DF-4A73-8B17-6500B11CA07A}"/>
    <cellStyle name="40% - Accent2 4 2 7" xfId="9199" xr:uid="{C1D08AD6-0F63-4A82-A61A-0F856FE1D941}"/>
    <cellStyle name="40% - Accent2 4 3" xfId="1086" xr:uid="{00000000-0005-0000-0000-0000DF040000}"/>
    <cellStyle name="40% - Accent2 4 3 2" xfId="3317" xr:uid="{00000000-0005-0000-0000-0000E0040000}"/>
    <cellStyle name="40% - Accent2 4 3 2 2" xfId="7540" xr:uid="{00000000-0005-0000-0000-0000E1040000}"/>
    <cellStyle name="40% - Accent2 4 3 2 2 2" xfId="32839" xr:uid="{FEE9C420-53BB-4D19-AE53-4231670F3473}"/>
    <cellStyle name="40% - Accent2 4 3 2 2 3" xfId="24410" xr:uid="{8DB0168B-77A0-4070-B146-0B563E144E3A}"/>
    <cellStyle name="40% - Accent2 4 3 2 2 4" xfId="41267" xr:uid="{A17C6F92-B987-4938-B04A-4AF941A0C474}"/>
    <cellStyle name="40% - Accent2 4 3 2 2 5" xfId="15975" xr:uid="{BBF7AF04-0934-4589-8EED-FB3F63513029}"/>
    <cellStyle name="40% - Accent2 4 3 2 3" xfId="28621" xr:uid="{0C06A7F3-FAFC-4436-8CEB-63C2624D45D2}"/>
    <cellStyle name="40% - Accent2 4 3 2 4" xfId="20192" xr:uid="{04B5CF2B-9D64-497A-903C-730A93BE7DFA}"/>
    <cellStyle name="40% - Accent2 4 3 2 5" xfId="37050" xr:uid="{5144FD14-A05E-466E-A6CF-FA9FD1CE6EA7}"/>
    <cellStyle name="40% - Accent2 4 3 2 6" xfId="11757" xr:uid="{13E0C3D6-AA41-41B8-8566-B952589E626F}"/>
    <cellStyle name="40% - Accent2 4 3 3" xfId="5395" xr:uid="{00000000-0005-0000-0000-0000E2040000}"/>
    <cellStyle name="40% - Accent2 4 3 3 2" xfId="30694" xr:uid="{74505325-D20D-46A0-B610-9868F36A7CBA}"/>
    <cellStyle name="40% - Accent2 4 3 3 3" xfId="22265" xr:uid="{2A7FF8A9-E321-4D60-9E29-6B41A97D864D}"/>
    <cellStyle name="40% - Accent2 4 3 3 4" xfId="39122" xr:uid="{9105606F-3EB5-46DD-BE2A-D00ECA78479F}"/>
    <cellStyle name="40% - Accent2 4 3 3 5" xfId="13830" xr:uid="{BDC7CE7A-A56F-41C7-B9F3-8B8D5A7A2F40}"/>
    <cellStyle name="40% - Accent2 4 3 4" xfId="26476" xr:uid="{BC813539-728E-482F-987F-9F1631AC6CAF}"/>
    <cellStyle name="40% - Accent2 4 3 5" xfId="18047" xr:uid="{39DCF9C2-43CB-4153-90E0-C57CB94C8DF4}"/>
    <cellStyle name="40% - Accent2 4 3 6" xfId="34905" xr:uid="{A0388783-F1F6-4FB1-B0B7-EA16900730F9}"/>
    <cellStyle name="40% - Accent2 4 3 7" xfId="9612" xr:uid="{E1C07687-E4CA-4B83-ABAD-086EA2C021F2}"/>
    <cellStyle name="40% - Accent2 4 4" xfId="1500" xr:uid="{00000000-0005-0000-0000-0000E3040000}"/>
    <cellStyle name="40% - Accent2 4 4 2" xfId="3730" xr:uid="{00000000-0005-0000-0000-0000E4040000}"/>
    <cellStyle name="40% - Accent2 4 4 2 2" xfId="7953" xr:uid="{00000000-0005-0000-0000-0000E5040000}"/>
    <cellStyle name="40% - Accent2 4 4 2 2 2" xfId="33252" xr:uid="{FA044CA8-F78F-4261-83A1-240E49634E02}"/>
    <cellStyle name="40% - Accent2 4 4 2 2 3" xfId="24823" xr:uid="{9871A801-34FD-45D6-AB34-B24A65B33E11}"/>
    <cellStyle name="40% - Accent2 4 4 2 2 4" xfId="41680" xr:uid="{01D8CC6A-AE2B-41F8-ACDB-846836606DC3}"/>
    <cellStyle name="40% - Accent2 4 4 2 2 5" xfId="16388" xr:uid="{689754DF-6A46-4C42-94E5-B75FFBB8F4C3}"/>
    <cellStyle name="40% - Accent2 4 4 2 3" xfId="29034" xr:uid="{0A1437FD-ABA7-4565-9A36-D2D20E75D666}"/>
    <cellStyle name="40% - Accent2 4 4 2 4" xfId="20605" xr:uid="{C5BA45BB-D8CC-4A8D-9C08-F2FF0F94403C}"/>
    <cellStyle name="40% - Accent2 4 4 2 5" xfId="37463" xr:uid="{4171482B-33C5-4756-A906-156D50C1E336}"/>
    <cellStyle name="40% - Accent2 4 4 2 6" xfId="12170" xr:uid="{5020A719-1A65-4CE5-BCB9-C202126857BD}"/>
    <cellStyle name="40% - Accent2 4 4 3" xfId="5808" xr:uid="{00000000-0005-0000-0000-0000E6040000}"/>
    <cellStyle name="40% - Accent2 4 4 3 2" xfId="31107" xr:uid="{89ACC796-519F-4FF7-8FA0-6D7B05AA8C8B}"/>
    <cellStyle name="40% - Accent2 4 4 3 3" xfId="22678" xr:uid="{A74C80B2-441B-4241-BCD4-AE78BF9BA232}"/>
    <cellStyle name="40% - Accent2 4 4 3 4" xfId="39535" xr:uid="{4005B12B-2167-41E5-ABE5-336BB881E3C1}"/>
    <cellStyle name="40% - Accent2 4 4 3 5" xfId="14243" xr:uid="{B9B9A8E4-E07F-4B92-8543-B0B9AD222374}"/>
    <cellStyle name="40% - Accent2 4 4 4" xfId="26889" xr:uid="{A3A0E6D2-599F-4BE7-A851-CCDCB339706B}"/>
    <cellStyle name="40% - Accent2 4 4 5" xfId="18460" xr:uid="{0E56BBA4-5382-42A8-AF9F-5917F8427ACD}"/>
    <cellStyle name="40% - Accent2 4 4 6" xfId="35318" xr:uid="{AA94C31E-08AB-4B3C-8108-6FA6E4672CE7}"/>
    <cellStyle name="40% - Accent2 4 4 7" xfId="10025" xr:uid="{238ADFA3-5A41-4C1E-B56D-110978433D6B}"/>
    <cellStyle name="40% - Accent2 4 5" xfId="1914" xr:uid="{00000000-0005-0000-0000-0000E7040000}"/>
    <cellStyle name="40% - Accent2 4 5 2" xfId="4143" xr:uid="{00000000-0005-0000-0000-0000E8040000}"/>
    <cellStyle name="40% - Accent2 4 5 2 2" xfId="8366" xr:uid="{00000000-0005-0000-0000-0000E9040000}"/>
    <cellStyle name="40% - Accent2 4 5 2 2 2" xfId="33665" xr:uid="{0A60987A-080F-403B-94FE-E41E6D90D8FE}"/>
    <cellStyle name="40% - Accent2 4 5 2 2 3" xfId="25236" xr:uid="{70B22AC5-6029-4003-8671-E64C6E00846D}"/>
    <cellStyle name="40% - Accent2 4 5 2 2 4" xfId="42093" xr:uid="{F0D91D37-25E2-4334-9B7D-9D31EFD2E9DF}"/>
    <cellStyle name="40% - Accent2 4 5 2 2 5" xfId="16801" xr:uid="{39AEA4CF-0EA9-4ED1-A24A-0CC34927999A}"/>
    <cellStyle name="40% - Accent2 4 5 2 3" xfId="29447" xr:uid="{CBB0B754-01E2-493E-954A-E3B00BE950ED}"/>
    <cellStyle name="40% - Accent2 4 5 2 4" xfId="21018" xr:uid="{4763B485-265D-4A50-8312-E13ACBAAEAFA}"/>
    <cellStyle name="40% - Accent2 4 5 2 5" xfId="37876" xr:uid="{D0503A77-BFC9-4CC2-8443-27D0DBB6466E}"/>
    <cellStyle name="40% - Accent2 4 5 2 6" xfId="12583" xr:uid="{6AE9D38F-6C33-44E7-9404-42C37F776701}"/>
    <cellStyle name="40% - Accent2 4 5 3" xfId="6221" xr:uid="{00000000-0005-0000-0000-0000EA040000}"/>
    <cellStyle name="40% - Accent2 4 5 3 2" xfId="31520" xr:uid="{616163BF-1015-4B4D-8A36-5D2A5EC2142B}"/>
    <cellStyle name="40% - Accent2 4 5 3 3" xfId="23091" xr:uid="{11D1047A-87CC-4C7B-805D-3B7C502AC095}"/>
    <cellStyle name="40% - Accent2 4 5 3 4" xfId="39948" xr:uid="{EBA28B6D-5354-4C2F-A97C-9045D5C41C66}"/>
    <cellStyle name="40% - Accent2 4 5 3 5" xfId="14656" xr:uid="{52134F14-9B9D-411D-8903-2801BA9C80EE}"/>
    <cellStyle name="40% - Accent2 4 5 4" xfId="27302" xr:uid="{227DA7D3-6D83-43F1-BDA7-0BA9CD93002A}"/>
    <cellStyle name="40% - Accent2 4 5 5" xfId="18873" xr:uid="{CC05F773-F9FE-45F6-A889-EBF0B82A3F86}"/>
    <cellStyle name="40% - Accent2 4 5 6" xfId="35731" xr:uid="{15EDAD2F-1705-4AE3-9364-932B4741C3C3}"/>
    <cellStyle name="40% - Accent2 4 5 7" xfId="10438" xr:uid="{11B6D19F-A3CD-4B28-A7A2-6A2F4762A15C}"/>
    <cellStyle name="40% - Accent2 4 6" xfId="2327" xr:uid="{00000000-0005-0000-0000-0000EB040000}"/>
    <cellStyle name="40% - Accent2 4 6 2" xfId="6634" xr:uid="{00000000-0005-0000-0000-0000EC040000}"/>
    <cellStyle name="40% - Accent2 4 6 2 2" xfId="31933" xr:uid="{7D2F01B3-B3C0-4911-87D1-F43217BBBC28}"/>
    <cellStyle name="40% - Accent2 4 6 2 3" xfId="23504" xr:uid="{4EAA0520-F142-4C69-8A49-D05E1BC2AC2A}"/>
    <cellStyle name="40% - Accent2 4 6 2 4" xfId="40361" xr:uid="{86E02084-E4E7-4DC5-AF8E-CA6C294820B1}"/>
    <cellStyle name="40% - Accent2 4 6 2 5" xfId="15069" xr:uid="{50696509-9949-4D47-81CB-9760E6F9B289}"/>
    <cellStyle name="40% - Accent2 4 6 3" xfId="27715" xr:uid="{4E93BDF4-ADDD-43F1-8102-0D713C3CE2FB}"/>
    <cellStyle name="40% - Accent2 4 6 4" xfId="19286" xr:uid="{D42C9AD4-4136-4197-95A1-6B1A42668373}"/>
    <cellStyle name="40% - Accent2 4 6 5" xfId="36144" xr:uid="{EAF1C458-71FF-40E6-A5C1-2BD0B33B176B}"/>
    <cellStyle name="40% - Accent2 4 6 6" xfId="10851" xr:uid="{FC84382F-0936-4994-931C-9730BC9956F3}"/>
    <cellStyle name="40% - Accent2 4 7" xfId="4568" xr:uid="{00000000-0005-0000-0000-0000ED040000}"/>
    <cellStyle name="40% - Accent2 4 7 2" xfId="29867" xr:uid="{27E919E0-D595-40A9-90DA-598AD1C19209}"/>
    <cellStyle name="40% - Accent2 4 7 3" xfId="21438" xr:uid="{359D0A62-63D4-44E0-86C5-E493BAEAB6DD}"/>
    <cellStyle name="40% - Accent2 4 7 4" xfId="38295" xr:uid="{F6C8DD15-5442-4EF4-82D0-3468177C2944}"/>
    <cellStyle name="40% - Accent2 4 7 5" xfId="13003" xr:uid="{E68B6F79-DECD-4F41-868C-3424DF830209}"/>
    <cellStyle name="40% - Accent2 4 8" xfId="25649" xr:uid="{3492B606-EF6E-4061-8FD4-11A4CD86BE20}"/>
    <cellStyle name="40% - Accent2 4 9" xfId="17220" xr:uid="{5F7BD086-4800-486D-8F26-C9D2817AA2F5}"/>
    <cellStyle name="40% - Accent2 5" xfId="626" xr:uid="{00000000-0005-0000-0000-0000EE040000}"/>
    <cellStyle name="40% - Accent2 5 2" xfId="2897" xr:uid="{00000000-0005-0000-0000-0000EF040000}"/>
    <cellStyle name="40% - Accent2 5 2 2" xfId="7120" xr:uid="{00000000-0005-0000-0000-0000F0040000}"/>
    <cellStyle name="40% - Accent2 5 2 2 2" xfId="32419" xr:uid="{F8CF1106-8991-4538-B2C7-8D57ACA096BB}"/>
    <cellStyle name="40% - Accent2 5 2 2 3" xfId="23990" xr:uid="{5F2803A5-457E-48DF-AF77-00EEDF7F6100}"/>
    <cellStyle name="40% - Accent2 5 2 2 4" xfId="40847" xr:uid="{17340F48-0283-4A03-8715-735A6D8926EC}"/>
    <cellStyle name="40% - Accent2 5 2 2 5" xfId="15555" xr:uid="{183A5849-0B2C-4EAE-8888-32A371D87E83}"/>
    <cellStyle name="40% - Accent2 5 2 3" xfId="28201" xr:uid="{F204AE29-05AD-4635-9116-2F44800B46F2}"/>
    <cellStyle name="40% - Accent2 5 2 4" xfId="19772" xr:uid="{EA01D111-D479-40FF-92E0-CC6035570505}"/>
    <cellStyle name="40% - Accent2 5 2 5" xfId="36630" xr:uid="{0D152C20-F4D4-4CE4-81DB-B207A7065A5F}"/>
    <cellStyle name="40% - Accent2 5 2 6" xfId="11337" xr:uid="{729A742E-BD65-48C8-8AA4-3CDCF0F924C5}"/>
    <cellStyle name="40% - Accent2 5 3" xfId="4975" xr:uid="{00000000-0005-0000-0000-0000F1040000}"/>
    <cellStyle name="40% - Accent2 5 3 2" xfId="30274" xr:uid="{7A1EBFF4-DE54-4051-8C10-9D8CC45F09C1}"/>
    <cellStyle name="40% - Accent2 5 3 3" xfId="21845" xr:uid="{495CBD34-A62A-49D2-9D87-2AB6987BFFA7}"/>
    <cellStyle name="40% - Accent2 5 3 4" xfId="38702" xr:uid="{FEB88EAC-605D-4AF1-AAD4-7791342684EF}"/>
    <cellStyle name="40% - Accent2 5 3 5" xfId="13410" xr:uid="{CED7A943-A197-49EC-9FCF-61D402F67C9A}"/>
    <cellStyle name="40% - Accent2 5 4" xfId="26056" xr:uid="{DC06EBFC-A51F-4422-98A3-305D40F81660}"/>
    <cellStyle name="40% - Accent2 5 5" xfId="17627" xr:uid="{9A58EA80-8185-41B9-8CCF-759AEF37CC87}"/>
    <cellStyle name="40% - Accent2 5 6" xfId="34485" xr:uid="{4FA38BAE-437E-4DDB-9DCF-D03B4C80078C}"/>
    <cellStyle name="40% - Accent2 5 7" xfId="9192" xr:uid="{350B7275-E672-4648-B4EE-20041820EA49}"/>
    <cellStyle name="40% - Accent2 6" xfId="1079" xr:uid="{00000000-0005-0000-0000-0000F2040000}"/>
    <cellStyle name="40% - Accent2 6 2" xfId="3310" xr:uid="{00000000-0005-0000-0000-0000F3040000}"/>
    <cellStyle name="40% - Accent2 6 2 2" xfId="7533" xr:uid="{00000000-0005-0000-0000-0000F4040000}"/>
    <cellStyle name="40% - Accent2 6 2 2 2" xfId="32832" xr:uid="{47011D06-AE72-482B-9449-A2EBA6595EA0}"/>
    <cellStyle name="40% - Accent2 6 2 2 3" xfId="24403" xr:uid="{AC679542-5046-419F-8D5F-78150C9D843F}"/>
    <cellStyle name="40% - Accent2 6 2 2 4" xfId="41260" xr:uid="{BC8100D7-21A2-4241-A17D-C9E67560A85F}"/>
    <cellStyle name="40% - Accent2 6 2 2 5" xfId="15968" xr:uid="{7937A644-E078-43E4-88BB-B83DC65606C9}"/>
    <cellStyle name="40% - Accent2 6 2 3" xfId="28614" xr:uid="{C21E5AA0-9D14-4C77-8AC1-21B0BA8AE745}"/>
    <cellStyle name="40% - Accent2 6 2 4" xfId="20185" xr:uid="{EBFB5464-0C1B-4577-833C-30867A6EE5B8}"/>
    <cellStyle name="40% - Accent2 6 2 5" xfId="37043" xr:uid="{AB4E5143-0A51-4DBA-B37A-2A92B763E3F1}"/>
    <cellStyle name="40% - Accent2 6 2 6" xfId="11750" xr:uid="{25D60A5D-D42D-4A80-9A9C-37B41F2FCBF0}"/>
    <cellStyle name="40% - Accent2 6 3" xfId="5388" xr:uid="{00000000-0005-0000-0000-0000F5040000}"/>
    <cellStyle name="40% - Accent2 6 3 2" xfId="30687" xr:uid="{A4DB83AB-D01F-484F-A65E-DCC4BDDED25B}"/>
    <cellStyle name="40% - Accent2 6 3 3" xfId="22258" xr:uid="{52D4F926-876A-4016-8521-F56818429F99}"/>
    <cellStyle name="40% - Accent2 6 3 4" xfId="39115" xr:uid="{DF98582A-EAF9-4993-BB2F-C752CE84C268}"/>
    <cellStyle name="40% - Accent2 6 3 5" xfId="13823" xr:uid="{5507FF4B-2C20-4753-8AD3-620813ADD165}"/>
    <cellStyle name="40% - Accent2 6 4" xfId="26469" xr:uid="{AB1B2E59-A79A-4944-B3D2-5081A3B7FA18}"/>
    <cellStyle name="40% - Accent2 6 5" xfId="18040" xr:uid="{29B2B6BE-A2F5-4CA5-A4A1-D8C29A82F564}"/>
    <cellStyle name="40% - Accent2 6 6" xfId="34898" xr:uid="{C8EE8698-3783-49D7-9FDD-C9478FB65168}"/>
    <cellStyle name="40% - Accent2 6 7" xfId="9605" xr:uid="{3B8A7634-C32C-424D-B013-E60D31B57AFC}"/>
    <cellStyle name="40% - Accent2 7" xfId="1493" xr:uid="{00000000-0005-0000-0000-0000F6040000}"/>
    <cellStyle name="40% - Accent2 7 2" xfId="3723" xr:uid="{00000000-0005-0000-0000-0000F7040000}"/>
    <cellStyle name="40% - Accent2 7 2 2" xfId="7946" xr:uid="{00000000-0005-0000-0000-0000F8040000}"/>
    <cellStyle name="40% - Accent2 7 2 2 2" xfId="33245" xr:uid="{5AAD3340-0140-4F8F-BBDC-FEC2755B63CD}"/>
    <cellStyle name="40% - Accent2 7 2 2 3" xfId="24816" xr:uid="{C2A4DA47-DE15-40CA-96E5-581C4ABBFAF2}"/>
    <cellStyle name="40% - Accent2 7 2 2 4" xfId="41673" xr:uid="{FCB50921-46D6-4683-A177-6829D4B1A285}"/>
    <cellStyle name="40% - Accent2 7 2 2 5" xfId="16381" xr:uid="{8105508F-DAE5-46FD-97C1-B9B1F295EBDD}"/>
    <cellStyle name="40% - Accent2 7 2 3" xfId="29027" xr:uid="{A521D228-6EF6-48D6-B31A-21FDA86EDC5A}"/>
    <cellStyle name="40% - Accent2 7 2 4" xfId="20598" xr:uid="{2008BC50-8995-45E7-82FD-9C7752D62589}"/>
    <cellStyle name="40% - Accent2 7 2 5" xfId="37456" xr:uid="{B980AD69-CA40-4BA8-AF79-95170115E1EA}"/>
    <cellStyle name="40% - Accent2 7 2 6" xfId="12163" xr:uid="{4F086DD7-3AAB-445B-9E84-DD1F8A0CCF2E}"/>
    <cellStyle name="40% - Accent2 7 3" xfId="5801" xr:uid="{00000000-0005-0000-0000-0000F9040000}"/>
    <cellStyle name="40% - Accent2 7 3 2" xfId="31100" xr:uid="{0FE56925-C9C1-4EA5-BE70-2B6C4452D185}"/>
    <cellStyle name="40% - Accent2 7 3 3" xfId="22671" xr:uid="{4A4063EA-4078-41F5-A1B4-15EFBC92E312}"/>
    <cellStyle name="40% - Accent2 7 3 4" xfId="39528" xr:uid="{7E862510-615F-4AE5-9CFA-F2836468EB1F}"/>
    <cellStyle name="40% - Accent2 7 3 5" xfId="14236" xr:uid="{F7C4CCAD-8D66-45D8-A0A2-86D91F328DD9}"/>
    <cellStyle name="40% - Accent2 7 4" xfId="26882" xr:uid="{13EE98BA-4044-41F6-A343-BC3848D825CF}"/>
    <cellStyle name="40% - Accent2 7 5" xfId="18453" xr:uid="{D1444A58-4DBA-453E-98B9-BC45BEDEE0E3}"/>
    <cellStyle name="40% - Accent2 7 6" xfId="35311" xr:uid="{58AEB3CB-373B-43F7-B039-0460CCB21143}"/>
    <cellStyle name="40% - Accent2 7 7" xfId="10018" xr:uid="{4B0B0F28-1F81-4A91-B98A-B9327C18765F}"/>
    <cellStyle name="40% - Accent2 8" xfId="1907" xr:uid="{00000000-0005-0000-0000-0000FA040000}"/>
    <cellStyle name="40% - Accent2 8 2" xfId="4136" xr:uid="{00000000-0005-0000-0000-0000FB040000}"/>
    <cellStyle name="40% - Accent2 8 2 2" xfId="8359" xr:uid="{00000000-0005-0000-0000-0000FC040000}"/>
    <cellStyle name="40% - Accent2 8 2 2 2" xfId="33658" xr:uid="{322D6B86-5A3B-4C42-947A-A62C6CA96A7F}"/>
    <cellStyle name="40% - Accent2 8 2 2 3" xfId="25229" xr:uid="{14F29AAE-60E3-4177-BAA6-4FF8455F625C}"/>
    <cellStyle name="40% - Accent2 8 2 2 4" xfId="42086" xr:uid="{D6C5E096-B3E1-46B5-A8D4-5D187B005069}"/>
    <cellStyle name="40% - Accent2 8 2 2 5" xfId="16794" xr:uid="{4E6E3431-692B-4EB7-8E61-54228C66F3EA}"/>
    <cellStyle name="40% - Accent2 8 2 3" xfId="29440" xr:uid="{F6EB8276-9442-42FD-B25A-0A1DD18F462E}"/>
    <cellStyle name="40% - Accent2 8 2 4" xfId="21011" xr:uid="{7C7E369F-B797-43D6-B70C-2E056C480FBB}"/>
    <cellStyle name="40% - Accent2 8 2 5" xfId="37869" xr:uid="{01637DD8-EAC9-490D-8203-05812907D785}"/>
    <cellStyle name="40% - Accent2 8 2 6" xfId="12576" xr:uid="{40082597-1887-4DCD-8E12-8F063C95CD48}"/>
    <cellStyle name="40% - Accent2 8 3" xfId="6214" xr:uid="{00000000-0005-0000-0000-0000FD040000}"/>
    <cellStyle name="40% - Accent2 8 3 2" xfId="31513" xr:uid="{423D6267-C3B6-4A0A-AE2F-2E45D5ACA463}"/>
    <cellStyle name="40% - Accent2 8 3 3" xfId="23084" xr:uid="{E9133C78-7E67-4DDE-B6E8-3F55FA83DA09}"/>
    <cellStyle name="40% - Accent2 8 3 4" xfId="39941" xr:uid="{5067901A-DBD9-48FD-A3D1-583872C3B39A}"/>
    <cellStyle name="40% - Accent2 8 3 5" xfId="14649" xr:uid="{43887302-445C-4090-8A9A-9ABD543FF219}"/>
    <cellStyle name="40% - Accent2 8 4" xfId="27295" xr:uid="{68941F34-770F-4ED8-A41D-039669D17A52}"/>
    <cellStyle name="40% - Accent2 8 5" xfId="18866" xr:uid="{4E7C817D-465C-42EF-9760-730453247D6F}"/>
    <cellStyle name="40% - Accent2 8 6" xfId="35724" xr:uid="{0B819759-189B-458F-B1B4-1C3222118199}"/>
    <cellStyle name="40% - Accent2 8 7" xfId="10431" xr:uid="{10DFF3C9-DB0A-480E-8919-A28D3DD9E579}"/>
    <cellStyle name="40% - Accent2 9" xfId="2320" xr:uid="{00000000-0005-0000-0000-0000FE040000}"/>
    <cellStyle name="40% - Accent2 9 2" xfId="6627" xr:uid="{00000000-0005-0000-0000-0000FF040000}"/>
    <cellStyle name="40% - Accent2 9 2 2" xfId="31926" xr:uid="{BB07C84E-EE1E-4445-B1AC-5183661CB9B2}"/>
    <cellStyle name="40% - Accent2 9 2 3" xfId="23497" xr:uid="{354C0498-0639-412A-ADF1-3B64EE8F1F2B}"/>
    <cellStyle name="40% - Accent2 9 2 4" xfId="40354" xr:uid="{16251479-42E1-4F27-BD6B-6B1B5D7C34F9}"/>
    <cellStyle name="40% - Accent2 9 2 5" xfId="15062" xr:uid="{DBC071A4-5D18-4A82-9650-7C52C609FF9C}"/>
    <cellStyle name="40% - Accent2 9 3" xfId="27708" xr:uid="{272C5C13-9572-49AE-8B49-11BDE24D7652}"/>
    <cellStyle name="40% - Accent2 9 4" xfId="19279" xr:uid="{7A675B14-D782-4B94-A3EB-7D36DAE92B60}"/>
    <cellStyle name="40% - Accent2 9 5" xfId="36137" xr:uid="{0DAC9FFA-3271-4392-9E59-E2BA1CD199D3}"/>
    <cellStyle name="40% - Accent2 9 6" xfId="10844" xr:uid="{AA6F9C83-CB7E-492D-8838-1D2AD1D55920}"/>
    <cellStyle name="40% - Accent3" xfId="65" builtinId="39" customBuiltin="1"/>
    <cellStyle name="40% - Accent3 10" xfId="4569" xr:uid="{00000000-0005-0000-0000-000001050000}"/>
    <cellStyle name="40% - Accent3 10 2" xfId="29868" xr:uid="{ACDB2E1E-2949-4BA0-B20C-03C21F9659C5}"/>
    <cellStyle name="40% - Accent3 10 3" xfId="21439" xr:uid="{06CF677E-721C-4B79-9F14-E44444B165D8}"/>
    <cellStyle name="40% - Accent3 10 4" xfId="38296" xr:uid="{FB2CC8BC-AA92-45F4-9A5E-A6E9280E6957}"/>
    <cellStyle name="40% - Accent3 10 5" xfId="13004" xr:uid="{F170EBD4-F739-4EF9-A5AA-0FE67389302F}"/>
    <cellStyle name="40% - Accent3 11" xfId="25650" xr:uid="{1C935E9E-6255-41CA-A160-0DEF3D5C8528}"/>
    <cellStyle name="40% - Accent3 12" xfId="17221" xr:uid="{2FF2AEF3-5DE3-4F3B-AB58-60FFB7EAEB68}"/>
    <cellStyle name="40% - Accent3 13" xfId="34079" xr:uid="{D36B9DBA-DEB2-4485-8518-A87C4D38E7BD}"/>
    <cellStyle name="40% - Accent3 14" xfId="8786" xr:uid="{22F299A5-E97B-4196-844A-1C73806631FC}"/>
    <cellStyle name="40% - Accent3 2" xfId="66" xr:uid="{00000000-0005-0000-0000-000002050000}"/>
    <cellStyle name="40% - Accent3 2 10" xfId="25651" xr:uid="{32888BDD-66E6-49FB-A6CB-6FF27CF148A2}"/>
    <cellStyle name="40% - Accent3 2 11" xfId="17222" xr:uid="{D7DF9D75-A4A5-4B46-9A4C-0B26BD5EEACD}"/>
    <cellStyle name="40% - Accent3 2 12" xfId="34080" xr:uid="{F05E6CED-1451-4AC9-AB70-2981FA707982}"/>
    <cellStyle name="40% - Accent3 2 13" xfId="8787" xr:uid="{A6F34876-A8F8-4090-B651-A4ADED3CFDDA}"/>
    <cellStyle name="40% - Accent3 2 2" xfId="67" xr:uid="{00000000-0005-0000-0000-000003050000}"/>
    <cellStyle name="40% - Accent3 2 2 10" xfId="17223" xr:uid="{F8433ED4-78D8-4409-8827-21F8E69B4DDC}"/>
    <cellStyle name="40% - Accent3 2 2 11" xfId="34081" xr:uid="{7216CC98-9294-415A-94C5-5DB39458DE24}"/>
    <cellStyle name="40% - Accent3 2 2 12" xfId="8788" xr:uid="{6BDB7DF7-9981-4F03-A05E-A28AE738FCAD}"/>
    <cellStyle name="40% - Accent3 2 2 2" xfId="68" xr:uid="{00000000-0005-0000-0000-000004050000}"/>
    <cellStyle name="40% - Accent3 2 2 2 10" xfId="34082" xr:uid="{E3903B39-1B5A-400D-8B35-6585FBCDBFE4}"/>
    <cellStyle name="40% - Accent3 2 2 2 11" xfId="8789" xr:uid="{B4850E01-096E-4055-ACA1-D2497F134111}"/>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32430" xr:uid="{A78D1FA6-9BEA-4C4D-9DD6-D1DA98E9390C}"/>
    <cellStyle name="40% - Accent3 2 2 2 2 2 2 3" xfId="24001" xr:uid="{AFC297EA-755B-46D2-A8D4-ED17191E820D}"/>
    <cellStyle name="40% - Accent3 2 2 2 2 2 2 4" xfId="40858" xr:uid="{24CC1DEC-2EB0-465B-97BA-33523E3A1A14}"/>
    <cellStyle name="40% - Accent3 2 2 2 2 2 2 5" xfId="15566" xr:uid="{2B747C85-19B7-41E3-9966-ED7C03B01F63}"/>
    <cellStyle name="40% - Accent3 2 2 2 2 2 3" xfId="28212" xr:uid="{93FBC941-01ED-4B8C-8628-4A37C26FEDC1}"/>
    <cellStyle name="40% - Accent3 2 2 2 2 2 4" xfId="19783" xr:uid="{5A6F16BC-C136-40C1-AE1D-244E197C9823}"/>
    <cellStyle name="40% - Accent3 2 2 2 2 2 5" xfId="36641" xr:uid="{8781063F-5A25-4394-99A5-AB8C5BFFFDB6}"/>
    <cellStyle name="40% - Accent3 2 2 2 2 2 6" xfId="11348" xr:uid="{17614D35-A982-4082-808D-4F2F166C2FBC}"/>
    <cellStyle name="40% - Accent3 2 2 2 2 3" xfId="4986" xr:uid="{00000000-0005-0000-0000-000008050000}"/>
    <cellStyle name="40% - Accent3 2 2 2 2 3 2" xfId="30285" xr:uid="{DBDE0CBF-849E-4425-A4EA-D8A921CB1176}"/>
    <cellStyle name="40% - Accent3 2 2 2 2 3 3" xfId="21856" xr:uid="{24D84350-F2B2-4936-AA01-4AE41D8DAA8E}"/>
    <cellStyle name="40% - Accent3 2 2 2 2 3 4" xfId="38713" xr:uid="{84C849DD-B0D3-4A66-8E30-E6040A906D46}"/>
    <cellStyle name="40% - Accent3 2 2 2 2 3 5" xfId="13421" xr:uid="{47F2BA7B-07DE-4F2C-9849-219449A4CEAD}"/>
    <cellStyle name="40% - Accent3 2 2 2 2 4" xfId="26067" xr:uid="{38BB31C9-8AF6-4EC3-BC41-5A7CA9005C88}"/>
    <cellStyle name="40% - Accent3 2 2 2 2 5" xfId="17638" xr:uid="{F06206A1-7064-4883-9FE9-25C60959068A}"/>
    <cellStyle name="40% - Accent3 2 2 2 2 6" xfId="34496" xr:uid="{9E4A7705-0C72-4600-989A-D527401F8E42}"/>
    <cellStyle name="40% - Accent3 2 2 2 2 7" xfId="9203" xr:uid="{B28A2767-2250-4689-A05B-C93C8525E2F3}"/>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32843" xr:uid="{2CD17819-2BD4-4E7C-840A-DA371F6124DE}"/>
    <cellStyle name="40% - Accent3 2 2 2 3 2 2 3" xfId="24414" xr:uid="{7D8F7D25-0F82-4AE8-9953-9265D981BA19}"/>
    <cellStyle name="40% - Accent3 2 2 2 3 2 2 4" xfId="41271" xr:uid="{C3FEEA49-39DF-45DC-B5FB-00F33CE5BD60}"/>
    <cellStyle name="40% - Accent3 2 2 2 3 2 2 5" xfId="15979" xr:uid="{6AE923AE-1950-43DC-82AF-07FA30ADB21D}"/>
    <cellStyle name="40% - Accent3 2 2 2 3 2 3" xfId="28625" xr:uid="{77DFA94B-1BFF-4084-B4ED-7B5B70BC9A02}"/>
    <cellStyle name="40% - Accent3 2 2 2 3 2 4" xfId="20196" xr:uid="{76E75B52-7E70-462C-8C55-FEBD340951F5}"/>
    <cellStyle name="40% - Accent3 2 2 2 3 2 5" xfId="37054" xr:uid="{0EF9C9D7-6B51-4263-8B7A-AEBCB3C1CBAB}"/>
    <cellStyle name="40% - Accent3 2 2 2 3 2 6" xfId="11761" xr:uid="{A017AF1A-4ECB-47DB-9E45-869EC82E0469}"/>
    <cellStyle name="40% - Accent3 2 2 2 3 3" xfId="5399" xr:uid="{00000000-0005-0000-0000-00000C050000}"/>
    <cellStyle name="40% - Accent3 2 2 2 3 3 2" xfId="30698" xr:uid="{DBB9D55D-977E-43F8-9C60-C279D97B16EE}"/>
    <cellStyle name="40% - Accent3 2 2 2 3 3 3" xfId="22269" xr:uid="{D2C00C2C-806E-42B6-96CC-646AD72EDCBE}"/>
    <cellStyle name="40% - Accent3 2 2 2 3 3 4" xfId="39126" xr:uid="{5F6DA229-37C6-4CD4-8AF0-2180C8789128}"/>
    <cellStyle name="40% - Accent3 2 2 2 3 3 5" xfId="13834" xr:uid="{65545F71-F483-44FB-9907-4BAE4A32FA9A}"/>
    <cellStyle name="40% - Accent3 2 2 2 3 4" xfId="26480" xr:uid="{E02E7A55-807B-41BF-A32D-D70539169230}"/>
    <cellStyle name="40% - Accent3 2 2 2 3 5" xfId="18051" xr:uid="{782D7B26-9B45-49F3-B63B-25DC65020AC3}"/>
    <cellStyle name="40% - Accent3 2 2 2 3 6" xfId="34909" xr:uid="{D70DFA02-274A-46A2-8BDA-7E3400E85940}"/>
    <cellStyle name="40% - Accent3 2 2 2 3 7" xfId="9616" xr:uid="{5BF1CF33-C3E5-487C-B4CC-4108D49EC772}"/>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33256" xr:uid="{B7163778-D3AF-4C8B-BADD-0A89F972A7E1}"/>
    <cellStyle name="40% - Accent3 2 2 2 4 2 2 3" xfId="24827" xr:uid="{3348588A-1FC7-48B0-897E-DB637EF0E7AD}"/>
    <cellStyle name="40% - Accent3 2 2 2 4 2 2 4" xfId="41684" xr:uid="{8C20969F-FC25-4FA2-B256-425CA86665AB}"/>
    <cellStyle name="40% - Accent3 2 2 2 4 2 2 5" xfId="16392" xr:uid="{DBBDEF91-85DC-4CC8-AA66-89862BE8722E}"/>
    <cellStyle name="40% - Accent3 2 2 2 4 2 3" xfId="29038" xr:uid="{7031D9A2-5A5D-4BBF-80A4-05035AA10107}"/>
    <cellStyle name="40% - Accent3 2 2 2 4 2 4" xfId="20609" xr:uid="{433D99BA-741A-490B-A366-6031CF861DB1}"/>
    <cellStyle name="40% - Accent3 2 2 2 4 2 5" xfId="37467" xr:uid="{231906C4-47BB-457D-A3D1-E6F4F0CBE5D1}"/>
    <cellStyle name="40% - Accent3 2 2 2 4 2 6" xfId="12174" xr:uid="{BCE2CF54-20B7-494B-94A0-FED0CD728989}"/>
    <cellStyle name="40% - Accent3 2 2 2 4 3" xfId="5812" xr:uid="{00000000-0005-0000-0000-000010050000}"/>
    <cellStyle name="40% - Accent3 2 2 2 4 3 2" xfId="31111" xr:uid="{9789589A-B603-41FA-8EAC-F9BE170EE217}"/>
    <cellStyle name="40% - Accent3 2 2 2 4 3 3" xfId="22682" xr:uid="{F23579B8-A566-49EB-870F-B06187ED26B0}"/>
    <cellStyle name="40% - Accent3 2 2 2 4 3 4" xfId="39539" xr:uid="{3AEFD7A2-947F-4991-9C24-AFE83931573E}"/>
    <cellStyle name="40% - Accent3 2 2 2 4 3 5" xfId="14247" xr:uid="{C5875C7D-DC95-43D4-AF2D-7B6B5D1591C7}"/>
    <cellStyle name="40% - Accent3 2 2 2 4 4" xfId="26893" xr:uid="{8602137C-1C21-4749-9DAC-3F284AD34B16}"/>
    <cellStyle name="40% - Accent3 2 2 2 4 5" xfId="18464" xr:uid="{5FB4F216-5BA3-46FA-AE52-9C67ACD577F0}"/>
    <cellStyle name="40% - Accent3 2 2 2 4 6" xfId="35322" xr:uid="{E2CFF67F-D584-423E-95E9-71A0A8F805F8}"/>
    <cellStyle name="40% - Accent3 2 2 2 4 7" xfId="10029" xr:uid="{2AA9146B-55FB-48B3-BA43-082833366632}"/>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33669" xr:uid="{8B8E1699-F50E-42EC-A9ED-56E655312C6A}"/>
    <cellStyle name="40% - Accent3 2 2 2 5 2 2 3" xfId="25240" xr:uid="{34D3CD9E-B55B-4157-BD07-28715FFC834C}"/>
    <cellStyle name="40% - Accent3 2 2 2 5 2 2 4" xfId="42097" xr:uid="{BEB97CCA-0FD4-4FD1-A767-D8713CB12162}"/>
    <cellStyle name="40% - Accent3 2 2 2 5 2 2 5" xfId="16805" xr:uid="{3975205F-7CB9-43E5-B0DF-D54B172421C9}"/>
    <cellStyle name="40% - Accent3 2 2 2 5 2 3" xfId="29451" xr:uid="{DFF0D96E-0791-42F9-96F8-E32E586D1CA5}"/>
    <cellStyle name="40% - Accent3 2 2 2 5 2 4" xfId="21022" xr:uid="{A41E2EA5-7FC5-417A-8939-57E41C520003}"/>
    <cellStyle name="40% - Accent3 2 2 2 5 2 5" xfId="37880" xr:uid="{58EB3480-2E2E-4004-BA01-C0DCCCED905C}"/>
    <cellStyle name="40% - Accent3 2 2 2 5 2 6" xfId="12587" xr:uid="{5B861EB4-DD4D-4CBA-B9C8-46D80E82D676}"/>
    <cellStyle name="40% - Accent3 2 2 2 5 3" xfId="6225" xr:uid="{00000000-0005-0000-0000-000014050000}"/>
    <cellStyle name="40% - Accent3 2 2 2 5 3 2" xfId="31524" xr:uid="{8F24008B-F96F-4B0C-A9D7-95F238B2F37D}"/>
    <cellStyle name="40% - Accent3 2 2 2 5 3 3" xfId="23095" xr:uid="{4F068D9C-9DE5-4DE4-B4FC-8BEF878F4B42}"/>
    <cellStyle name="40% - Accent3 2 2 2 5 3 4" xfId="39952" xr:uid="{B661C63F-FB4B-4EA5-B54B-D6EA44581AA4}"/>
    <cellStyle name="40% - Accent3 2 2 2 5 3 5" xfId="14660" xr:uid="{433241CB-8209-4C67-880F-7B519FDA88BB}"/>
    <cellStyle name="40% - Accent3 2 2 2 5 4" xfId="27306" xr:uid="{DB98516C-FCDF-424A-A09F-F9AC013D1DF9}"/>
    <cellStyle name="40% - Accent3 2 2 2 5 5" xfId="18877" xr:uid="{2EAD9C7B-183F-47AA-B01D-68B9FDBD7197}"/>
    <cellStyle name="40% - Accent3 2 2 2 5 6" xfId="35735" xr:uid="{8F2B5EA8-9A84-4829-97D1-1ADF2B42920B}"/>
    <cellStyle name="40% - Accent3 2 2 2 5 7" xfId="10442" xr:uid="{A4CAC070-CB80-49DB-8F35-801749B17A21}"/>
    <cellStyle name="40% - Accent3 2 2 2 6" xfId="2331" xr:uid="{00000000-0005-0000-0000-000015050000}"/>
    <cellStyle name="40% - Accent3 2 2 2 6 2" xfId="6638" xr:uid="{00000000-0005-0000-0000-000016050000}"/>
    <cellStyle name="40% - Accent3 2 2 2 6 2 2" xfId="31937" xr:uid="{57C0F801-8040-4FC4-BCDF-B778F813BD07}"/>
    <cellStyle name="40% - Accent3 2 2 2 6 2 3" xfId="23508" xr:uid="{E6AC82A1-C1A0-4E07-B1DB-0F525839E4A6}"/>
    <cellStyle name="40% - Accent3 2 2 2 6 2 4" xfId="40365" xr:uid="{38BA2801-E167-412F-B557-72E902A22232}"/>
    <cellStyle name="40% - Accent3 2 2 2 6 2 5" xfId="15073" xr:uid="{A4B42E95-9577-4919-9C6F-7F5426B9F4E9}"/>
    <cellStyle name="40% - Accent3 2 2 2 6 3" xfId="27719" xr:uid="{EE26C73A-D487-4E1E-820A-D0C91EA13FB1}"/>
    <cellStyle name="40% - Accent3 2 2 2 6 4" xfId="19290" xr:uid="{9788D826-9E07-4AFA-9E07-1A1FD072E5B2}"/>
    <cellStyle name="40% - Accent3 2 2 2 6 5" xfId="36148" xr:uid="{C1AA8059-CC24-41E7-854D-723AB4830F21}"/>
    <cellStyle name="40% - Accent3 2 2 2 6 6" xfId="10855" xr:uid="{B17E6A03-A7AF-445D-B8F4-4609F37A8D5D}"/>
    <cellStyle name="40% - Accent3 2 2 2 7" xfId="4572" xr:uid="{00000000-0005-0000-0000-000017050000}"/>
    <cellStyle name="40% - Accent3 2 2 2 7 2" xfId="29871" xr:uid="{7FD21D3F-3E58-4255-B08E-A38730BDC3F0}"/>
    <cellStyle name="40% - Accent3 2 2 2 7 3" xfId="21442" xr:uid="{34DA5B40-CEA3-47FF-9DB7-23C53B616E86}"/>
    <cellStyle name="40% - Accent3 2 2 2 7 4" xfId="38299" xr:uid="{732C132E-4D89-4446-924E-439D5DBA8F7C}"/>
    <cellStyle name="40% - Accent3 2 2 2 7 5" xfId="13007" xr:uid="{E56E9DD1-65DD-492E-92CD-DAFE6812F528}"/>
    <cellStyle name="40% - Accent3 2 2 2 8" xfId="25653" xr:uid="{BCE0D48E-5CAF-472A-8FE6-87218D3CDED2}"/>
    <cellStyle name="40% - Accent3 2 2 2 9" xfId="17224" xr:uid="{AB674B1D-E709-4921-869D-DF62DA3F3E2C}"/>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32429" xr:uid="{6EDA80AE-1D1F-4ABD-A3D3-B4CD6AD30ABF}"/>
    <cellStyle name="40% - Accent3 2 2 3 2 2 3" xfId="24000" xr:uid="{B63A1F69-D641-4F8D-90B6-05437F4EB3C0}"/>
    <cellStyle name="40% - Accent3 2 2 3 2 2 4" xfId="40857" xr:uid="{78911B10-3180-4833-B120-FA98E90CDE56}"/>
    <cellStyle name="40% - Accent3 2 2 3 2 2 5" xfId="15565" xr:uid="{C50E4516-D85C-4B24-92F0-A8F585912C90}"/>
    <cellStyle name="40% - Accent3 2 2 3 2 3" xfId="28211" xr:uid="{C01ECA5A-FF66-43BB-9916-D17C7A8BB0FE}"/>
    <cellStyle name="40% - Accent3 2 2 3 2 4" xfId="19782" xr:uid="{558252D8-EBFD-4EE4-BEAB-CE6641A26A46}"/>
    <cellStyle name="40% - Accent3 2 2 3 2 5" xfId="36640" xr:uid="{1F12D762-60F4-423C-B3A6-FA87683F0241}"/>
    <cellStyle name="40% - Accent3 2 2 3 2 6" xfId="11347" xr:uid="{987B05B5-6542-45F8-BDA8-4B4DD94D40A1}"/>
    <cellStyle name="40% - Accent3 2 2 3 3" xfId="4985" xr:uid="{00000000-0005-0000-0000-00001B050000}"/>
    <cellStyle name="40% - Accent3 2 2 3 3 2" xfId="30284" xr:uid="{36C654CD-DFD5-4635-98E1-60E7437115D3}"/>
    <cellStyle name="40% - Accent3 2 2 3 3 3" xfId="21855" xr:uid="{68DCD0D5-7CA6-4F7E-B5D3-18C01282E5C8}"/>
    <cellStyle name="40% - Accent3 2 2 3 3 4" xfId="38712" xr:uid="{02AA822D-4188-4703-B015-A3B74B66D19A}"/>
    <cellStyle name="40% - Accent3 2 2 3 3 5" xfId="13420" xr:uid="{ED4F858A-3067-4C28-B7A1-D627AD761481}"/>
    <cellStyle name="40% - Accent3 2 2 3 4" xfId="26066" xr:uid="{52630353-AE93-4BFA-9091-842EFF4FD08F}"/>
    <cellStyle name="40% - Accent3 2 2 3 5" xfId="17637" xr:uid="{1BDE4434-8B80-4A78-9928-DB2BD1F7C63C}"/>
    <cellStyle name="40% - Accent3 2 2 3 6" xfId="34495" xr:uid="{007B43AB-1154-4CE3-9DDB-E4CEEFAC0886}"/>
    <cellStyle name="40% - Accent3 2 2 3 7" xfId="9202" xr:uid="{EA04C7BE-F71E-4518-ACF1-B030860514EF}"/>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32842" xr:uid="{6A9141DD-8827-45D6-BB11-5B34A154E9E8}"/>
    <cellStyle name="40% - Accent3 2 2 4 2 2 3" xfId="24413" xr:uid="{45C783F6-6634-468B-8193-5B006BC4DB9F}"/>
    <cellStyle name="40% - Accent3 2 2 4 2 2 4" xfId="41270" xr:uid="{AF381F62-285A-42D8-B843-D8A5CA1E7205}"/>
    <cellStyle name="40% - Accent3 2 2 4 2 2 5" xfId="15978" xr:uid="{3877B023-D2EF-451D-A2D1-F6CD6BC9A60B}"/>
    <cellStyle name="40% - Accent3 2 2 4 2 3" xfId="28624" xr:uid="{582A0234-0C90-41E1-9C15-9782DE709C31}"/>
    <cellStyle name="40% - Accent3 2 2 4 2 4" xfId="20195" xr:uid="{69FAD024-BE86-4D44-AEEE-6FD82AFE7D33}"/>
    <cellStyle name="40% - Accent3 2 2 4 2 5" xfId="37053" xr:uid="{37B4E852-9BA6-4F72-9538-48DADF3E7D85}"/>
    <cellStyle name="40% - Accent3 2 2 4 2 6" xfId="11760" xr:uid="{4253E06D-FF13-497F-986A-39D9FF5A0DA4}"/>
    <cellStyle name="40% - Accent3 2 2 4 3" xfId="5398" xr:uid="{00000000-0005-0000-0000-00001F050000}"/>
    <cellStyle name="40% - Accent3 2 2 4 3 2" xfId="30697" xr:uid="{FC273A4D-704E-4C22-A9EC-CCBFB4410451}"/>
    <cellStyle name="40% - Accent3 2 2 4 3 3" xfId="22268" xr:uid="{8073B2F4-3EC8-480F-B6BA-3CCE83762990}"/>
    <cellStyle name="40% - Accent3 2 2 4 3 4" xfId="39125" xr:uid="{48E4579A-F065-4DD6-8391-DC3C33AD21D6}"/>
    <cellStyle name="40% - Accent3 2 2 4 3 5" xfId="13833" xr:uid="{69DD1F46-C49C-4490-AB64-E604E931AF95}"/>
    <cellStyle name="40% - Accent3 2 2 4 4" xfId="26479" xr:uid="{E17AD21E-2BBE-4A10-A0DB-82CB44759705}"/>
    <cellStyle name="40% - Accent3 2 2 4 5" xfId="18050" xr:uid="{9F984003-C026-4600-A7A3-B3587C4E6E41}"/>
    <cellStyle name="40% - Accent3 2 2 4 6" xfId="34908" xr:uid="{FCF95513-A796-49A7-9450-791EEF8345A6}"/>
    <cellStyle name="40% - Accent3 2 2 4 7" xfId="9615" xr:uid="{B8C0A58B-13F8-4AA1-A476-A14A78404AC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33255" xr:uid="{E6AC1164-07CE-4DEC-83B6-87DD2048DD87}"/>
    <cellStyle name="40% - Accent3 2 2 5 2 2 3" xfId="24826" xr:uid="{B1664F90-D51F-406E-B9B9-D6B72043E250}"/>
    <cellStyle name="40% - Accent3 2 2 5 2 2 4" xfId="41683" xr:uid="{27BC97E5-3008-4556-9102-9CCF1DF3EF78}"/>
    <cellStyle name="40% - Accent3 2 2 5 2 2 5" xfId="16391" xr:uid="{F9D2CC88-7396-4023-A6A0-20A2804FCFA8}"/>
    <cellStyle name="40% - Accent3 2 2 5 2 3" xfId="29037" xr:uid="{86C8907A-8794-44DE-AE8C-A941E21122D3}"/>
    <cellStyle name="40% - Accent3 2 2 5 2 4" xfId="20608" xr:uid="{42822111-C18A-46EB-88E3-2C4C3042C673}"/>
    <cellStyle name="40% - Accent3 2 2 5 2 5" xfId="37466" xr:uid="{CA3ADE54-2253-4FAB-BB41-9CB701DEB04F}"/>
    <cellStyle name="40% - Accent3 2 2 5 2 6" xfId="12173" xr:uid="{FF701E70-1B3E-465B-A8CE-A7AB4EE101E3}"/>
    <cellStyle name="40% - Accent3 2 2 5 3" xfId="5811" xr:uid="{00000000-0005-0000-0000-000023050000}"/>
    <cellStyle name="40% - Accent3 2 2 5 3 2" xfId="31110" xr:uid="{B50AB23D-713A-4834-A24B-B46C35217449}"/>
    <cellStyle name="40% - Accent3 2 2 5 3 3" xfId="22681" xr:uid="{A4A1F193-838C-4AF6-8ABB-93CD9FAB8C2F}"/>
    <cellStyle name="40% - Accent3 2 2 5 3 4" xfId="39538" xr:uid="{38CCA8BF-71F9-495A-829C-54023A9468F7}"/>
    <cellStyle name="40% - Accent3 2 2 5 3 5" xfId="14246" xr:uid="{E09D206C-E53E-441E-9B21-16412B82CC3D}"/>
    <cellStyle name="40% - Accent3 2 2 5 4" xfId="26892" xr:uid="{0F8DA48B-4D90-446E-978C-BB4E8A1F97A5}"/>
    <cellStyle name="40% - Accent3 2 2 5 5" xfId="18463" xr:uid="{36AFBDCD-F0E7-461B-A4C1-1E968BAE316E}"/>
    <cellStyle name="40% - Accent3 2 2 5 6" xfId="35321" xr:uid="{573E044C-463B-4CD9-98EA-5CD167B24337}"/>
    <cellStyle name="40% - Accent3 2 2 5 7" xfId="10028" xr:uid="{EA4DCA6B-0112-4EF3-BA99-EA9D402F0B4D}"/>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33668" xr:uid="{EF239FFF-F0F1-4602-BA3A-5A72445AA54A}"/>
    <cellStyle name="40% - Accent3 2 2 6 2 2 3" xfId="25239" xr:uid="{266DB61E-34BC-4FE0-8C7B-EF66D6098647}"/>
    <cellStyle name="40% - Accent3 2 2 6 2 2 4" xfId="42096" xr:uid="{E8FC6154-80CC-4DAB-BAC1-29F37F614A0A}"/>
    <cellStyle name="40% - Accent3 2 2 6 2 2 5" xfId="16804" xr:uid="{0E2B1064-080C-4256-B576-C8A62C207F43}"/>
    <cellStyle name="40% - Accent3 2 2 6 2 3" xfId="29450" xr:uid="{A0FEA69F-AE89-463B-8ECF-E7B83D6719B1}"/>
    <cellStyle name="40% - Accent3 2 2 6 2 4" xfId="21021" xr:uid="{3DBAC34C-0CB3-403C-9D22-873D5E8E2629}"/>
    <cellStyle name="40% - Accent3 2 2 6 2 5" xfId="37879" xr:uid="{05EA53DE-BF92-4736-9BAC-280A02967B95}"/>
    <cellStyle name="40% - Accent3 2 2 6 2 6" xfId="12586" xr:uid="{74E48C37-2AC3-4669-B519-56A5D17D021A}"/>
    <cellStyle name="40% - Accent3 2 2 6 3" xfId="6224" xr:uid="{00000000-0005-0000-0000-000027050000}"/>
    <cellStyle name="40% - Accent3 2 2 6 3 2" xfId="31523" xr:uid="{CDCB4A4C-3040-4548-93F2-D3E1A4F34F3E}"/>
    <cellStyle name="40% - Accent3 2 2 6 3 3" xfId="23094" xr:uid="{60A22D51-D39C-4E63-A8C1-4220C5D9B45E}"/>
    <cellStyle name="40% - Accent3 2 2 6 3 4" xfId="39951" xr:uid="{AFFABEA5-AAEE-4069-88BD-EE71E79CBECD}"/>
    <cellStyle name="40% - Accent3 2 2 6 3 5" xfId="14659" xr:uid="{A80A3B5C-7A22-4C4D-9BDD-C94F4E206C82}"/>
    <cellStyle name="40% - Accent3 2 2 6 4" xfId="27305" xr:uid="{FC1D6236-53F8-4B23-92FA-6DB637A18FA6}"/>
    <cellStyle name="40% - Accent3 2 2 6 5" xfId="18876" xr:uid="{D28A1C29-61FB-491E-B518-15D3B1042FEF}"/>
    <cellStyle name="40% - Accent3 2 2 6 6" xfId="35734" xr:uid="{62286FD9-0970-47DC-9DBA-37630990158C}"/>
    <cellStyle name="40% - Accent3 2 2 6 7" xfId="10441" xr:uid="{CC84C9FD-1677-4741-BCEF-D9A49DA5EF66}"/>
    <cellStyle name="40% - Accent3 2 2 7" xfId="2330" xr:uid="{00000000-0005-0000-0000-000028050000}"/>
    <cellStyle name="40% - Accent3 2 2 7 2" xfId="6637" xr:uid="{00000000-0005-0000-0000-000029050000}"/>
    <cellStyle name="40% - Accent3 2 2 7 2 2" xfId="31936" xr:uid="{AD4D3E0E-1DBC-478F-8C77-7583AA5A2C24}"/>
    <cellStyle name="40% - Accent3 2 2 7 2 3" xfId="23507" xr:uid="{7A0B694D-8559-45D2-9496-5057FA1B90F8}"/>
    <cellStyle name="40% - Accent3 2 2 7 2 4" xfId="40364" xr:uid="{EB6CE52C-9A2D-415E-822F-8F770BE8C249}"/>
    <cellStyle name="40% - Accent3 2 2 7 2 5" xfId="15072" xr:uid="{5B419669-011C-4130-99B3-FA4A11CD5233}"/>
    <cellStyle name="40% - Accent3 2 2 7 3" xfId="27718" xr:uid="{CCD285F2-0A3E-4CC4-A27A-5A738B68D80D}"/>
    <cellStyle name="40% - Accent3 2 2 7 4" xfId="19289" xr:uid="{9D5C0D12-B496-4EF1-A3FE-F9018659077B}"/>
    <cellStyle name="40% - Accent3 2 2 7 5" xfId="36147" xr:uid="{F6A8648C-BDCF-4411-A643-F117BAB03BFB}"/>
    <cellStyle name="40% - Accent3 2 2 7 6" xfId="10854" xr:uid="{FBF4E019-95F5-4C81-B403-32A8E3B9937B}"/>
    <cellStyle name="40% - Accent3 2 2 8" xfId="4571" xr:uid="{00000000-0005-0000-0000-00002A050000}"/>
    <cellStyle name="40% - Accent3 2 2 8 2" xfId="29870" xr:uid="{8D6F920D-6159-4744-9E57-33ED45CF4623}"/>
    <cellStyle name="40% - Accent3 2 2 8 3" xfId="21441" xr:uid="{07B28F43-399A-4B62-8958-C0AF640881F9}"/>
    <cellStyle name="40% - Accent3 2 2 8 4" xfId="38298" xr:uid="{7FEFD2F9-FC58-4192-A211-44A37A33B600}"/>
    <cellStyle name="40% - Accent3 2 2 8 5" xfId="13006" xr:uid="{7D9A6C9B-4A49-441D-87DD-A17396312A11}"/>
    <cellStyle name="40% - Accent3 2 2 9" xfId="25652" xr:uid="{CFCB7C76-9054-4559-8640-5A9694DC934C}"/>
    <cellStyle name="40% - Accent3 2 3" xfId="69" xr:uid="{00000000-0005-0000-0000-00002B050000}"/>
    <cellStyle name="40% - Accent3 2 3 10" xfId="34083" xr:uid="{1CC98893-BBF6-4B26-B5B4-95B621C524E2}"/>
    <cellStyle name="40% - Accent3 2 3 11" xfId="8790" xr:uid="{CF83FEBE-E0DD-495C-AAD4-91A9CA02513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32431" xr:uid="{5755B7EC-3474-4D26-9FB9-71B1D5FDDB0E}"/>
    <cellStyle name="40% - Accent3 2 3 2 2 2 3" xfId="24002" xr:uid="{4DBCB837-F931-4D41-ACA3-D0B84C24D866}"/>
    <cellStyle name="40% - Accent3 2 3 2 2 2 4" xfId="40859" xr:uid="{8C73F180-B014-41E7-9A2B-B4F8CB93A0A3}"/>
    <cellStyle name="40% - Accent3 2 3 2 2 2 5" xfId="15567" xr:uid="{849D8038-4FF2-4787-BCA0-01421841AFFE}"/>
    <cellStyle name="40% - Accent3 2 3 2 2 3" xfId="28213" xr:uid="{0304365C-A876-4FFF-977E-3D317813E678}"/>
    <cellStyle name="40% - Accent3 2 3 2 2 4" xfId="19784" xr:uid="{5CA891B2-0C55-40AC-BEE6-F600EA92B368}"/>
    <cellStyle name="40% - Accent3 2 3 2 2 5" xfId="36642" xr:uid="{37708F9D-BA0C-4A15-8759-1B7DFC674D3E}"/>
    <cellStyle name="40% - Accent3 2 3 2 2 6" xfId="11349" xr:uid="{655EA920-B035-4B2A-8F27-458222882951}"/>
    <cellStyle name="40% - Accent3 2 3 2 3" xfId="4987" xr:uid="{00000000-0005-0000-0000-00002F050000}"/>
    <cellStyle name="40% - Accent3 2 3 2 3 2" xfId="30286" xr:uid="{F0A30A04-A719-4DDD-BC87-92FAC36864B0}"/>
    <cellStyle name="40% - Accent3 2 3 2 3 3" xfId="21857" xr:uid="{37F6B38F-C558-4C76-9582-B5F1FF5DD122}"/>
    <cellStyle name="40% - Accent3 2 3 2 3 4" xfId="38714" xr:uid="{86959E9E-4A65-40F0-9915-B01E941B7CCD}"/>
    <cellStyle name="40% - Accent3 2 3 2 3 5" xfId="13422" xr:uid="{5ACD4288-BCC7-448B-A08D-06244C6FB6B7}"/>
    <cellStyle name="40% - Accent3 2 3 2 4" xfId="26068" xr:uid="{AB8CDA9C-4FA2-4C23-8B46-E0D1F8E24159}"/>
    <cellStyle name="40% - Accent3 2 3 2 5" xfId="17639" xr:uid="{4A93806D-BC04-4437-A32F-965E9C43DA86}"/>
    <cellStyle name="40% - Accent3 2 3 2 6" xfId="34497" xr:uid="{FFB328FB-B836-45C3-A8D1-1020C175BE29}"/>
    <cellStyle name="40% - Accent3 2 3 2 7" xfId="9204" xr:uid="{F8E62C29-67C8-4798-B7F1-FBD3A6292961}"/>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32844" xr:uid="{55ECD850-9D9A-4DD3-B90B-59836B7EC835}"/>
    <cellStyle name="40% - Accent3 2 3 3 2 2 3" xfId="24415" xr:uid="{3582EAB0-1816-4930-88B7-F84BA6AC1B38}"/>
    <cellStyle name="40% - Accent3 2 3 3 2 2 4" xfId="41272" xr:uid="{C578F1BE-0989-4EFA-9635-477C5B1F3335}"/>
    <cellStyle name="40% - Accent3 2 3 3 2 2 5" xfId="15980" xr:uid="{AEE41029-BBDB-46FE-A31B-CFBA1DE10281}"/>
    <cellStyle name="40% - Accent3 2 3 3 2 3" xfId="28626" xr:uid="{1A98A0C9-0D97-4699-BB87-26CBD3CA6AD2}"/>
    <cellStyle name="40% - Accent3 2 3 3 2 4" xfId="20197" xr:uid="{18455EEB-805E-4316-8D19-668813B548CD}"/>
    <cellStyle name="40% - Accent3 2 3 3 2 5" xfId="37055" xr:uid="{D6B27E42-F6D7-4C1C-98B5-88FF51ED546B}"/>
    <cellStyle name="40% - Accent3 2 3 3 2 6" xfId="11762" xr:uid="{7504BF99-4E1D-4741-B852-1D4DBBBF4A6C}"/>
    <cellStyle name="40% - Accent3 2 3 3 3" xfId="5400" xr:uid="{00000000-0005-0000-0000-000033050000}"/>
    <cellStyle name="40% - Accent3 2 3 3 3 2" xfId="30699" xr:uid="{F599523D-49A6-4C58-A0EB-F97E71AA844A}"/>
    <cellStyle name="40% - Accent3 2 3 3 3 3" xfId="22270" xr:uid="{3B7553B9-4CAE-4DA3-BCBC-6AEB9C928956}"/>
    <cellStyle name="40% - Accent3 2 3 3 3 4" xfId="39127" xr:uid="{D6B90D23-B8E0-4730-837C-AD949EA46B99}"/>
    <cellStyle name="40% - Accent3 2 3 3 3 5" xfId="13835" xr:uid="{2935BBBB-038E-4CE9-9FB3-63FECE3A960B}"/>
    <cellStyle name="40% - Accent3 2 3 3 4" xfId="26481" xr:uid="{27D87A16-964D-470E-8F72-C75A4BD2B733}"/>
    <cellStyle name="40% - Accent3 2 3 3 5" xfId="18052" xr:uid="{2C73527C-FDB9-429B-9892-830483A8CFDA}"/>
    <cellStyle name="40% - Accent3 2 3 3 6" xfId="34910" xr:uid="{DB7A842C-CD88-45C0-BBC6-5D48AFB6B4D5}"/>
    <cellStyle name="40% - Accent3 2 3 3 7" xfId="9617" xr:uid="{830332A8-7F9C-467F-9E72-4F35954A69BE}"/>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33257" xr:uid="{C457784D-9EB4-48B0-B5F7-93ED3CA26398}"/>
    <cellStyle name="40% - Accent3 2 3 4 2 2 3" xfId="24828" xr:uid="{DAED641B-4079-4E19-92B7-6153956C3907}"/>
    <cellStyle name="40% - Accent3 2 3 4 2 2 4" xfId="41685" xr:uid="{26F0D4CE-A979-4FBD-AC60-7831FBF2C65D}"/>
    <cellStyle name="40% - Accent3 2 3 4 2 2 5" xfId="16393" xr:uid="{B6491CE5-61DE-477C-8622-8BF899B5AE5C}"/>
    <cellStyle name="40% - Accent3 2 3 4 2 3" xfId="29039" xr:uid="{E5973795-FDC1-4E35-86A7-049A955E2EEF}"/>
    <cellStyle name="40% - Accent3 2 3 4 2 4" xfId="20610" xr:uid="{97A375B1-FF0B-406D-80B7-A9E55745739A}"/>
    <cellStyle name="40% - Accent3 2 3 4 2 5" xfId="37468" xr:uid="{306CA50A-E989-4089-9A5D-CDC8866E5A0B}"/>
    <cellStyle name="40% - Accent3 2 3 4 2 6" xfId="12175" xr:uid="{7D1225B4-DBF6-4099-ADFC-98F013C72A22}"/>
    <cellStyle name="40% - Accent3 2 3 4 3" xfId="5813" xr:uid="{00000000-0005-0000-0000-000037050000}"/>
    <cellStyle name="40% - Accent3 2 3 4 3 2" xfId="31112" xr:uid="{991194C0-F682-487B-8D2E-EAA9AB35E54E}"/>
    <cellStyle name="40% - Accent3 2 3 4 3 3" xfId="22683" xr:uid="{65D825EA-48B1-4E4B-AC17-A36B90C246E1}"/>
    <cellStyle name="40% - Accent3 2 3 4 3 4" xfId="39540" xr:uid="{F67C67B7-4BC0-43FC-B4BC-4C0ADC5364DA}"/>
    <cellStyle name="40% - Accent3 2 3 4 3 5" xfId="14248" xr:uid="{6FB82121-B4A2-4516-8B37-5FA5DF3DB0B0}"/>
    <cellStyle name="40% - Accent3 2 3 4 4" xfId="26894" xr:uid="{C5695A29-4E39-40AD-B60A-151C8592B276}"/>
    <cellStyle name="40% - Accent3 2 3 4 5" xfId="18465" xr:uid="{A6A957C6-3788-4B4E-B917-55406737DE5B}"/>
    <cellStyle name="40% - Accent3 2 3 4 6" xfId="35323" xr:uid="{D428C2DD-C9B9-4E22-926D-49FB5702E738}"/>
    <cellStyle name="40% - Accent3 2 3 4 7" xfId="10030" xr:uid="{80A41716-DE5D-4D07-AC64-06770BBEE7A3}"/>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33670" xr:uid="{6052E839-D7CC-464C-A62C-2648A989742D}"/>
    <cellStyle name="40% - Accent3 2 3 5 2 2 3" xfId="25241" xr:uid="{EC32D8FA-F36D-4AC9-BDE0-A9BD213F3E28}"/>
    <cellStyle name="40% - Accent3 2 3 5 2 2 4" xfId="42098" xr:uid="{10A42A89-CE11-408F-B5DE-D191CE9851D3}"/>
    <cellStyle name="40% - Accent3 2 3 5 2 2 5" xfId="16806" xr:uid="{B53B5E05-3AEB-4A79-8692-BF48363A9DE1}"/>
    <cellStyle name="40% - Accent3 2 3 5 2 3" xfId="29452" xr:uid="{FC9B29DF-DB2A-4C4E-BD63-7AD0D1A911D7}"/>
    <cellStyle name="40% - Accent3 2 3 5 2 4" xfId="21023" xr:uid="{4BE9A702-D692-45B2-AC03-006F9F434AAD}"/>
    <cellStyle name="40% - Accent3 2 3 5 2 5" xfId="37881" xr:uid="{BBA67749-21C3-4ACC-87CE-4467A1FE9179}"/>
    <cellStyle name="40% - Accent3 2 3 5 2 6" xfId="12588" xr:uid="{4F604B95-EDC1-4453-A66B-F048CCBDB2D8}"/>
    <cellStyle name="40% - Accent3 2 3 5 3" xfId="6226" xr:uid="{00000000-0005-0000-0000-00003B050000}"/>
    <cellStyle name="40% - Accent3 2 3 5 3 2" xfId="31525" xr:uid="{4D43DC68-4FD9-4F9C-AFEF-CF792752BBEF}"/>
    <cellStyle name="40% - Accent3 2 3 5 3 3" xfId="23096" xr:uid="{3455503F-DBC9-43A0-B4A0-1E6799847D12}"/>
    <cellStyle name="40% - Accent3 2 3 5 3 4" xfId="39953" xr:uid="{988D3E27-1238-4616-B8BD-D588B5CE5996}"/>
    <cellStyle name="40% - Accent3 2 3 5 3 5" xfId="14661" xr:uid="{DF93F2D5-5BA6-41D4-82DC-3C21FB0C4032}"/>
    <cellStyle name="40% - Accent3 2 3 5 4" xfId="27307" xr:uid="{3B387EFD-0718-4B09-9F1B-77D794F9B9FE}"/>
    <cellStyle name="40% - Accent3 2 3 5 5" xfId="18878" xr:uid="{C8CDC723-412F-4200-ADF7-EA4745EB941F}"/>
    <cellStyle name="40% - Accent3 2 3 5 6" xfId="35736" xr:uid="{918DBA36-2B7A-4A2B-811D-2C0E0B44DF13}"/>
    <cellStyle name="40% - Accent3 2 3 5 7" xfId="10443" xr:uid="{18385CEC-FF13-4F95-A5CF-496704187DE2}"/>
    <cellStyle name="40% - Accent3 2 3 6" xfId="2332" xr:uid="{00000000-0005-0000-0000-00003C050000}"/>
    <cellStyle name="40% - Accent3 2 3 6 2" xfId="6639" xr:uid="{00000000-0005-0000-0000-00003D050000}"/>
    <cellStyle name="40% - Accent3 2 3 6 2 2" xfId="31938" xr:uid="{56DBB038-0BFB-4B04-8EC8-A80740CE630B}"/>
    <cellStyle name="40% - Accent3 2 3 6 2 3" xfId="23509" xr:uid="{93333E9C-605B-4AAF-A828-CE2B1E27B59E}"/>
    <cellStyle name="40% - Accent3 2 3 6 2 4" xfId="40366" xr:uid="{8544478F-4F39-4553-A224-54474FE7ED81}"/>
    <cellStyle name="40% - Accent3 2 3 6 2 5" xfId="15074" xr:uid="{8E952B7D-9A02-4753-AAD1-51EBD9890E90}"/>
    <cellStyle name="40% - Accent3 2 3 6 3" xfId="27720" xr:uid="{63F369B1-FF7D-4E3E-9789-61DA222D2646}"/>
    <cellStyle name="40% - Accent3 2 3 6 4" xfId="19291" xr:uid="{EB1F7244-7CE5-4EE3-BEA9-544C40563B44}"/>
    <cellStyle name="40% - Accent3 2 3 6 5" xfId="36149" xr:uid="{DFDEEA46-06E7-4320-AB18-57D50EA0F696}"/>
    <cellStyle name="40% - Accent3 2 3 6 6" xfId="10856" xr:uid="{564E0190-3B16-444A-ACB7-A6F6AAF1B0A9}"/>
    <cellStyle name="40% - Accent3 2 3 7" xfId="4573" xr:uid="{00000000-0005-0000-0000-00003E050000}"/>
    <cellStyle name="40% - Accent3 2 3 7 2" xfId="29872" xr:uid="{72F4826B-1F36-4E96-803C-4EE6ED8F4FAF}"/>
    <cellStyle name="40% - Accent3 2 3 7 3" xfId="21443" xr:uid="{348A20B7-18DA-458A-8108-AF2DAD0B609E}"/>
    <cellStyle name="40% - Accent3 2 3 7 4" xfId="38300" xr:uid="{5FC960BE-2B5B-4EF9-9D40-D3F7A90ED9B8}"/>
    <cellStyle name="40% - Accent3 2 3 7 5" xfId="13008" xr:uid="{FEF13AA9-070F-443C-B0D4-4DC2F855BE3B}"/>
    <cellStyle name="40% - Accent3 2 3 8" xfId="25654" xr:uid="{A55BC122-336F-421C-BD6C-1FD66E97665E}"/>
    <cellStyle name="40% - Accent3 2 3 9" xfId="17225" xr:uid="{8B2ADE1F-3D2C-4978-B153-DD81F25C32D5}"/>
    <cellStyle name="40% - Accent3 2 4" xfId="635" xr:uid="{00000000-0005-0000-0000-00003F050000}"/>
    <cellStyle name="40% - Accent3 2 4 2" xfId="2906" xr:uid="{00000000-0005-0000-0000-000040050000}"/>
    <cellStyle name="40% - Accent3 2 4 2 2" xfId="7129" xr:uid="{00000000-0005-0000-0000-000041050000}"/>
    <cellStyle name="40% - Accent3 2 4 2 2 2" xfId="32428" xr:uid="{01C69C97-4A7B-46BF-8B08-5C3D3D105EED}"/>
    <cellStyle name="40% - Accent3 2 4 2 2 3" xfId="23999" xr:uid="{61F2C31A-7BF5-46AD-9844-8CA3B23E0A0F}"/>
    <cellStyle name="40% - Accent3 2 4 2 2 4" xfId="40856" xr:uid="{18C611F6-5B7C-4DA1-950C-8A21430EC97D}"/>
    <cellStyle name="40% - Accent3 2 4 2 2 5" xfId="15564" xr:uid="{D256D2C0-9120-4AAC-8AD6-C584B315DB7F}"/>
    <cellStyle name="40% - Accent3 2 4 2 3" xfId="28210" xr:uid="{08568CA5-D698-493D-9AEA-756F44F8E75A}"/>
    <cellStyle name="40% - Accent3 2 4 2 4" xfId="19781" xr:uid="{AF1DE5A1-BCCF-49EF-9561-F5954E561BBC}"/>
    <cellStyle name="40% - Accent3 2 4 2 5" xfId="36639" xr:uid="{CF237AE6-AC74-4318-9CAE-467D349D4D95}"/>
    <cellStyle name="40% - Accent3 2 4 2 6" xfId="11346" xr:uid="{59E484F2-39C1-428D-9941-7782296426BA}"/>
    <cellStyle name="40% - Accent3 2 4 3" xfId="4984" xr:uid="{00000000-0005-0000-0000-000042050000}"/>
    <cellStyle name="40% - Accent3 2 4 3 2" xfId="30283" xr:uid="{771297A1-5957-491A-B068-BF06696BA7C2}"/>
    <cellStyle name="40% - Accent3 2 4 3 3" xfId="21854" xr:uid="{659C9DB6-F918-4517-B4FF-BD4C4EF3EE0F}"/>
    <cellStyle name="40% - Accent3 2 4 3 4" xfId="38711" xr:uid="{36A6EF46-314E-4883-A18D-B39F9515137F}"/>
    <cellStyle name="40% - Accent3 2 4 3 5" xfId="13419" xr:uid="{E330300E-6D72-41E2-AF27-7AC1355CBCBC}"/>
    <cellStyle name="40% - Accent3 2 4 4" xfId="26065" xr:uid="{2B9DBC4B-2E69-441A-A0AD-32E3A44FC90B}"/>
    <cellStyle name="40% - Accent3 2 4 5" xfId="17636" xr:uid="{61FB4E48-C6AD-4B4F-A2D3-8EF3880630B5}"/>
    <cellStyle name="40% - Accent3 2 4 6" xfId="34494" xr:uid="{4D4490C2-1A94-4BE1-B0C9-61DED0F583B8}"/>
    <cellStyle name="40% - Accent3 2 4 7" xfId="9201" xr:uid="{E3713C31-3103-49AD-878A-B87DA844FA02}"/>
    <cellStyle name="40% - Accent3 2 5" xfId="1088" xr:uid="{00000000-0005-0000-0000-000043050000}"/>
    <cellStyle name="40% - Accent3 2 5 2" xfId="3319" xr:uid="{00000000-0005-0000-0000-000044050000}"/>
    <cellStyle name="40% - Accent3 2 5 2 2" xfId="7542" xr:uid="{00000000-0005-0000-0000-000045050000}"/>
    <cellStyle name="40% - Accent3 2 5 2 2 2" xfId="32841" xr:uid="{4879C169-73A0-441B-83D3-50D6B964E5FB}"/>
    <cellStyle name="40% - Accent3 2 5 2 2 3" xfId="24412" xr:uid="{D76A7DC0-B0D6-4DBF-B7F9-9568CF1680E5}"/>
    <cellStyle name="40% - Accent3 2 5 2 2 4" xfId="41269" xr:uid="{E46FBD93-5667-4958-B7E2-3FB8DD9AE251}"/>
    <cellStyle name="40% - Accent3 2 5 2 2 5" xfId="15977" xr:uid="{18B55B5A-D12C-45C0-A4EB-DB76EF721148}"/>
    <cellStyle name="40% - Accent3 2 5 2 3" xfId="28623" xr:uid="{C067C17B-D5C7-4B29-8626-B234AA9D7CAE}"/>
    <cellStyle name="40% - Accent3 2 5 2 4" xfId="20194" xr:uid="{5BB2F210-EA1B-4BB6-8B47-A315EC537F9E}"/>
    <cellStyle name="40% - Accent3 2 5 2 5" xfId="37052" xr:uid="{89692632-66A2-44F0-ACE7-81FC0254CA7F}"/>
    <cellStyle name="40% - Accent3 2 5 2 6" xfId="11759" xr:uid="{C6A7E85A-091A-4937-B68A-52483E01F469}"/>
    <cellStyle name="40% - Accent3 2 5 3" xfId="5397" xr:uid="{00000000-0005-0000-0000-000046050000}"/>
    <cellStyle name="40% - Accent3 2 5 3 2" xfId="30696" xr:uid="{7624190A-C009-4D3F-8CF1-B4905DC68828}"/>
    <cellStyle name="40% - Accent3 2 5 3 3" xfId="22267" xr:uid="{DB6446EF-BF0F-4086-9486-6B606F5B76C8}"/>
    <cellStyle name="40% - Accent3 2 5 3 4" xfId="39124" xr:uid="{FE719C42-F523-4D21-9A19-7DF412EACB6E}"/>
    <cellStyle name="40% - Accent3 2 5 3 5" xfId="13832" xr:uid="{006E0195-940E-4DC0-8A0A-71510E108C9D}"/>
    <cellStyle name="40% - Accent3 2 5 4" xfId="26478" xr:uid="{5E4DCA80-1621-4F28-8226-02EAC2BC9B4B}"/>
    <cellStyle name="40% - Accent3 2 5 5" xfId="18049" xr:uid="{1381F43D-7AD7-452B-88D6-358EEE6B4F00}"/>
    <cellStyle name="40% - Accent3 2 5 6" xfId="34907" xr:uid="{3AEDFFFB-0543-4873-851B-76CC99AAD26D}"/>
    <cellStyle name="40% - Accent3 2 5 7" xfId="9614" xr:uid="{D119E1A2-E8D6-444D-BBEC-F6EF38468988}"/>
    <cellStyle name="40% - Accent3 2 6" xfId="1502" xr:uid="{00000000-0005-0000-0000-000047050000}"/>
    <cellStyle name="40% - Accent3 2 6 2" xfId="3732" xr:uid="{00000000-0005-0000-0000-000048050000}"/>
    <cellStyle name="40% - Accent3 2 6 2 2" xfId="7955" xr:uid="{00000000-0005-0000-0000-000049050000}"/>
    <cellStyle name="40% - Accent3 2 6 2 2 2" xfId="33254" xr:uid="{7DEE6C29-BA13-4F74-B38D-72617BDDF4CF}"/>
    <cellStyle name="40% - Accent3 2 6 2 2 3" xfId="24825" xr:uid="{47B7E049-4B78-48D1-94F7-B565B5FCB723}"/>
    <cellStyle name="40% - Accent3 2 6 2 2 4" xfId="41682" xr:uid="{D05A6F28-E170-4563-8C2A-FBEEFEA7EBD5}"/>
    <cellStyle name="40% - Accent3 2 6 2 2 5" xfId="16390" xr:uid="{8ED70460-DF97-438E-A508-F673F2334529}"/>
    <cellStyle name="40% - Accent3 2 6 2 3" xfId="29036" xr:uid="{FB5395B0-C1AB-4BA7-AF6B-FCEDA79D1114}"/>
    <cellStyle name="40% - Accent3 2 6 2 4" xfId="20607" xr:uid="{F8F90402-8394-478B-9FAA-6659891F0AD8}"/>
    <cellStyle name="40% - Accent3 2 6 2 5" xfId="37465" xr:uid="{7A6D63CD-8AEB-472F-8B8B-BE624F9D3487}"/>
    <cellStyle name="40% - Accent3 2 6 2 6" xfId="12172" xr:uid="{BA0380E4-3F0F-4AF9-A912-BA791A57667C}"/>
    <cellStyle name="40% - Accent3 2 6 3" xfId="5810" xr:uid="{00000000-0005-0000-0000-00004A050000}"/>
    <cellStyle name="40% - Accent3 2 6 3 2" xfId="31109" xr:uid="{BF302765-B3E7-432A-BFBF-530D01C1007F}"/>
    <cellStyle name="40% - Accent3 2 6 3 3" xfId="22680" xr:uid="{8F255E82-ADFF-4D09-A3BA-0C4F76F51466}"/>
    <cellStyle name="40% - Accent3 2 6 3 4" xfId="39537" xr:uid="{577C1F83-E8EE-4393-975E-23C09ED668E0}"/>
    <cellStyle name="40% - Accent3 2 6 3 5" xfId="14245" xr:uid="{123D809D-7C08-4B2D-A959-FDB3E7F6ED04}"/>
    <cellStyle name="40% - Accent3 2 6 4" xfId="26891" xr:uid="{269593E8-4D4F-43EE-95BC-636ADB2AD1CF}"/>
    <cellStyle name="40% - Accent3 2 6 5" xfId="18462" xr:uid="{25BFD698-CF48-4A9C-B01C-E1B1F7B8E452}"/>
    <cellStyle name="40% - Accent3 2 6 6" xfId="35320" xr:uid="{6494B346-D41A-4DDA-84AF-114CDFC5D16A}"/>
    <cellStyle name="40% - Accent3 2 6 7" xfId="10027" xr:uid="{9B271EA7-3F82-47BB-B671-92F908C0F275}"/>
    <cellStyle name="40% - Accent3 2 7" xfId="1916" xr:uid="{00000000-0005-0000-0000-00004B050000}"/>
    <cellStyle name="40% - Accent3 2 7 2" xfId="4145" xr:uid="{00000000-0005-0000-0000-00004C050000}"/>
    <cellStyle name="40% - Accent3 2 7 2 2" xfId="8368" xr:uid="{00000000-0005-0000-0000-00004D050000}"/>
    <cellStyle name="40% - Accent3 2 7 2 2 2" xfId="33667" xr:uid="{EF13ECD5-9F52-4833-9D76-B52743B84D5B}"/>
    <cellStyle name="40% - Accent3 2 7 2 2 3" xfId="25238" xr:uid="{727DD5C2-FF98-4F45-9CE4-D8810D2ADF90}"/>
    <cellStyle name="40% - Accent3 2 7 2 2 4" xfId="42095" xr:uid="{F6A73FE6-37F9-4A6E-898C-67C89184462B}"/>
    <cellStyle name="40% - Accent3 2 7 2 2 5" xfId="16803" xr:uid="{7C8F558D-C931-4C86-BB43-EA48C3630FF4}"/>
    <cellStyle name="40% - Accent3 2 7 2 3" xfId="29449" xr:uid="{5C0C224D-67B8-4080-AF78-4BD421FD8EB0}"/>
    <cellStyle name="40% - Accent3 2 7 2 4" xfId="21020" xr:uid="{CB67A64A-37E2-4939-A073-4617D7E4D59B}"/>
    <cellStyle name="40% - Accent3 2 7 2 5" xfId="37878" xr:uid="{8A239827-4F20-4439-BA47-A5CCBA68B2C3}"/>
    <cellStyle name="40% - Accent3 2 7 2 6" xfId="12585" xr:uid="{222AB244-DA50-4DE9-8E7D-E2300BF1DEAD}"/>
    <cellStyle name="40% - Accent3 2 7 3" xfId="6223" xr:uid="{00000000-0005-0000-0000-00004E050000}"/>
    <cellStyle name="40% - Accent3 2 7 3 2" xfId="31522" xr:uid="{4CC7CED8-8CAD-4337-8486-A00A77992F36}"/>
    <cellStyle name="40% - Accent3 2 7 3 3" xfId="23093" xr:uid="{6FC803AF-58A2-41D3-9B58-BB32E6C5FB84}"/>
    <cellStyle name="40% - Accent3 2 7 3 4" xfId="39950" xr:uid="{517BB905-3799-45AF-84D5-F18C0AFB1746}"/>
    <cellStyle name="40% - Accent3 2 7 3 5" xfId="14658" xr:uid="{88A4E874-17A6-4DE4-9B00-3FAE0EDCA332}"/>
    <cellStyle name="40% - Accent3 2 7 4" xfId="27304" xr:uid="{969F3C29-6FFE-4CDC-9C30-342B6CB71096}"/>
    <cellStyle name="40% - Accent3 2 7 5" xfId="18875" xr:uid="{C23E329F-94F1-4DE4-95C5-6AAE9A9B2DB2}"/>
    <cellStyle name="40% - Accent3 2 7 6" xfId="35733" xr:uid="{9B25CF3F-D44A-4BF7-BB43-9B216B6E097C}"/>
    <cellStyle name="40% - Accent3 2 7 7" xfId="10440" xr:uid="{E64CA1D5-E5B3-48AE-8A11-79BD59AE56C5}"/>
    <cellStyle name="40% - Accent3 2 8" xfId="2329" xr:uid="{00000000-0005-0000-0000-00004F050000}"/>
    <cellStyle name="40% - Accent3 2 8 2" xfId="6636" xr:uid="{00000000-0005-0000-0000-000050050000}"/>
    <cellStyle name="40% - Accent3 2 8 2 2" xfId="31935" xr:uid="{575FD921-38EF-4727-BA75-B41119DF7619}"/>
    <cellStyle name="40% - Accent3 2 8 2 3" xfId="23506" xr:uid="{C7F6BE2B-569E-48C1-A6C3-7E05C9DCECCA}"/>
    <cellStyle name="40% - Accent3 2 8 2 4" xfId="40363" xr:uid="{27C62115-85D7-43A2-ADBB-829B2E1EBCB7}"/>
    <cellStyle name="40% - Accent3 2 8 2 5" xfId="15071" xr:uid="{24F446CC-1D87-4F8F-9740-0FEF9B756161}"/>
    <cellStyle name="40% - Accent3 2 8 3" xfId="27717" xr:uid="{E824636F-7934-48D7-80EC-F2D201A841CA}"/>
    <cellStyle name="40% - Accent3 2 8 4" xfId="19288" xr:uid="{DBCBC09C-D12C-4EEF-A829-B80423B9DF22}"/>
    <cellStyle name="40% - Accent3 2 8 5" xfId="36146" xr:uid="{FDD15CA1-C3C6-4D2F-80EE-96056B1AE7FC}"/>
    <cellStyle name="40% - Accent3 2 8 6" xfId="10853" xr:uid="{D8560563-47BA-47DF-9F3A-536BF0203C8B}"/>
    <cellStyle name="40% - Accent3 2 9" xfId="4570" xr:uid="{00000000-0005-0000-0000-000051050000}"/>
    <cellStyle name="40% - Accent3 2 9 2" xfId="29869" xr:uid="{B76AA274-F56C-46ED-B5DF-A2CB4BCE9082}"/>
    <cellStyle name="40% - Accent3 2 9 3" xfId="21440" xr:uid="{8C8F732D-044A-4353-9E6A-E127D51BD02B}"/>
    <cellStyle name="40% - Accent3 2 9 4" xfId="38297" xr:uid="{4CB3AF7C-97FD-4925-90D9-106896F57461}"/>
    <cellStyle name="40% - Accent3 2 9 5" xfId="13005" xr:uid="{CF5DFCEF-4B91-4F2B-940E-CFD09B39FD23}"/>
    <cellStyle name="40% - Accent3 3" xfId="70" xr:uid="{00000000-0005-0000-0000-000052050000}"/>
    <cellStyle name="40% - Accent3 3 10" xfId="17226" xr:uid="{6A169FF6-822C-443B-AEC2-17E5902B18CE}"/>
    <cellStyle name="40% - Accent3 3 11" xfId="34084" xr:uid="{0F669A03-02AD-44A0-90E1-A527FEA0D7AE}"/>
    <cellStyle name="40% - Accent3 3 12" xfId="8791" xr:uid="{C7A8E6C8-3DD4-43B4-8F0B-1940FFD41EB5}"/>
    <cellStyle name="40% - Accent3 3 2" xfId="71" xr:uid="{00000000-0005-0000-0000-000053050000}"/>
    <cellStyle name="40% - Accent3 3 2 10" xfId="34085" xr:uid="{60FCA52F-99EC-44C3-8EC2-DD37239CBE9B}"/>
    <cellStyle name="40% - Accent3 3 2 11" xfId="8792" xr:uid="{6134A3C2-4D77-4678-995D-837A2D6C2C9B}"/>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32433" xr:uid="{00FF9A00-FD9F-47F0-A288-2FEE9C4944D3}"/>
    <cellStyle name="40% - Accent3 3 2 2 2 2 3" xfId="24004" xr:uid="{623F8AB1-5C79-4691-9DC0-F2C75A115433}"/>
    <cellStyle name="40% - Accent3 3 2 2 2 2 4" xfId="40861" xr:uid="{07F3538C-701A-4C7B-B234-6FD4EB910F85}"/>
    <cellStyle name="40% - Accent3 3 2 2 2 2 5" xfId="15569" xr:uid="{4CD092EC-87E8-4DCC-A37E-FDC26774D340}"/>
    <cellStyle name="40% - Accent3 3 2 2 2 3" xfId="28215" xr:uid="{4EDBAE39-E8F3-4D0E-BCD4-CFA9E7EE6600}"/>
    <cellStyle name="40% - Accent3 3 2 2 2 4" xfId="19786" xr:uid="{115F424E-5049-49AC-ABB6-842BBDDA6140}"/>
    <cellStyle name="40% - Accent3 3 2 2 2 5" xfId="36644" xr:uid="{398F45B6-6337-440E-8E85-2F1C18969D73}"/>
    <cellStyle name="40% - Accent3 3 2 2 2 6" xfId="11351" xr:uid="{B11E90A2-E7B0-4B0C-BD10-7B5F1F910E26}"/>
    <cellStyle name="40% - Accent3 3 2 2 3" xfId="4989" xr:uid="{00000000-0005-0000-0000-000057050000}"/>
    <cellStyle name="40% - Accent3 3 2 2 3 2" xfId="30288" xr:uid="{9513A88C-84C5-4C79-A6D8-59D7E2CE5DA3}"/>
    <cellStyle name="40% - Accent3 3 2 2 3 3" xfId="21859" xr:uid="{B7DD8C94-8900-430B-ACF7-B5DF5FDF4088}"/>
    <cellStyle name="40% - Accent3 3 2 2 3 4" xfId="38716" xr:uid="{F589BF52-9687-4446-9B6D-A096DA3B2EAC}"/>
    <cellStyle name="40% - Accent3 3 2 2 3 5" xfId="13424" xr:uid="{BAF2CD3F-2B81-4F21-9658-59A36080E1E3}"/>
    <cellStyle name="40% - Accent3 3 2 2 4" xfId="26070" xr:uid="{4B69B705-F184-46E8-BA05-D40FD8C78655}"/>
    <cellStyle name="40% - Accent3 3 2 2 5" xfId="17641" xr:uid="{C044F430-F2B3-4237-9AA3-BC8A8535CE66}"/>
    <cellStyle name="40% - Accent3 3 2 2 6" xfId="34499" xr:uid="{6FB77A60-80FF-49F9-A480-A1B331EC0E84}"/>
    <cellStyle name="40% - Accent3 3 2 2 7" xfId="9206" xr:uid="{F1821508-1719-48E9-B5D8-5EB8AFE42446}"/>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32846" xr:uid="{3A475597-E0AA-4B62-B537-35AC707BBA44}"/>
    <cellStyle name="40% - Accent3 3 2 3 2 2 3" xfId="24417" xr:uid="{BDC17CF6-5BD8-403D-A06C-023F8348BC8C}"/>
    <cellStyle name="40% - Accent3 3 2 3 2 2 4" xfId="41274" xr:uid="{93070D75-7152-4F6F-85EE-1D3DEB48A39D}"/>
    <cellStyle name="40% - Accent3 3 2 3 2 2 5" xfId="15982" xr:uid="{250DA2ED-C350-4407-B282-F05FA664DAC5}"/>
    <cellStyle name="40% - Accent3 3 2 3 2 3" xfId="28628" xr:uid="{A1A4F622-8BBF-48B2-B234-D67A47ABB5F5}"/>
    <cellStyle name="40% - Accent3 3 2 3 2 4" xfId="20199" xr:uid="{6F36BD9C-043A-4E92-ACD2-E7CB4E6A6A35}"/>
    <cellStyle name="40% - Accent3 3 2 3 2 5" xfId="37057" xr:uid="{6A39AD53-19C8-458A-84E6-CB362954967D}"/>
    <cellStyle name="40% - Accent3 3 2 3 2 6" xfId="11764" xr:uid="{DC57E6EA-43F2-4AFA-8848-A8BBA77CBCDE}"/>
    <cellStyle name="40% - Accent3 3 2 3 3" xfId="5402" xr:uid="{00000000-0005-0000-0000-00005B050000}"/>
    <cellStyle name="40% - Accent3 3 2 3 3 2" xfId="30701" xr:uid="{8F025336-9000-4102-91D2-EA48DC338EDA}"/>
    <cellStyle name="40% - Accent3 3 2 3 3 3" xfId="22272" xr:uid="{592D4C9A-AFBA-46E6-8629-DBCF7FB0C135}"/>
    <cellStyle name="40% - Accent3 3 2 3 3 4" xfId="39129" xr:uid="{97E99F80-E4A5-4707-9C29-DC18D8A0BE9B}"/>
    <cellStyle name="40% - Accent3 3 2 3 3 5" xfId="13837" xr:uid="{64E6FDEC-731A-4CAC-A05F-660FCB302B50}"/>
    <cellStyle name="40% - Accent3 3 2 3 4" xfId="26483" xr:uid="{52A7A76F-E1B2-464F-8DDA-97F34DEA60F0}"/>
    <cellStyle name="40% - Accent3 3 2 3 5" xfId="18054" xr:uid="{D8D77990-8BDB-4E5D-9149-FA6302FA087C}"/>
    <cellStyle name="40% - Accent3 3 2 3 6" xfId="34912" xr:uid="{2AD23D36-4422-4114-A71A-0D4B1F4F57D4}"/>
    <cellStyle name="40% - Accent3 3 2 3 7" xfId="9619" xr:uid="{1C7D016A-259F-4D0D-BD11-70D627D7543D}"/>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33259" xr:uid="{E77E9651-F883-4BB4-9A60-A3F2B51A6EF3}"/>
    <cellStyle name="40% - Accent3 3 2 4 2 2 3" xfId="24830" xr:uid="{A800EE52-26D9-45F9-A695-8F0A4976936D}"/>
    <cellStyle name="40% - Accent3 3 2 4 2 2 4" xfId="41687" xr:uid="{021267FA-A273-431F-8D3F-800389993436}"/>
    <cellStyle name="40% - Accent3 3 2 4 2 2 5" xfId="16395" xr:uid="{7E00EACC-1D9D-4B6A-B07C-14CF60F5F9EC}"/>
    <cellStyle name="40% - Accent3 3 2 4 2 3" xfId="29041" xr:uid="{8976391C-1EB6-4F48-982B-8A69C020A802}"/>
    <cellStyle name="40% - Accent3 3 2 4 2 4" xfId="20612" xr:uid="{B9E083FD-0122-4CC6-8011-17DD82660B1C}"/>
    <cellStyle name="40% - Accent3 3 2 4 2 5" xfId="37470" xr:uid="{BD1B2DE2-3B71-4B02-96E6-27E76C221469}"/>
    <cellStyle name="40% - Accent3 3 2 4 2 6" xfId="12177" xr:uid="{CE500B5C-A36B-49CD-8CDE-CBC9A3622DCD}"/>
    <cellStyle name="40% - Accent3 3 2 4 3" xfId="5815" xr:uid="{00000000-0005-0000-0000-00005F050000}"/>
    <cellStyle name="40% - Accent3 3 2 4 3 2" xfId="31114" xr:uid="{2944D448-4781-477E-AC6B-A029D2DC6269}"/>
    <cellStyle name="40% - Accent3 3 2 4 3 3" xfId="22685" xr:uid="{F79238BE-1E50-41CA-9DD5-F01DC4D5EFD0}"/>
    <cellStyle name="40% - Accent3 3 2 4 3 4" xfId="39542" xr:uid="{771F8197-E13F-4A8A-B649-DED0D6933ADB}"/>
    <cellStyle name="40% - Accent3 3 2 4 3 5" xfId="14250" xr:uid="{20C98A37-0B90-4B34-A502-ECAFB1DF49CE}"/>
    <cellStyle name="40% - Accent3 3 2 4 4" xfId="26896" xr:uid="{AF868B36-D20A-4FA5-B56B-20E9E872C981}"/>
    <cellStyle name="40% - Accent3 3 2 4 5" xfId="18467" xr:uid="{F6B87633-3510-4229-8148-31262CE4CB1C}"/>
    <cellStyle name="40% - Accent3 3 2 4 6" xfId="35325" xr:uid="{F858BC06-75C6-4766-9D7F-2676B84456C4}"/>
    <cellStyle name="40% - Accent3 3 2 4 7" xfId="10032" xr:uid="{EB79BF48-6D1B-47A4-A672-DE1865183326}"/>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33672" xr:uid="{E67FB25A-C96F-4033-B53A-99C9486354BF}"/>
    <cellStyle name="40% - Accent3 3 2 5 2 2 3" xfId="25243" xr:uid="{1227A679-C4F6-42AD-BC72-E25043320A21}"/>
    <cellStyle name="40% - Accent3 3 2 5 2 2 4" xfId="42100" xr:uid="{7393D889-60CB-4584-A030-65D38EE16BA9}"/>
    <cellStyle name="40% - Accent3 3 2 5 2 2 5" xfId="16808" xr:uid="{FB9F0D56-21DB-4117-B3CB-097E122D0EA9}"/>
    <cellStyle name="40% - Accent3 3 2 5 2 3" xfId="29454" xr:uid="{5E41F1BD-2C19-4DC7-AA29-99D8B40BAB47}"/>
    <cellStyle name="40% - Accent3 3 2 5 2 4" xfId="21025" xr:uid="{9984E4D3-9DC4-4B18-B05A-2FB6B2A064B0}"/>
    <cellStyle name="40% - Accent3 3 2 5 2 5" xfId="37883" xr:uid="{EE76A5C5-6389-40A2-B0B5-28D4BB2E6B84}"/>
    <cellStyle name="40% - Accent3 3 2 5 2 6" xfId="12590" xr:uid="{C8ECA6BC-2A9D-4FEC-9ED8-7B733A00BF42}"/>
    <cellStyle name="40% - Accent3 3 2 5 3" xfId="6228" xr:uid="{00000000-0005-0000-0000-000063050000}"/>
    <cellStyle name="40% - Accent3 3 2 5 3 2" xfId="31527" xr:uid="{E980D359-1341-455C-BA6D-2B079CAD00B6}"/>
    <cellStyle name="40% - Accent3 3 2 5 3 3" xfId="23098" xr:uid="{C34C0CD8-B412-4B80-B83C-0CDA145B9A45}"/>
    <cellStyle name="40% - Accent3 3 2 5 3 4" xfId="39955" xr:uid="{0C84396E-30EF-4CAA-8FEA-8B1A0171797C}"/>
    <cellStyle name="40% - Accent3 3 2 5 3 5" xfId="14663" xr:uid="{46F5750D-8C39-462A-8ECD-5D1C39F76677}"/>
    <cellStyle name="40% - Accent3 3 2 5 4" xfId="27309" xr:uid="{21BC060B-7281-45D2-8859-48BB299449CA}"/>
    <cellStyle name="40% - Accent3 3 2 5 5" xfId="18880" xr:uid="{4ADEB836-A679-47D0-83B2-4F4AA1953EF7}"/>
    <cellStyle name="40% - Accent3 3 2 5 6" xfId="35738" xr:uid="{E70588C3-3203-4CC0-8D5F-1D75471C369C}"/>
    <cellStyle name="40% - Accent3 3 2 5 7" xfId="10445" xr:uid="{59D03A31-6DB9-41F3-9710-8D730F88A8A5}"/>
    <cellStyle name="40% - Accent3 3 2 6" xfId="2334" xr:uid="{00000000-0005-0000-0000-000064050000}"/>
    <cellStyle name="40% - Accent3 3 2 6 2" xfId="6641" xr:uid="{00000000-0005-0000-0000-000065050000}"/>
    <cellStyle name="40% - Accent3 3 2 6 2 2" xfId="31940" xr:uid="{6709F0FB-964A-4115-994A-6D2A638EEC9C}"/>
    <cellStyle name="40% - Accent3 3 2 6 2 3" xfId="23511" xr:uid="{9A222F80-EDAA-4960-ADD9-59FF8E3E9EAE}"/>
    <cellStyle name="40% - Accent3 3 2 6 2 4" xfId="40368" xr:uid="{478B3DA8-8F96-4254-84A9-48F2FC675465}"/>
    <cellStyle name="40% - Accent3 3 2 6 2 5" xfId="15076" xr:uid="{5904703A-F3B5-4E22-BD54-F9F914A67F3A}"/>
    <cellStyle name="40% - Accent3 3 2 6 3" xfId="27722" xr:uid="{54A10C02-0189-42C1-94BA-53858253FE63}"/>
    <cellStyle name="40% - Accent3 3 2 6 4" xfId="19293" xr:uid="{574CC45F-E750-4C76-81B4-18545826F63C}"/>
    <cellStyle name="40% - Accent3 3 2 6 5" xfId="36151" xr:uid="{4BFC3943-49E5-4EAD-A714-7A25857A26C2}"/>
    <cellStyle name="40% - Accent3 3 2 6 6" xfId="10858" xr:uid="{EE72EA79-D514-4BB5-A4CE-024C5CB761E9}"/>
    <cellStyle name="40% - Accent3 3 2 7" xfId="4575" xr:uid="{00000000-0005-0000-0000-000066050000}"/>
    <cellStyle name="40% - Accent3 3 2 7 2" xfId="29874" xr:uid="{2FF46106-48DF-4254-8B5B-282021843C0B}"/>
    <cellStyle name="40% - Accent3 3 2 7 3" xfId="21445" xr:uid="{FE0C5BDF-007C-4122-AE3A-A9AA5DBA112C}"/>
    <cellStyle name="40% - Accent3 3 2 7 4" xfId="38302" xr:uid="{BB0C4051-1503-4447-A38E-B3D46AAE89A4}"/>
    <cellStyle name="40% - Accent3 3 2 7 5" xfId="13010" xr:uid="{58BC69C5-D027-4F77-9A2B-3A86EF799BB5}"/>
    <cellStyle name="40% - Accent3 3 2 8" xfId="25656" xr:uid="{E0F2C23C-C0B3-4A85-AA06-982448E8A262}"/>
    <cellStyle name="40% - Accent3 3 2 9" xfId="17227" xr:uid="{FBC46EC2-06A7-4D02-BBB0-6AF110CE0F62}"/>
    <cellStyle name="40% - Accent3 3 3" xfId="639" xr:uid="{00000000-0005-0000-0000-000067050000}"/>
    <cellStyle name="40% - Accent3 3 3 2" xfId="2910" xr:uid="{00000000-0005-0000-0000-000068050000}"/>
    <cellStyle name="40% - Accent3 3 3 2 2" xfId="7133" xr:uid="{00000000-0005-0000-0000-000069050000}"/>
    <cellStyle name="40% - Accent3 3 3 2 2 2" xfId="32432" xr:uid="{0A1213F3-9BD3-4DF4-8280-54035487D28C}"/>
    <cellStyle name="40% - Accent3 3 3 2 2 3" xfId="24003" xr:uid="{A079624C-3945-47D4-B77A-BECCE90DF6D1}"/>
    <cellStyle name="40% - Accent3 3 3 2 2 4" xfId="40860" xr:uid="{625E0415-1300-4859-A5E8-1783C0A57DC0}"/>
    <cellStyle name="40% - Accent3 3 3 2 2 5" xfId="15568" xr:uid="{E5E48B33-B743-4080-99AB-494FE590A95A}"/>
    <cellStyle name="40% - Accent3 3 3 2 3" xfId="28214" xr:uid="{17FD4C11-89B7-41D7-A1C0-19E913F483BE}"/>
    <cellStyle name="40% - Accent3 3 3 2 4" xfId="19785" xr:uid="{DD49EE71-5507-4989-9AF6-069EACA1AD56}"/>
    <cellStyle name="40% - Accent3 3 3 2 5" xfId="36643" xr:uid="{667D7092-3740-45F1-8EAF-169D812D1971}"/>
    <cellStyle name="40% - Accent3 3 3 2 6" xfId="11350" xr:uid="{E09B7902-CBA0-4591-A411-CD663101ECFA}"/>
    <cellStyle name="40% - Accent3 3 3 3" xfId="4988" xr:uid="{00000000-0005-0000-0000-00006A050000}"/>
    <cellStyle name="40% - Accent3 3 3 3 2" xfId="30287" xr:uid="{187A258E-9243-4D0D-ADA2-8235CFB472A7}"/>
    <cellStyle name="40% - Accent3 3 3 3 3" xfId="21858" xr:uid="{84F99A69-D179-47CB-84D0-E74964735292}"/>
    <cellStyle name="40% - Accent3 3 3 3 4" xfId="38715" xr:uid="{542E98B7-70B9-4D3F-B57C-406ADCE114C8}"/>
    <cellStyle name="40% - Accent3 3 3 3 5" xfId="13423" xr:uid="{A39B6F56-09A5-477D-B71D-F67446C55B15}"/>
    <cellStyle name="40% - Accent3 3 3 4" xfId="26069" xr:uid="{EF27A38D-ACF5-4C3C-A3B5-76B794AC50EC}"/>
    <cellStyle name="40% - Accent3 3 3 5" xfId="17640" xr:uid="{F790D5DD-B6C8-4BAF-97CF-1C1C0C493199}"/>
    <cellStyle name="40% - Accent3 3 3 6" xfId="34498" xr:uid="{1CF71259-B0CA-4E07-A89B-825744FF06FF}"/>
    <cellStyle name="40% - Accent3 3 3 7" xfId="9205" xr:uid="{6A0045D2-3FDF-43DB-B57B-3FA3CB2C4CA9}"/>
    <cellStyle name="40% - Accent3 3 4" xfId="1092" xr:uid="{00000000-0005-0000-0000-00006B050000}"/>
    <cellStyle name="40% - Accent3 3 4 2" xfId="3323" xr:uid="{00000000-0005-0000-0000-00006C050000}"/>
    <cellStyle name="40% - Accent3 3 4 2 2" xfId="7546" xr:uid="{00000000-0005-0000-0000-00006D050000}"/>
    <cellStyle name="40% - Accent3 3 4 2 2 2" xfId="32845" xr:uid="{1816B28E-DF76-4503-8CE2-2CCD8A4DF793}"/>
    <cellStyle name="40% - Accent3 3 4 2 2 3" xfId="24416" xr:uid="{9682B969-C5BD-4F81-89E6-866B878DE0F4}"/>
    <cellStyle name="40% - Accent3 3 4 2 2 4" xfId="41273" xr:uid="{93209B93-C87E-445C-B395-69D4C59F2607}"/>
    <cellStyle name="40% - Accent3 3 4 2 2 5" xfId="15981" xr:uid="{366B2D0A-AD89-4CDC-9C47-B85A131F83DB}"/>
    <cellStyle name="40% - Accent3 3 4 2 3" xfId="28627" xr:uid="{1BC30C4B-15BC-4F7E-843E-6977D9027E6C}"/>
    <cellStyle name="40% - Accent3 3 4 2 4" xfId="20198" xr:uid="{DE855FCC-5F4E-4D76-84C2-8A9773166EA5}"/>
    <cellStyle name="40% - Accent3 3 4 2 5" xfId="37056" xr:uid="{4EDF649D-C7E3-41DD-BD71-FDD63693AE72}"/>
    <cellStyle name="40% - Accent3 3 4 2 6" xfId="11763" xr:uid="{A31FE1A8-F7C7-4D4E-9949-BBD8226D8774}"/>
    <cellStyle name="40% - Accent3 3 4 3" xfId="5401" xr:uid="{00000000-0005-0000-0000-00006E050000}"/>
    <cellStyle name="40% - Accent3 3 4 3 2" xfId="30700" xr:uid="{8390EC79-2C3D-4129-9659-212D61297419}"/>
    <cellStyle name="40% - Accent3 3 4 3 3" xfId="22271" xr:uid="{7A809717-3952-49F8-8456-43FCD7A80AA5}"/>
    <cellStyle name="40% - Accent3 3 4 3 4" xfId="39128" xr:uid="{7C37B62A-3918-470A-ABF6-DCDC1AC3C606}"/>
    <cellStyle name="40% - Accent3 3 4 3 5" xfId="13836" xr:uid="{22D51BD9-A55A-4318-B88A-33423A3E61DD}"/>
    <cellStyle name="40% - Accent3 3 4 4" xfId="26482" xr:uid="{03944BB5-96C0-4D79-9325-88E32BC6F9A7}"/>
    <cellStyle name="40% - Accent3 3 4 5" xfId="18053" xr:uid="{FC8256C2-1D4E-4204-9CB3-AA7E2D79FA78}"/>
    <cellStyle name="40% - Accent3 3 4 6" xfId="34911" xr:uid="{CF843369-61C2-41B3-BD2B-86DADE4340A0}"/>
    <cellStyle name="40% - Accent3 3 4 7" xfId="9618" xr:uid="{44EE7133-AF9D-4F2A-A189-1D6DF27C24F8}"/>
    <cellStyle name="40% - Accent3 3 5" xfId="1506" xr:uid="{00000000-0005-0000-0000-00006F050000}"/>
    <cellStyle name="40% - Accent3 3 5 2" xfId="3736" xr:uid="{00000000-0005-0000-0000-000070050000}"/>
    <cellStyle name="40% - Accent3 3 5 2 2" xfId="7959" xr:uid="{00000000-0005-0000-0000-000071050000}"/>
    <cellStyle name="40% - Accent3 3 5 2 2 2" xfId="33258" xr:uid="{CB64BA8E-E9C0-454D-9D18-6CB14ED92B6C}"/>
    <cellStyle name="40% - Accent3 3 5 2 2 3" xfId="24829" xr:uid="{516C132D-F5D7-4A9A-8FCF-21BB44668ECF}"/>
    <cellStyle name="40% - Accent3 3 5 2 2 4" xfId="41686" xr:uid="{3F0D0CCE-4D49-4A83-9021-DFB52B4B6EC4}"/>
    <cellStyle name="40% - Accent3 3 5 2 2 5" xfId="16394" xr:uid="{CFC475A2-90FC-4D77-80CF-9DB5829C8339}"/>
    <cellStyle name="40% - Accent3 3 5 2 3" xfId="29040" xr:uid="{5402F8ED-6C82-42E4-B92E-C19CB8F8D2BD}"/>
    <cellStyle name="40% - Accent3 3 5 2 4" xfId="20611" xr:uid="{66EB264C-7930-40DB-8A3E-C9F065752D74}"/>
    <cellStyle name="40% - Accent3 3 5 2 5" xfId="37469" xr:uid="{D9F5B459-319A-45D8-897C-03749144C821}"/>
    <cellStyle name="40% - Accent3 3 5 2 6" xfId="12176" xr:uid="{EF28C379-5BB9-41FF-B921-EB92A8F296FF}"/>
    <cellStyle name="40% - Accent3 3 5 3" xfId="5814" xr:uid="{00000000-0005-0000-0000-000072050000}"/>
    <cellStyle name="40% - Accent3 3 5 3 2" xfId="31113" xr:uid="{E8FAA1EF-A6E0-4CEB-868A-0AA88DDE31F1}"/>
    <cellStyle name="40% - Accent3 3 5 3 3" xfId="22684" xr:uid="{C9A710FD-7213-4223-8612-E7C0D88489F8}"/>
    <cellStyle name="40% - Accent3 3 5 3 4" xfId="39541" xr:uid="{AD33ECAA-79E5-40A0-9199-6DB7D57B983A}"/>
    <cellStyle name="40% - Accent3 3 5 3 5" xfId="14249" xr:uid="{904421D5-5D4E-4AA1-9EDC-F9231B187625}"/>
    <cellStyle name="40% - Accent3 3 5 4" xfId="26895" xr:uid="{1C5DEE06-CEC7-4D4F-8D54-4DBF04661615}"/>
    <cellStyle name="40% - Accent3 3 5 5" xfId="18466" xr:uid="{9630072B-F805-4D26-9EE5-481B0D8F244A}"/>
    <cellStyle name="40% - Accent3 3 5 6" xfId="35324" xr:uid="{C98344D0-EA18-41BB-9BB0-1A8DBA6244EF}"/>
    <cellStyle name="40% - Accent3 3 5 7" xfId="10031" xr:uid="{A60F6421-BD8D-464C-9220-E4C36BDF168A}"/>
    <cellStyle name="40% - Accent3 3 6" xfId="1920" xr:uid="{00000000-0005-0000-0000-000073050000}"/>
    <cellStyle name="40% - Accent3 3 6 2" xfId="4149" xr:uid="{00000000-0005-0000-0000-000074050000}"/>
    <cellStyle name="40% - Accent3 3 6 2 2" xfId="8372" xr:uid="{00000000-0005-0000-0000-000075050000}"/>
    <cellStyle name="40% - Accent3 3 6 2 2 2" xfId="33671" xr:uid="{1D147376-41DA-4B90-8C5B-CA821396A7A6}"/>
    <cellStyle name="40% - Accent3 3 6 2 2 3" xfId="25242" xr:uid="{5CF2A91C-D633-42CD-A258-88DF0667E18B}"/>
    <cellStyle name="40% - Accent3 3 6 2 2 4" xfId="42099" xr:uid="{60CF8B29-B309-4214-86B6-06F76A088523}"/>
    <cellStyle name="40% - Accent3 3 6 2 2 5" xfId="16807" xr:uid="{551F2747-A711-495A-BDDD-A238C9A974A8}"/>
    <cellStyle name="40% - Accent3 3 6 2 3" xfId="29453" xr:uid="{741DF1F0-8231-4B9D-B7BB-C31F124C59DF}"/>
    <cellStyle name="40% - Accent3 3 6 2 4" xfId="21024" xr:uid="{847DE9DE-DBE2-44FE-93D9-8829214B3BA2}"/>
    <cellStyle name="40% - Accent3 3 6 2 5" xfId="37882" xr:uid="{3F5FA345-0DD5-4027-886A-BD6F51A04362}"/>
    <cellStyle name="40% - Accent3 3 6 2 6" xfId="12589" xr:uid="{3A5F4A97-36FB-4A98-9326-E399CDF6C64E}"/>
    <cellStyle name="40% - Accent3 3 6 3" xfId="6227" xr:uid="{00000000-0005-0000-0000-000076050000}"/>
    <cellStyle name="40% - Accent3 3 6 3 2" xfId="31526" xr:uid="{BD80EE59-BB1E-4175-93EA-83561AFE421B}"/>
    <cellStyle name="40% - Accent3 3 6 3 3" xfId="23097" xr:uid="{F2276A7A-23C3-4409-B958-F585CC4F6964}"/>
    <cellStyle name="40% - Accent3 3 6 3 4" xfId="39954" xr:uid="{6DFC193D-3D43-43E8-8004-12A89ECCF41D}"/>
    <cellStyle name="40% - Accent3 3 6 3 5" xfId="14662" xr:uid="{ECCBD511-E9DB-46E3-A88E-C39CEE507E63}"/>
    <cellStyle name="40% - Accent3 3 6 4" xfId="27308" xr:uid="{5B62F694-F2CB-4A5B-9C24-47CC076B9A6F}"/>
    <cellStyle name="40% - Accent3 3 6 5" xfId="18879" xr:uid="{A0A62C09-CF0E-4445-BC96-1F21670C2259}"/>
    <cellStyle name="40% - Accent3 3 6 6" xfId="35737" xr:uid="{868FFDD6-0107-4BE8-9C82-92B1219C1B6D}"/>
    <cellStyle name="40% - Accent3 3 6 7" xfId="10444" xr:uid="{F795268F-B950-46C8-A87A-BA37C4E53B2A}"/>
    <cellStyle name="40% - Accent3 3 7" xfId="2333" xr:uid="{00000000-0005-0000-0000-000077050000}"/>
    <cellStyle name="40% - Accent3 3 7 2" xfId="6640" xr:uid="{00000000-0005-0000-0000-000078050000}"/>
    <cellStyle name="40% - Accent3 3 7 2 2" xfId="31939" xr:uid="{4172C83E-5B6B-4C61-BE5A-5EF95396ADD5}"/>
    <cellStyle name="40% - Accent3 3 7 2 3" xfId="23510" xr:uid="{007664C1-503B-45B6-A8E2-F380BF861356}"/>
    <cellStyle name="40% - Accent3 3 7 2 4" xfId="40367" xr:uid="{FB8C6972-1FD4-40E4-A966-B24C99D366EE}"/>
    <cellStyle name="40% - Accent3 3 7 2 5" xfId="15075" xr:uid="{9CC9A034-B725-40C0-8F5C-5E2B0D043020}"/>
    <cellStyle name="40% - Accent3 3 7 3" xfId="27721" xr:uid="{5369191D-1B82-4791-B586-FAF7BAD2A55F}"/>
    <cellStyle name="40% - Accent3 3 7 4" xfId="19292" xr:uid="{7097BB3D-A524-449F-9FF1-4F7A206B42F3}"/>
    <cellStyle name="40% - Accent3 3 7 5" xfId="36150" xr:uid="{C79D4C8E-7BC1-45DE-B9F5-0D798892EB91}"/>
    <cellStyle name="40% - Accent3 3 7 6" xfId="10857" xr:uid="{987FA761-D89D-406C-B1C5-D78AC918EA26}"/>
    <cellStyle name="40% - Accent3 3 8" xfId="4574" xr:uid="{00000000-0005-0000-0000-000079050000}"/>
    <cellStyle name="40% - Accent3 3 8 2" xfId="29873" xr:uid="{6707823B-EE90-4F21-B06D-D92A972E4651}"/>
    <cellStyle name="40% - Accent3 3 8 3" xfId="21444" xr:uid="{7AC28A82-DC8A-4CD9-A23E-D540510ECB2E}"/>
    <cellStyle name="40% - Accent3 3 8 4" xfId="38301" xr:uid="{34393FF5-45D0-4136-BA48-02EEB8DCDC33}"/>
    <cellStyle name="40% - Accent3 3 8 5" xfId="13009" xr:uid="{B26D70F5-7137-4B71-826B-4E6C067F7B14}"/>
    <cellStyle name="40% - Accent3 3 9" xfId="25655" xr:uid="{8E1619A1-39F8-438E-8500-C3EEFC98F277}"/>
    <cellStyle name="40% - Accent3 4" xfId="72" xr:uid="{00000000-0005-0000-0000-00007A050000}"/>
    <cellStyle name="40% - Accent3 4 10" xfId="34086" xr:uid="{9C4F5128-7C5C-47B6-BD00-0B84E05F6F04}"/>
    <cellStyle name="40% - Accent3 4 11" xfId="8793" xr:uid="{467D3997-C385-45EC-90F2-709977F08AE3}"/>
    <cellStyle name="40% - Accent3 4 2" xfId="641" xr:uid="{00000000-0005-0000-0000-00007B050000}"/>
    <cellStyle name="40% - Accent3 4 2 2" xfId="2912" xr:uid="{00000000-0005-0000-0000-00007C050000}"/>
    <cellStyle name="40% - Accent3 4 2 2 2" xfId="7135" xr:uid="{00000000-0005-0000-0000-00007D050000}"/>
    <cellStyle name="40% - Accent3 4 2 2 2 2" xfId="32434" xr:uid="{AA54E1AC-B605-45B8-A23B-31493277DC2D}"/>
    <cellStyle name="40% - Accent3 4 2 2 2 3" xfId="24005" xr:uid="{392DE54E-CCF0-47D5-90F2-CF5AB9CBA1D7}"/>
    <cellStyle name="40% - Accent3 4 2 2 2 4" xfId="40862" xr:uid="{328DA535-265A-4FBB-B661-3154BE7D9177}"/>
    <cellStyle name="40% - Accent3 4 2 2 2 5" xfId="15570" xr:uid="{540C8D3E-B230-4106-AB7E-94552F318B27}"/>
    <cellStyle name="40% - Accent3 4 2 2 3" xfId="28216" xr:uid="{9B584C67-F24D-46A8-B37E-ACAF79DC395C}"/>
    <cellStyle name="40% - Accent3 4 2 2 4" xfId="19787" xr:uid="{5AF2AE1E-B597-48AC-8B4B-153616E5DD67}"/>
    <cellStyle name="40% - Accent3 4 2 2 5" xfId="36645" xr:uid="{3DEA2D60-89FF-46BC-865F-63A02D609AC4}"/>
    <cellStyle name="40% - Accent3 4 2 2 6" xfId="11352" xr:uid="{81FB3706-FB6C-4FA5-8A8C-8395345E7060}"/>
    <cellStyle name="40% - Accent3 4 2 3" xfId="4990" xr:uid="{00000000-0005-0000-0000-00007E050000}"/>
    <cellStyle name="40% - Accent3 4 2 3 2" xfId="30289" xr:uid="{74A90990-8DDC-48E0-993B-31ED6233DD72}"/>
    <cellStyle name="40% - Accent3 4 2 3 3" xfId="21860" xr:uid="{8E39FA40-57AE-4045-8EDC-56781D5250FA}"/>
    <cellStyle name="40% - Accent3 4 2 3 4" xfId="38717" xr:uid="{3759819A-5471-4526-912D-01CE5FB9AA52}"/>
    <cellStyle name="40% - Accent3 4 2 3 5" xfId="13425" xr:uid="{1E788EDA-32E3-481D-BD38-267F488C5051}"/>
    <cellStyle name="40% - Accent3 4 2 4" xfId="26071" xr:uid="{9BD43F31-8800-4106-B5C5-2CDC243D3EEB}"/>
    <cellStyle name="40% - Accent3 4 2 5" xfId="17642" xr:uid="{DE4E53E3-2E4D-483C-A860-05C9F959A5EA}"/>
    <cellStyle name="40% - Accent3 4 2 6" xfId="34500" xr:uid="{57F9C7EF-78CE-4D9D-84AF-F5A8D805B40E}"/>
    <cellStyle name="40% - Accent3 4 2 7" xfId="9207" xr:uid="{17F6505E-95C5-4D1C-84A7-33B642B26DEC}"/>
    <cellStyle name="40% - Accent3 4 3" xfId="1094" xr:uid="{00000000-0005-0000-0000-00007F050000}"/>
    <cellStyle name="40% - Accent3 4 3 2" xfId="3325" xr:uid="{00000000-0005-0000-0000-000080050000}"/>
    <cellStyle name="40% - Accent3 4 3 2 2" xfId="7548" xr:uid="{00000000-0005-0000-0000-000081050000}"/>
    <cellStyle name="40% - Accent3 4 3 2 2 2" xfId="32847" xr:uid="{BA78A176-2862-4330-85C4-1A4264B30F59}"/>
    <cellStyle name="40% - Accent3 4 3 2 2 3" xfId="24418" xr:uid="{E2C8E047-9C5A-4D06-85D4-41276305CCE5}"/>
    <cellStyle name="40% - Accent3 4 3 2 2 4" xfId="41275" xr:uid="{5D744202-E29D-4DD3-961B-9E548CA131F6}"/>
    <cellStyle name="40% - Accent3 4 3 2 2 5" xfId="15983" xr:uid="{146D7C19-8A6F-49A8-8C4A-68374F1A50E4}"/>
    <cellStyle name="40% - Accent3 4 3 2 3" xfId="28629" xr:uid="{6219353E-DD65-435C-9E4F-C564887B9179}"/>
    <cellStyle name="40% - Accent3 4 3 2 4" xfId="20200" xr:uid="{B0717EEE-8747-480F-8FD9-C59681630A92}"/>
    <cellStyle name="40% - Accent3 4 3 2 5" xfId="37058" xr:uid="{2C8DB086-41A4-4C71-8D9F-C3DD05835E9B}"/>
    <cellStyle name="40% - Accent3 4 3 2 6" xfId="11765" xr:uid="{46D08D58-0F7F-4D1A-9790-9958B809461F}"/>
    <cellStyle name="40% - Accent3 4 3 3" xfId="5403" xr:uid="{00000000-0005-0000-0000-000082050000}"/>
    <cellStyle name="40% - Accent3 4 3 3 2" xfId="30702" xr:uid="{BB71C681-8AC6-4D7F-AEAE-11C317C0E4E7}"/>
    <cellStyle name="40% - Accent3 4 3 3 3" xfId="22273" xr:uid="{0109EA51-0613-4781-871F-F0297A8F05B1}"/>
    <cellStyle name="40% - Accent3 4 3 3 4" xfId="39130" xr:uid="{CFC90370-62E5-468A-B3CB-3A4E9B5BFB92}"/>
    <cellStyle name="40% - Accent3 4 3 3 5" xfId="13838" xr:uid="{D12FEA71-2E6D-4A8D-992C-206D5FC35939}"/>
    <cellStyle name="40% - Accent3 4 3 4" xfId="26484" xr:uid="{40B3CA82-8460-4EC1-9957-B8A252E6C5F2}"/>
    <cellStyle name="40% - Accent3 4 3 5" xfId="18055" xr:uid="{7BB0243C-76F3-4470-8F67-6D32933F9884}"/>
    <cellStyle name="40% - Accent3 4 3 6" xfId="34913" xr:uid="{89964ADC-AD3B-4D16-BE6B-9324172715D5}"/>
    <cellStyle name="40% - Accent3 4 3 7" xfId="9620" xr:uid="{55EAE2BD-FB6C-4038-9ACC-B83DF1927BBB}"/>
    <cellStyle name="40% - Accent3 4 4" xfId="1508" xr:uid="{00000000-0005-0000-0000-000083050000}"/>
    <cellStyle name="40% - Accent3 4 4 2" xfId="3738" xr:uid="{00000000-0005-0000-0000-000084050000}"/>
    <cellStyle name="40% - Accent3 4 4 2 2" xfId="7961" xr:uid="{00000000-0005-0000-0000-000085050000}"/>
    <cellStyle name="40% - Accent3 4 4 2 2 2" xfId="33260" xr:uid="{BE18616E-C401-45D1-B7E2-68B4B2F38A3C}"/>
    <cellStyle name="40% - Accent3 4 4 2 2 3" xfId="24831" xr:uid="{3790B295-5307-4060-A2A6-7385C610B8DA}"/>
    <cellStyle name="40% - Accent3 4 4 2 2 4" xfId="41688" xr:uid="{B350E774-828B-4AE9-8767-EBE8CD366041}"/>
    <cellStyle name="40% - Accent3 4 4 2 2 5" xfId="16396" xr:uid="{FD276356-1416-427D-ACA1-6BD73FACA929}"/>
    <cellStyle name="40% - Accent3 4 4 2 3" xfId="29042" xr:uid="{E1E8C2DD-AB72-4A81-BAA6-16D892BC28A6}"/>
    <cellStyle name="40% - Accent3 4 4 2 4" xfId="20613" xr:uid="{C2CA3FEE-B9C0-475B-9FDE-A0DD380A3BDC}"/>
    <cellStyle name="40% - Accent3 4 4 2 5" xfId="37471" xr:uid="{509BF798-FEB0-4476-B01E-25DF53A9DB9C}"/>
    <cellStyle name="40% - Accent3 4 4 2 6" xfId="12178" xr:uid="{2F23D606-86AF-4262-979D-2F7278094E58}"/>
    <cellStyle name="40% - Accent3 4 4 3" xfId="5816" xr:uid="{00000000-0005-0000-0000-000086050000}"/>
    <cellStyle name="40% - Accent3 4 4 3 2" xfId="31115" xr:uid="{1CD7FC4A-5BE7-4149-B4D1-9DFF7C466DD9}"/>
    <cellStyle name="40% - Accent3 4 4 3 3" xfId="22686" xr:uid="{0E442639-AEFF-4AE2-8774-3652B94D94DE}"/>
    <cellStyle name="40% - Accent3 4 4 3 4" xfId="39543" xr:uid="{EEE92A10-5938-44D7-B7EE-F88A0C642A74}"/>
    <cellStyle name="40% - Accent3 4 4 3 5" xfId="14251" xr:uid="{7B40663C-8F74-4647-BEEB-A98D667A800D}"/>
    <cellStyle name="40% - Accent3 4 4 4" xfId="26897" xr:uid="{DF7A0ED2-2CCC-48F6-B2BC-C64B7680044A}"/>
    <cellStyle name="40% - Accent3 4 4 5" xfId="18468" xr:uid="{B139C9E9-769A-42A7-AD61-15B2AA7F16F2}"/>
    <cellStyle name="40% - Accent3 4 4 6" xfId="35326" xr:uid="{5CDE34AC-948E-406A-9B7E-32366012F704}"/>
    <cellStyle name="40% - Accent3 4 4 7" xfId="10033" xr:uid="{597CAB7C-5E3D-4E44-82E9-B6418FC4E10E}"/>
    <cellStyle name="40% - Accent3 4 5" xfId="1922" xr:uid="{00000000-0005-0000-0000-000087050000}"/>
    <cellStyle name="40% - Accent3 4 5 2" xfId="4151" xr:uid="{00000000-0005-0000-0000-000088050000}"/>
    <cellStyle name="40% - Accent3 4 5 2 2" xfId="8374" xr:uid="{00000000-0005-0000-0000-000089050000}"/>
    <cellStyle name="40% - Accent3 4 5 2 2 2" xfId="33673" xr:uid="{11DA1C81-C8C0-406C-8F25-473BEA835C8A}"/>
    <cellStyle name="40% - Accent3 4 5 2 2 3" xfId="25244" xr:uid="{38C08631-B996-445E-AD54-B9FE8A0F55A3}"/>
    <cellStyle name="40% - Accent3 4 5 2 2 4" xfId="42101" xr:uid="{B2397B94-5D08-4D6D-985A-BF7D1FE136A7}"/>
    <cellStyle name="40% - Accent3 4 5 2 2 5" xfId="16809" xr:uid="{77488C7E-78E0-460F-990F-BF282D036CB3}"/>
    <cellStyle name="40% - Accent3 4 5 2 3" xfId="29455" xr:uid="{158713BE-B168-496A-84C2-2890F640AA60}"/>
    <cellStyle name="40% - Accent3 4 5 2 4" xfId="21026" xr:uid="{620D9B8B-BFB0-47E1-8466-BDC0CAE9C0DB}"/>
    <cellStyle name="40% - Accent3 4 5 2 5" xfId="37884" xr:uid="{256F597F-E597-4066-9760-C0996D5F3312}"/>
    <cellStyle name="40% - Accent3 4 5 2 6" xfId="12591" xr:uid="{AD44CA68-3A06-4BA4-B8EC-CA3BDA1FA39C}"/>
    <cellStyle name="40% - Accent3 4 5 3" xfId="6229" xr:uid="{00000000-0005-0000-0000-00008A050000}"/>
    <cellStyle name="40% - Accent3 4 5 3 2" xfId="31528" xr:uid="{761F4600-C186-44A2-9BDE-2FA446EF6FF3}"/>
    <cellStyle name="40% - Accent3 4 5 3 3" xfId="23099" xr:uid="{4B104E22-F406-4824-9611-3D3A601D59CD}"/>
    <cellStyle name="40% - Accent3 4 5 3 4" xfId="39956" xr:uid="{C5DB56BC-8D57-4E81-9F77-0C17AD844397}"/>
    <cellStyle name="40% - Accent3 4 5 3 5" xfId="14664" xr:uid="{6A96451A-1120-4256-9EE7-69C48C7CB82C}"/>
    <cellStyle name="40% - Accent3 4 5 4" xfId="27310" xr:uid="{B69A258D-7670-430A-B2CE-5430E45DFBFB}"/>
    <cellStyle name="40% - Accent3 4 5 5" xfId="18881" xr:uid="{55F3E0FF-DB9D-48E4-AE02-5CA9314DDCD1}"/>
    <cellStyle name="40% - Accent3 4 5 6" xfId="35739" xr:uid="{C1C13E14-040A-417E-B4F5-06A43DE6DBD5}"/>
    <cellStyle name="40% - Accent3 4 5 7" xfId="10446" xr:uid="{C287ECD8-9692-4E42-B5D7-6D7AF1B057D6}"/>
    <cellStyle name="40% - Accent3 4 6" xfId="2335" xr:uid="{00000000-0005-0000-0000-00008B050000}"/>
    <cellStyle name="40% - Accent3 4 6 2" xfId="6642" xr:uid="{00000000-0005-0000-0000-00008C050000}"/>
    <cellStyle name="40% - Accent3 4 6 2 2" xfId="31941" xr:uid="{764DB1FB-95C4-4504-8C3C-157FC4395F23}"/>
    <cellStyle name="40% - Accent3 4 6 2 3" xfId="23512" xr:uid="{A2413074-2484-4EEB-8AB7-266E25A1F857}"/>
    <cellStyle name="40% - Accent3 4 6 2 4" xfId="40369" xr:uid="{A43E3207-D4E8-47C7-956C-3B32D5C3D30A}"/>
    <cellStyle name="40% - Accent3 4 6 2 5" xfId="15077" xr:uid="{7BC88291-D2E4-4571-974B-D3D0639725A2}"/>
    <cellStyle name="40% - Accent3 4 6 3" xfId="27723" xr:uid="{78A31FA0-EAD8-4D78-9DEE-5294CC5B9F22}"/>
    <cellStyle name="40% - Accent3 4 6 4" xfId="19294" xr:uid="{4E102C34-9EC9-40E8-A63F-516429B0E26D}"/>
    <cellStyle name="40% - Accent3 4 6 5" xfId="36152" xr:uid="{1015172E-0AE0-477F-9FB1-FF52440E6211}"/>
    <cellStyle name="40% - Accent3 4 6 6" xfId="10859" xr:uid="{4B95BE16-177A-4ADB-A02C-E13CE8BA7AF3}"/>
    <cellStyle name="40% - Accent3 4 7" xfId="4576" xr:uid="{00000000-0005-0000-0000-00008D050000}"/>
    <cellStyle name="40% - Accent3 4 7 2" xfId="29875" xr:uid="{867E0D86-22AB-4800-8327-6C1EDDF31D62}"/>
    <cellStyle name="40% - Accent3 4 7 3" xfId="21446" xr:uid="{3C216E46-D45D-445A-B9A1-A8D770F84139}"/>
    <cellStyle name="40% - Accent3 4 7 4" xfId="38303" xr:uid="{D5FFACA1-9355-4042-BA3D-639BE9265BF7}"/>
    <cellStyle name="40% - Accent3 4 7 5" xfId="13011" xr:uid="{59AE3646-6295-4E49-81D1-3F87EA2D7536}"/>
    <cellStyle name="40% - Accent3 4 8" xfId="25657" xr:uid="{4EB10906-C9F6-4237-B1C1-7002635E5D64}"/>
    <cellStyle name="40% - Accent3 4 9" xfId="17228" xr:uid="{320C0374-137A-4C13-9DC0-06D47EB84104}"/>
    <cellStyle name="40% - Accent3 5" xfId="634" xr:uid="{00000000-0005-0000-0000-00008E050000}"/>
    <cellStyle name="40% - Accent3 5 2" xfId="2905" xr:uid="{00000000-0005-0000-0000-00008F050000}"/>
    <cellStyle name="40% - Accent3 5 2 2" xfId="7128" xr:uid="{00000000-0005-0000-0000-000090050000}"/>
    <cellStyle name="40% - Accent3 5 2 2 2" xfId="32427" xr:uid="{F82BC0A9-BD1B-4643-9C0D-517DD31C7621}"/>
    <cellStyle name="40% - Accent3 5 2 2 3" xfId="23998" xr:uid="{886A49F0-F97B-4BF6-B797-FB3DC2F503AD}"/>
    <cellStyle name="40% - Accent3 5 2 2 4" xfId="40855" xr:uid="{22CD3738-DBD1-49CE-86C5-E012EF9DB965}"/>
    <cellStyle name="40% - Accent3 5 2 2 5" xfId="15563" xr:uid="{07238861-9651-4965-BC91-00F9E1B44121}"/>
    <cellStyle name="40% - Accent3 5 2 3" xfId="28209" xr:uid="{BB9AE487-D738-4113-BE0F-2EC2CA2B9669}"/>
    <cellStyle name="40% - Accent3 5 2 4" xfId="19780" xr:uid="{998A7FCD-6440-4B76-BCF3-D23A8CBC9F51}"/>
    <cellStyle name="40% - Accent3 5 2 5" xfId="36638" xr:uid="{0D706299-0B9C-4B08-94C4-420096D40DF7}"/>
    <cellStyle name="40% - Accent3 5 2 6" xfId="11345" xr:uid="{E73BAA73-358C-4B2F-9900-D8FA18EC1322}"/>
    <cellStyle name="40% - Accent3 5 3" xfId="4983" xr:uid="{00000000-0005-0000-0000-000091050000}"/>
    <cellStyle name="40% - Accent3 5 3 2" xfId="30282" xr:uid="{1BCAA3D5-74FB-4FF2-9B18-A7BA78484283}"/>
    <cellStyle name="40% - Accent3 5 3 3" xfId="21853" xr:uid="{E00DE5FA-D323-42F1-8714-84DBAF500037}"/>
    <cellStyle name="40% - Accent3 5 3 4" xfId="38710" xr:uid="{0E3531B8-BFC8-4C18-A79E-584F0280795F}"/>
    <cellStyle name="40% - Accent3 5 3 5" xfId="13418" xr:uid="{7364BFA3-C106-41CF-B12B-A8086942ADE5}"/>
    <cellStyle name="40% - Accent3 5 4" xfId="26064" xr:uid="{76FB901F-D685-4C33-8FB0-142F48458BDB}"/>
    <cellStyle name="40% - Accent3 5 5" xfId="17635" xr:uid="{E302B587-5C6D-40F1-824E-6C5B0F848B17}"/>
    <cellStyle name="40% - Accent3 5 6" xfId="34493" xr:uid="{20E9F28A-A289-4C9E-BAE3-C0A86C402D46}"/>
    <cellStyle name="40% - Accent3 5 7" xfId="9200" xr:uid="{166DA087-7BDF-4ABE-9F90-1FA552E2C049}"/>
    <cellStyle name="40% - Accent3 6" xfId="1087" xr:uid="{00000000-0005-0000-0000-000092050000}"/>
    <cellStyle name="40% - Accent3 6 2" xfId="3318" xr:uid="{00000000-0005-0000-0000-000093050000}"/>
    <cellStyle name="40% - Accent3 6 2 2" xfId="7541" xr:uid="{00000000-0005-0000-0000-000094050000}"/>
    <cellStyle name="40% - Accent3 6 2 2 2" xfId="32840" xr:uid="{DE51AD61-64E9-4EAF-BC54-B3E560091422}"/>
    <cellStyle name="40% - Accent3 6 2 2 3" xfId="24411" xr:uid="{8B21FAF3-21C0-4487-84ED-7DD1A6039094}"/>
    <cellStyle name="40% - Accent3 6 2 2 4" xfId="41268" xr:uid="{9B07F36F-B84C-49C2-82E4-CF6CEC2FB6CA}"/>
    <cellStyle name="40% - Accent3 6 2 2 5" xfId="15976" xr:uid="{482BA8DA-C713-49DD-B753-04480C667650}"/>
    <cellStyle name="40% - Accent3 6 2 3" xfId="28622" xr:uid="{B3FC4BF4-DA61-4601-A2F1-C87E352D1B93}"/>
    <cellStyle name="40% - Accent3 6 2 4" xfId="20193" xr:uid="{39B25E04-D013-4161-83E0-9AA138D7DEF3}"/>
    <cellStyle name="40% - Accent3 6 2 5" xfId="37051" xr:uid="{29821A4B-96B4-4659-BF03-7BB8321C6290}"/>
    <cellStyle name="40% - Accent3 6 2 6" xfId="11758" xr:uid="{64ED4D71-72E2-4881-B078-B705215FE5E8}"/>
    <cellStyle name="40% - Accent3 6 3" xfId="5396" xr:uid="{00000000-0005-0000-0000-000095050000}"/>
    <cellStyle name="40% - Accent3 6 3 2" xfId="30695" xr:uid="{0CADB320-9C2E-4A02-AD31-9B10A73785C5}"/>
    <cellStyle name="40% - Accent3 6 3 3" xfId="22266" xr:uid="{22BEAEFA-296F-4789-8BCD-5C72D4C4BEB4}"/>
    <cellStyle name="40% - Accent3 6 3 4" xfId="39123" xr:uid="{3265702B-814A-47A2-8C15-AE91634FEB71}"/>
    <cellStyle name="40% - Accent3 6 3 5" xfId="13831" xr:uid="{3A78156E-5ABE-40BC-B933-209099DD49D1}"/>
    <cellStyle name="40% - Accent3 6 4" xfId="26477" xr:uid="{D6B0CB5C-D9B6-41F4-86FA-F54450888C9C}"/>
    <cellStyle name="40% - Accent3 6 5" xfId="18048" xr:uid="{0CFC613D-449E-4058-9E0C-6784D71F55B5}"/>
    <cellStyle name="40% - Accent3 6 6" xfId="34906" xr:uid="{72520633-3DD0-43BA-8886-B1E49497033A}"/>
    <cellStyle name="40% - Accent3 6 7" xfId="9613" xr:uid="{9F57F31A-7A6F-4E93-A947-E8A852E0B915}"/>
    <cellStyle name="40% - Accent3 7" xfId="1501" xr:uid="{00000000-0005-0000-0000-000096050000}"/>
    <cellStyle name="40% - Accent3 7 2" xfId="3731" xr:uid="{00000000-0005-0000-0000-000097050000}"/>
    <cellStyle name="40% - Accent3 7 2 2" xfId="7954" xr:uid="{00000000-0005-0000-0000-000098050000}"/>
    <cellStyle name="40% - Accent3 7 2 2 2" xfId="33253" xr:uid="{E2F23A62-E776-494D-A1F7-57E9B9FA28F8}"/>
    <cellStyle name="40% - Accent3 7 2 2 3" xfId="24824" xr:uid="{135AC7F0-5FBA-4139-930C-52B24075B6BF}"/>
    <cellStyle name="40% - Accent3 7 2 2 4" xfId="41681" xr:uid="{2D4A454B-1E42-4EE0-BCD3-3371892D8065}"/>
    <cellStyle name="40% - Accent3 7 2 2 5" xfId="16389" xr:uid="{B0D743D8-35B8-403F-8703-76D78B0FA4B6}"/>
    <cellStyle name="40% - Accent3 7 2 3" xfId="29035" xr:uid="{A3A05BDF-9C88-4353-9F2A-4D4F2A7C45BE}"/>
    <cellStyle name="40% - Accent3 7 2 4" xfId="20606" xr:uid="{C8DB33E3-470B-4C6D-8E50-CB478174136A}"/>
    <cellStyle name="40% - Accent3 7 2 5" xfId="37464" xr:uid="{A78467E5-2E22-45A7-9349-CE4D8C2EEDF4}"/>
    <cellStyle name="40% - Accent3 7 2 6" xfId="12171" xr:uid="{DBBEFE48-FD65-41FE-A6A2-2016CD04CE56}"/>
    <cellStyle name="40% - Accent3 7 3" xfId="5809" xr:uid="{00000000-0005-0000-0000-000099050000}"/>
    <cellStyle name="40% - Accent3 7 3 2" xfId="31108" xr:uid="{2E559C6D-2515-4F33-936F-72988787D345}"/>
    <cellStyle name="40% - Accent3 7 3 3" xfId="22679" xr:uid="{745DEC97-EAAE-42C3-B62C-5A719C133847}"/>
    <cellStyle name="40% - Accent3 7 3 4" xfId="39536" xr:uid="{179FB640-E337-411B-953B-A4B738D3AD4D}"/>
    <cellStyle name="40% - Accent3 7 3 5" xfId="14244" xr:uid="{BE0D4697-A22A-420C-941F-B606C89D0434}"/>
    <cellStyle name="40% - Accent3 7 4" xfId="26890" xr:uid="{BE6D7CB4-BA05-4BB3-B662-EA0085D79B14}"/>
    <cellStyle name="40% - Accent3 7 5" xfId="18461" xr:uid="{2AEDF1DD-1DDB-4BE4-A998-22212048E05C}"/>
    <cellStyle name="40% - Accent3 7 6" xfId="35319" xr:uid="{7A6EBFDA-DB71-4E37-B048-CBC0D4E3CC4B}"/>
    <cellStyle name="40% - Accent3 7 7" xfId="10026" xr:uid="{2E50F072-4540-45DC-8952-22F28C8567D7}"/>
    <cellStyle name="40% - Accent3 8" xfId="1915" xr:uid="{00000000-0005-0000-0000-00009A050000}"/>
    <cellStyle name="40% - Accent3 8 2" xfId="4144" xr:uid="{00000000-0005-0000-0000-00009B050000}"/>
    <cellStyle name="40% - Accent3 8 2 2" xfId="8367" xr:uid="{00000000-0005-0000-0000-00009C050000}"/>
    <cellStyle name="40% - Accent3 8 2 2 2" xfId="33666" xr:uid="{56C705E1-E4AC-414F-B0FE-6AC344E56BCF}"/>
    <cellStyle name="40% - Accent3 8 2 2 3" xfId="25237" xr:uid="{924C6D29-09D6-4821-A828-E240F7C2B0FA}"/>
    <cellStyle name="40% - Accent3 8 2 2 4" xfId="42094" xr:uid="{1ACC078A-205D-45A6-A707-C6CC273A83A2}"/>
    <cellStyle name="40% - Accent3 8 2 2 5" xfId="16802" xr:uid="{D3AE9171-4A32-4F8D-A6BE-383E0AC139F4}"/>
    <cellStyle name="40% - Accent3 8 2 3" xfId="29448" xr:uid="{A1FCC04F-130B-425B-90AD-E31DF788F91A}"/>
    <cellStyle name="40% - Accent3 8 2 4" xfId="21019" xr:uid="{C495B20D-86F6-4BF0-A5C3-5397CA674B87}"/>
    <cellStyle name="40% - Accent3 8 2 5" xfId="37877" xr:uid="{3080DC0C-0CEE-42FA-811C-07509F0BBB15}"/>
    <cellStyle name="40% - Accent3 8 2 6" xfId="12584" xr:uid="{A1E99F2B-028D-4D7C-868B-8BCC4B4A80EE}"/>
    <cellStyle name="40% - Accent3 8 3" xfId="6222" xr:uid="{00000000-0005-0000-0000-00009D050000}"/>
    <cellStyle name="40% - Accent3 8 3 2" xfId="31521" xr:uid="{F79023D9-0374-457A-B117-7FBB71DEB4A3}"/>
    <cellStyle name="40% - Accent3 8 3 3" xfId="23092" xr:uid="{2F81BE21-2616-48AE-B9A6-531A1A9A4CD4}"/>
    <cellStyle name="40% - Accent3 8 3 4" xfId="39949" xr:uid="{B1A76B41-AA3E-4ACD-A368-2C9BEAC1F0DC}"/>
    <cellStyle name="40% - Accent3 8 3 5" xfId="14657" xr:uid="{36345E5B-8976-4D09-BB9E-B455AFAF9408}"/>
    <cellStyle name="40% - Accent3 8 4" xfId="27303" xr:uid="{F5050A20-73AA-4B64-B6A9-6A3171F8E604}"/>
    <cellStyle name="40% - Accent3 8 5" xfId="18874" xr:uid="{9B074269-86F2-4E79-8633-35A9078CAC06}"/>
    <cellStyle name="40% - Accent3 8 6" xfId="35732" xr:uid="{9A9D4F6C-F829-430C-AF7A-6D2E735A551F}"/>
    <cellStyle name="40% - Accent3 8 7" xfId="10439" xr:uid="{C1F48E44-38D8-4FB2-A51B-AE5A8372D896}"/>
    <cellStyle name="40% - Accent3 9" xfId="2328" xr:uid="{00000000-0005-0000-0000-00009E050000}"/>
    <cellStyle name="40% - Accent3 9 2" xfId="6635" xr:uid="{00000000-0005-0000-0000-00009F050000}"/>
    <cellStyle name="40% - Accent3 9 2 2" xfId="31934" xr:uid="{28FFE4B9-BBDE-452B-B31C-8F6D5EAF88D5}"/>
    <cellStyle name="40% - Accent3 9 2 3" xfId="23505" xr:uid="{8191FEE7-5371-43D5-9A39-5D593E2646CE}"/>
    <cellStyle name="40% - Accent3 9 2 4" xfId="40362" xr:uid="{9A19EFB3-B516-4665-A0E8-6BDBE1512DB9}"/>
    <cellStyle name="40% - Accent3 9 2 5" xfId="15070" xr:uid="{022BF867-F24D-4F2A-A0CD-22A0257BC62F}"/>
    <cellStyle name="40% - Accent3 9 3" xfId="27716" xr:uid="{6D3734F6-F615-47A8-9385-65672086437D}"/>
    <cellStyle name="40% - Accent3 9 4" xfId="19287" xr:uid="{8321F85B-2B9B-4D30-9656-3E55131C10AC}"/>
    <cellStyle name="40% - Accent3 9 5" xfId="36145" xr:uid="{2B4E74ED-AD7B-47A5-8B4F-3B6C12B3E4E7}"/>
    <cellStyle name="40% - Accent3 9 6" xfId="10852" xr:uid="{A6D2E549-6074-4B09-B570-9448F21143EE}"/>
    <cellStyle name="40% - Accent4" xfId="73" builtinId="43" customBuiltin="1"/>
    <cellStyle name="40% - Accent4 10" xfId="4577" xr:uid="{00000000-0005-0000-0000-0000A1050000}"/>
    <cellStyle name="40% - Accent4 10 2" xfId="29876" xr:uid="{7F9F7924-E3EA-4A31-8E81-7E5A14AD5DFA}"/>
    <cellStyle name="40% - Accent4 10 3" xfId="21447" xr:uid="{F86C7F32-0B0F-470D-9D8D-953BE9EDF328}"/>
    <cellStyle name="40% - Accent4 10 4" xfId="38304" xr:uid="{F8E24197-6F22-4233-AAA6-5972FC83F8F9}"/>
    <cellStyle name="40% - Accent4 10 5" xfId="13012" xr:uid="{E0A7742C-528E-4C24-A316-FA2F1A8B821C}"/>
    <cellStyle name="40% - Accent4 11" xfId="25658" xr:uid="{2F772D92-E567-408E-BED5-34D1534EED4B}"/>
    <cellStyle name="40% - Accent4 12" xfId="17229" xr:uid="{905D67D6-63E0-4351-8D7D-360ECA2A1C24}"/>
    <cellStyle name="40% - Accent4 13" xfId="34087" xr:uid="{436DED29-D7CD-4A02-B40D-5857B61CBC4E}"/>
    <cellStyle name="40% - Accent4 14" xfId="8794" xr:uid="{5208C96A-AA04-49F8-A5F2-7093EF8448FD}"/>
    <cellStyle name="40% - Accent4 2" xfId="74" xr:uid="{00000000-0005-0000-0000-0000A2050000}"/>
    <cellStyle name="40% - Accent4 2 10" xfId="25659" xr:uid="{9ECEE434-954A-45C7-BD5A-8C08859ACBCA}"/>
    <cellStyle name="40% - Accent4 2 11" xfId="17230" xr:uid="{C2768006-1FC1-475A-B65A-1F71AB77D104}"/>
    <cellStyle name="40% - Accent4 2 12" xfId="34088" xr:uid="{3A1E3846-A701-47F2-A6B5-261118DE747F}"/>
    <cellStyle name="40% - Accent4 2 13" xfId="8795" xr:uid="{9FED44F2-C0D2-4721-A37D-2C1D357D7AD5}"/>
    <cellStyle name="40% - Accent4 2 2" xfId="75" xr:uid="{00000000-0005-0000-0000-0000A3050000}"/>
    <cellStyle name="40% - Accent4 2 2 10" xfId="17231" xr:uid="{177E1F78-B591-4DDD-B858-41699F992846}"/>
    <cellStyle name="40% - Accent4 2 2 11" xfId="34089" xr:uid="{5458CBE6-7AA4-4F85-BC22-E2C9D8E15516}"/>
    <cellStyle name="40% - Accent4 2 2 12" xfId="8796" xr:uid="{9EAA7251-2C1D-4F0B-9D90-DE094B42471E}"/>
    <cellStyle name="40% - Accent4 2 2 2" xfId="76" xr:uid="{00000000-0005-0000-0000-0000A4050000}"/>
    <cellStyle name="40% - Accent4 2 2 2 10" xfId="34090" xr:uid="{CE8FFEB6-CA55-4159-8482-7EABC8683409}"/>
    <cellStyle name="40% - Accent4 2 2 2 11" xfId="8797" xr:uid="{DD022B32-4B06-4CE7-95CC-4C6B3ABF441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32438" xr:uid="{CD64B3E8-1747-444E-B3C4-3352C8E16182}"/>
    <cellStyle name="40% - Accent4 2 2 2 2 2 2 3" xfId="24009" xr:uid="{E45BB572-739A-4FE1-8EFD-EE66A0152DBF}"/>
    <cellStyle name="40% - Accent4 2 2 2 2 2 2 4" xfId="40866" xr:uid="{BA466DC4-A9EF-4055-9B8D-2E2BE8B525E3}"/>
    <cellStyle name="40% - Accent4 2 2 2 2 2 2 5" xfId="15574" xr:uid="{29AC974C-A2D4-47ED-BDCE-193A015A8BD5}"/>
    <cellStyle name="40% - Accent4 2 2 2 2 2 3" xfId="28220" xr:uid="{FD60E749-7D8C-4747-9E0D-1A9FBCCBE72D}"/>
    <cellStyle name="40% - Accent4 2 2 2 2 2 4" xfId="19791" xr:uid="{205EAE86-28D4-4C89-8470-CC366DA9E59B}"/>
    <cellStyle name="40% - Accent4 2 2 2 2 2 5" xfId="36649" xr:uid="{52681575-E7C2-4644-9D45-5084C12616ED}"/>
    <cellStyle name="40% - Accent4 2 2 2 2 2 6" xfId="11356" xr:uid="{954D2471-58E3-4E4F-97FA-FAB3DE734E42}"/>
    <cellStyle name="40% - Accent4 2 2 2 2 3" xfId="4994" xr:uid="{00000000-0005-0000-0000-0000A8050000}"/>
    <cellStyle name="40% - Accent4 2 2 2 2 3 2" xfId="30293" xr:uid="{8DD629E1-4351-4C63-9ECA-CB51CB27FE12}"/>
    <cellStyle name="40% - Accent4 2 2 2 2 3 3" xfId="21864" xr:uid="{7050AD58-F430-426A-A62B-395A6D29454E}"/>
    <cellStyle name="40% - Accent4 2 2 2 2 3 4" xfId="38721" xr:uid="{E6F8A64D-2E04-4A59-A44F-532544762182}"/>
    <cellStyle name="40% - Accent4 2 2 2 2 3 5" xfId="13429" xr:uid="{9B19A612-7981-47DD-94B2-BFA0910FB7E1}"/>
    <cellStyle name="40% - Accent4 2 2 2 2 4" xfId="26075" xr:uid="{DB719634-707D-4B85-B6AE-E901A4C7AD9E}"/>
    <cellStyle name="40% - Accent4 2 2 2 2 5" xfId="17646" xr:uid="{2A1C8243-AB91-4271-B113-9443A5A81678}"/>
    <cellStyle name="40% - Accent4 2 2 2 2 6" xfId="34504" xr:uid="{5D8D3B94-4A24-4D09-9C52-051B3375335A}"/>
    <cellStyle name="40% - Accent4 2 2 2 2 7" xfId="9211" xr:uid="{7A41C839-FCCB-4BFC-B8D9-C0EB26AB9E06}"/>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32851" xr:uid="{EC29A52A-624A-47C8-87B7-8EA1DF6BE3D6}"/>
    <cellStyle name="40% - Accent4 2 2 2 3 2 2 3" xfId="24422" xr:uid="{D3E9A3B6-80C4-4AF5-8F12-BBD5A0B68CC4}"/>
    <cellStyle name="40% - Accent4 2 2 2 3 2 2 4" xfId="41279" xr:uid="{9492A3FE-394D-4F49-ADF9-DBC0A8C80204}"/>
    <cellStyle name="40% - Accent4 2 2 2 3 2 2 5" xfId="15987" xr:uid="{C9B291BC-DFA8-4E6C-9FAE-DDF812FCF65F}"/>
    <cellStyle name="40% - Accent4 2 2 2 3 2 3" xfId="28633" xr:uid="{4CB8B506-6779-4AFA-8CCF-9C673330886A}"/>
    <cellStyle name="40% - Accent4 2 2 2 3 2 4" xfId="20204" xr:uid="{75E498D0-29CD-477D-8FDC-BA2B4428C1F0}"/>
    <cellStyle name="40% - Accent4 2 2 2 3 2 5" xfId="37062" xr:uid="{B86FB6B5-ECD9-4D64-9046-EEECF5AD8FC3}"/>
    <cellStyle name="40% - Accent4 2 2 2 3 2 6" xfId="11769" xr:uid="{89659523-1E41-4EF3-A8DF-6B6E18C2F8E7}"/>
    <cellStyle name="40% - Accent4 2 2 2 3 3" xfId="5407" xr:uid="{00000000-0005-0000-0000-0000AC050000}"/>
    <cellStyle name="40% - Accent4 2 2 2 3 3 2" xfId="30706" xr:uid="{41C35B79-C041-4D3A-855F-C8ADCFB51C63}"/>
    <cellStyle name="40% - Accent4 2 2 2 3 3 3" xfId="22277" xr:uid="{ED3FDA03-780D-4529-A184-6285C14A45AF}"/>
    <cellStyle name="40% - Accent4 2 2 2 3 3 4" xfId="39134" xr:uid="{9A5AF637-5FB2-4020-AE15-71FB938DE61F}"/>
    <cellStyle name="40% - Accent4 2 2 2 3 3 5" xfId="13842" xr:uid="{2E18BBDC-2AD8-451A-B657-903ED516702E}"/>
    <cellStyle name="40% - Accent4 2 2 2 3 4" xfId="26488" xr:uid="{B2C876BB-5236-4359-83CD-85F08D7B8410}"/>
    <cellStyle name="40% - Accent4 2 2 2 3 5" xfId="18059" xr:uid="{3550DE4F-C69F-41A7-A6FD-773DF0D73708}"/>
    <cellStyle name="40% - Accent4 2 2 2 3 6" xfId="34917" xr:uid="{9C999E23-EFFA-47D9-9688-33B0218955DA}"/>
    <cellStyle name="40% - Accent4 2 2 2 3 7" xfId="9624" xr:uid="{AEEA781F-F971-460C-ADDF-23649F7057E7}"/>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33264" xr:uid="{B20C0F24-4DE0-4D8A-85FB-7E907C630B5F}"/>
    <cellStyle name="40% - Accent4 2 2 2 4 2 2 3" xfId="24835" xr:uid="{12A7D968-DD9C-4130-AA9E-FBC317F8FC96}"/>
    <cellStyle name="40% - Accent4 2 2 2 4 2 2 4" xfId="41692" xr:uid="{C2A4E552-696A-4922-8DB4-E2F00BDD5A7A}"/>
    <cellStyle name="40% - Accent4 2 2 2 4 2 2 5" xfId="16400" xr:uid="{6813BDF4-C296-4B29-8377-90AA16618F49}"/>
    <cellStyle name="40% - Accent4 2 2 2 4 2 3" xfId="29046" xr:uid="{5984E5CE-D0FA-49BB-9CEA-ED52C760F55E}"/>
    <cellStyle name="40% - Accent4 2 2 2 4 2 4" xfId="20617" xr:uid="{25F10CFE-9FDD-49EA-85C3-1824EFE0CD80}"/>
    <cellStyle name="40% - Accent4 2 2 2 4 2 5" xfId="37475" xr:uid="{636D4EDD-6C21-4987-B9C7-CE4EBE7E6170}"/>
    <cellStyle name="40% - Accent4 2 2 2 4 2 6" xfId="12182" xr:uid="{97E63C78-59FF-40E2-A3E6-CC80432C222C}"/>
    <cellStyle name="40% - Accent4 2 2 2 4 3" xfId="5820" xr:uid="{00000000-0005-0000-0000-0000B0050000}"/>
    <cellStyle name="40% - Accent4 2 2 2 4 3 2" xfId="31119" xr:uid="{23DECA75-F593-4502-A4F2-CACB042EB9D0}"/>
    <cellStyle name="40% - Accent4 2 2 2 4 3 3" xfId="22690" xr:uid="{0CBCBCB7-37A8-4753-9929-9EBB230FC231}"/>
    <cellStyle name="40% - Accent4 2 2 2 4 3 4" xfId="39547" xr:uid="{33102B34-C07C-48E8-BB7B-3B858497B228}"/>
    <cellStyle name="40% - Accent4 2 2 2 4 3 5" xfId="14255" xr:uid="{5FDF7E9C-553A-4F1D-B46D-F3BA30E25071}"/>
    <cellStyle name="40% - Accent4 2 2 2 4 4" xfId="26901" xr:uid="{B51990EA-46AC-47CA-B37C-FE2BD2AFF893}"/>
    <cellStyle name="40% - Accent4 2 2 2 4 5" xfId="18472" xr:uid="{AC2874AB-DDFE-4CBF-96A7-E8C8A7C339F2}"/>
    <cellStyle name="40% - Accent4 2 2 2 4 6" xfId="35330" xr:uid="{2BF77AFD-E4FC-4639-A4C8-7324F7CD8143}"/>
    <cellStyle name="40% - Accent4 2 2 2 4 7" xfId="10037" xr:uid="{904D96D7-9B45-4794-9E64-9AA32F017867}"/>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33677" xr:uid="{FAEC72DD-FF00-4F06-A215-5DD64236796C}"/>
    <cellStyle name="40% - Accent4 2 2 2 5 2 2 3" xfId="25248" xr:uid="{2206B5BF-0162-4C40-AB81-050A52175284}"/>
    <cellStyle name="40% - Accent4 2 2 2 5 2 2 4" xfId="42105" xr:uid="{8681CDBF-8F9A-42B4-B46B-EBD15FE8795C}"/>
    <cellStyle name="40% - Accent4 2 2 2 5 2 2 5" xfId="16813" xr:uid="{ED966DF4-2B25-4A81-A370-12EAF2D37874}"/>
    <cellStyle name="40% - Accent4 2 2 2 5 2 3" xfId="29459" xr:uid="{8C1DC1E4-2F70-48C1-995D-22E7652F510D}"/>
    <cellStyle name="40% - Accent4 2 2 2 5 2 4" xfId="21030" xr:uid="{7244CB95-540A-4F12-AEBA-25F487165CF7}"/>
    <cellStyle name="40% - Accent4 2 2 2 5 2 5" xfId="37888" xr:uid="{89F1E7AC-A7EF-4ACF-87CD-C6BBA590ABEB}"/>
    <cellStyle name="40% - Accent4 2 2 2 5 2 6" xfId="12595" xr:uid="{D7C51AD5-D911-44E4-B136-CC35A4BD464A}"/>
    <cellStyle name="40% - Accent4 2 2 2 5 3" xfId="6233" xr:uid="{00000000-0005-0000-0000-0000B4050000}"/>
    <cellStyle name="40% - Accent4 2 2 2 5 3 2" xfId="31532" xr:uid="{6CC0063C-294A-46CC-858F-C50596FA2638}"/>
    <cellStyle name="40% - Accent4 2 2 2 5 3 3" xfId="23103" xr:uid="{8ACEFAFF-8D28-400B-98DE-9692BDDF4E60}"/>
    <cellStyle name="40% - Accent4 2 2 2 5 3 4" xfId="39960" xr:uid="{9942F60F-2AD5-4168-A63B-D8CA3C0F0407}"/>
    <cellStyle name="40% - Accent4 2 2 2 5 3 5" xfId="14668" xr:uid="{A016719D-1265-4534-ADB1-569A07E99E4E}"/>
    <cellStyle name="40% - Accent4 2 2 2 5 4" xfId="27314" xr:uid="{48E5298E-52CC-40AD-ACAE-916651374A33}"/>
    <cellStyle name="40% - Accent4 2 2 2 5 5" xfId="18885" xr:uid="{5AEDCFAA-1E03-4E58-86EE-A5F0D0270C8D}"/>
    <cellStyle name="40% - Accent4 2 2 2 5 6" xfId="35743" xr:uid="{ECF0489C-8B42-4C88-87B1-C912D007E14C}"/>
    <cellStyle name="40% - Accent4 2 2 2 5 7" xfId="10450" xr:uid="{9EB22239-F53C-4A1F-A410-73F9B12E0E66}"/>
    <cellStyle name="40% - Accent4 2 2 2 6" xfId="2339" xr:uid="{00000000-0005-0000-0000-0000B5050000}"/>
    <cellStyle name="40% - Accent4 2 2 2 6 2" xfId="6646" xr:uid="{00000000-0005-0000-0000-0000B6050000}"/>
    <cellStyle name="40% - Accent4 2 2 2 6 2 2" xfId="31945" xr:uid="{516036DB-1972-4D67-AB6F-5E48254C9E8B}"/>
    <cellStyle name="40% - Accent4 2 2 2 6 2 3" xfId="23516" xr:uid="{B51231DD-7C96-4C7A-9ED9-29993F1A803D}"/>
    <cellStyle name="40% - Accent4 2 2 2 6 2 4" xfId="40373" xr:uid="{17C8BC7A-1906-4F48-9432-603776091FE2}"/>
    <cellStyle name="40% - Accent4 2 2 2 6 2 5" xfId="15081" xr:uid="{E2791ADB-FBB8-4F0C-8A15-40FBC6EE56A8}"/>
    <cellStyle name="40% - Accent4 2 2 2 6 3" xfId="27727" xr:uid="{6E27A40B-0662-4E33-BDAF-CECB9756C1EA}"/>
    <cellStyle name="40% - Accent4 2 2 2 6 4" xfId="19298" xr:uid="{031726EE-462B-43C5-AB38-985CECAA7A54}"/>
    <cellStyle name="40% - Accent4 2 2 2 6 5" xfId="36156" xr:uid="{DEAF812E-67E9-4B22-978F-BAB258E45CE8}"/>
    <cellStyle name="40% - Accent4 2 2 2 6 6" xfId="10863" xr:uid="{1D5EBA23-2199-46F7-934A-C8F4FD3989D0}"/>
    <cellStyle name="40% - Accent4 2 2 2 7" xfId="4580" xr:uid="{00000000-0005-0000-0000-0000B7050000}"/>
    <cellStyle name="40% - Accent4 2 2 2 7 2" xfId="29879" xr:uid="{966B1A71-3CA2-4994-B184-690FCDB0C7D8}"/>
    <cellStyle name="40% - Accent4 2 2 2 7 3" xfId="21450" xr:uid="{C01F59F5-7011-46B9-A198-99C0AA9B9AD6}"/>
    <cellStyle name="40% - Accent4 2 2 2 7 4" xfId="38307" xr:uid="{93BEB455-B073-4F16-8E13-C255AB34B319}"/>
    <cellStyle name="40% - Accent4 2 2 2 7 5" xfId="13015" xr:uid="{772F1310-E8F1-441D-9270-FC7A0640BF88}"/>
    <cellStyle name="40% - Accent4 2 2 2 8" xfId="25661" xr:uid="{77DA16B7-E67C-428B-8EDA-787332E29AD0}"/>
    <cellStyle name="40% - Accent4 2 2 2 9" xfId="17232" xr:uid="{87201C17-B1A7-4A24-BB53-B77BFF1A6727}"/>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32437" xr:uid="{ADF2C2A6-798F-48BE-BF81-48CC33F7AE59}"/>
    <cellStyle name="40% - Accent4 2 2 3 2 2 3" xfId="24008" xr:uid="{855437EE-BD5B-4249-90EE-3B46070EAD39}"/>
    <cellStyle name="40% - Accent4 2 2 3 2 2 4" xfId="40865" xr:uid="{3979AD88-C0DC-4F24-BC1D-A6787F58FFB6}"/>
    <cellStyle name="40% - Accent4 2 2 3 2 2 5" xfId="15573" xr:uid="{80572299-6E79-4C25-B2C6-A72E7CCDD68C}"/>
    <cellStyle name="40% - Accent4 2 2 3 2 3" xfId="28219" xr:uid="{887FC235-D054-415E-85F2-936890B16FA8}"/>
    <cellStyle name="40% - Accent4 2 2 3 2 4" xfId="19790" xr:uid="{857064B1-2768-47A8-8BA3-EBF12A816F83}"/>
    <cellStyle name="40% - Accent4 2 2 3 2 5" xfId="36648" xr:uid="{17B3C0C0-869A-4381-A85B-3BD7D68A7E30}"/>
    <cellStyle name="40% - Accent4 2 2 3 2 6" xfId="11355" xr:uid="{46EE5276-45AA-49C8-B68E-847497AEE5B2}"/>
    <cellStyle name="40% - Accent4 2 2 3 3" xfId="4993" xr:uid="{00000000-0005-0000-0000-0000BB050000}"/>
    <cellStyle name="40% - Accent4 2 2 3 3 2" xfId="30292" xr:uid="{C16C1527-F672-468C-B8EB-44C0D9742607}"/>
    <cellStyle name="40% - Accent4 2 2 3 3 3" xfId="21863" xr:uid="{C3E62E02-A1B3-4E9C-993D-013AF5FAE266}"/>
    <cellStyle name="40% - Accent4 2 2 3 3 4" xfId="38720" xr:uid="{333C630F-0CC5-4B24-8136-F3B430305291}"/>
    <cellStyle name="40% - Accent4 2 2 3 3 5" xfId="13428" xr:uid="{C9CE12F6-1D7D-404F-8552-460597F552BE}"/>
    <cellStyle name="40% - Accent4 2 2 3 4" xfId="26074" xr:uid="{7C0D14A5-2D68-41EA-8C89-0AAF28773250}"/>
    <cellStyle name="40% - Accent4 2 2 3 5" xfId="17645" xr:uid="{49A8F060-DE92-4E0E-9990-F94342190978}"/>
    <cellStyle name="40% - Accent4 2 2 3 6" xfId="34503" xr:uid="{EC1CA986-ADB1-402F-AAB9-0C73133C77A1}"/>
    <cellStyle name="40% - Accent4 2 2 3 7" xfId="9210" xr:uid="{CA0C0303-E563-4ED3-93AC-AAADE760CB92}"/>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32850" xr:uid="{9DBFE128-CD49-4E5A-956B-6A802CBC97F3}"/>
    <cellStyle name="40% - Accent4 2 2 4 2 2 3" xfId="24421" xr:uid="{C435E432-B52B-4987-8EEA-9151BDA88F4C}"/>
    <cellStyle name="40% - Accent4 2 2 4 2 2 4" xfId="41278" xr:uid="{F2DCEF19-F044-40D6-B72D-8B369F18FF36}"/>
    <cellStyle name="40% - Accent4 2 2 4 2 2 5" xfId="15986" xr:uid="{CD5B1D03-9F40-4E0B-B50F-0D5796F27BB3}"/>
    <cellStyle name="40% - Accent4 2 2 4 2 3" xfId="28632" xr:uid="{B9FAADC8-0BB1-48AA-95B2-0CADC1249055}"/>
    <cellStyle name="40% - Accent4 2 2 4 2 4" xfId="20203" xr:uid="{3FAC2D78-8385-4B82-92C5-4C0D6A8FA13C}"/>
    <cellStyle name="40% - Accent4 2 2 4 2 5" xfId="37061" xr:uid="{590A9907-02B6-4BA7-8DC6-CD7AF42AB956}"/>
    <cellStyle name="40% - Accent4 2 2 4 2 6" xfId="11768" xr:uid="{B10AEB38-31DE-4862-A288-2E2FC90D3D65}"/>
    <cellStyle name="40% - Accent4 2 2 4 3" xfId="5406" xr:uid="{00000000-0005-0000-0000-0000BF050000}"/>
    <cellStyle name="40% - Accent4 2 2 4 3 2" xfId="30705" xr:uid="{C73DBA3A-5A78-4188-97E2-35DB132192EB}"/>
    <cellStyle name="40% - Accent4 2 2 4 3 3" xfId="22276" xr:uid="{76D1ED85-D1AB-4E35-8607-645E42489423}"/>
    <cellStyle name="40% - Accent4 2 2 4 3 4" xfId="39133" xr:uid="{47F797C7-8E8E-4C32-BA54-2E7A1683FF5F}"/>
    <cellStyle name="40% - Accent4 2 2 4 3 5" xfId="13841" xr:uid="{C69B8247-B10D-4B4A-ADA8-FE3A910B5BE7}"/>
    <cellStyle name="40% - Accent4 2 2 4 4" xfId="26487" xr:uid="{A7D54B8A-0D1C-4940-9BA3-AE0838FFDE83}"/>
    <cellStyle name="40% - Accent4 2 2 4 5" xfId="18058" xr:uid="{3BC3F6D3-462A-4F5D-80BC-D5CDDC711BA5}"/>
    <cellStyle name="40% - Accent4 2 2 4 6" xfId="34916" xr:uid="{5F0A3360-E154-4430-9500-62E34FC4F867}"/>
    <cellStyle name="40% - Accent4 2 2 4 7" xfId="9623" xr:uid="{2215CC2D-F595-4D25-9919-610571A80BEA}"/>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33263" xr:uid="{C40425AE-0C18-45C4-9AD6-7629003D64CF}"/>
    <cellStyle name="40% - Accent4 2 2 5 2 2 3" xfId="24834" xr:uid="{992F6515-73FF-4708-9833-D76B11301194}"/>
    <cellStyle name="40% - Accent4 2 2 5 2 2 4" xfId="41691" xr:uid="{3D3AB048-8296-4C8B-A093-AE29ED057388}"/>
    <cellStyle name="40% - Accent4 2 2 5 2 2 5" xfId="16399" xr:uid="{736276BF-40B5-4EAD-A55F-3C2AE35C7C6D}"/>
    <cellStyle name="40% - Accent4 2 2 5 2 3" xfId="29045" xr:uid="{291E761F-595F-462E-AFC0-EF7AF65D3BD0}"/>
    <cellStyle name="40% - Accent4 2 2 5 2 4" xfId="20616" xr:uid="{0E47EDE7-95FC-4588-9496-598A6C8F546D}"/>
    <cellStyle name="40% - Accent4 2 2 5 2 5" xfId="37474" xr:uid="{25F1515A-CE23-48D8-AF86-19721FED2C17}"/>
    <cellStyle name="40% - Accent4 2 2 5 2 6" xfId="12181" xr:uid="{6927A2AF-2D8D-4434-912E-30F4FD978653}"/>
    <cellStyle name="40% - Accent4 2 2 5 3" xfId="5819" xr:uid="{00000000-0005-0000-0000-0000C3050000}"/>
    <cellStyle name="40% - Accent4 2 2 5 3 2" xfId="31118" xr:uid="{934AAB56-B3E9-4C5B-A5E7-D5759C337E6B}"/>
    <cellStyle name="40% - Accent4 2 2 5 3 3" xfId="22689" xr:uid="{9F45DAFE-C85A-4CB5-B15B-0AB350FACFB8}"/>
    <cellStyle name="40% - Accent4 2 2 5 3 4" xfId="39546" xr:uid="{C77B2B56-3A26-4CE9-92BC-F0D2FF72204E}"/>
    <cellStyle name="40% - Accent4 2 2 5 3 5" xfId="14254" xr:uid="{0AF51E1B-048A-412E-AA94-35267D162FAE}"/>
    <cellStyle name="40% - Accent4 2 2 5 4" xfId="26900" xr:uid="{A7D6B07C-D132-4B50-B6ED-A66E50C0F995}"/>
    <cellStyle name="40% - Accent4 2 2 5 5" xfId="18471" xr:uid="{4B19D5FA-4D1B-4F92-9199-909444B45B73}"/>
    <cellStyle name="40% - Accent4 2 2 5 6" xfId="35329" xr:uid="{D338CEC8-7273-4017-A888-F2FAF2A530E9}"/>
    <cellStyle name="40% - Accent4 2 2 5 7" xfId="10036" xr:uid="{63A20CB7-23BF-419C-947E-0CBF42538A5E}"/>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33676" xr:uid="{2158523A-9D60-4929-84B4-84B74D81AEB6}"/>
    <cellStyle name="40% - Accent4 2 2 6 2 2 3" xfId="25247" xr:uid="{1A47C823-0A34-4112-905A-46CB57C43BBC}"/>
    <cellStyle name="40% - Accent4 2 2 6 2 2 4" xfId="42104" xr:uid="{B43B5CD3-6842-492C-9BF3-44B4288E4C4D}"/>
    <cellStyle name="40% - Accent4 2 2 6 2 2 5" xfId="16812" xr:uid="{741494D8-965D-4F2E-B495-41344B0FEF42}"/>
    <cellStyle name="40% - Accent4 2 2 6 2 3" xfId="29458" xr:uid="{B149B26A-DE53-4B4D-8008-64DA58680C98}"/>
    <cellStyle name="40% - Accent4 2 2 6 2 4" xfId="21029" xr:uid="{4FBDFB37-371C-4CD4-990C-A8F4AAFD5749}"/>
    <cellStyle name="40% - Accent4 2 2 6 2 5" xfId="37887" xr:uid="{183E3548-4990-4012-A355-895C07275710}"/>
    <cellStyle name="40% - Accent4 2 2 6 2 6" xfId="12594" xr:uid="{01183E05-EB46-4E44-BE6E-42BE7DCD0EAD}"/>
    <cellStyle name="40% - Accent4 2 2 6 3" xfId="6232" xr:uid="{00000000-0005-0000-0000-0000C7050000}"/>
    <cellStyle name="40% - Accent4 2 2 6 3 2" xfId="31531" xr:uid="{16A23A54-A02D-4B7B-A38A-E5DCFBC55DA4}"/>
    <cellStyle name="40% - Accent4 2 2 6 3 3" xfId="23102" xr:uid="{4E03A45B-3A43-4B14-8FC4-09442620A61D}"/>
    <cellStyle name="40% - Accent4 2 2 6 3 4" xfId="39959" xr:uid="{F27CB793-44B0-4AC5-8D89-88E070A8A3AC}"/>
    <cellStyle name="40% - Accent4 2 2 6 3 5" xfId="14667" xr:uid="{CC2BD8A5-B245-4738-AA50-1822020B1504}"/>
    <cellStyle name="40% - Accent4 2 2 6 4" xfId="27313" xr:uid="{E902E185-24D1-4345-B4FF-F8A83684C4C3}"/>
    <cellStyle name="40% - Accent4 2 2 6 5" xfId="18884" xr:uid="{E55B3BA0-7FE6-44D3-824D-7B07BBB227BA}"/>
    <cellStyle name="40% - Accent4 2 2 6 6" xfId="35742" xr:uid="{EB0C39DB-5E17-470B-A913-F10D2370D959}"/>
    <cellStyle name="40% - Accent4 2 2 6 7" xfId="10449" xr:uid="{26CA7D06-7140-41BB-8513-A54B608AF2E1}"/>
    <cellStyle name="40% - Accent4 2 2 7" xfId="2338" xr:uid="{00000000-0005-0000-0000-0000C8050000}"/>
    <cellStyle name="40% - Accent4 2 2 7 2" xfId="6645" xr:uid="{00000000-0005-0000-0000-0000C9050000}"/>
    <cellStyle name="40% - Accent4 2 2 7 2 2" xfId="31944" xr:uid="{DEBBECD5-250A-4EFD-8466-291BD4A79294}"/>
    <cellStyle name="40% - Accent4 2 2 7 2 3" xfId="23515" xr:uid="{9374BA76-573B-4362-960A-6902E741C7C8}"/>
    <cellStyle name="40% - Accent4 2 2 7 2 4" xfId="40372" xr:uid="{8C6D660B-C10C-49CB-AAF4-4429EA1BCA49}"/>
    <cellStyle name="40% - Accent4 2 2 7 2 5" xfId="15080" xr:uid="{1DED421D-C8E7-4CED-8627-7E4B82FD2B5A}"/>
    <cellStyle name="40% - Accent4 2 2 7 3" xfId="27726" xr:uid="{F71589AE-8EE7-4D51-BEBE-EE3B59A60F41}"/>
    <cellStyle name="40% - Accent4 2 2 7 4" xfId="19297" xr:uid="{058DA9BE-404E-44BE-AAD2-BCA184995AC9}"/>
    <cellStyle name="40% - Accent4 2 2 7 5" xfId="36155" xr:uid="{7446EECE-735F-45D3-A7DA-67FC592EF609}"/>
    <cellStyle name="40% - Accent4 2 2 7 6" xfId="10862" xr:uid="{5E76DF37-6095-44F7-90FF-EECC41E71FBA}"/>
    <cellStyle name="40% - Accent4 2 2 8" xfId="4579" xr:uid="{00000000-0005-0000-0000-0000CA050000}"/>
    <cellStyle name="40% - Accent4 2 2 8 2" xfId="29878" xr:uid="{7371A512-6A2A-418A-BF6D-9A04F6F5F450}"/>
    <cellStyle name="40% - Accent4 2 2 8 3" xfId="21449" xr:uid="{EC191C82-9103-4DBC-9127-7061FA1754A8}"/>
    <cellStyle name="40% - Accent4 2 2 8 4" xfId="38306" xr:uid="{30A97383-B48C-4CB1-BF15-83FEA8626B9F}"/>
    <cellStyle name="40% - Accent4 2 2 8 5" xfId="13014" xr:uid="{E7FB8C67-B818-4ED8-8CB5-7C02B84F60C2}"/>
    <cellStyle name="40% - Accent4 2 2 9" xfId="25660" xr:uid="{5DBAFFB1-1EA7-4C29-8A68-437CF2BD4FF7}"/>
    <cellStyle name="40% - Accent4 2 3" xfId="77" xr:uid="{00000000-0005-0000-0000-0000CB050000}"/>
    <cellStyle name="40% - Accent4 2 3 10" xfId="34091" xr:uid="{6F087ED9-73AD-450E-8130-356C1A75F098}"/>
    <cellStyle name="40% - Accent4 2 3 11" xfId="8798" xr:uid="{82F7A782-9EE9-4A92-9A06-C814960E01A8}"/>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32439" xr:uid="{082C0F30-DF9C-4FC6-B3D5-F0068F07C34E}"/>
    <cellStyle name="40% - Accent4 2 3 2 2 2 3" xfId="24010" xr:uid="{592A3773-769D-4951-98C1-8E1A0D4E05B8}"/>
    <cellStyle name="40% - Accent4 2 3 2 2 2 4" xfId="40867" xr:uid="{7FEFB5E2-6930-4F89-8935-A93C9C6E8616}"/>
    <cellStyle name="40% - Accent4 2 3 2 2 2 5" xfId="15575" xr:uid="{57655912-DCD3-4B1F-9BDA-F86029A9457B}"/>
    <cellStyle name="40% - Accent4 2 3 2 2 3" xfId="28221" xr:uid="{A738180C-C638-49BF-841E-172950069C2A}"/>
    <cellStyle name="40% - Accent4 2 3 2 2 4" xfId="19792" xr:uid="{9AFAF4EE-4EB4-408E-850F-1CF50C604079}"/>
    <cellStyle name="40% - Accent4 2 3 2 2 5" xfId="36650" xr:uid="{AE307301-F87D-4262-BC4E-6C9B195004B5}"/>
    <cellStyle name="40% - Accent4 2 3 2 2 6" xfId="11357" xr:uid="{0BD32F1D-7AC7-4DCD-9A54-D2D374C60D22}"/>
    <cellStyle name="40% - Accent4 2 3 2 3" xfId="4995" xr:uid="{00000000-0005-0000-0000-0000CF050000}"/>
    <cellStyle name="40% - Accent4 2 3 2 3 2" xfId="30294" xr:uid="{C8A10CC8-95C2-4A52-9F9C-A28E323C899E}"/>
    <cellStyle name="40% - Accent4 2 3 2 3 3" xfId="21865" xr:uid="{BA2D1E01-E901-4981-B7D3-1AB17E9D1AF7}"/>
    <cellStyle name="40% - Accent4 2 3 2 3 4" xfId="38722" xr:uid="{B46198EA-1949-461B-B055-DB6FE8918C54}"/>
    <cellStyle name="40% - Accent4 2 3 2 3 5" xfId="13430" xr:uid="{E89AAC58-124D-4BAD-9ACF-90354F80ABDB}"/>
    <cellStyle name="40% - Accent4 2 3 2 4" xfId="26076" xr:uid="{B0D36100-8AAA-4DC6-BC66-1D166DC4E9A9}"/>
    <cellStyle name="40% - Accent4 2 3 2 5" xfId="17647" xr:uid="{162F0892-5FDB-48DA-8B69-FDBEC9A6A43E}"/>
    <cellStyle name="40% - Accent4 2 3 2 6" xfId="34505" xr:uid="{46C70018-1D2E-434A-BA54-C08A2B2C5DD9}"/>
    <cellStyle name="40% - Accent4 2 3 2 7" xfId="9212" xr:uid="{033F2874-F37D-48D2-BAC4-2924A270859D}"/>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32852" xr:uid="{89BE7BD5-ED33-4426-8341-619FB132B98C}"/>
    <cellStyle name="40% - Accent4 2 3 3 2 2 3" xfId="24423" xr:uid="{EF55B4A1-1C7D-43A1-A8D0-57AB18FE8D6A}"/>
    <cellStyle name="40% - Accent4 2 3 3 2 2 4" xfId="41280" xr:uid="{78B51589-C1D5-4397-9017-7D5E86DFBE25}"/>
    <cellStyle name="40% - Accent4 2 3 3 2 2 5" xfId="15988" xr:uid="{1EE7E34E-E7A5-455C-A323-34427F92E9B7}"/>
    <cellStyle name="40% - Accent4 2 3 3 2 3" xfId="28634" xr:uid="{8152C8A6-B168-4BD6-8DF8-A778D1BA8EAF}"/>
    <cellStyle name="40% - Accent4 2 3 3 2 4" xfId="20205" xr:uid="{C22E1D0F-0889-4360-B11A-97BB5238A59F}"/>
    <cellStyle name="40% - Accent4 2 3 3 2 5" xfId="37063" xr:uid="{11C353F0-C268-4B86-ABFC-39A5E846D088}"/>
    <cellStyle name="40% - Accent4 2 3 3 2 6" xfId="11770" xr:uid="{F8CEB736-1C84-41DF-8C39-B77FA866644D}"/>
    <cellStyle name="40% - Accent4 2 3 3 3" xfId="5408" xr:uid="{00000000-0005-0000-0000-0000D3050000}"/>
    <cellStyle name="40% - Accent4 2 3 3 3 2" xfId="30707" xr:uid="{3D29C8A3-6358-4A9C-A7DD-B554BA4C2FC7}"/>
    <cellStyle name="40% - Accent4 2 3 3 3 3" xfId="22278" xr:uid="{A5FF1479-953E-405C-BAEA-92D4E823B3E0}"/>
    <cellStyle name="40% - Accent4 2 3 3 3 4" xfId="39135" xr:uid="{CFD99AD8-0F1B-4AEF-A407-BC39E6189081}"/>
    <cellStyle name="40% - Accent4 2 3 3 3 5" xfId="13843" xr:uid="{E29CDED1-B017-4366-B89A-74D647A4EA35}"/>
    <cellStyle name="40% - Accent4 2 3 3 4" xfId="26489" xr:uid="{925EE3AE-5ACE-4224-8312-E063DCDAEF2F}"/>
    <cellStyle name="40% - Accent4 2 3 3 5" xfId="18060" xr:uid="{369D36DC-C281-4AAD-B4A5-C59EEE35C7E3}"/>
    <cellStyle name="40% - Accent4 2 3 3 6" xfId="34918" xr:uid="{B5891196-6FC4-4A96-AF67-01212989321A}"/>
    <cellStyle name="40% - Accent4 2 3 3 7" xfId="9625" xr:uid="{A2692AAC-870D-4442-87CC-5B9395E92294}"/>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33265" xr:uid="{5228456E-DBB4-4769-AA58-CFA44CC15FC8}"/>
    <cellStyle name="40% - Accent4 2 3 4 2 2 3" xfId="24836" xr:uid="{904A0F3E-9124-42AD-BA25-2012B57743EA}"/>
    <cellStyle name="40% - Accent4 2 3 4 2 2 4" xfId="41693" xr:uid="{523E7E9D-5DF7-4AB2-B113-77B162460F33}"/>
    <cellStyle name="40% - Accent4 2 3 4 2 2 5" xfId="16401" xr:uid="{209DBC21-0872-495C-BE04-8F26AACDE891}"/>
    <cellStyle name="40% - Accent4 2 3 4 2 3" xfId="29047" xr:uid="{46907D46-0F16-46BD-8A5A-656650E08DA6}"/>
    <cellStyle name="40% - Accent4 2 3 4 2 4" xfId="20618" xr:uid="{5EC294A0-EE0B-460C-8300-807BCC2E6715}"/>
    <cellStyle name="40% - Accent4 2 3 4 2 5" xfId="37476" xr:uid="{6DECB23D-CC1A-49D7-8D23-EAE84EBEF11E}"/>
    <cellStyle name="40% - Accent4 2 3 4 2 6" xfId="12183" xr:uid="{1E635253-8835-4093-9C7A-3B40AF55A8F9}"/>
    <cellStyle name="40% - Accent4 2 3 4 3" xfId="5821" xr:uid="{00000000-0005-0000-0000-0000D7050000}"/>
    <cellStyle name="40% - Accent4 2 3 4 3 2" xfId="31120" xr:uid="{D25452F8-4F86-46A9-9718-D96A9F4754F0}"/>
    <cellStyle name="40% - Accent4 2 3 4 3 3" xfId="22691" xr:uid="{20B3842E-AC6A-4048-92CB-79F221A7D6FE}"/>
    <cellStyle name="40% - Accent4 2 3 4 3 4" xfId="39548" xr:uid="{3188CF58-0E3B-4FDC-8FAA-354FAA103AB5}"/>
    <cellStyle name="40% - Accent4 2 3 4 3 5" xfId="14256" xr:uid="{42B875FC-0E0D-48D9-8696-BB0D9D366E86}"/>
    <cellStyle name="40% - Accent4 2 3 4 4" xfId="26902" xr:uid="{5FB71273-80D9-40AA-98CA-C02608390FB8}"/>
    <cellStyle name="40% - Accent4 2 3 4 5" xfId="18473" xr:uid="{DD36D8C0-A2D3-4FCC-B42E-58281AFA74FB}"/>
    <cellStyle name="40% - Accent4 2 3 4 6" xfId="35331" xr:uid="{DEFFAF44-3A62-4EAD-B2C5-8C56F8A354F9}"/>
    <cellStyle name="40% - Accent4 2 3 4 7" xfId="10038" xr:uid="{CADAC702-B0C3-4148-A345-2EC421EDF5A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33678" xr:uid="{D05DDC60-E627-4404-BDE7-90CF55C6ED8E}"/>
    <cellStyle name="40% - Accent4 2 3 5 2 2 3" xfId="25249" xr:uid="{020E8212-81FC-42A5-A8A7-D65025690819}"/>
    <cellStyle name="40% - Accent4 2 3 5 2 2 4" xfId="42106" xr:uid="{FD3E79AB-571E-4DEF-9B98-7843D846F54A}"/>
    <cellStyle name="40% - Accent4 2 3 5 2 2 5" xfId="16814" xr:uid="{CBEA18D3-6B5B-4FE3-B86B-3AF5F39FA422}"/>
    <cellStyle name="40% - Accent4 2 3 5 2 3" xfId="29460" xr:uid="{80618935-05AF-4D5B-B30B-8DC1A5E86FD3}"/>
    <cellStyle name="40% - Accent4 2 3 5 2 4" xfId="21031" xr:uid="{7E821F47-EA47-411B-8027-140BD10A7263}"/>
    <cellStyle name="40% - Accent4 2 3 5 2 5" xfId="37889" xr:uid="{37137F8E-C8D0-4B9F-AD76-99094CD1DA88}"/>
    <cellStyle name="40% - Accent4 2 3 5 2 6" xfId="12596" xr:uid="{6683C104-D372-4428-B739-8A6CC0A03F8F}"/>
    <cellStyle name="40% - Accent4 2 3 5 3" xfId="6234" xr:uid="{00000000-0005-0000-0000-0000DB050000}"/>
    <cellStyle name="40% - Accent4 2 3 5 3 2" xfId="31533" xr:uid="{5C83978E-1D9E-4AB9-B753-ECA63674B682}"/>
    <cellStyle name="40% - Accent4 2 3 5 3 3" xfId="23104" xr:uid="{C7466E09-8A9A-44D6-AF1D-38F736364164}"/>
    <cellStyle name="40% - Accent4 2 3 5 3 4" xfId="39961" xr:uid="{9B668D25-1E30-4DED-97C8-39377B2FD62C}"/>
    <cellStyle name="40% - Accent4 2 3 5 3 5" xfId="14669" xr:uid="{BCA77B21-FE6E-4B6A-846F-63C1F2432F8F}"/>
    <cellStyle name="40% - Accent4 2 3 5 4" xfId="27315" xr:uid="{5E8575A3-9D7B-4B32-ACC7-FCBE3068F68E}"/>
    <cellStyle name="40% - Accent4 2 3 5 5" xfId="18886" xr:uid="{8284984B-4FC0-4395-813E-586985B8329B}"/>
    <cellStyle name="40% - Accent4 2 3 5 6" xfId="35744" xr:uid="{BC4D7378-8399-4035-BF90-406C10CE7EDA}"/>
    <cellStyle name="40% - Accent4 2 3 5 7" xfId="10451" xr:uid="{0C0EC279-89C9-4C3C-BB3E-7F29980E44EC}"/>
    <cellStyle name="40% - Accent4 2 3 6" xfId="2340" xr:uid="{00000000-0005-0000-0000-0000DC050000}"/>
    <cellStyle name="40% - Accent4 2 3 6 2" xfId="6647" xr:uid="{00000000-0005-0000-0000-0000DD050000}"/>
    <cellStyle name="40% - Accent4 2 3 6 2 2" xfId="31946" xr:uid="{D4949E94-6DD9-4634-985D-3EB988A21EA4}"/>
    <cellStyle name="40% - Accent4 2 3 6 2 3" xfId="23517" xr:uid="{E1F73D39-20DD-4CD1-91EA-4B9AA84C82DA}"/>
    <cellStyle name="40% - Accent4 2 3 6 2 4" xfId="40374" xr:uid="{01F11C00-F534-464B-AD3C-2D75762ECFA8}"/>
    <cellStyle name="40% - Accent4 2 3 6 2 5" xfId="15082" xr:uid="{88B7930D-10B4-42B8-A09F-07AE0E4EC60A}"/>
    <cellStyle name="40% - Accent4 2 3 6 3" xfId="27728" xr:uid="{E9990362-F505-4738-9F7C-09653824D2E6}"/>
    <cellStyle name="40% - Accent4 2 3 6 4" xfId="19299" xr:uid="{EADC7466-56CD-4387-81A9-D814E8AFA451}"/>
    <cellStyle name="40% - Accent4 2 3 6 5" xfId="36157" xr:uid="{C423F4F8-CB4A-47B2-8CDF-8595061CF231}"/>
    <cellStyle name="40% - Accent4 2 3 6 6" xfId="10864" xr:uid="{50F11BE4-08A0-4F05-831F-628B7967AFE9}"/>
    <cellStyle name="40% - Accent4 2 3 7" xfId="4581" xr:uid="{00000000-0005-0000-0000-0000DE050000}"/>
    <cellStyle name="40% - Accent4 2 3 7 2" xfId="29880" xr:uid="{426E0DCC-2A6D-4BBE-8BB6-E0039135E03C}"/>
    <cellStyle name="40% - Accent4 2 3 7 3" xfId="21451" xr:uid="{80CEC9F0-2662-4230-8677-601BCB755FFA}"/>
    <cellStyle name="40% - Accent4 2 3 7 4" xfId="38308" xr:uid="{A0B82884-6820-46B8-A16B-6E56D57809AC}"/>
    <cellStyle name="40% - Accent4 2 3 7 5" xfId="13016" xr:uid="{58A4C249-A98D-42FE-B948-C1A01DEC6F1A}"/>
    <cellStyle name="40% - Accent4 2 3 8" xfId="25662" xr:uid="{4FC72BA2-ACD1-48B4-BF91-1D57A5BF4088}"/>
    <cellStyle name="40% - Accent4 2 3 9" xfId="17233" xr:uid="{1E4D007D-52BF-43EF-B81A-881543E03749}"/>
    <cellStyle name="40% - Accent4 2 4" xfId="643" xr:uid="{00000000-0005-0000-0000-0000DF050000}"/>
    <cellStyle name="40% - Accent4 2 4 2" xfId="2914" xr:uid="{00000000-0005-0000-0000-0000E0050000}"/>
    <cellStyle name="40% - Accent4 2 4 2 2" xfId="7137" xr:uid="{00000000-0005-0000-0000-0000E1050000}"/>
    <cellStyle name="40% - Accent4 2 4 2 2 2" xfId="32436" xr:uid="{BDEB178C-479D-4232-A044-31ADC5BE1BB0}"/>
    <cellStyle name="40% - Accent4 2 4 2 2 3" xfId="24007" xr:uid="{58E2C511-13CE-43A6-9829-459F1CCFF82C}"/>
    <cellStyle name="40% - Accent4 2 4 2 2 4" xfId="40864" xr:uid="{7D6C6492-EE23-4263-899E-4C080BEC5288}"/>
    <cellStyle name="40% - Accent4 2 4 2 2 5" xfId="15572" xr:uid="{1CEADD82-A064-44E1-878F-5057266292DD}"/>
    <cellStyle name="40% - Accent4 2 4 2 3" xfId="28218" xr:uid="{897CEE35-0741-43BE-80B8-CE0EFFABBA14}"/>
    <cellStyle name="40% - Accent4 2 4 2 4" xfId="19789" xr:uid="{60D6AD15-DAD8-4136-A36A-C18557C2EDC7}"/>
    <cellStyle name="40% - Accent4 2 4 2 5" xfId="36647" xr:uid="{AA0682CE-0ECE-4C99-8030-F6FFC1A6CB8D}"/>
    <cellStyle name="40% - Accent4 2 4 2 6" xfId="11354" xr:uid="{1F2597F1-4CE5-47A6-8E53-9916B731A84A}"/>
    <cellStyle name="40% - Accent4 2 4 3" xfId="4992" xr:uid="{00000000-0005-0000-0000-0000E2050000}"/>
    <cellStyle name="40% - Accent4 2 4 3 2" xfId="30291" xr:uid="{9871E07A-4C60-46D9-A428-75BF6BF80DE0}"/>
    <cellStyle name="40% - Accent4 2 4 3 3" xfId="21862" xr:uid="{9487459E-8554-4EF3-AD9F-FE919A095530}"/>
    <cellStyle name="40% - Accent4 2 4 3 4" xfId="38719" xr:uid="{193F3A73-5C71-4387-BD1E-BC25A8D12FA9}"/>
    <cellStyle name="40% - Accent4 2 4 3 5" xfId="13427" xr:uid="{ABE4CED0-5A1A-4566-A0DE-DC00B6973756}"/>
    <cellStyle name="40% - Accent4 2 4 4" xfId="26073" xr:uid="{F4DA7035-55E7-4197-9C22-B5C45B3C85FB}"/>
    <cellStyle name="40% - Accent4 2 4 5" xfId="17644" xr:uid="{1B06523C-44D2-468F-A96C-0699F9E59502}"/>
    <cellStyle name="40% - Accent4 2 4 6" xfId="34502" xr:uid="{DF394150-6B6D-4657-8483-CBBEB78C7B31}"/>
    <cellStyle name="40% - Accent4 2 4 7" xfId="9209" xr:uid="{E7FADC9C-D07E-4716-8E1E-1CBEA224FCC5}"/>
    <cellStyle name="40% - Accent4 2 5" xfId="1096" xr:uid="{00000000-0005-0000-0000-0000E3050000}"/>
    <cellStyle name="40% - Accent4 2 5 2" xfId="3327" xr:uid="{00000000-0005-0000-0000-0000E4050000}"/>
    <cellStyle name="40% - Accent4 2 5 2 2" xfId="7550" xr:uid="{00000000-0005-0000-0000-0000E5050000}"/>
    <cellStyle name="40% - Accent4 2 5 2 2 2" xfId="32849" xr:uid="{B19D6DA2-C4F6-4A29-9457-00071FAFA255}"/>
    <cellStyle name="40% - Accent4 2 5 2 2 3" xfId="24420" xr:uid="{4B52270D-111F-44F0-8501-3176D2074ABA}"/>
    <cellStyle name="40% - Accent4 2 5 2 2 4" xfId="41277" xr:uid="{F87877E3-E7D0-4EA7-BF3E-8FA3AFDDE08F}"/>
    <cellStyle name="40% - Accent4 2 5 2 2 5" xfId="15985" xr:uid="{36758339-4B66-4A46-949E-1BF591F55A7F}"/>
    <cellStyle name="40% - Accent4 2 5 2 3" xfId="28631" xr:uid="{0B934BCE-242A-4FDD-933D-58DECF70BE76}"/>
    <cellStyle name="40% - Accent4 2 5 2 4" xfId="20202" xr:uid="{D0B7DE5E-C325-4721-85BF-51D89FF3F780}"/>
    <cellStyle name="40% - Accent4 2 5 2 5" xfId="37060" xr:uid="{E090C7DB-BD75-4F3B-A127-0586B8D61C79}"/>
    <cellStyle name="40% - Accent4 2 5 2 6" xfId="11767" xr:uid="{89B83A64-83F3-4010-960D-179C9CB5720C}"/>
    <cellStyle name="40% - Accent4 2 5 3" xfId="5405" xr:uid="{00000000-0005-0000-0000-0000E6050000}"/>
    <cellStyle name="40% - Accent4 2 5 3 2" xfId="30704" xr:uid="{2BAAAE0D-CC79-476A-A4BF-5972F52E856B}"/>
    <cellStyle name="40% - Accent4 2 5 3 3" xfId="22275" xr:uid="{E2619608-BBA8-400D-A12F-BF1ACF142376}"/>
    <cellStyle name="40% - Accent4 2 5 3 4" xfId="39132" xr:uid="{140A95A6-9FC0-4C82-9F01-05624151C814}"/>
    <cellStyle name="40% - Accent4 2 5 3 5" xfId="13840" xr:uid="{F3E5029B-B29E-48B5-8C23-020FF5EDFA3C}"/>
    <cellStyle name="40% - Accent4 2 5 4" xfId="26486" xr:uid="{78ED83B7-DB2D-47CF-953A-6C0B87413E60}"/>
    <cellStyle name="40% - Accent4 2 5 5" xfId="18057" xr:uid="{7D48B67C-C946-4BB5-81B0-0FFFBD3BCE58}"/>
    <cellStyle name="40% - Accent4 2 5 6" xfId="34915" xr:uid="{74DE7CC0-9AD0-45D0-A5C9-E281973D496B}"/>
    <cellStyle name="40% - Accent4 2 5 7" xfId="9622" xr:uid="{C55CB7E6-4312-4E8D-98D5-515637567033}"/>
    <cellStyle name="40% - Accent4 2 6" xfId="1510" xr:uid="{00000000-0005-0000-0000-0000E7050000}"/>
    <cellStyle name="40% - Accent4 2 6 2" xfId="3740" xr:uid="{00000000-0005-0000-0000-0000E8050000}"/>
    <cellStyle name="40% - Accent4 2 6 2 2" xfId="7963" xr:uid="{00000000-0005-0000-0000-0000E9050000}"/>
    <cellStyle name="40% - Accent4 2 6 2 2 2" xfId="33262" xr:uid="{58AEBFCF-F774-40E2-A90B-22F4A3560C94}"/>
    <cellStyle name="40% - Accent4 2 6 2 2 3" xfId="24833" xr:uid="{68A76F63-44A3-4D8F-AEF2-451138481B59}"/>
    <cellStyle name="40% - Accent4 2 6 2 2 4" xfId="41690" xr:uid="{57397960-770A-45AA-AFCC-5993BDDA7CE7}"/>
    <cellStyle name="40% - Accent4 2 6 2 2 5" xfId="16398" xr:uid="{6BFC7FC1-39AE-402C-9F3D-9E423694D3BF}"/>
    <cellStyle name="40% - Accent4 2 6 2 3" xfId="29044" xr:uid="{334A980B-76C0-4AC5-9B65-7D5C9E352B43}"/>
    <cellStyle name="40% - Accent4 2 6 2 4" xfId="20615" xr:uid="{1D09A34C-F9E3-49E2-ACF8-F4807D7797E4}"/>
    <cellStyle name="40% - Accent4 2 6 2 5" xfId="37473" xr:uid="{32C5B57F-F227-4299-8485-9AF1850652A6}"/>
    <cellStyle name="40% - Accent4 2 6 2 6" xfId="12180" xr:uid="{6898DC90-451F-464E-A9AC-347C83C35948}"/>
    <cellStyle name="40% - Accent4 2 6 3" xfId="5818" xr:uid="{00000000-0005-0000-0000-0000EA050000}"/>
    <cellStyle name="40% - Accent4 2 6 3 2" xfId="31117" xr:uid="{4C1DD3F3-90E0-46AC-9447-B63BE3A38DE3}"/>
    <cellStyle name="40% - Accent4 2 6 3 3" xfId="22688" xr:uid="{00E4F298-B75A-4825-93BB-452FFC325DB1}"/>
    <cellStyle name="40% - Accent4 2 6 3 4" xfId="39545" xr:uid="{20EFB65E-AF89-4041-AA7A-681C87AF08E1}"/>
    <cellStyle name="40% - Accent4 2 6 3 5" xfId="14253" xr:uid="{547BF2BD-5062-4EDF-84A0-08BA9A418F56}"/>
    <cellStyle name="40% - Accent4 2 6 4" xfId="26899" xr:uid="{81279445-5103-485C-B273-5A16E9AFB883}"/>
    <cellStyle name="40% - Accent4 2 6 5" xfId="18470" xr:uid="{EED5DDA0-19C8-4F18-A3C2-4AF1E6E3E12B}"/>
    <cellStyle name="40% - Accent4 2 6 6" xfId="35328" xr:uid="{9C9A10CB-500E-4450-98E5-47092F86D415}"/>
    <cellStyle name="40% - Accent4 2 6 7" xfId="10035" xr:uid="{32FA540F-0616-4ED1-A6D6-55CC78EEFB76}"/>
    <cellStyle name="40% - Accent4 2 7" xfId="1924" xr:uid="{00000000-0005-0000-0000-0000EB050000}"/>
    <cellStyle name="40% - Accent4 2 7 2" xfId="4153" xr:uid="{00000000-0005-0000-0000-0000EC050000}"/>
    <cellStyle name="40% - Accent4 2 7 2 2" xfId="8376" xr:uid="{00000000-0005-0000-0000-0000ED050000}"/>
    <cellStyle name="40% - Accent4 2 7 2 2 2" xfId="33675" xr:uid="{69712EBE-2432-4D73-B686-70B53E31D045}"/>
    <cellStyle name="40% - Accent4 2 7 2 2 3" xfId="25246" xr:uid="{1733ECBA-F770-49A3-83C2-BEC4C486D780}"/>
    <cellStyle name="40% - Accent4 2 7 2 2 4" xfId="42103" xr:uid="{AF73D8E6-54AC-42B0-AB5A-98AE0BED8983}"/>
    <cellStyle name="40% - Accent4 2 7 2 2 5" xfId="16811" xr:uid="{B9875080-5024-4BE5-B47D-AFBFA7B63E8F}"/>
    <cellStyle name="40% - Accent4 2 7 2 3" xfId="29457" xr:uid="{D8B30A17-E14E-46DC-BE36-D9458E36E227}"/>
    <cellStyle name="40% - Accent4 2 7 2 4" xfId="21028" xr:uid="{EC871D53-7A76-4C74-B3F2-55FC1E6828C3}"/>
    <cellStyle name="40% - Accent4 2 7 2 5" xfId="37886" xr:uid="{76DCEBC2-4B8B-4F9C-B781-9A0C04F1172D}"/>
    <cellStyle name="40% - Accent4 2 7 2 6" xfId="12593" xr:uid="{4ADB774C-3803-4F15-957B-D4945877FC72}"/>
    <cellStyle name="40% - Accent4 2 7 3" xfId="6231" xr:uid="{00000000-0005-0000-0000-0000EE050000}"/>
    <cellStyle name="40% - Accent4 2 7 3 2" xfId="31530" xr:uid="{917D9C8F-3FDC-4B03-96BE-330B09485969}"/>
    <cellStyle name="40% - Accent4 2 7 3 3" xfId="23101" xr:uid="{8E3AD883-5906-4741-AFA7-23C0399F949B}"/>
    <cellStyle name="40% - Accent4 2 7 3 4" xfId="39958" xr:uid="{BA1CE7A5-E4E8-4132-ABF5-8EEC9C234FC6}"/>
    <cellStyle name="40% - Accent4 2 7 3 5" xfId="14666" xr:uid="{E24CD259-C5F4-4E8B-82B5-27E0C1E1321F}"/>
    <cellStyle name="40% - Accent4 2 7 4" xfId="27312" xr:uid="{BB522797-D424-4DCB-970C-28DFA27606CF}"/>
    <cellStyle name="40% - Accent4 2 7 5" xfId="18883" xr:uid="{B454068A-9DCB-42C5-8943-67329500D540}"/>
    <cellStyle name="40% - Accent4 2 7 6" xfId="35741" xr:uid="{24645314-4B79-466E-9DE2-87454AFF9424}"/>
    <cellStyle name="40% - Accent4 2 7 7" xfId="10448" xr:uid="{FE6FCFA3-B11B-4F01-8037-1C19F19D0563}"/>
    <cellStyle name="40% - Accent4 2 8" xfId="2337" xr:uid="{00000000-0005-0000-0000-0000EF050000}"/>
    <cellStyle name="40% - Accent4 2 8 2" xfId="6644" xr:uid="{00000000-0005-0000-0000-0000F0050000}"/>
    <cellStyle name="40% - Accent4 2 8 2 2" xfId="31943" xr:uid="{786BB610-E4E0-4630-9CF1-BC803A4D5FCF}"/>
    <cellStyle name="40% - Accent4 2 8 2 3" xfId="23514" xr:uid="{FE0E2D7C-FA5D-4C1B-819E-70497C0325F2}"/>
    <cellStyle name="40% - Accent4 2 8 2 4" xfId="40371" xr:uid="{6460FA02-E6F3-46D8-9429-2FF3D2E07E72}"/>
    <cellStyle name="40% - Accent4 2 8 2 5" xfId="15079" xr:uid="{90B7B447-573F-4DE6-8AA9-21FD9BC6EFBC}"/>
    <cellStyle name="40% - Accent4 2 8 3" xfId="27725" xr:uid="{9ACB2334-CAC2-4D47-83E4-F78063849371}"/>
    <cellStyle name="40% - Accent4 2 8 4" xfId="19296" xr:uid="{28CCD728-B644-4489-9CAB-9EE8801791B2}"/>
    <cellStyle name="40% - Accent4 2 8 5" xfId="36154" xr:uid="{324833D6-AD69-423B-823A-9FFA78CCA99E}"/>
    <cellStyle name="40% - Accent4 2 8 6" xfId="10861" xr:uid="{F7357A38-EB14-46F8-986B-93FE5F9DBD95}"/>
    <cellStyle name="40% - Accent4 2 9" xfId="4578" xr:uid="{00000000-0005-0000-0000-0000F1050000}"/>
    <cellStyle name="40% - Accent4 2 9 2" xfId="29877" xr:uid="{6A7D7ABB-3C2D-4E82-B22F-6D34294E0592}"/>
    <cellStyle name="40% - Accent4 2 9 3" xfId="21448" xr:uid="{71DE4A81-1551-44F6-A61C-5D038CD6A65E}"/>
    <cellStyle name="40% - Accent4 2 9 4" xfId="38305" xr:uid="{F1A8D6F5-76BF-480F-B0AA-60DEF3C5BE71}"/>
    <cellStyle name="40% - Accent4 2 9 5" xfId="13013" xr:uid="{05350D3C-1C1C-4489-9EC7-BC794496F668}"/>
    <cellStyle name="40% - Accent4 3" xfId="78" xr:uid="{00000000-0005-0000-0000-0000F2050000}"/>
    <cellStyle name="40% - Accent4 3 10" xfId="17234" xr:uid="{BDA77320-8738-4552-8939-91CF9CDA6FC0}"/>
    <cellStyle name="40% - Accent4 3 11" xfId="34092" xr:uid="{B1673390-1545-46B3-8D90-601AEAF0D41D}"/>
    <cellStyle name="40% - Accent4 3 12" xfId="8799" xr:uid="{67B2E0BC-BB2C-4EC4-AC99-B3744C17DB82}"/>
    <cellStyle name="40% - Accent4 3 2" xfId="79" xr:uid="{00000000-0005-0000-0000-0000F3050000}"/>
    <cellStyle name="40% - Accent4 3 2 10" xfId="34093" xr:uid="{A41A9AAF-30D9-4980-B7BB-346C2E75525B}"/>
    <cellStyle name="40% - Accent4 3 2 11" xfId="8800" xr:uid="{45CAB395-04DB-4752-BF90-0C12CF19AB6D}"/>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32441" xr:uid="{1AC92B4D-7F4A-476F-91EE-7F5948079A6D}"/>
    <cellStyle name="40% - Accent4 3 2 2 2 2 3" xfId="24012" xr:uid="{13AFD1D5-C496-4032-ABA0-22CDDA4B9895}"/>
    <cellStyle name="40% - Accent4 3 2 2 2 2 4" xfId="40869" xr:uid="{474933B5-4B07-44B9-833C-1DC1F424658F}"/>
    <cellStyle name="40% - Accent4 3 2 2 2 2 5" xfId="15577" xr:uid="{DBAC4FED-5AEF-47E8-AB2D-9AD03EA6AA04}"/>
    <cellStyle name="40% - Accent4 3 2 2 2 3" xfId="28223" xr:uid="{BA3D4277-5376-4BCB-A34A-41C61841B21F}"/>
    <cellStyle name="40% - Accent4 3 2 2 2 4" xfId="19794" xr:uid="{A7816960-5D76-400A-9461-FEFEF9763CD6}"/>
    <cellStyle name="40% - Accent4 3 2 2 2 5" xfId="36652" xr:uid="{3E0C7826-1455-40B9-B3DE-3F2535711990}"/>
    <cellStyle name="40% - Accent4 3 2 2 2 6" xfId="11359" xr:uid="{AE1F9D31-81B7-40AC-8BE0-0A11AFD45028}"/>
    <cellStyle name="40% - Accent4 3 2 2 3" xfId="4997" xr:uid="{00000000-0005-0000-0000-0000F7050000}"/>
    <cellStyle name="40% - Accent4 3 2 2 3 2" xfId="30296" xr:uid="{480AD81F-B4FC-4AA8-B989-7E656C969F2F}"/>
    <cellStyle name="40% - Accent4 3 2 2 3 3" xfId="21867" xr:uid="{C1B41CC1-039E-4226-AE70-D9A4388D3C04}"/>
    <cellStyle name="40% - Accent4 3 2 2 3 4" xfId="38724" xr:uid="{8A6FD0CF-F1CD-4DF9-B064-087FBEC6B0C1}"/>
    <cellStyle name="40% - Accent4 3 2 2 3 5" xfId="13432" xr:uid="{CB6667CA-E67B-4200-96EA-F1B6850BB652}"/>
    <cellStyle name="40% - Accent4 3 2 2 4" xfId="26078" xr:uid="{D7C7FFC4-8189-4431-8FC1-99A5599D8CD5}"/>
    <cellStyle name="40% - Accent4 3 2 2 5" xfId="17649" xr:uid="{640B22E7-1899-4069-B2A5-38C52BAEBF01}"/>
    <cellStyle name="40% - Accent4 3 2 2 6" xfId="34507" xr:uid="{8CF6D661-A506-4991-BC29-BAC37E01A768}"/>
    <cellStyle name="40% - Accent4 3 2 2 7" xfId="9214" xr:uid="{DD7FDA86-7C24-4130-A14D-91E31463F9CB}"/>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32854" xr:uid="{E4C22D9C-7EDE-4327-8D7E-B2913B17EFE7}"/>
    <cellStyle name="40% - Accent4 3 2 3 2 2 3" xfId="24425" xr:uid="{3E873146-BD6F-4CA7-84B4-0C792FEF24C5}"/>
    <cellStyle name="40% - Accent4 3 2 3 2 2 4" xfId="41282" xr:uid="{4DDECB5D-FB7D-4DDA-8408-3CAD5478D12A}"/>
    <cellStyle name="40% - Accent4 3 2 3 2 2 5" xfId="15990" xr:uid="{3CCC588B-2797-4DE5-932E-6AD77C279141}"/>
    <cellStyle name="40% - Accent4 3 2 3 2 3" xfId="28636" xr:uid="{6EFC7AA4-6371-475F-833C-194BE7BF1665}"/>
    <cellStyle name="40% - Accent4 3 2 3 2 4" xfId="20207" xr:uid="{323A1C47-328E-4CDC-8560-4CD7DDB1A90C}"/>
    <cellStyle name="40% - Accent4 3 2 3 2 5" xfId="37065" xr:uid="{E729B7D3-D27A-4692-BB3B-5B36DB63BC0B}"/>
    <cellStyle name="40% - Accent4 3 2 3 2 6" xfId="11772" xr:uid="{B4A4C716-9D59-44AF-9CE2-FD115B7C9BB4}"/>
    <cellStyle name="40% - Accent4 3 2 3 3" xfId="5410" xr:uid="{00000000-0005-0000-0000-0000FB050000}"/>
    <cellStyle name="40% - Accent4 3 2 3 3 2" xfId="30709" xr:uid="{0E05EF12-2F45-4E26-8AEA-4FC09F36A5D4}"/>
    <cellStyle name="40% - Accent4 3 2 3 3 3" xfId="22280" xr:uid="{BA3F7038-04D1-4DD7-8EB9-249CBA2E255F}"/>
    <cellStyle name="40% - Accent4 3 2 3 3 4" xfId="39137" xr:uid="{5841241B-9145-4D57-8C5F-8A5E366C6A1C}"/>
    <cellStyle name="40% - Accent4 3 2 3 3 5" xfId="13845" xr:uid="{3AC070CC-0256-402B-9D58-1FD04B4E1DCD}"/>
    <cellStyle name="40% - Accent4 3 2 3 4" xfId="26491" xr:uid="{04C0106D-B3F4-4DDD-BF8D-C97F6695F3AD}"/>
    <cellStyle name="40% - Accent4 3 2 3 5" xfId="18062" xr:uid="{8C300B48-0029-4A9A-8D6D-808110CACA16}"/>
    <cellStyle name="40% - Accent4 3 2 3 6" xfId="34920" xr:uid="{9E9D1922-94FD-4075-89F3-AF5A5928C2C4}"/>
    <cellStyle name="40% - Accent4 3 2 3 7" xfId="9627" xr:uid="{535F3D82-0DEA-4998-829B-8C2C389A2541}"/>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33267" xr:uid="{8368E8BA-C98C-412A-B7D7-B754D9207F21}"/>
    <cellStyle name="40% - Accent4 3 2 4 2 2 3" xfId="24838" xr:uid="{9BFF1219-81A4-47FC-838F-D085682F1C9A}"/>
    <cellStyle name="40% - Accent4 3 2 4 2 2 4" xfId="41695" xr:uid="{8ABD743D-6468-4372-A657-2F0A7E7E3CCE}"/>
    <cellStyle name="40% - Accent4 3 2 4 2 2 5" xfId="16403" xr:uid="{9FD23172-8582-4EEF-BEF6-0E24FEE599D1}"/>
    <cellStyle name="40% - Accent4 3 2 4 2 3" xfId="29049" xr:uid="{6F78EF11-AC2E-4AEE-821C-75043C235D38}"/>
    <cellStyle name="40% - Accent4 3 2 4 2 4" xfId="20620" xr:uid="{5B62F84B-852B-45C2-B9B1-981EBD0EF5C6}"/>
    <cellStyle name="40% - Accent4 3 2 4 2 5" xfId="37478" xr:uid="{D74FD5B0-2B8D-419A-8977-9D0769ADB181}"/>
    <cellStyle name="40% - Accent4 3 2 4 2 6" xfId="12185" xr:uid="{4B5A3545-2674-43B5-839F-FEE75EAC2361}"/>
    <cellStyle name="40% - Accent4 3 2 4 3" xfId="5823" xr:uid="{00000000-0005-0000-0000-0000FF050000}"/>
    <cellStyle name="40% - Accent4 3 2 4 3 2" xfId="31122" xr:uid="{F3B07EAD-4995-4809-BFAB-0DC2AD16CAE5}"/>
    <cellStyle name="40% - Accent4 3 2 4 3 3" xfId="22693" xr:uid="{B87B1CA8-2A30-4DE3-9ED4-09564990EC01}"/>
    <cellStyle name="40% - Accent4 3 2 4 3 4" xfId="39550" xr:uid="{18EF081F-C23F-4606-A722-7FC36226964F}"/>
    <cellStyle name="40% - Accent4 3 2 4 3 5" xfId="14258" xr:uid="{7C734652-94FD-49DB-8B8C-1368EFE0ACFA}"/>
    <cellStyle name="40% - Accent4 3 2 4 4" xfId="26904" xr:uid="{0927DE80-451D-42A4-B4CB-95BFB5772B76}"/>
    <cellStyle name="40% - Accent4 3 2 4 5" xfId="18475" xr:uid="{BB87B2AE-4FB3-4F25-8FFE-AF5A86C97B1E}"/>
    <cellStyle name="40% - Accent4 3 2 4 6" xfId="35333" xr:uid="{4CCD8C77-515B-4E90-96A7-F307A90792B0}"/>
    <cellStyle name="40% - Accent4 3 2 4 7" xfId="10040" xr:uid="{CE466927-0E6A-43E7-A8B9-534BC5866C24}"/>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33680" xr:uid="{67A89653-18C9-4625-9918-BD0AF2525CBE}"/>
    <cellStyle name="40% - Accent4 3 2 5 2 2 3" xfId="25251" xr:uid="{37536FC1-FC52-4A7B-BAF6-CE05D1B141E1}"/>
    <cellStyle name="40% - Accent4 3 2 5 2 2 4" xfId="42108" xr:uid="{F5B4599A-E230-47F3-9D5A-44E59BFF330D}"/>
    <cellStyle name="40% - Accent4 3 2 5 2 2 5" xfId="16816" xr:uid="{31B88B7E-A0D2-4CCA-953C-264C8E8F7A1E}"/>
    <cellStyle name="40% - Accent4 3 2 5 2 3" xfId="29462" xr:uid="{D7DE39AA-56C9-4F2B-96A4-49E73A8DA4C7}"/>
    <cellStyle name="40% - Accent4 3 2 5 2 4" xfId="21033" xr:uid="{1523844B-42BF-41AF-84D7-5270AFA9CE6E}"/>
    <cellStyle name="40% - Accent4 3 2 5 2 5" xfId="37891" xr:uid="{373C00E2-E9CB-45DC-8378-4EEC3E2C4D3E}"/>
    <cellStyle name="40% - Accent4 3 2 5 2 6" xfId="12598" xr:uid="{022B94D6-A865-47C8-A638-7D53B4F1579B}"/>
    <cellStyle name="40% - Accent4 3 2 5 3" xfId="6236" xr:uid="{00000000-0005-0000-0000-000003060000}"/>
    <cellStyle name="40% - Accent4 3 2 5 3 2" xfId="31535" xr:uid="{A9BAA28E-F752-4D4F-9E89-829281581FD4}"/>
    <cellStyle name="40% - Accent4 3 2 5 3 3" xfId="23106" xr:uid="{9625077C-EBE8-4680-9AA6-D17ED4EB81CE}"/>
    <cellStyle name="40% - Accent4 3 2 5 3 4" xfId="39963" xr:uid="{C9D6542F-6092-4933-988D-CD1A0A5418FA}"/>
    <cellStyle name="40% - Accent4 3 2 5 3 5" xfId="14671" xr:uid="{8B612AEA-EF50-43FC-885A-483F7093E8C9}"/>
    <cellStyle name="40% - Accent4 3 2 5 4" xfId="27317" xr:uid="{ADCFE17A-F32A-411D-9CDC-8A92F59E72B5}"/>
    <cellStyle name="40% - Accent4 3 2 5 5" xfId="18888" xr:uid="{822A6941-EBFD-46B5-AAE9-6ADFE39EB21F}"/>
    <cellStyle name="40% - Accent4 3 2 5 6" xfId="35746" xr:uid="{34C0D567-1753-4F57-B4EF-04F777BDE6A3}"/>
    <cellStyle name="40% - Accent4 3 2 5 7" xfId="10453" xr:uid="{7AA2EF94-AE73-4201-9A2C-2EEC0A94242D}"/>
    <cellStyle name="40% - Accent4 3 2 6" xfId="2342" xr:uid="{00000000-0005-0000-0000-000004060000}"/>
    <cellStyle name="40% - Accent4 3 2 6 2" xfId="6649" xr:uid="{00000000-0005-0000-0000-000005060000}"/>
    <cellStyle name="40% - Accent4 3 2 6 2 2" xfId="31948" xr:uid="{70ACC2D4-D6EF-492F-ACBB-E994F7BA9AB7}"/>
    <cellStyle name="40% - Accent4 3 2 6 2 3" xfId="23519" xr:uid="{4965630C-B31A-41FE-BEFE-347FEE018825}"/>
    <cellStyle name="40% - Accent4 3 2 6 2 4" xfId="40376" xr:uid="{54899E52-FA9E-461C-B4C4-A92D1D63F6EE}"/>
    <cellStyle name="40% - Accent4 3 2 6 2 5" xfId="15084" xr:uid="{D76170D5-C6C8-4821-A469-CB0826E58E4C}"/>
    <cellStyle name="40% - Accent4 3 2 6 3" xfId="27730" xr:uid="{8F296D58-1358-42A9-A117-3C3F152B9A6D}"/>
    <cellStyle name="40% - Accent4 3 2 6 4" xfId="19301" xr:uid="{5DAED962-AEF8-429E-A691-167BD7EBA3E1}"/>
    <cellStyle name="40% - Accent4 3 2 6 5" xfId="36159" xr:uid="{9EA8AF84-8EE5-40CD-9932-751D785B6CC7}"/>
    <cellStyle name="40% - Accent4 3 2 6 6" xfId="10866" xr:uid="{9404EE8A-C551-4DA0-8C84-5A7D000AFF65}"/>
    <cellStyle name="40% - Accent4 3 2 7" xfId="4583" xr:uid="{00000000-0005-0000-0000-000006060000}"/>
    <cellStyle name="40% - Accent4 3 2 7 2" xfId="29882" xr:uid="{070EEBB7-3FA9-491C-A680-7D5417C82E54}"/>
    <cellStyle name="40% - Accent4 3 2 7 3" xfId="21453" xr:uid="{B0670D6C-407F-42B7-9429-083F0343B82F}"/>
    <cellStyle name="40% - Accent4 3 2 7 4" xfId="38310" xr:uid="{896472D2-753B-480A-AC84-6DE81C7E476A}"/>
    <cellStyle name="40% - Accent4 3 2 7 5" xfId="13018" xr:uid="{559E6811-629D-4E35-8911-C8591F5DB7F1}"/>
    <cellStyle name="40% - Accent4 3 2 8" xfId="25664" xr:uid="{FEC4380A-FBA9-40D5-BC85-33EE71D714EB}"/>
    <cellStyle name="40% - Accent4 3 2 9" xfId="17235" xr:uid="{4E132B12-F7CC-48E8-A469-34821EBADB87}"/>
    <cellStyle name="40% - Accent4 3 3" xfId="647" xr:uid="{00000000-0005-0000-0000-000007060000}"/>
    <cellStyle name="40% - Accent4 3 3 2" xfId="2918" xr:uid="{00000000-0005-0000-0000-000008060000}"/>
    <cellStyle name="40% - Accent4 3 3 2 2" xfId="7141" xr:uid="{00000000-0005-0000-0000-000009060000}"/>
    <cellStyle name="40% - Accent4 3 3 2 2 2" xfId="32440" xr:uid="{953EE40D-C1B0-44C0-9412-14608A59DC27}"/>
    <cellStyle name="40% - Accent4 3 3 2 2 3" xfId="24011" xr:uid="{EE5C922D-9A88-4E86-8936-91661EF309D1}"/>
    <cellStyle name="40% - Accent4 3 3 2 2 4" xfId="40868" xr:uid="{B843CFDA-848C-4F52-8D4E-890FB497C228}"/>
    <cellStyle name="40% - Accent4 3 3 2 2 5" xfId="15576" xr:uid="{6F97714B-2292-4676-BAF0-164B4B797284}"/>
    <cellStyle name="40% - Accent4 3 3 2 3" xfId="28222" xr:uid="{8154F210-EDB0-4DE0-AFA2-9CE51A4CC696}"/>
    <cellStyle name="40% - Accent4 3 3 2 4" xfId="19793" xr:uid="{2B3A7F84-872E-4866-B46C-DE7927F37713}"/>
    <cellStyle name="40% - Accent4 3 3 2 5" xfId="36651" xr:uid="{1F7FFB71-C100-4FDA-84DF-9F7D2E44050C}"/>
    <cellStyle name="40% - Accent4 3 3 2 6" xfId="11358" xr:uid="{913FC40B-F600-4CC1-B25C-676E4C836C8E}"/>
    <cellStyle name="40% - Accent4 3 3 3" xfId="4996" xr:uid="{00000000-0005-0000-0000-00000A060000}"/>
    <cellStyle name="40% - Accent4 3 3 3 2" xfId="30295" xr:uid="{2815F5F5-21A6-4DB2-ACC0-FAC1B7B564EE}"/>
    <cellStyle name="40% - Accent4 3 3 3 3" xfId="21866" xr:uid="{A6D96FAD-0043-43D7-8EB0-65480627CFE7}"/>
    <cellStyle name="40% - Accent4 3 3 3 4" xfId="38723" xr:uid="{BA40A992-8B97-4E5B-A821-69FE94DA0F65}"/>
    <cellStyle name="40% - Accent4 3 3 3 5" xfId="13431" xr:uid="{3A04CAA6-68B6-4B86-99B6-A99F2BAF894B}"/>
    <cellStyle name="40% - Accent4 3 3 4" xfId="26077" xr:uid="{AB4AE21B-401F-4222-A78D-6E205D41C283}"/>
    <cellStyle name="40% - Accent4 3 3 5" xfId="17648" xr:uid="{8D3A2BCB-7FB0-48CA-8C84-370722B41DE6}"/>
    <cellStyle name="40% - Accent4 3 3 6" xfId="34506" xr:uid="{27C78B1C-31B8-4A86-AC76-6066C201180A}"/>
    <cellStyle name="40% - Accent4 3 3 7" xfId="9213" xr:uid="{F5BB932A-1B13-4BF5-89F6-62898EAA08A5}"/>
    <cellStyle name="40% - Accent4 3 4" xfId="1100" xr:uid="{00000000-0005-0000-0000-00000B060000}"/>
    <cellStyle name="40% - Accent4 3 4 2" xfId="3331" xr:uid="{00000000-0005-0000-0000-00000C060000}"/>
    <cellStyle name="40% - Accent4 3 4 2 2" xfId="7554" xr:uid="{00000000-0005-0000-0000-00000D060000}"/>
    <cellStyle name="40% - Accent4 3 4 2 2 2" xfId="32853" xr:uid="{94F378E8-FE47-4233-BAEA-F7A40E6A9CCA}"/>
    <cellStyle name="40% - Accent4 3 4 2 2 3" xfId="24424" xr:uid="{CB416545-7AE3-43B2-8BF7-7E4EDD0B8432}"/>
    <cellStyle name="40% - Accent4 3 4 2 2 4" xfId="41281" xr:uid="{4FA98AB7-B8A4-455D-897B-AD656D4258CB}"/>
    <cellStyle name="40% - Accent4 3 4 2 2 5" xfId="15989" xr:uid="{538821B7-05D0-4CEB-A027-777BADAD686E}"/>
    <cellStyle name="40% - Accent4 3 4 2 3" xfId="28635" xr:uid="{9752B141-21C8-458A-891B-4856AC30E1D0}"/>
    <cellStyle name="40% - Accent4 3 4 2 4" xfId="20206" xr:uid="{CE0B55E9-0E87-4F1C-BF35-8EF9BA2A2F5B}"/>
    <cellStyle name="40% - Accent4 3 4 2 5" xfId="37064" xr:uid="{68AB381C-15A1-491B-B66C-A0D511B5E417}"/>
    <cellStyle name="40% - Accent4 3 4 2 6" xfId="11771" xr:uid="{67A232B1-687D-4458-BF6E-C15C77CABDA2}"/>
    <cellStyle name="40% - Accent4 3 4 3" xfId="5409" xr:uid="{00000000-0005-0000-0000-00000E060000}"/>
    <cellStyle name="40% - Accent4 3 4 3 2" xfId="30708" xr:uid="{633C5D4A-D60A-4294-900A-5F056E6479E6}"/>
    <cellStyle name="40% - Accent4 3 4 3 3" xfId="22279" xr:uid="{EBF4C7B3-B924-4D35-95EB-894664E7F9CB}"/>
    <cellStyle name="40% - Accent4 3 4 3 4" xfId="39136" xr:uid="{36DF44D4-2130-402B-AC43-2F2D77F89D76}"/>
    <cellStyle name="40% - Accent4 3 4 3 5" xfId="13844" xr:uid="{DFD7E3A0-714B-4BCD-B5EA-D997D6E339B8}"/>
    <cellStyle name="40% - Accent4 3 4 4" xfId="26490" xr:uid="{4C6C7006-475F-4CFA-95C5-DBD5355D4A3D}"/>
    <cellStyle name="40% - Accent4 3 4 5" xfId="18061" xr:uid="{BA242E30-156D-4EF7-B756-E3D5F42A6B13}"/>
    <cellStyle name="40% - Accent4 3 4 6" xfId="34919" xr:uid="{B1384F65-19C2-4E27-BF8A-12FF0ACAE92C}"/>
    <cellStyle name="40% - Accent4 3 4 7" xfId="9626" xr:uid="{E475FE80-798E-4D40-9C08-210310184809}"/>
    <cellStyle name="40% - Accent4 3 5" xfId="1514" xr:uid="{00000000-0005-0000-0000-00000F060000}"/>
    <cellStyle name="40% - Accent4 3 5 2" xfId="3744" xr:uid="{00000000-0005-0000-0000-000010060000}"/>
    <cellStyle name="40% - Accent4 3 5 2 2" xfId="7967" xr:uid="{00000000-0005-0000-0000-000011060000}"/>
    <cellStyle name="40% - Accent4 3 5 2 2 2" xfId="33266" xr:uid="{1B252474-1CE2-4EC7-8154-70D509D505A6}"/>
    <cellStyle name="40% - Accent4 3 5 2 2 3" xfId="24837" xr:uid="{7539B562-13DF-48B1-B130-6FED1C439D6E}"/>
    <cellStyle name="40% - Accent4 3 5 2 2 4" xfId="41694" xr:uid="{6A7213F0-E8A3-4067-9391-09FA271B51AB}"/>
    <cellStyle name="40% - Accent4 3 5 2 2 5" xfId="16402" xr:uid="{87951376-79AE-40D8-9F9C-C0E456CB1966}"/>
    <cellStyle name="40% - Accent4 3 5 2 3" xfId="29048" xr:uid="{38E8F513-3BFF-41D6-902E-4F011B55A597}"/>
    <cellStyle name="40% - Accent4 3 5 2 4" xfId="20619" xr:uid="{8DB8D114-D8B6-42DF-A13B-A96A2E089B60}"/>
    <cellStyle name="40% - Accent4 3 5 2 5" xfId="37477" xr:uid="{2BE77D13-86FC-4D0E-906C-E0BAAAE24368}"/>
    <cellStyle name="40% - Accent4 3 5 2 6" xfId="12184" xr:uid="{0FA8E49F-0457-42A3-A133-8729BE749510}"/>
    <cellStyle name="40% - Accent4 3 5 3" xfId="5822" xr:uid="{00000000-0005-0000-0000-000012060000}"/>
    <cellStyle name="40% - Accent4 3 5 3 2" xfId="31121" xr:uid="{C8753FB8-5F9C-4008-94EC-740A21C14840}"/>
    <cellStyle name="40% - Accent4 3 5 3 3" xfId="22692" xr:uid="{BA58371F-C580-4DC1-BFA9-931B7E8F6A55}"/>
    <cellStyle name="40% - Accent4 3 5 3 4" xfId="39549" xr:uid="{1938376A-6741-4F52-A5D7-65C7BA2ADEF8}"/>
    <cellStyle name="40% - Accent4 3 5 3 5" xfId="14257" xr:uid="{67AE48D5-EFA5-4052-8FBE-E93420F89E7C}"/>
    <cellStyle name="40% - Accent4 3 5 4" xfId="26903" xr:uid="{DC4BF60A-BBBA-41C7-AFD1-252B920A8868}"/>
    <cellStyle name="40% - Accent4 3 5 5" xfId="18474" xr:uid="{E8B5543F-733F-4425-AB82-9648B2AE1862}"/>
    <cellStyle name="40% - Accent4 3 5 6" xfId="35332" xr:uid="{A87BD42E-9929-4597-87A5-FD24DDC5A1D4}"/>
    <cellStyle name="40% - Accent4 3 5 7" xfId="10039" xr:uid="{8508F2EE-D4B9-4B30-8715-4B44C54193DD}"/>
    <cellStyle name="40% - Accent4 3 6" xfId="1928" xr:uid="{00000000-0005-0000-0000-000013060000}"/>
    <cellStyle name="40% - Accent4 3 6 2" xfId="4157" xr:uid="{00000000-0005-0000-0000-000014060000}"/>
    <cellStyle name="40% - Accent4 3 6 2 2" xfId="8380" xr:uid="{00000000-0005-0000-0000-000015060000}"/>
    <cellStyle name="40% - Accent4 3 6 2 2 2" xfId="33679" xr:uid="{9F90F0D4-CA5D-4BF2-BF04-907983E0DC09}"/>
    <cellStyle name="40% - Accent4 3 6 2 2 3" xfId="25250" xr:uid="{5E7CD4DD-6992-44DD-BD4D-F3051307BFAD}"/>
    <cellStyle name="40% - Accent4 3 6 2 2 4" xfId="42107" xr:uid="{E507B888-82B6-415D-9D37-21B5CE2FE1FE}"/>
    <cellStyle name="40% - Accent4 3 6 2 2 5" xfId="16815" xr:uid="{B10BFD85-019E-4799-8AC8-0013C91B3B21}"/>
    <cellStyle name="40% - Accent4 3 6 2 3" xfId="29461" xr:uid="{8876A544-3127-4935-A6C0-D54AFA0C82F9}"/>
    <cellStyle name="40% - Accent4 3 6 2 4" xfId="21032" xr:uid="{56340CD3-FA1C-4B88-98A0-A39124B5880B}"/>
    <cellStyle name="40% - Accent4 3 6 2 5" xfId="37890" xr:uid="{8C713FC0-A31D-45BA-A9A9-293F85C4F704}"/>
    <cellStyle name="40% - Accent4 3 6 2 6" xfId="12597" xr:uid="{8A028034-ADE8-4845-9ABE-690E65FFDF50}"/>
    <cellStyle name="40% - Accent4 3 6 3" xfId="6235" xr:uid="{00000000-0005-0000-0000-000016060000}"/>
    <cellStyle name="40% - Accent4 3 6 3 2" xfId="31534" xr:uid="{00FF4947-D63E-45BE-8895-C081374567C5}"/>
    <cellStyle name="40% - Accent4 3 6 3 3" xfId="23105" xr:uid="{C68EFC1A-C9D7-4FFD-8A27-778C1A56BE16}"/>
    <cellStyle name="40% - Accent4 3 6 3 4" xfId="39962" xr:uid="{90802BB8-25E4-4FFD-9C06-281540EADE0D}"/>
    <cellStyle name="40% - Accent4 3 6 3 5" xfId="14670" xr:uid="{7782019C-07E4-4D83-9752-B8AA347717E1}"/>
    <cellStyle name="40% - Accent4 3 6 4" xfId="27316" xr:uid="{7A814527-FA94-414C-B769-7FA5DCB5FCD6}"/>
    <cellStyle name="40% - Accent4 3 6 5" xfId="18887" xr:uid="{A5DF96C6-BD4B-40C3-99F1-6BA26FD30606}"/>
    <cellStyle name="40% - Accent4 3 6 6" xfId="35745" xr:uid="{F7DCDDCC-D8A6-4789-8E09-B8FCBCA1B11B}"/>
    <cellStyle name="40% - Accent4 3 6 7" xfId="10452" xr:uid="{ED5F7FB0-3713-47D1-90EF-17C88CCCD49E}"/>
    <cellStyle name="40% - Accent4 3 7" xfId="2341" xr:uid="{00000000-0005-0000-0000-000017060000}"/>
    <cellStyle name="40% - Accent4 3 7 2" xfId="6648" xr:uid="{00000000-0005-0000-0000-000018060000}"/>
    <cellStyle name="40% - Accent4 3 7 2 2" xfId="31947" xr:uid="{5C10FE17-964B-43AE-82E1-0362969F9706}"/>
    <cellStyle name="40% - Accent4 3 7 2 3" xfId="23518" xr:uid="{06295BA6-8CD0-4183-A362-EF6BAF3A3775}"/>
    <cellStyle name="40% - Accent4 3 7 2 4" xfId="40375" xr:uid="{E1473B6A-7519-4131-A9DB-F54DFD461B94}"/>
    <cellStyle name="40% - Accent4 3 7 2 5" xfId="15083" xr:uid="{B153052F-04CD-47E9-9D19-359DA164823D}"/>
    <cellStyle name="40% - Accent4 3 7 3" xfId="27729" xr:uid="{CFDAA4B4-DBAD-4328-A983-B6B6AEA1B2E3}"/>
    <cellStyle name="40% - Accent4 3 7 4" xfId="19300" xr:uid="{5F6CFAFA-32F5-402E-A5B2-6E636543CA09}"/>
    <cellStyle name="40% - Accent4 3 7 5" xfId="36158" xr:uid="{A478D938-F366-408D-B114-44258B4DD52F}"/>
    <cellStyle name="40% - Accent4 3 7 6" xfId="10865" xr:uid="{6F05C487-A0B5-447A-906C-1A0180EAE5A4}"/>
    <cellStyle name="40% - Accent4 3 8" xfId="4582" xr:uid="{00000000-0005-0000-0000-000019060000}"/>
    <cellStyle name="40% - Accent4 3 8 2" xfId="29881" xr:uid="{5F31F42D-26F5-4166-A46B-99F0CC7EDFD4}"/>
    <cellStyle name="40% - Accent4 3 8 3" xfId="21452" xr:uid="{A15F7160-EE0F-4EEB-AB79-8B57FDBBD385}"/>
    <cellStyle name="40% - Accent4 3 8 4" xfId="38309" xr:uid="{51AF9AB3-F119-4212-BB4A-91FAB464203A}"/>
    <cellStyle name="40% - Accent4 3 8 5" xfId="13017" xr:uid="{986328E7-A6C7-486C-BE5B-90BF0394CCAD}"/>
    <cellStyle name="40% - Accent4 3 9" xfId="25663" xr:uid="{DC1590C6-2C0D-49B9-914B-2D4512CCA4D6}"/>
    <cellStyle name="40% - Accent4 4" xfId="80" xr:uid="{00000000-0005-0000-0000-00001A060000}"/>
    <cellStyle name="40% - Accent4 4 10" xfId="34094" xr:uid="{3E95D8FA-9626-4785-994A-32BD92810804}"/>
    <cellStyle name="40% - Accent4 4 11" xfId="8801" xr:uid="{B6009303-91A7-4192-B853-8B8BF4DD27CE}"/>
    <cellStyle name="40% - Accent4 4 2" xfId="649" xr:uid="{00000000-0005-0000-0000-00001B060000}"/>
    <cellStyle name="40% - Accent4 4 2 2" xfId="2920" xr:uid="{00000000-0005-0000-0000-00001C060000}"/>
    <cellStyle name="40% - Accent4 4 2 2 2" xfId="7143" xr:uid="{00000000-0005-0000-0000-00001D060000}"/>
    <cellStyle name="40% - Accent4 4 2 2 2 2" xfId="32442" xr:uid="{792F5D7D-C0B0-4044-BEED-D9837DD9B5FA}"/>
    <cellStyle name="40% - Accent4 4 2 2 2 3" xfId="24013" xr:uid="{4462B4B9-0BA4-4EEC-95A2-626A5F5A5691}"/>
    <cellStyle name="40% - Accent4 4 2 2 2 4" xfId="40870" xr:uid="{9FD9213E-EF0D-41C0-8CEE-A88CDA4D8E39}"/>
    <cellStyle name="40% - Accent4 4 2 2 2 5" xfId="15578" xr:uid="{ABEDC0C3-EF64-4BF9-8C2B-D686F95EB578}"/>
    <cellStyle name="40% - Accent4 4 2 2 3" xfId="28224" xr:uid="{86E3EE3B-8175-43EF-9A1B-092A06C55E44}"/>
    <cellStyle name="40% - Accent4 4 2 2 4" xfId="19795" xr:uid="{BD9DA503-F64A-437D-9D9F-C9FA2B60240D}"/>
    <cellStyle name="40% - Accent4 4 2 2 5" xfId="36653" xr:uid="{C284E3FB-BF9C-4098-90A5-DE621F339BCC}"/>
    <cellStyle name="40% - Accent4 4 2 2 6" xfId="11360" xr:uid="{AA6EDCF0-F131-4C78-AA98-78CB2E188E19}"/>
    <cellStyle name="40% - Accent4 4 2 3" xfId="4998" xr:uid="{00000000-0005-0000-0000-00001E060000}"/>
    <cellStyle name="40% - Accent4 4 2 3 2" xfId="30297" xr:uid="{1CBD6E82-FA43-4B94-A8D1-CC11FC4984A0}"/>
    <cellStyle name="40% - Accent4 4 2 3 3" xfId="21868" xr:uid="{4CDABEB8-5809-4820-93FC-AABBD6828B7E}"/>
    <cellStyle name="40% - Accent4 4 2 3 4" xfId="38725" xr:uid="{1DFBAD16-6166-47EB-841F-B2160CE80BA8}"/>
    <cellStyle name="40% - Accent4 4 2 3 5" xfId="13433" xr:uid="{A337351E-895F-46C2-891F-35144B9994E9}"/>
    <cellStyle name="40% - Accent4 4 2 4" xfId="26079" xr:uid="{9CCF888A-7AB4-4B8B-849C-CE758775DF64}"/>
    <cellStyle name="40% - Accent4 4 2 5" xfId="17650" xr:uid="{607BC185-5CC7-41C4-A870-12C37D41812A}"/>
    <cellStyle name="40% - Accent4 4 2 6" xfId="34508" xr:uid="{5A715D3A-6D9B-4806-8777-43965E71E913}"/>
    <cellStyle name="40% - Accent4 4 2 7" xfId="9215" xr:uid="{9C55063D-5DBB-487D-8181-29E0847891AE}"/>
    <cellStyle name="40% - Accent4 4 3" xfId="1102" xr:uid="{00000000-0005-0000-0000-00001F060000}"/>
    <cellStyle name="40% - Accent4 4 3 2" xfId="3333" xr:uid="{00000000-0005-0000-0000-000020060000}"/>
    <cellStyle name="40% - Accent4 4 3 2 2" xfId="7556" xr:uid="{00000000-0005-0000-0000-000021060000}"/>
    <cellStyle name="40% - Accent4 4 3 2 2 2" xfId="32855" xr:uid="{37DB2B49-54CD-4AB5-A18E-F560EB9064B3}"/>
    <cellStyle name="40% - Accent4 4 3 2 2 3" xfId="24426" xr:uid="{DC80FBDB-A370-436C-AD22-118ED5D0CE65}"/>
    <cellStyle name="40% - Accent4 4 3 2 2 4" xfId="41283" xr:uid="{B476AEF4-078D-45EA-B286-B3F247180AA6}"/>
    <cellStyle name="40% - Accent4 4 3 2 2 5" xfId="15991" xr:uid="{ECB8D566-4F95-45C2-85CC-9F41A47EE8BE}"/>
    <cellStyle name="40% - Accent4 4 3 2 3" xfId="28637" xr:uid="{D6E1A24C-12D2-4BD8-B7BE-044E041DA3FD}"/>
    <cellStyle name="40% - Accent4 4 3 2 4" xfId="20208" xr:uid="{2C6643CD-363F-4C77-B283-A5899971DBCB}"/>
    <cellStyle name="40% - Accent4 4 3 2 5" xfId="37066" xr:uid="{AAA01A73-F08D-484E-AED5-CBBBC72B85F2}"/>
    <cellStyle name="40% - Accent4 4 3 2 6" xfId="11773" xr:uid="{A082F96E-FA16-49D0-8DF7-6856BE244D82}"/>
    <cellStyle name="40% - Accent4 4 3 3" xfId="5411" xr:uid="{00000000-0005-0000-0000-000022060000}"/>
    <cellStyle name="40% - Accent4 4 3 3 2" xfId="30710" xr:uid="{606BD1C2-EC41-4794-AB86-2D40CF4223FA}"/>
    <cellStyle name="40% - Accent4 4 3 3 3" xfId="22281" xr:uid="{103CC7E7-4672-411D-AA2D-716CA3526A5C}"/>
    <cellStyle name="40% - Accent4 4 3 3 4" xfId="39138" xr:uid="{04429835-06E4-41E9-AEFD-A36B8B431BB9}"/>
    <cellStyle name="40% - Accent4 4 3 3 5" xfId="13846" xr:uid="{75F52114-1719-4493-A862-080FB0C5AA48}"/>
    <cellStyle name="40% - Accent4 4 3 4" xfId="26492" xr:uid="{0027DEFF-3FCD-4936-8704-CA17A13DFAA5}"/>
    <cellStyle name="40% - Accent4 4 3 5" xfId="18063" xr:uid="{AE16FC6D-E3EC-437F-A75D-2BCB91A54F17}"/>
    <cellStyle name="40% - Accent4 4 3 6" xfId="34921" xr:uid="{B5B15C85-28DD-441B-803B-AB13748F2DD6}"/>
    <cellStyle name="40% - Accent4 4 3 7" xfId="9628" xr:uid="{8C16634F-763A-499B-B55B-CC2BEDD929AE}"/>
    <cellStyle name="40% - Accent4 4 4" xfId="1516" xr:uid="{00000000-0005-0000-0000-000023060000}"/>
    <cellStyle name="40% - Accent4 4 4 2" xfId="3746" xr:uid="{00000000-0005-0000-0000-000024060000}"/>
    <cellStyle name="40% - Accent4 4 4 2 2" xfId="7969" xr:uid="{00000000-0005-0000-0000-000025060000}"/>
    <cellStyle name="40% - Accent4 4 4 2 2 2" xfId="33268" xr:uid="{676B8CBD-9345-4587-AEC8-12C386C9FD6D}"/>
    <cellStyle name="40% - Accent4 4 4 2 2 3" xfId="24839" xr:uid="{662F5C07-9F2E-48D3-BB34-B0A328E65B60}"/>
    <cellStyle name="40% - Accent4 4 4 2 2 4" xfId="41696" xr:uid="{53580A4F-C091-4BD3-BDE9-15FF997B022C}"/>
    <cellStyle name="40% - Accent4 4 4 2 2 5" xfId="16404" xr:uid="{1AB8A5E0-685F-4D73-87E7-E461688B2E07}"/>
    <cellStyle name="40% - Accent4 4 4 2 3" xfId="29050" xr:uid="{52A7234E-089B-4241-8402-8080220A6EA0}"/>
    <cellStyle name="40% - Accent4 4 4 2 4" xfId="20621" xr:uid="{38DFC3A9-9ADC-4D4D-9DB7-2B3FF2739261}"/>
    <cellStyle name="40% - Accent4 4 4 2 5" xfId="37479" xr:uid="{D5CF4A7D-1888-4C80-8336-0B1C8A203AB2}"/>
    <cellStyle name="40% - Accent4 4 4 2 6" xfId="12186" xr:uid="{096A7CF6-8586-4234-A342-30504C6BAAFF}"/>
    <cellStyle name="40% - Accent4 4 4 3" xfId="5824" xr:uid="{00000000-0005-0000-0000-000026060000}"/>
    <cellStyle name="40% - Accent4 4 4 3 2" xfId="31123" xr:uid="{F4B91AFD-0D5F-436C-BB81-0EA42C5CAE62}"/>
    <cellStyle name="40% - Accent4 4 4 3 3" xfId="22694" xr:uid="{60F7FF03-2CAB-40E2-9824-CBF40DA4F01C}"/>
    <cellStyle name="40% - Accent4 4 4 3 4" xfId="39551" xr:uid="{0FCB0EAE-4C9A-4B8D-86D7-61EBB50D91C2}"/>
    <cellStyle name="40% - Accent4 4 4 3 5" xfId="14259" xr:uid="{54E54131-9D9B-463D-942A-A2BABA303C6B}"/>
    <cellStyle name="40% - Accent4 4 4 4" xfId="26905" xr:uid="{45AC1B9A-6F00-4978-94A5-A749471EF47D}"/>
    <cellStyle name="40% - Accent4 4 4 5" xfId="18476" xr:uid="{BFAC6D1C-FF6C-4086-AD79-F9AD0134E3A5}"/>
    <cellStyle name="40% - Accent4 4 4 6" xfId="35334" xr:uid="{44B16E59-40AB-4036-9304-798507A77BF6}"/>
    <cellStyle name="40% - Accent4 4 4 7" xfId="10041" xr:uid="{DD7DA0FF-0544-4EBF-B890-C3877DF934D9}"/>
    <cellStyle name="40% - Accent4 4 5" xfId="1930" xr:uid="{00000000-0005-0000-0000-000027060000}"/>
    <cellStyle name="40% - Accent4 4 5 2" xfId="4159" xr:uid="{00000000-0005-0000-0000-000028060000}"/>
    <cellStyle name="40% - Accent4 4 5 2 2" xfId="8382" xr:uid="{00000000-0005-0000-0000-000029060000}"/>
    <cellStyle name="40% - Accent4 4 5 2 2 2" xfId="33681" xr:uid="{F9429C54-B945-41FC-821C-5FB4D4ACDA80}"/>
    <cellStyle name="40% - Accent4 4 5 2 2 3" xfId="25252" xr:uid="{DE6600F6-13BE-4DEF-AD4D-F3245DB14442}"/>
    <cellStyle name="40% - Accent4 4 5 2 2 4" xfId="42109" xr:uid="{83F49B44-F5CC-4852-89B6-34598B2F2F1C}"/>
    <cellStyle name="40% - Accent4 4 5 2 2 5" xfId="16817" xr:uid="{2AFBA3B3-A3C9-40CB-BA4C-E3CB831DD188}"/>
    <cellStyle name="40% - Accent4 4 5 2 3" xfId="29463" xr:uid="{CD4EED3C-6935-43D6-AF08-3A3F26C1DA8D}"/>
    <cellStyle name="40% - Accent4 4 5 2 4" xfId="21034" xr:uid="{21B4CE97-D189-425E-BCA4-4A7FC636285D}"/>
    <cellStyle name="40% - Accent4 4 5 2 5" xfId="37892" xr:uid="{EDEBA923-02DE-4710-82E1-E1CD9E62EAF8}"/>
    <cellStyle name="40% - Accent4 4 5 2 6" xfId="12599" xr:uid="{036CBC4E-AFD1-4242-BD8C-FA915EFCF668}"/>
    <cellStyle name="40% - Accent4 4 5 3" xfId="6237" xr:uid="{00000000-0005-0000-0000-00002A060000}"/>
    <cellStyle name="40% - Accent4 4 5 3 2" xfId="31536" xr:uid="{5487240F-3795-4437-9175-8FA74284F20F}"/>
    <cellStyle name="40% - Accent4 4 5 3 3" xfId="23107" xr:uid="{F631CABD-FBAC-4CA0-AF7F-2A81B363C999}"/>
    <cellStyle name="40% - Accent4 4 5 3 4" xfId="39964" xr:uid="{5A176E88-6D63-4356-A278-BFD4BADB80B3}"/>
    <cellStyle name="40% - Accent4 4 5 3 5" xfId="14672" xr:uid="{CA427A9B-F8AB-4D52-8DF3-1E5F02A7A9A8}"/>
    <cellStyle name="40% - Accent4 4 5 4" xfId="27318" xr:uid="{04A66413-AADF-48BF-AA23-A770078D9FF0}"/>
    <cellStyle name="40% - Accent4 4 5 5" xfId="18889" xr:uid="{A72D842E-3213-4DC4-9F51-0B0A93D498B1}"/>
    <cellStyle name="40% - Accent4 4 5 6" xfId="35747" xr:uid="{CE21464C-88E5-4EBE-8350-71C71F56728D}"/>
    <cellStyle name="40% - Accent4 4 5 7" xfId="10454" xr:uid="{9B6B3F99-C170-45A9-9266-71C904C7F4EF}"/>
    <cellStyle name="40% - Accent4 4 6" xfId="2343" xr:uid="{00000000-0005-0000-0000-00002B060000}"/>
    <cellStyle name="40% - Accent4 4 6 2" xfId="6650" xr:uid="{00000000-0005-0000-0000-00002C060000}"/>
    <cellStyle name="40% - Accent4 4 6 2 2" xfId="31949" xr:uid="{8EB1D137-2D7E-4D21-99E8-D112B9A842AA}"/>
    <cellStyle name="40% - Accent4 4 6 2 3" xfId="23520" xr:uid="{B32393EA-1FEE-4F9B-9BB3-FBAA2087B622}"/>
    <cellStyle name="40% - Accent4 4 6 2 4" xfId="40377" xr:uid="{A15F1F90-CE39-468E-80C1-982E15C559FE}"/>
    <cellStyle name="40% - Accent4 4 6 2 5" xfId="15085" xr:uid="{0862D198-E8C7-4F73-A7EE-A7CC9E17FCA2}"/>
    <cellStyle name="40% - Accent4 4 6 3" xfId="27731" xr:uid="{D882D18D-0960-431E-BA8B-A5780BA01596}"/>
    <cellStyle name="40% - Accent4 4 6 4" xfId="19302" xr:uid="{E52C7138-DBFE-488A-A6F2-5A38FB3DC3D6}"/>
    <cellStyle name="40% - Accent4 4 6 5" xfId="36160" xr:uid="{031510D0-A043-40E3-A39D-782C087DD42E}"/>
    <cellStyle name="40% - Accent4 4 6 6" xfId="10867" xr:uid="{163CD658-7828-4034-98A1-A37CFEA499BE}"/>
    <cellStyle name="40% - Accent4 4 7" xfId="4584" xr:uid="{00000000-0005-0000-0000-00002D060000}"/>
    <cellStyle name="40% - Accent4 4 7 2" xfId="29883" xr:uid="{EF5A455B-19B6-4C04-A206-E75ADC048958}"/>
    <cellStyle name="40% - Accent4 4 7 3" xfId="21454" xr:uid="{0C534F5B-BAC8-43C4-B7D5-70FD544138DC}"/>
    <cellStyle name="40% - Accent4 4 7 4" xfId="38311" xr:uid="{94974543-691C-4EA2-81E5-82632794FE7C}"/>
    <cellStyle name="40% - Accent4 4 7 5" xfId="13019" xr:uid="{9D3AE1A2-ECAE-4426-8897-C0FDF59876EF}"/>
    <cellStyle name="40% - Accent4 4 8" xfId="25665" xr:uid="{B3B4B79B-2991-4D0D-BCC1-F8A30389D314}"/>
    <cellStyle name="40% - Accent4 4 9" xfId="17236" xr:uid="{34E36E94-E230-4450-BD8E-1693B5E70D52}"/>
    <cellStyle name="40% - Accent4 5" xfId="642" xr:uid="{00000000-0005-0000-0000-00002E060000}"/>
    <cellStyle name="40% - Accent4 5 2" xfId="2913" xr:uid="{00000000-0005-0000-0000-00002F060000}"/>
    <cellStyle name="40% - Accent4 5 2 2" xfId="7136" xr:uid="{00000000-0005-0000-0000-000030060000}"/>
    <cellStyle name="40% - Accent4 5 2 2 2" xfId="32435" xr:uid="{BBA34618-4C0C-4A77-B37B-6480C09DF043}"/>
    <cellStyle name="40% - Accent4 5 2 2 3" xfId="24006" xr:uid="{72C874C6-0CF5-47A6-9F07-D0F56792B7D0}"/>
    <cellStyle name="40% - Accent4 5 2 2 4" xfId="40863" xr:uid="{632693CE-B8F4-4DD6-8144-74FCB14D9165}"/>
    <cellStyle name="40% - Accent4 5 2 2 5" xfId="15571" xr:uid="{8244911D-BD1D-4A5E-AF8A-7C37627358C8}"/>
    <cellStyle name="40% - Accent4 5 2 3" xfId="28217" xr:uid="{8DAA052A-CF78-46A7-AB4A-BB611D75F1EB}"/>
    <cellStyle name="40% - Accent4 5 2 4" xfId="19788" xr:uid="{89DBF314-C815-4E69-9884-937C02F5BB34}"/>
    <cellStyle name="40% - Accent4 5 2 5" xfId="36646" xr:uid="{553E91B5-7E98-43D1-80F4-1BB63DEFA140}"/>
    <cellStyle name="40% - Accent4 5 2 6" xfId="11353" xr:uid="{1C411E00-2337-4860-A55C-DC734AF6EC0C}"/>
    <cellStyle name="40% - Accent4 5 3" xfId="4991" xr:uid="{00000000-0005-0000-0000-000031060000}"/>
    <cellStyle name="40% - Accent4 5 3 2" xfId="30290" xr:uid="{2FF8DF30-AAA7-4E41-9D3B-E04EA9F830AF}"/>
    <cellStyle name="40% - Accent4 5 3 3" xfId="21861" xr:uid="{2707D3DA-AB68-4778-BA6E-E1672CEF4742}"/>
    <cellStyle name="40% - Accent4 5 3 4" xfId="38718" xr:uid="{3E7F8F93-11A5-45BB-9FC8-60A0D9F2FD1E}"/>
    <cellStyle name="40% - Accent4 5 3 5" xfId="13426" xr:uid="{5F80F6B6-FC80-44D1-8BB1-3EC43C907BDE}"/>
    <cellStyle name="40% - Accent4 5 4" xfId="26072" xr:uid="{52E20888-BF98-4E15-A8F4-38085D94ED53}"/>
    <cellStyle name="40% - Accent4 5 5" xfId="17643" xr:uid="{7AD87CF6-1D3D-47D2-9EE6-0D87780FEB51}"/>
    <cellStyle name="40% - Accent4 5 6" xfId="34501" xr:uid="{8D4C35C7-5DFB-473A-9DB5-1E9EE16820B3}"/>
    <cellStyle name="40% - Accent4 5 7" xfId="9208" xr:uid="{FF5F5080-3EFD-4A98-BBF0-4A1A37925B26}"/>
    <cellStyle name="40% - Accent4 6" xfId="1095" xr:uid="{00000000-0005-0000-0000-000032060000}"/>
    <cellStyle name="40% - Accent4 6 2" xfId="3326" xr:uid="{00000000-0005-0000-0000-000033060000}"/>
    <cellStyle name="40% - Accent4 6 2 2" xfId="7549" xr:uid="{00000000-0005-0000-0000-000034060000}"/>
    <cellStyle name="40% - Accent4 6 2 2 2" xfId="32848" xr:uid="{AD0EC183-AE1B-4E47-A1F9-B28C95BD8EA2}"/>
    <cellStyle name="40% - Accent4 6 2 2 3" xfId="24419" xr:uid="{39CBEE8B-D8BA-4771-8882-A400D89BCDAF}"/>
    <cellStyle name="40% - Accent4 6 2 2 4" xfId="41276" xr:uid="{9F5999F3-B162-46B6-B2CD-EDD616038144}"/>
    <cellStyle name="40% - Accent4 6 2 2 5" xfId="15984" xr:uid="{C9EC0AF1-071B-4075-A0A5-EF25AC43D8F2}"/>
    <cellStyle name="40% - Accent4 6 2 3" xfId="28630" xr:uid="{99B2FC4B-45D2-47C9-83AE-88FB8DAF26EC}"/>
    <cellStyle name="40% - Accent4 6 2 4" xfId="20201" xr:uid="{296572F9-403A-484C-921A-DB6091C58939}"/>
    <cellStyle name="40% - Accent4 6 2 5" xfId="37059" xr:uid="{20B3A1B2-56EF-4E64-A3F9-D45E511887F2}"/>
    <cellStyle name="40% - Accent4 6 2 6" xfId="11766" xr:uid="{8BAFFBFF-CFF3-46DA-B11E-1A4EC5F4B8A3}"/>
    <cellStyle name="40% - Accent4 6 3" xfId="5404" xr:uid="{00000000-0005-0000-0000-000035060000}"/>
    <cellStyle name="40% - Accent4 6 3 2" xfId="30703" xr:uid="{D383F54D-7394-44CD-9526-CCB2D51493AE}"/>
    <cellStyle name="40% - Accent4 6 3 3" xfId="22274" xr:uid="{752F44DD-73B3-4168-8DAF-5E39935D98BB}"/>
    <cellStyle name="40% - Accent4 6 3 4" xfId="39131" xr:uid="{91229B53-2A71-42FF-9D7A-31B5323E6F90}"/>
    <cellStyle name="40% - Accent4 6 3 5" xfId="13839" xr:uid="{DBABE0BC-4B6F-46F8-8B5C-277F60635FCB}"/>
    <cellStyle name="40% - Accent4 6 4" xfId="26485" xr:uid="{7F3AC63A-1C6B-44D3-822E-B074FA73B179}"/>
    <cellStyle name="40% - Accent4 6 5" xfId="18056" xr:uid="{44CDFB05-15DF-473A-B41A-E25D3D3DB10A}"/>
    <cellStyle name="40% - Accent4 6 6" xfId="34914" xr:uid="{581C9EAF-4A07-4E4B-9E87-697C2279555D}"/>
    <cellStyle name="40% - Accent4 6 7" xfId="9621" xr:uid="{6D099190-DA3C-424C-A435-C1EA354EDC35}"/>
    <cellStyle name="40% - Accent4 7" xfId="1509" xr:uid="{00000000-0005-0000-0000-000036060000}"/>
    <cellStyle name="40% - Accent4 7 2" xfId="3739" xr:uid="{00000000-0005-0000-0000-000037060000}"/>
    <cellStyle name="40% - Accent4 7 2 2" xfId="7962" xr:uid="{00000000-0005-0000-0000-000038060000}"/>
    <cellStyle name="40% - Accent4 7 2 2 2" xfId="33261" xr:uid="{40DB9D15-6EC0-46E8-8BF9-C6C76FE67383}"/>
    <cellStyle name="40% - Accent4 7 2 2 3" xfId="24832" xr:uid="{F116DBB2-CAC8-4983-B763-AC9CF2A01B1D}"/>
    <cellStyle name="40% - Accent4 7 2 2 4" xfId="41689" xr:uid="{51D075D0-B03A-418B-9164-BBB1858A2485}"/>
    <cellStyle name="40% - Accent4 7 2 2 5" xfId="16397" xr:uid="{308C1F15-D766-4A72-A757-096843A7C306}"/>
    <cellStyle name="40% - Accent4 7 2 3" xfId="29043" xr:uid="{8B78AE63-5447-4BF8-BC46-4B4334B001E8}"/>
    <cellStyle name="40% - Accent4 7 2 4" xfId="20614" xr:uid="{297B9131-2172-4847-BADF-AD41CABCD4D5}"/>
    <cellStyle name="40% - Accent4 7 2 5" xfId="37472" xr:uid="{F58BD61A-25EE-420B-A39F-2A926856C7F7}"/>
    <cellStyle name="40% - Accent4 7 2 6" xfId="12179" xr:uid="{567CB521-F6D2-45B5-9C98-87795864428E}"/>
    <cellStyle name="40% - Accent4 7 3" xfId="5817" xr:uid="{00000000-0005-0000-0000-000039060000}"/>
    <cellStyle name="40% - Accent4 7 3 2" xfId="31116" xr:uid="{82E574AA-D7C1-4B35-B819-6D75C583955E}"/>
    <cellStyle name="40% - Accent4 7 3 3" xfId="22687" xr:uid="{83B30040-0DF4-40C3-BFC3-8831503114BE}"/>
    <cellStyle name="40% - Accent4 7 3 4" xfId="39544" xr:uid="{20A60DED-F871-42BD-B6D5-1FB2E0EE4684}"/>
    <cellStyle name="40% - Accent4 7 3 5" xfId="14252" xr:uid="{8583387B-4E8F-44C6-B695-183CE2561906}"/>
    <cellStyle name="40% - Accent4 7 4" xfId="26898" xr:uid="{67CCD9C1-1B3C-478C-A825-9CA82F67603F}"/>
    <cellStyle name="40% - Accent4 7 5" xfId="18469" xr:uid="{9907BF24-4FAF-44F3-A121-AA9688BC7245}"/>
    <cellStyle name="40% - Accent4 7 6" xfId="35327" xr:uid="{30CACEA6-ACC8-452E-99E7-D3E2A18C75FF}"/>
    <cellStyle name="40% - Accent4 7 7" xfId="10034" xr:uid="{D5021E6E-4310-4571-B327-614353519BC7}"/>
    <cellStyle name="40% - Accent4 8" xfId="1923" xr:uid="{00000000-0005-0000-0000-00003A060000}"/>
    <cellStyle name="40% - Accent4 8 2" xfId="4152" xr:uid="{00000000-0005-0000-0000-00003B060000}"/>
    <cellStyle name="40% - Accent4 8 2 2" xfId="8375" xr:uid="{00000000-0005-0000-0000-00003C060000}"/>
    <cellStyle name="40% - Accent4 8 2 2 2" xfId="33674" xr:uid="{0A4DC7AA-EA29-49ED-B833-5DCE34786652}"/>
    <cellStyle name="40% - Accent4 8 2 2 3" xfId="25245" xr:uid="{07D3A250-FB40-420F-8E43-A50E39B3EB41}"/>
    <cellStyle name="40% - Accent4 8 2 2 4" xfId="42102" xr:uid="{4EA0A6C5-C269-4FA3-A619-9878A72369D0}"/>
    <cellStyle name="40% - Accent4 8 2 2 5" xfId="16810" xr:uid="{96EC16B6-F5F8-4782-9FD2-D34C1FF396E9}"/>
    <cellStyle name="40% - Accent4 8 2 3" xfId="29456" xr:uid="{4271A682-EB96-45BF-97E9-622AFCD90DF3}"/>
    <cellStyle name="40% - Accent4 8 2 4" xfId="21027" xr:uid="{918E63EF-2616-40A7-BA35-D4A6B9CCA60D}"/>
    <cellStyle name="40% - Accent4 8 2 5" xfId="37885" xr:uid="{3151FCC9-EC1E-4C3C-A0C7-343EB95E45FE}"/>
    <cellStyle name="40% - Accent4 8 2 6" xfId="12592" xr:uid="{45A13729-0323-42EA-B86B-BC7F782DEBC6}"/>
    <cellStyle name="40% - Accent4 8 3" xfId="6230" xr:uid="{00000000-0005-0000-0000-00003D060000}"/>
    <cellStyle name="40% - Accent4 8 3 2" xfId="31529" xr:uid="{23F2B879-98A3-4706-8210-786D2A8ED91A}"/>
    <cellStyle name="40% - Accent4 8 3 3" xfId="23100" xr:uid="{B06DFA7C-AD14-4DF6-92BF-F2CE1692CDCB}"/>
    <cellStyle name="40% - Accent4 8 3 4" xfId="39957" xr:uid="{EB7CADE1-88B9-4635-83FA-8D2452D6124C}"/>
    <cellStyle name="40% - Accent4 8 3 5" xfId="14665" xr:uid="{B5369DBD-876F-45A0-9703-AE10C0AB1F66}"/>
    <cellStyle name="40% - Accent4 8 4" xfId="27311" xr:uid="{E372D37F-D6CB-4C9F-8159-950EB68FAF02}"/>
    <cellStyle name="40% - Accent4 8 5" xfId="18882" xr:uid="{D03F602E-9765-45F4-82F5-6CF08737F3FA}"/>
    <cellStyle name="40% - Accent4 8 6" xfId="35740" xr:uid="{02D4ED34-04B1-4105-AFAC-2FAAB3BF4562}"/>
    <cellStyle name="40% - Accent4 8 7" xfId="10447" xr:uid="{CA6C63E6-CF42-4D12-BE20-CEC6D8C09496}"/>
    <cellStyle name="40% - Accent4 9" xfId="2336" xr:uid="{00000000-0005-0000-0000-00003E060000}"/>
    <cellStyle name="40% - Accent4 9 2" xfId="6643" xr:uid="{00000000-0005-0000-0000-00003F060000}"/>
    <cellStyle name="40% - Accent4 9 2 2" xfId="31942" xr:uid="{EC78835C-C8B2-49A4-9FB3-F0319636BEA4}"/>
    <cellStyle name="40% - Accent4 9 2 3" xfId="23513" xr:uid="{965967E0-1E48-412D-9B0D-8EDABB3AF74A}"/>
    <cellStyle name="40% - Accent4 9 2 4" xfId="40370" xr:uid="{A08799A4-C3F3-4F98-9083-3444B77649FD}"/>
    <cellStyle name="40% - Accent4 9 2 5" xfId="15078" xr:uid="{29FAB676-82A2-4389-9F17-67262FC8F143}"/>
    <cellStyle name="40% - Accent4 9 3" xfId="27724" xr:uid="{9B8E4C15-50A3-42F5-9ABF-DAB0FFAD3786}"/>
    <cellStyle name="40% - Accent4 9 4" xfId="19295" xr:uid="{87C964C6-5C48-4958-8DCF-8631F83E5BBE}"/>
    <cellStyle name="40% - Accent4 9 5" xfId="36153" xr:uid="{54C988D0-586C-45FA-99FD-85CD48662D5C}"/>
    <cellStyle name="40% - Accent4 9 6" xfId="10860" xr:uid="{869F59D6-7CD1-4AB2-A20A-36E95A356C34}"/>
    <cellStyle name="40% - Accent5" xfId="81" builtinId="47" customBuiltin="1"/>
    <cellStyle name="40% - Accent5 10" xfId="4585" xr:uid="{00000000-0005-0000-0000-000041060000}"/>
    <cellStyle name="40% - Accent5 10 2" xfId="29884" xr:uid="{0286FD7B-C8B9-4975-A7EF-B6D8387FE105}"/>
    <cellStyle name="40% - Accent5 10 3" xfId="21455" xr:uid="{132B7E57-DAD5-4F6F-9F49-A0D5C7D539EB}"/>
    <cellStyle name="40% - Accent5 10 4" xfId="38312" xr:uid="{90A19C92-5E3A-424D-8CC0-6ED6AE3D4CA1}"/>
    <cellStyle name="40% - Accent5 10 5" xfId="13020" xr:uid="{08F43848-9427-4A49-AF4B-654C9CFCA9A1}"/>
    <cellStyle name="40% - Accent5 11" xfId="25666" xr:uid="{4D1F1C6A-EA94-4A08-9248-C6D339AD9636}"/>
    <cellStyle name="40% - Accent5 12" xfId="17237" xr:uid="{81C9C0A6-574B-4B77-8584-A6566BB97569}"/>
    <cellStyle name="40% - Accent5 13" xfId="34095" xr:uid="{261F778F-3AF2-4AAC-BD64-B64FC30C51DB}"/>
    <cellStyle name="40% - Accent5 14" xfId="8802" xr:uid="{1BB8EA9F-DAF5-4369-B3D9-04798CED66AA}"/>
    <cellStyle name="40% - Accent5 2" xfId="82" xr:uid="{00000000-0005-0000-0000-000042060000}"/>
    <cellStyle name="40% - Accent5 2 10" xfId="25667" xr:uid="{8025C2BD-7B44-4D5B-AFD2-CB78F37AE26B}"/>
    <cellStyle name="40% - Accent5 2 11" xfId="17238" xr:uid="{B6386314-4A90-49CB-92B7-B05E41F24C21}"/>
    <cellStyle name="40% - Accent5 2 12" xfId="34096" xr:uid="{46A14A5C-FA9E-44EB-A7AD-000D25DD76CE}"/>
    <cellStyle name="40% - Accent5 2 13" xfId="8803" xr:uid="{1E68E464-010D-4664-A1F2-60B87862A113}"/>
    <cellStyle name="40% - Accent5 2 2" xfId="83" xr:uid="{00000000-0005-0000-0000-000043060000}"/>
    <cellStyle name="40% - Accent5 2 2 10" xfId="17239" xr:uid="{C57E68CE-C56E-4B1D-908D-68EA2C582504}"/>
    <cellStyle name="40% - Accent5 2 2 11" xfId="34097" xr:uid="{CDDFDBF4-22A9-45AA-9C6B-1DD6BB3A3658}"/>
    <cellStyle name="40% - Accent5 2 2 12" xfId="8804" xr:uid="{6C373491-7D09-404B-AE72-3DCA0EE44460}"/>
    <cellStyle name="40% - Accent5 2 2 2" xfId="84" xr:uid="{00000000-0005-0000-0000-000044060000}"/>
    <cellStyle name="40% - Accent5 2 2 2 10" xfId="34098" xr:uid="{A9315C9B-4EB0-447F-A914-7464547C4CDA}"/>
    <cellStyle name="40% - Accent5 2 2 2 11" xfId="8805" xr:uid="{A8E30C0D-3305-4A19-A038-ADA73BC1F2EF}"/>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32446" xr:uid="{6C065178-9B3A-4099-A418-281C6DE28E68}"/>
    <cellStyle name="40% - Accent5 2 2 2 2 2 2 3" xfId="24017" xr:uid="{8542FF13-A897-4475-AD62-386D1F683FBF}"/>
    <cellStyle name="40% - Accent5 2 2 2 2 2 2 4" xfId="40874" xr:uid="{566D7E7D-CC0B-44B1-9E8A-D43D0697B9E8}"/>
    <cellStyle name="40% - Accent5 2 2 2 2 2 2 5" xfId="15582" xr:uid="{1D01EA77-A234-4D70-B2AB-937904A8E1EA}"/>
    <cellStyle name="40% - Accent5 2 2 2 2 2 3" xfId="28228" xr:uid="{4C574AE6-82D1-4642-B3A8-0D54192F06AD}"/>
    <cellStyle name="40% - Accent5 2 2 2 2 2 4" xfId="19799" xr:uid="{140EF31F-1BBC-4402-84E3-42D9BF3237B0}"/>
    <cellStyle name="40% - Accent5 2 2 2 2 2 5" xfId="36657" xr:uid="{C1F56772-0BF9-42E7-AD26-090DC06E0497}"/>
    <cellStyle name="40% - Accent5 2 2 2 2 2 6" xfId="11364" xr:uid="{497ABEA0-0DCE-4035-862E-6580CA99A8BA}"/>
    <cellStyle name="40% - Accent5 2 2 2 2 3" xfId="5002" xr:uid="{00000000-0005-0000-0000-000048060000}"/>
    <cellStyle name="40% - Accent5 2 2 2 2 3 2" xfId="30301" xr:uid="{C8F16B94-E2FF-4928-A519-9E33C85B782E}"/>
    <cellStyle name="40% - Accent5 2 2 2 2 3 3" xfId="21872" xr:uid="{336C4668-2662-4F00-88E4-6CC5D8CBA01C}"/>
    <cellStyle name="40% - Accent5 2 2 2 2 3 4" xfId="38729" xr:uid="{9A4293EF-54E4-4A2F-A974-8218097EAFD1}"/>
    <cellStyle name="40% - Accent5 2 2 2 2 3 5" xfId="13437" xr:uid="{79FF9CA7-08AA-40A6-8825-E4368CBDB708}"/>
    <cellStyle name="40% - Accent5 2 2 2 2 4" xfId="26083" xr:uid="{92D2F469-F715-496D-90A2-F0C6D7F11BA2}"/>
    <cellStyle name="40% - Accent5 2 2 2 2 5" xfId="17654" xr:uid="{9E7F39E7-7FE1-442A-9A98-611FE2E16EC3}"/>
    <cellStyle name="40% - Accent5 2 2 2 2 6" xfId="34512" xr:uid="{F57C8AB0-CB06-4C77-83AA-8CFDBE03EEC3}"/>
    <cellStyle name="40% - Accent5 2 2 2 2 7" xfId="9219" xr:uid="{BD2B36EF-2429-4960-9025-181F868BDC79}"/>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32859" xr:uid="{5EBBD649-7953-4DF0-84BB-A84AACD6C49B}"/>
    <cellStyle name="40% - Accent5 2 2 2 3 2 2 3" xfId="24430" xr:uid="{FFAD866A-7CA3-432B-8306-E47E2134B15F}"/>
    <cellStyle name="40% - Accent5 2 2 2 3 2 2 4" xfId="41287" xr:uid="{D7C7456B-6E2C-47CE-8738-B029A9E44025}"/>
    <cellStyle name="40% - Accent5 2 2 2 3 2 2 5" xfId="15995" xr:uid="{1666B274-1CEC-4845-BD7B-76658463E5D2}"/>
    <cellStyle name="40% - Accent5 2 2 2 3 2 3" xfId="28641" xr:uid="{61362A53-D972-48F3-84C6-215119F90B56}"/>
    <cellStyle name="40% - Accent5 2 2 2 3 2 4" xfId="20212" xr:uid="{50D29BA4-D638-4F60-8A70-0D4FF464B8E4}"/>
    <cellStyle name="40% - Accent5 2 2 2 3 2 5" xfId="37070" xr:uid="{0C4771C5-7A6E-47C0-8B7F-6991FB0BD6E3}"/>
    <cellStyle name="40% - Accent5 2 2 2 3 2 6" xfId="11777" xr:uid="{DEFE14E7-01FD-4529-BA3D-B01CCFEAC873}"/>
    <cellStyle name="40% - Accent5 2 2 2 3 3" xfId="5415" xr:uid="{00000000-0005-0000-0000-00004C060000}"/>
    <cellStyle name="40% - Accent5 2 2 2 3 3 2" xfId="30714" xr:uid="{DAB76732-CC68-48B5-93FF-88C9490293BB}"/>
    <cellStyle name="40% - Accent5 2 2 2 3 3 3" xfId="22285" xr:uid="{04CF7E90-B99C-468A-8DFC-4EF1AFD52BC3}"/>
    <cellStyle name="40% - Accent5 2 2 2 3 3 4" xfId="39142" xr:uid="{F23103AB-4DF5-4DC9-926A-BD56607A506F}"/>
    <cellStyle name="40% - Accent5 2 2 2 3 3 5" xfId="13850" xr:uid="{7484FF13-A727-4C12-8EFE-3ACC22F1772F}"/>
    <cellStyle name="40% - Accent5 2 2 2 3 4" xfId="26496" xr:uid="{8C59C387-0013-4BB4-A2C0-ECD8CDB281AF}"/>
    <cellStyle name="40% - Accent5 2 2 2 3 5" xfId="18067" xr:uid="{7E0364E2-5491-496E-AB8F-69ADFA8FCFC9}"/>
    <cellStyle name="40% - Accent5 2 2 2 3 6" xfId="34925" xr:uid="{7BC4D8C3-95CD-4B96-A590-174D4EB1E7CE}"/>
    <cellStyle name="40% - Accent5 2 2 2 3 7" xfId="9632" xr:uid="{22831087-CB6A-47B8-938F-24CB4D6486E6}"/>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33272" xr:uid="{AC56D0AF-8F53-4D76-84FA-6E84DF847456}"/>
    <cellStyle name="40% - Accent5 2 2 2 4 2 2 3" xfId="24843" xr:uid="{58D1C27B-7CD9-4FD0-9D11-06B6EB0316DA}"/>
    <cellStyle name="40% - Accent5 2 2 2 4 2 2 4" xfId="41700" xr:uid="{67F40249-16B6-4563-ABB4-46D3622EA1A2}"/>
    <cellStyle name="40% - Accent5 2 2 2 4 2 2 5" xfId="16408" xr:uid="{3FAAC1B4-8FA5-46AD-BC01-175BB3B794CE}"/>
    <cellStyle name="40% - Accent5 2 2 2 4 2 3" xfId="29054" xr:uid="{1994D739-0CD9-4310-9389-C76AB41649CB}"/>
    <cellStyle name="40% - Accent5 2 2 2 4 2 4" xfId="20625" xr:uid="{50B28AE7-DF71-4A1C-8ACF-D7E953C9C6E4}"/>
    <cellStyle name="40% - Accent5 2 2 2 4 2 5" xfId="37483" xr:uid="{5A4FD2C0-4920-4383-B4E6-261B27D9F68A}"/>
    <cellStyle name="40% - Accent5 2 2 2 4 2 6" xfId="12190" xr:uid="{EF1629C2-F1C5-4989-B75A-5D1E1F162ACE}"/>
    <cellStyle name="40% - Accent5 2 2 2 4 3" xfId="5828" xr:uid="{00000000-0005-0000-0000-000050060000}"/>
    <cellStyle name="40% - Accent5 2 2 2 4 3 2" xfId="31127" xr:uid="{2C691FB3-7399-482C-A612-74EA43B12142}"/>
    <cellStyle name="40% - Accent5 2 2 2 4 3 3" xfId="22698" xr:uid="{33D25957-88B4-408B-A48C-1A4716935CBC}"/>
    <cellStyle name="40% - Accent5 2 2 2 4 3 4" xfId="39555" xr:uid="{0428E7E0-87FF-4D26-881C-E488F27F7E7E}"/>
    <cellStyle name="40% - Accent5 2 2 2 4 3 5" xfId="14263" xr:uid="{03D0A7F3-E105-4778-941C-627302281746}"/>
    <cellStyle name="40% - Accent5 2 2 2 4 4" xfId="26909" xr:uid="{298B043A-95E5-4EBA-967B-4171CF7C92C2}"/>
    <cellStyle name="40% - Accent5 2 2 2 4 5" xfId="18480" xr:uid="{37A8A127-7176-40B1-B27E-C2CF20E0806B}"/>
    <cellStyle name="40% - Accent5 2 2 2 4 6" xfId="35338" xr:uid="{59B73FEF-B9B6-46E6-B4BF-F521227FBA37}"/>
    <cellStyle name="40% - Accent5 2 2 2 4 7" xfId="10045" xr:uid="{AF2BDB97-FD67-4817-948A-5D32FD2C6F78}"/>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33685" xr:uid="{8CFC2455-7C21-44DE-8017-037352E9002E}"/>
    <cellStyle name="40% - Accent5 2 2 2 5 2 2 3" xfId="25256" xr:uid="{1288718B-2D3D-48B9-BC2A-C78192C648DF}"/>
    <cellStyle name="40% - Accent5 2 2 2 5 2 2 4" xfId="42113" xr:uid="{196C4043-DCA0-4307-A24B-0C6BFCF27938}"/>
    <cellStyle name="40% - Accent5 2 2 2 5 2 2 5" xfId="16821" xr:uid="{F04725D5-6C35-4C12-9170-E2A290DA7BFD}"/>
    <cellStyle name="40% - Accent5 2 2 2 5 2 3" xfId="29467" xr:uid="{7105D219-D9CA-4DE0-A8C9-CFA601C79591}"/>
    <cellStyle name="40% - Accent5 2 2 2 5 2 4" xfId="21038" xr:uid="{20B17DC4-F2C1-4B0B-8828-CE1D3588752D}"/>
    <cellStyle name="40% - Accent5 2 2 2 5 2 5" xfId="37896" xr:uid="{DA0AF70E-3406-4A98-81E8-3E4C3A1547D4}"/>
    <cellStyle name="40% - Accent5 2 2 2 5 2 6" xfId="12603" xr:uid="{50C8F839-E9E8-4B2D-AF68-F2ABA8C27058}"/>
    <cellStyle name="40% - Accent5 2 2 2 5 3" xfId="6241" xr:uid="{00000000-0005-0000-0000-000054060000}"/>
    <cellStyle name="40% - Accent5 2 2 2 5 3 2" xfId="31540" xr:uid="{6F670312-3052-4E35-B571-B274B3BDB0CA}"/>
    <cellStyle name="40% - Accent5 2 2 2 5 3 3" xfId="23111" xr:uid="{847F7435-1707-49BF-9E65-CA17D301F3E5}"/>
    <cellStyle name="40% - Accent5 2 2 2 5 3 4" xfId="39968" xr:uid="{6D0F4F96-166B-4566-AFED-FD837821A5CB}"/>
    <cellStyle name="40% - Accent5 2 2 2 5 3 5" xfId="14676" xr:uid="{4AAC77B4-B219-4740-A14D-B6D8A327D5DA}"/>
    <cellStyle name="40% - Accent5 2 2 2 5 4" xfId="27322" xr:uid="{9579AA5E-3E83-49FC-B919-94381242ADBF}"/>
    <cellStyle name="40% - Accent5 2 2 2 5 5" xfId="18893" xr:uid="{1FD16F72-6604-44A5-B7A0-CF9ADE7D8A04}"/>
    <cellStyle name="40% - Accent5 2 2 2 5 6" xfId="35751" xr:uid="{BBD23A73-384C-492F-8A27-2AA06929FD6A}"/>
    <cellStyle name="40% - Accent5 2 2 2 5 7" xfId="10458" xr:uid="{7BCF788B-969B-449B-B5C1-1141F3F6DCA4}"/>
    <cellStyle name="40% - Accent5 2 2 2 6" xfId="2347" xr:uid="{00000000-0005-0000-0000-000055060000}"/>
    <cellStyle name="40% - Accent5 2 2 2 6 2" xfId="6654" xr:uid="{00000000-0005-0000-0000-000056060000}"/>
    <cellStyle name="40% - Accent5 2 2 2 6 2 2" xfId="31953" xr:uid="{161CB26B-26A8-4843-8A38-A6A3E6ECD5EB}"/>
    <cellStyle name="40% - Accent5 2 2 2 6 2 3" xfId="23524" xr:uid="{5EA516FE-7E0B-44E0-9BAF-B37B704CC76B}"/>
    <cellStyle name="40% - Accent5 2 2 2 6 2 4" xfId="40381" xr:uid="{99E1D20A-72E8-46ED-840F-9505A83F344E}"/>
    <cellStyle name="40% - Accent5 2 2 2 6 2 5" xfId="15089" xr:uid="{65F6D36C-5EBF-4AC8-BD79-30D3B8BFD9D9}"/>
    <cellStyle name="40% - Accent5 2 2 2 6 3" xfId="27735" xr:uid="{F36E6260-080F-47EB-B844-C16E446D4AED}"/>
    <cellStyle name="40% - Accent5 2 2 2 6 4" xfId="19306" xr:uid="{703007C0-5B29-4F42-BC94-DD951C4708FB}"/>
    <cellStyle name="40% - Accent5 2 2 2 6 5" xfId="36164" xr:uid="{CC690DEF-F831-4512-89D7-0B5207513D3B}"/>
    <cellStyle name="40% - Accent5 2 2 2 6 6" xfId="10871" xr:uid="{A12A2978-1536-4F39-A711-8DE7C2B4BB0C}"/>
    <cellStyle name="40% - Accent5 2 2 2 7" xfId="4588" xr:uid="{00000000-0005-0000-0000-000057060000}"/>
    <cellStyle name="40% - Accent5 2 2 2 7 2" xfId="29887" xr:uid="{04F89FEC-7A67-41B0-AE41-6B95F9512D5B}"/>
    <cellStyle name="40% - Accent5 2 2 2 7 3" xfId="21458" xr:uid="{C3DFDAB5-3A6B-4C93-9783-1C7E4B9FABEA}"/>
    <cellStyle name="40% - Accent5 2 2 2 7 4" xfId="38315" xr:uid="{FC53FE60-0887-44E6-9084-5A3D91A491B3}"/>
    <cellStyle name="40% - Accent5 2 2 2 7 5" xfId="13023" xr:uid="{6A89A8C4-4849-4965-BBC9-01AA4D1AC8B9}"/>
    <cellStyle name="40% - Accent5 2 2 2 8" xfId="25669" xr:uid="{E0DA6D73-5933-4229-9F3C-D87CCBB7B240}"/>
    <cellStyle name="40% - Accent5 2 2 2 9" xfId="17240" xr:uid="{88D14DD5-8C4E-43F1-8F88-9CCB5A138223}"/>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32445" xr:uid="{D20F493B-D062-49B0-A3F9-75266323ABD0}"/>
    <cellStyle name="40% - Accent5 2 2 3 2 2 3" xfId="24016" xr:uid="{969A5B58-2154-45D8-9AC5-06A7E9790C96}"/>
    <cellStyle name="40% - Accent5 2 2 3 2 2 4" xfId="40873" xr:uid="{806CC1A8-FD46-406E-B2C9-8701F30DFAB2}"/>
    <cellStyle name="40% - Accent5 2 2 3 2 2 5" xfId="15581" xr:uid="{FD9C5FE4-066E-49CC-A9F0-B15B99E9E465}"/>
    <cellStyle name="40% - Accent5 2 2 3 2 3" xfId="28227" xr:uid="{552DACB0-AB22-4964-A350-A6B499AC9D80}"/>
    <cellStyle name="40% - Accent5 2 2 3 2 4" xfId="19798" xr:uid="{E769841B-FF2D-4FBA-8148-712EC806E1AE}"/>
    <cellStyle name="40% - Accent5 2 2 3 2 5" xfId="36656" xr:uid="{419F017E-0E3E-4A94-88B2-9E6460203079}"/>
    <cellStyle name="40% - Accent5 2 2 3 2 6" xfId="11363" xr:uid="{C88AEC27-310E-466A-A3ED-C78B70FF8B9C}"/>
    <cellStyle name="40% - Accent5 2 2 3 3" xfId="5001" xr:uid="{00000000-0005-0000-0000-00005B060000}"/>
    <cellStyle name="40% - Accent5 2 2 3 3 2" xfId="30300" xr:uid="{3AFA5279-1E24-4EEE-AE8B-9C0C5ABBAA8B}"/>
    <cellStyle name="40% - Accent5 2 2 3 3 3" xfId="21871" xr:uid="{8FA90C5A-D614-403B-88C4-47BEBF6428B3}"/>
    <cellStyle name="40% - Accent5 2 2 3 3 4" xfId="38728" xr:uid="{D74DE0B3-2342-4E7E-8FB6-AF859AEC3E6E}"/>
    <cellStyle name="40% - Accent5 2 2 3 3 5" xfId="13436" xr:uid="{16229256-295B-401D-9049-B3F3420898EC}"/>
    <cellStyle name="40% - Accent5 2 2 3 4" xfId="26082" xr:uid="{F8FD822F-4E89-47C6-A189-BD8E504FC451}"/>
    <cellStyle name="40% - Accent5 2 2 3 5" xfId="17653" xr:uid="{E1F9DBCF-4D8B-42C7-9AD9-D2DA3AC439C9}"/>
    <cellStyle name="40% - Accent5 2 2 3 6" xfId="34511" xr:uid="{8BE80652-6070-4482-8082-96577F487EFE}"/>
    <cellStyle name="40% - Accent5 2 2 3 7" xfId="9218" xr:uid="{75D63E06-D315-4D67-B94F-9E3A78629D9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32858" xr:uid="{6AD76A3B-7C6E-4BA8-9A1B-DB87E69E31DD}"/>
    <cellStyle name="40% - Accent5 2 2 4 2 2 3" xfId="24429" xr:uid="{6DA305DC-575D-4FAB-A0FA-DF897EB4A8A7}"/>
    <cellStyle name="40% - Accent5 2 2 4 2 2 4" xfId="41286" xr:uid="{46AE8C26-74D9-4D45-8924-02C48F186A8C}"/>
    <cellStyle name="40% - Accent5 2 2 4 2 2 5" xfId="15994" xr:uid="{8F458D93-68F4-4209-AD2A-E4E1679F49BB}"/>
    <cellStyle name="40% - Accent5 2 2 4 2 3" xfId="28640" xr:uid="{60DF7A6E-83F0-40B2-B038-1984763B3755}"/>
    <cellStyle name="40% - Accent5 2 2 4 2 4" xfId="20211" xr:uid="{9741712F-B686-4271-A781-F292E65DE8E1}"/>
    <cellStyle name="40% - Accent5 2 2 4 2 5" xfId="37069" xr:uid="{CB9348BB-ACA1-4644-ACAE-462AE95FFE45}"/>
    <cellStyle name="40% - Accent5 2 2 4 2 6" xfId="11776" xr:uid="{5B2007CB-4F97-4171-BE58-8765A5438FB4}"/>
    <cellStyle name="40% - Accent5 2 2 4 3" xfId="5414" xr:uid="{00000000-0005-0000-0000-00005F060000}"/>
    <cellStyle name="40% - Accent5 2 2 4 3 2" xfId="30713" xr:uid="{41CD91AD-CA34-41A2-B209-5B857105DCD5}"/>
    <cellStyle name="40% - Accent5 2 2 4 3 3" xfId="22284" xr:uid="{805C732B-F9A2-484B-AFEA-16D0732A9FC7}"/>
    <cellStyle name="40% - Accent5 2 2 4 3 4" xfId="39141" xr:uid="{85631C40-C12B-4865-AB37-D6EC16FBBE64}"/>
    <cellStyle name="40% - Accent5 2 2 4 3 5" xfId="13849" xr:uid="{64EB4E8B-F8CE-40DB-895A-2C5F580CF31A}"/>
    <cellStyle name="40% - Accent5 2 2 4 4" xfId="26495" xr:uid="{1DD05DA5-D784-41E8-ACBB-2183ACD24C12}"/>
    <cellStyle name="40% - Accent5 2 2 4 5" xfId="18066" xr:uid="{22E28C91-82D2-48F6-861D-3E98F1E94F60}"/>
    <cellStyle name="40% - Accent5 2 2 4 6" xfId="34924" xr:uid="{113A20C4-CA84-49B9-A6BF-54E1125A9962}"/>
    <cellStyle name="40% - Accent5 2 2 4 7" xfId="9631" xr:uid="{A53443FF-85E4-4519-B3C9-82779AA8C94B}"/>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33271" xr:uid="{25FA4CD9-11D4-409D-95A5-6DCFB2C9269C}"/>
    <cellStyle name="40% - Accent5 2 2 5 2 2 3" xfId="24842" xr:uid="{56276263-30F1-4B78-93F8-FCC7EACC4A89}"/>
    <cellStyle name="40% - Accent5 2 2 5 2 2 4" xfId="41699" xr:uid="{B7244E40-29EC-4921-871E-40653D020D98}"/>
    <cellStyle name="40% - Accent5 2 2 5 2 2 5" xfId="16407" xr:uid="{79FAAADA-0BBB-47F3-A294-C59115F7A496}"/>
    <cellStyle name="40% - Accent5 2 2 5 2 3" xfId="29053" xr:uid="{16C6FD7B-BA48-414B-BD95-5F202C58E569}"/>
    <cellStyle name="40% - Accent5 2 2 5 2 4" xfId="20624" xr:uid="{F1CB27D0-66FC-47C6-9907-E31F0F482810}"/>
    <cellStyle name="40% - Accent5 2 2 5 2 5" xfId="37482" xr:uid="{13989AA1-0DD9-430C-A042-76834C320681}"/>
    <cellStyle name="40% - Accent5 2 2 5 2 6" xfId="12189" xr:uid="{8F5D4B90-2561-43CE-B6CA-F5E1E7EFB2E2}"/>
    <cellStyle name="40% - Accent5 2 2 5 3" xfId="5827" xr:uid="{00000000-0005-0000-0000-000063060000}"/>
    <cellStyle name="40% - Accent5 2 2 5 3 2" xfId="31126" xr:uid="{73BB4F7D-B18B-4F9B-B11B-325E67DF63E0}"/>
    <cellStyle name="40% - Accent5 2 2 5 3 3" xfId="22697" xr:uid="{249DC9E8-4442-49D6-BAFF-8177884D1293}"/>
    <cellStyle name="40% - Accent5 2 2 5 3 4" xfId="39554" xr:uid="{7EB66449-D8D6-4E7F-B3C1-A74B3EBCB411}"/>
    <cellStyle name="40% - Accent5 2 2 5 3 5" xfId="14262" xr:uid="{D916530A-83E2-458D-98C7-BECFB11C8CF6}"/>
    <cellStyle name="40% - Accent5 2 2 5 4" xfId="26908" xr:uid="{DDDCD92D-FCC1-43C5-BB12-367D22DB98D2}"/>
    <cellStyle name="40% - Accent5 2 2 5 5" xfId="18479" xr:uid="{FA97071D-47D0-48D7-8B3B-B2C70AC620E9}"/>
    <cellStyle name="40% - Accent5 2 2 5 6" xfId="35337" xr:uid="{9B914070-62D1-40F9-80FF-87ECF5118D04}"/>
    <cellStyle name="40% - Accent5 2 2 5 7" xfId="10044" xr:uid="{CDFACB49-58FB-487C-BC36-FF29C942F83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33684" xr:uid="{FA480CCC-0D92-467A-A10E-CFC2E912FCB4}"/>
    <cellStyle name="40% - Accent5 2 2 6 2 2 3" xfId="25255" xr:uid="{5B9601BE-C1CA-4470-BE1B-5AD4618183CC}"/>
    <cellStyle name="40% - Accent5 2 2 6 2 2 4" xfId="42112" xr:uid="{F35C6DED-F8C5-49E7-BF3C-1527F1239AFD}"/>
    <cellStyle name="40% - Accent5 2 2 6 2 2 5" xfId="16820" xr:uid="{16B4AD47-FB3B-4430-8F0C-67434E2F32C8}"/>
    <cellStyle name="40% - Accent5 2 2 6 2 3" xfId="29466" xr:uid="{253A90CC-E35C-4ECE-8151-349017D025AE}"/>
    <cellStyle name="40% - Accent5 2 2 6 2 4" xfId="21037" xr:uid="{60D8135B-2864-4D30-B9C7-28213124A671}"/>
    <cellStyle name="40% - Accent5 2 2 6 2 5" xfId="37895" xr:uid="{C7ACD9C1-6A83-4576-BCD4-A2C480DB750A}"/>
    <cellStyle name="40% - Accent5 2 2 6 2 6" xfId="12602" xr:uid="{84C3BFC9-B575-4B13-8216-9669F496265A}"/>
    <cellStyle name="40% - Accent5 2 2 6 3" xfId="6240" xr:uid="{00000000-0005-0000-0000-000067060000}"/>
    <cellStyle name="40% - Accent5 2 2 6 3 2" xfId="31539" xr:uid="{57B9E181-26CA-4E8A-9E2D-DD386A2A2605}"/>
    <cellStyle name="40% - Accent5 2 2 6 3 3" xfId="23110" xr:uid="{348F75CF-1A7E-42B4-9F28-70A98B1CD7BC}"/>
    <cellStyle name="40% - Accent5 2 2 6 3 4" xfId="39967" xr:uid="{A2EC5A16-91E0-43E9-827D-FEDED01DDDA4}"/>
    <cellStyle name="40% - Accent5 2 2 6 3 5" xfId="14675" xr:uid="{F804C90F-DFE1-4880-B699-3EE14D36C3AD}"/>
    <cellStyle name="40% - Accent5 2 2 6 4" xfId="27321" xr:uid="{972351C3-3F25-4445-AFF0-425455510642}"/>
    <cellStyle name="40% - Accent5 2 2 6 5" xfId="18892" xr:uid="{82206FCB-3C8C-487F-A329-5301434AEA63}"/>
    <cellStyle name="40% - Accent5 2 2 6 6" xfId="35750" xr:uid="{DA004066-D4E8-4FCF-A971-E82BB0A31A76}"/>
    <cellStyle name="40% - Accent5 2 2 6 7" xfId="10457" xr:uid="{5BFD8A31-C1EB-49EC-951A-2B10864FA0A3}"/>
    <cellStyle name="40% - Accent5 2 2 7" xfId="2346" xr:uid="{00000000-0005-0000-0000-000068060000}"/>
    <cellStyle name="40% - Accent5 2 2 7 2" xfId="6653" xr:uid="{00000000-0005-0000-0000-000069060000}"/>
    <cellStyle name="40% - Accent5 2 2 7 2 2" xfId="31952" xr:uid="{EE94A053-B72C-4077-9391-F95B5F0EC509}"/>
    <cellStyle name="40% - Accent5 2 2 7 2 3" xfId="23523" xr:uid="{2A54F1A3-2016-42D1-BE1E-568459A592A8}"/>
    <cellStyle name="40% - Accent5 2 2 7 2 4" xfId="40380" xr:uid="{FEF84FD2-A975-4509-A645-FB248698D28C}"/>
    <cellStyle name="40% - Accent5 2 2 7 2 5" xfId="15088" xr:uid="{53E0D9E8-AFF2-42BC-B763-F72E2D16F3AB}"/>
    <cellStyle name="40% - Accent5 2 2 7 3" xfId="27734" xr:uid="{619583F0-0D9D-47AA-8690-02220EC3FE04}"/>
    <cellStyle name="40% - Accent5 2 2 7 4" xfId="19305" xr:uid="{847D82BB-EEEB-4A00-93A2-B1B33BA37CC9}"/>
    <cellStyle name="40% - Accent5 2 2 7 5" xfId="36163" xr:uid="{5643C440-1487-4467-9086-4DCDA47E9F26}"/>
    <cellStyle name="40% - Accent5 2 2 7 6" xfId="10870" xr:uid="{DE1D4294-25E3-461A-9E6A-E4EBC2C50581}"/>
    <cellStyle name="40% - Accent5 2 2 8" xfId="4587" xr:uid="{00000000-0005-0000-0000-00006A060000}"/>
    <cellStyle name="40% - Accent5 2 2 8 2" xfId="29886" xr:uid="{119177B5-E289-43BD-8E69-BA590F8069DB}"/>
    <cellStyle name="40% - Accent5 2 2 8 3" xfId="21457" xr:uid="{7CA9175C-AD8D-4114-80C2-A044F68EB9B5}"/>
    <cellStyle name="40% - Accent5 2 2 8 4" xfId="38314" xr:uid="{1BC3B4BD-6998-48F6-A0B2-AC6E44E73082}"/>
    <cellStyle name="40% - Accent5 2 2 8 5" xfId="13022" xr:uid="{6FB9A546-A51C-4B40-B23C-A3E1835328E5}"/>
    <cellStyle name="40% - Accent5 2 2 9" xfId="25668" xr:uid="{EF2D1C5F-276F-4ECC-BCCD-F96E4AA20E3E}"/>
    <cellStyle name="40% - Accent5 2 3" xfId="85" xr:uid="{00000000-0005-0000-0000-00006B060000}"/>
    <cellStyle name="40% - Accent5 2 3 10" xfId="34099" xr:uid="{563D29B1-1246-4AF2-ABE8-304763A81B69}"/>
    <cellStyle name="40% - Accent5 2 3 11" xfId="8806" xr:uid="{99E8C07D-2029-4790-864F-778975500946}"/>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32447" xr:uid="{5672C17C-1224-43C3-8E51-1ED4BD128313}"/>
    <cellStyle name="40% - Accent5 2 3 2 2 2 3" xfId="24018" xr:uid="{94C3B40D-9851-477E-9368-A6CB4A74FB29}"/>
    <cellStyle name="40% - Accent5 2 3 2 2 2 4" xfId="40875" xr:uid="{1DDFF2A5-E922-476D-BAE7-A0D412051F8B}"/>
    <cellStyle name="40% - Accent5 2 3 2 2 2 5" xfId="15583" xr:uid="{52E52E57-A57C-4AD5-995E-A78ECFC1A728}"/>
    <cellStyle name="40% - Accent5 2 3 2 2 3" xfId="28229" xr:uid="{A258782C-9402-4C57-A394-4EF33B876B95}"/>
    <cellStyle name="40% - Accent5 2 3 2 2 4" xfId="19800" xr:uid="{258E5161-AE4F-4D07-BAF3-F11BC9744D1F}"/>
    <cellStyle name="40% - Accent5 2 3 2 2 5" xfId="36658" xr:uid="{FCEB0FC4-62D6-49FA-95E2-1E91FCF94EF1}"/>
    <cellStyle name="40% - Accent5 2 3 2 2 6" xfId="11365" xr:uid="{0072818A-006D-4BB9-AD55-560008E926CE}"/>
    <cellStyle name="40% - Accent5 2 3 2 3" xfId="5003" xr:uid="{00000000-0005-0000-0000-00006F060000}"/>
    <cellStyle name="40% - Accent5 2 3 2 3 2" xfId="30302" xr:uid="{8F31629D-D952-4FCA-8819-006A9CAB9CC5}"/>
    <cellStyle name="40% - Accent5 2 3 2 3 3" xfId="21873" xr:uid="{71AA3038-509F-4050-97C7-5FC94BAC4E51}"/>
    <cellStyle name="40% - Accent5 2 3 2 3 4" xfId="38730" xr:uid="{466D93F8-E406-418C-B0D4-7883DAB90298}"/>
    <cellStyle name="40% - Accent5 2 3 2 3 5" xfId="13438" xr:uid="{A6498FB7-E5A2-44B6-A462-FC3F4ABF1C4B}"/>
    <cellStyle name="40% - Accent5 2 3 2 4" xfId="26084" xr:uid="{A5D2AD56-3AF6-4E0F-A9CB-A73CD7551D6B}"/>
    <cellStyle name="40% - Accent5 2 3 2 5" xfId="17655" xr:uid="{6C06CEFA-EFC2-4ACF-873F-7CAD06B4910D}"/>
    <cellStyle name="40% - Accent5 2 3 2 6" xfId="34513" xr:uid="{F35D6753-CFB7-466D-AC00-E07C2C534D8F}"/>
    <cellStyle name="40% - Accent5 2 3 2 7" xfId="9220" xr:uid="{835C0000-B785-4E1E-9C09-9CB61F892BAC}"/>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32860" xr:uid="{76A32CFC-4E0E-4BE4-A52B-32E7BD7B4B9D}"/>
    <cellStyle name="40% - Accent5 2 3 3 2 2 3" xfId="24431" xr:uid="{9E6F596C-2D63-48D9-8C19-1CEAD4AAF01B}"/>
    <cellStyle name="40% - Accent5 2 3 3 2 2 4" xfId="41288" xr:uid="{C5D2D557-12E8-4AA5-B102-CFD92B20A6A0}"/>
    <cellStyle name="40% - Accent5 2 3 3 2 2 5" xfId="15996" xr:uid="{6D132C65-DE41-4497-82E0-351745225CA4}"/>
    <cellStyle name="40% - Accent5 2 3 3 2 3" xfId="28642" xr:uid="{48A21A04-E55F-4379-BA80-4CED1A299033}"/>
    <cellStyle name="40% - Accent5 2 3 3 2 4" xfId="20213" xr:uid="{CCE543FD-EF4B-4E3D-88B5-3A870FE8CBD0}"/>
    <cellStyle name="40% - Accent5 2 3 3 2 5" xfId="37071" xr:uid="{13BE01E5-4F89-4DD9-8C70-D67DA397962A}"/>
    <cellStyle name="40% - Accent5 2 3 3 2 6" xfId="11778" xr:uid="{BBF92998-AD2C-4A01-B9EF-48D81503DBDB}"/>
    <cellStyle name="40% - Accent5 2 3 3 3" xfId="5416" xr:uid="{00000000-0005-0000-0000-000073060000}"/>
    <cellStyle name="40% - Accent5 2 3 3 3 2" xfId="30715" xr:uid="{75F19F3F-DA05-4D21-BB44-98DDB4EB8A92}"/>
    <cellStyle name="40% - Accent5 2 3 3 3 3" xfId="22286" xr:uid="{677F8BB2-9511-4DEF-BAD6-C4BD60B2F835}"/>
    <cellStyle name="40% - Accent5 2 3 3 3 4" xfId="39143" xr:uid="{6CDFBD5F-C299-460F-91DB-22DF4DC1B922}"/>
    <cellStyle name="40% - Accent5 2 3 3 3 5" xfId="13851" xr:uid="{07EAEBA1-52E8-4C5B-9F9D-6EE146EA3D4C}"/>
    <cellStyle name="40% - Accent5 2 3 3 4" xfId="26497" xr:uid="{DA29C98F-D27F-4AAB-BB5E-A333B3AA0E27}"/>
    <cellStyle name="40% - Accent5 2 3 3 5" xfId="18068" xr:uid="{4AA7924E-2499-42D6-A49A-426F6DBE94D1}"/>
    <cellStyle name="40% - Accent5 2 3 3 6" xfId="34926" xr:uid="{CE0D8078-E2C7-4731-B1B2-1EBEDDDC23C3}"/>
    <cellStyle name="40% - Accent5 2 3 3 7" xfId="9633" xr:uid="{CDEF6C6C-DB1E-4FF7-8D22-50BE7DD8A7A0}"/>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33273" xr:uid="{48436D51-2A87-46E0-96EF-C719F7AF14D1}"/>
    <cellStyle name="40% - Accent5 2 3 4 2 2 3" xfId="24844" xr:uid="{4A5DCE7D-0E47-4F73-9757-B79158DD3CDD}"/>
    <cellStyle name="40% - Accent5 2 3 4 2 2 4" xfId="41701" xr:uid="{F6750C2A-285D-41E4-A503-2C9BE0D5105E}"/>
    <cellStyle name="40% - Accent5 2 3 4 2 2 5" xfId="16409" xr:uid="{4041F2EB-3781-49F3-97AE-D6C20F2041FD}"/>
    <cellStyle name="40% - Accent5 2 3 4 2 3" xfId="29055" xr:uid="{53FC4062-954B-4128-95C2-6F629129248B}"/>
    <cellStyle name="40% - Accent5 2 3 4 2 4" xfId="20626" xr:uid="{5E1BE3E8-2298-47AD-B6B6-0C8FAADB81E9}"/>
    <cellStyle name="40% - Accent5 2 3 4 2 5" xfId="37484" xr:uid="{EA031797-1DCF-4DA9-8F7F-F86AA31CDD43}"/>
    <cellStyle name="40% - Accent5 2 3 4 2 6" xfId="12191" xr:uid="{652CFAA9-F567-456F-AD4D-842D56DE5424}"/>
    <cellStyle name="40% - Accent5 2 3 4 3" xfId="5829" xr:uid="{00000000-0005-0000-0000-000077060000}"/>
    <cellStyle name="40% - Accent5 2 3 4 3 2" xfId="31128" xr:uid="{AD32183D-284A-4BEC-AFE3-F89F0626C68F}"/>
    <cellStyle name="40% - Accent5 2 3 4 3 3" xfId="22699" xr:uid="{47F22EBA-2B0E-433C-B8F0-3BF32176FA77}"/>
    <cellStyle name="40% - Accent5 2 3 4 3 4" xfId="39556" xr:uid="{2F6DF8F7-BBAB-45F1-93C9-F0AE7D7918A0}"/>
    <cellStyle name="40% - Accent5 2 3 4 3 5" xfId="14264" xr:uid="{08F26913-F164-4C44-B29F-EF0ECAB73CA7}"/>
    <cellStyle name="40% - Accent5 2 3 4 4" xfId="26910" xr:uid="{D91162D4-2030-4259-B056-3F75A8DCDBD4}"/>
    <cellStyle name="40% - Accent5 2 3 4 5" xfId="18481" xr:uid="{0BFACCE1-A263-44CA-BE02-3A4702F98092}"/>
    <cellStyle name="40% - Accent5 2 3 4 6" xfId="35339" xr:uid="{E95B2736-805F-4C57-960D-9AB434AE96B4}"/>
    <cellStyle name="40% - Accent5 2 3 4 7" xfId="10046" xr:uid="{B36601F5-FFD8-4C04-8404-6C64F33EF293}"/>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33686" xr:uid="{8AA3AC4D-8690-466B-AE3F-B5F37DCB3907}"/>
    <cellStyle name="40% - Accent5 2 3 5 2 2 3" xfId="25257" xr:uid="{1578FE7B-94CD-4C58-AC3A-6C30CC09E6ED}"/>
    <cellStyle name="40% - Accent5 2 3 5 2 2 4" xfId="42114" xr:uid="{86D73DB3-0CFC-4A9A-8E19-562E1C7A5744}"/>
    <cellStyle name="40% - Accent5 2 3 5 2 2 5" xfId="16822" xr:uid="{1BC8D12C-C1E4-460D-869C-D33739CF6719}"/>
    <cellStyle name="40% - Accent5 2 3 5 2 3" xfId="29468" xr:uid="{BCF72C46-72C0-487E-B605-92226C049548}"/>
    <cellStyle name="40% - Accent5 2 3 5 2 4" xfId="21039" xr:uid="{3AC6DEF8-38CD-4F27-8A76-7BAA96FC596D}"/>
    <cellStyle name="40% - Accent5 2 3 5 2 5" xfId="37897" xr:uid="{6C91BC08-604E-4A46-B8D5-625EDA05B7E7}"/>
    <cellStyle name="40% - Accent5 2 3 5 2 6" xfId="12604" xr:uid="{6223E4C9-242E-4E2E-959C-BF9F135A129C}"/>
    <cellStyle name="40% - Accent5 2 3 5 3" xfId="6242" xr:uid="{00000000-0005-0000-0000-00007B060000}"/>
    <cellStyle name="40% - Accent5 2 3 5 3 2" xfId="31541" xr:uid="{30DED4DB-237F-48F6-A57E-A2879F6E9487}"/>
    <cellStyle name="40% - Accent5 2 3 5 3 3" xfId="23112" xr:uid="{F4E04AF4-C5B9-4F38-AE1F-3E64850C5C13}"/>
    <cellStyle name="40% - Accent5 2 3 5 3 4" xfId="39969" xr:uid="{58CED1EB-14C2-432A-A4F4-92A9703D3525}"/>
    <cellStyle name="40% - Accent5 2 3 5 3 5" xfId="14677" xr:uid="{1C4B2CC0-9926-405A-AAB0-CBEAB57AE91C}"/>
    <cellStyle name="40% - Accent5 2 3 5 4" xfId="27323" xr:uid="{8F6A611B-28BC-41CB-B88A-D1B9E3BF911E}"/>
    <cellStyle name="40% - Accent5 2 3 5 5" xfId="18894" xr:uid="{23F167CD-AFEE-4BFA-8D4E-216F09C76243}"/>
    <cellStyle name="40% - Accent5 2 3 5 6" xfId="35752" xr:uid="{31766C27-7CFE-4AEF-9C34-A0124D30B5D3}"/>
    <cellStyle name="40% - Accent5 2 3 5 7" xfId="10459" xr:uid="{C2AAF4F5-8865-4757-BA99-67F69D059F72}"/>
    <cellStyle name="40% - Accent5 2 3 6" xfId="2348" xr:uid="{00000000-0005-0000-0000-00007C060000}"/>
    <cellStyle name="40% - Accent5 2 3 6 2" xfId="6655" xr:uid="{00000000-0005-0000-0000-00007D060000}"/>
    <cellStyle name="40% - Accent5 2 3 6 2 2" xfId="31954" xr:uid="{1D2655C3-3BC8-4717-91A6-E83D8A190ED1}"/>
    <cellStyle name="40% - Accent5 2 3 6 2 3" xfId="23525" xr:uid="{B86B0C40-E656-4979-8E3D-C91E9C8F9CB9}"/>
    <cellStyle name="40% - Accent5 2 3 6 2 4" xfId="40382" xr:uid="{B4B53D58-8EE4-4CCE-A203-09723BBE8DA0}"/>
    <cellStyle name="40% - Accent5 2 3 6 2 5" xfId="15090" xr:uid="{3A08174F-789E-4687-9A1F-695DA74EE432}"/>
    <cellStyle name="40% - Accent5 2 3 6 3" xfId="27736" xr:uid="{C20D475B-08F2-42B3-B35C-1FBEDF8A3B1D}"/>
    <cellStyle name="40% - Accent5 2 3 6 4" xfId="19307" xr:uid="{67B3E7BF-80E8-4204-9807-D558BF6B2BE7}"/>
    <cellStyle name="40% - Accent5 2 3 6 5" xfId="36165" xr:uid="{B69CA58F-0C80-4266-A27A-8A5410CCC044}"/>
    <cellStyle name="40% - Accent5 2 3 6 6" xfId="10872" xr:uid="{F32DBC7F-DE91-4C93-B70B-19A3543D096E}"/>
    <cellStyle name="40% - Accent5 2 3 7" xfId="4589" xr:uid="{00000000-0005-0000-0000-00007E060000}"/>
    <cellStyle name="40% - Accent5 2 3 7 2" xfId="29888" xr:uid="{A18BD975-4699-46BD-BDDE-9CE6BEF6A9DC}"/>
    <cellStyle name="40% - Accent5 2 3 7 3" xfId="21459" xr:uid="{73AAE89E-95B5-47DE-A24B-20B1A9AC5495}"/>
    <cellStyle name="40% - Accent5 2 3 7 4" xfId="38316" xr:uid="{2307ED6A-D74E-4552-B53C-E07768C95CE9}"/>
    <cellStyle name="40% - Accent5 2 3 7 5" xfId="13024" xr:uid="{86AEEC88-C09D-4811-B692-BEF87050C5B9}"/>
    <cellStyle name="40% - Accent5 2 3 8" xfId="25670" xr:uid="{CE203745-E3F5-4A42-B033-CFAF859C20EA}"/>
    <cellStyle name="40% - Accent5 2 3 9" xfId="17241" xr:uid="{0FD31A11-C73B-45CA-BBB2-756FD57DBAF5}"/>
    <cellStyle name="40% - Accent5 2 4" xfId="651" xr:uid="{00000000-0005-0000-0000-00007F060000}"/>
    <cellStyle name="40% - Accent5 2 4 2" xfId="2922" xr:uid="{00000000-0005-0000-0000-000080060000}"/>
    <cellStyle name="40% - Accent5 2 4 2 2" xfId="7145" xr:uid="{00000000-0005-0000-0000-000081060000}"/>
    <cellStyle name="40% - Accent5 2 4 2 2 2" xfId="32444" xr:uid="{B096BE0F-4788-4017-B609-6840E52C84B8}"/>
    <cellStyle name="40% - Accent5 2 4 2 2 3" xfId="24015" xr:uid="{A63C7588-2FD8-4880-9BC1-6DA3C4F1AAB2}"/>
    <cellStyle name="40% - Accent5 2 4 2 2 4" xfId="40872" xr:uid="{1C0A65A2-2099-42D8-B1BC-625C395E3FE1}"/>
    <cellStyle name="40% - Accent5 2 4 2 2 5" xfId="15580" xr:uid="{BEF29150-6F3F-4855-8D77-EB2E85CCB40A}"/>
    <cellStyle name="40% - Accent5 2 4 2 3" xfId="28226" xr:uid="{D82DB2D4-F36D-4D71-9374-1C1CD937682B}"/>
    <cellStyle name="40% - Accent5 2 4 2 4" xfId="19797" xr:uid="{EDA29294-E4B4-42EB-B13F-EC71AB7922D2}"/>
    <cellStyle name="40% - Accent5 2 4 2 5" xfId="36655" xr:uid="{6D5B228E-F47C-4AB9-84B8-E86166FFD904}"/>
    <cellStyle name="40% - Accent5 2 4 2 6" xfId="11362" xr:uid="{2254AAA9-56B2-495F-911A-8A632C1AA776}"/>
    <cellStyle name="40% - Accent5 2 4 3" xfId="5000" xr:uid="{00000000-0005-0000-0000-000082060000}"/>
    <cellStyle name="40% - Accent5 2 4 3 2" xfId="30299" xr:uid="{BF25F4FD-AA28-4DA8-ABDD-8BB900A99F3D}"/>
    <cellStyle name="40% - Accent5 2 4 3 3" xfId="21870" xr:uid="{FE33F6CC-73B7-4869-BCAC-BE12DBE46DE4}"/>
    <cellStyle name="40% - Accent5 2 4 3 4" xfId="38727" xr:uid="{EBCCD76F-74A7-487B-B2E5-A8BB161CD118}"/>
    <cellStyle name="40% - Accent5 2 4 3 5" xfId="13435" xr:uid="{91C27766-3AA2-4E34-8FFE-DF4E3F93DB0C}"/>
    <cellStyle name="40% - Accent5 2 4 4" xfId="26081" xr:uid="{16E77D50-F220-4C92-AFCF-B9201A77BAF4}"/>
    <cellStyle name="40% - Accent5 2 4 5" xfId="17652" xr:uid="{A4A6F0B7-FB0B-49E1-9BD4-1F3238ECC037}"/>
    <cellStyle name="40% - Accent5 2 4 6" xfId="34510" xr:uid="{6180C7B5-63CC-46A9-87FE-99880D815C81}"/>
    <cellStyle name="40% - Accent5 2 4 7" xfId="9217" xr:uid="{2E2CE7C2-A237-4810-9990-56A6FEC2CB6C}"/>
    <cellStyle name="40% - Accent5 2 5" xfId="1104" xr:uid="{00000000-0005-0000-0000-000083060000}"/>
    <cellStyle name="40% - Accent5 2 5 2" xfId="3335" xr:uid="{00000000-0005-0000-0000-000084060000}"/>
    <cellStyle name="40% - Accent5 2 5 2 2" xfId="7558" xr:uid="{00000000-0005-0000-0000-000085060000}"/>
    <cellStyle name="40% - Accent5 2 5 2 2 2" xfId="32857" xr:uid="{AFF88573-B088-426E-88A3-C2198BAC3682}"/>
    <cellStyle name="40% - Accent5 2 5 2 2 3" xfId="24428" xr:uid="{E54DB4F5-AD54-4EC4-BCCD-DFAFC916830A}"/>
    <cellStyle name="40% - Accent5 2 5 2 2 4" xfId="41285" xr:uid="{B3DF493D-1BCD-42F9-BF9A-AA53D1EF0675}"/>
    <cellStyle name="40% - Accent5 2 5 2 2 5" xfId="15993" xr:uid="{09B63BC8-7901-4CC2-BBC1-818D3264BAC7}"/>
    <cellStyle name="40% - Accent5 2 5 2 3" xfId="28639" xr:uid="{4B93A41D-CD5C-40C9-A5AE-1F1AD116AF36}"/>
    <cellStyle name="40% - Accent5 2 5 2 4" xfId="20210" xr:uid="{CBF29F95-669A-4BE3-9103-FA78537AAFE9}"/>
    <cellStyle name="40% - Accent5 2 5 2 5" xfId="37068" xr:uid="{44029CA7-C28C-4F22-8D08-2F604B6C10F3}"/>
    <cellStyle name="40% - Accent5 2 5 2 6" xfId="11775" xr:uid="{683E36E6-C1AB-4928-B903-0F741B0D3516}"/>
    <cellStyle name="40% - Accent5 2 5 3" xfId="5413" xr:uid="{00000000-0005-0000-0000-000086060000}"/>
    <cellStyle name="40% - Accent5 2 5 3 2" xfId="30712" xr:uid="{F5AD477C-CABA-4568-8FF1-2C1892D33F96}"/>
    <cellStyle name="40% - Accent5 2 5 3 3" xfId="22283" xr:uid="{3E176735-241F-49AD-A76A-EA3F1199728A}"/>
    <cellStyle name="40% - Accent5 2 5 3 4" xfId="39140" xr:uid="{EF82E5C6-FCA9-47F0-AC85-905B784978C9}"/>
    <cellStyle name="40% - Accent5 2 5 3 5" xfId="13848" xr:uid="{462C368B-0308-4AF0-B77E-15BC64809183}"/>
    <cellStyle name="40% - Accent5 2 5 4" xfId="26494" xr:uid="{57DA8FE7-FB0D-4726-AF12-E74E3ED7EEEA}"/>
    <cellStyle name="40% - Accent5 2 5 5" xfId="18065" xr:uid="{90A70402-43E8-4081-A164-E246772B0F84}"/>
    <cellStyle name="40% - Accent5 2 5 6" xfId="34923" xr:uid="{B68269AC-98E6-4AB1-AFFC-401CEF06BF78}"/>
    <cellStyle name="40% - Accent5 2 5 7" xfId="9630" xr:uid="{8651B421-17D9-4C47-BFDE-A6A8B46D9201}"/>
    <cellStyle name="40% - Accent5 2 6" xfId="1518" xr:uid="{00000000-0005-0000-0000-000087060000}"/>
    <cellStyle name="40% - Accent5 2 6 2" xfId="3748" xr:uid="{00000000-0005-0000-0000-000088060000}"/>
    <cellStyle name="40% - Accent5 2 6 2 2" xfId="7971" xr:uid="{00000000-0005-0000-0000-000089060000}"/>
    <cellStyle name="40% - Accent5 2 6 2 2 2" xfId="33270" xr:uid="{A3BAA63F-16BF-4B3B-91A8-671D94C5984E}"/>
    <cellStyle name="40% - Accent5 2 6 2 2 3" xfId="24841" xr:uid="{3BC11B61-BFC7-49F5-8E5A-AEB445BFB73F}"/>
    <cellStyle name="40% - Accent5 2 6 2 2 4" xfId="41698" xr:uid="{1E8013E9-24E0-4B02-9F31-BB4B7E50E290}"/>
    <cellStyle name="40% - Accent5 2 6 2 2 5" xfId="16406" xr:uid="{592CCF43-7464-4586-8DFA-FE270AD965E8}"/>
    <cellStyle name="40% - Accent5 2 6 2 3" xfId="29052" xr:uid="{8B6417D3-DBAB-49FA-822E-8E2835E9E208}"/>
    <cellStyle name="40% - Accent5 2 6 2 4" xfId="20623" xr:uid="{9DE39618-6FA9-42A4-9837-F666738FF01B}"/>
    <cellStyle name="40% - Accent5 2 6 2 5" xfId="37481" xr:uid="{D63CC8D2-EC70-48B8-8B61-76A67B6B195B}"/>
    <cellStyle name="40% - Accent5 2 6 2 6" xfId="12188" xr:uid="{2CFB6E42-01C4-4149-B3C7-C2CCA5DA4EBE}"/>
    <cellStyle name="40% - Accent5 2 6 3" xfId="5826" xr:uid="{00000000-0005-0000-0000-00008A060000}"/>
    <cellStyle name="40% - Accent5 2 6 3 2" xfId="31125" xr:uid="{6D673C0B-4090-4BA8-97AB-67F0209FD3CC}"/>
    <cellStyle name="40% - Accent5 2 6 3 3" xfId="22696" xr:uid="{2BDE465C-77D3-458B-BF90-4FE2FDCFF860}"/>
    <cellStyle name="40% - Accent5 2 6 3 4" xfId="39553" xr:uid="{C31B81C2-E047-44B4-9A5D-88432CE0A6BE}"/>
    <cellStyle name="40% - Accent5 2 6 3 5" xfId="14261" xr:uid="{A40ED5A6-4EC4-4F4F-A56D-EF81E67AB8EE}"/>
    <cellStyle name="40% - Accent5 2 6 4" xfId="26907" xr:uid="{B668CF60-068D-48F2-ACA0-29B332426842}"/>
    <cellStyle name="40% - Accent5 2 6 5" xfId="18478" xr:uid="{50C472E9-5122-4FA7-81E6-CBD67D681EFD}"/>
    <cellStyle name="40% - Accent5 2 6 6" xfId="35336" xr:uid="{DC9B89A4-86EE-4CA9-A588-1FAE60ABE3B4}"/>
    <cellStyle name="40% - Accent5 2 6 7" xfId="10043" xr:uid="{97F70D24-29BE-42BD-9BB4-F811D4513A57}"/>
    <cellStyle name="40% - Accent5 2 7" xfId="1932" xr:uid="{00000000-0005-0000-0000-00008B060000}"/>
    <cellStyle name="40% - Accent5 2 7 2" xfId="4161" xr:uid="{00000000-0005-0000-0000-00008C060000}"/>
    <cellStyle name="40% - Accent5 2 7 2 2" xfId="8384" xr:uid="{00000000-0005-0000-0000-00008D060000}"/>
    <cellStyle name="40% - Accent5 2 7 2 2 2" xfId="33683" xr:uid="{7D6E8852-DCDE-4FF1-A299-2DACA3C6BB6B}"/>
    <cellStyle name="40% - Accent5 2 7 2 2 3" xfId="25254" xr:uid="{3C690230-5644-42A5-81D5-1BA4075905A8}"/>
    <cellStyle name="40% - Accent5 2 7 2 2 4" xfId="42111" xr:uid="{2A44C43D-C63A-492C-AEE5-7E0B5632239E}"/>
    <cellStyle name="40% - Accent5 2 7 2 2 5" xfId="16819" xr:uid="{F0A0916A-CC53-48C8-AF45-ED5E23A1000E}"/>
    <cellStyle name="40% - Accent5 2 7 2 3" xfId="29465" xr:uid="{31F7E844-06EA-41F9-ACC1-26545E6729D1}"/>
    <cellStyle name="40% - Accent5 2 7 2 4" xfId="21036" xr:uid="{1B90A20B-06B3-47AE-804E-F1731405A282}"/>
    <cellStyle name="40% - Accent5 2 7 2 5" xfId="37894" xr:uid="{B715D59B-EFDB-4626-BC50-331D6DAA4C7E}"/>
    <cellStyle name="40% - Accent5 2 7 2 6" xfId="12601" xr:uid="{FC51574E-78B1-4D9D-9B9A-1BFD0AF2A250}"/>
    <cellStyle name="40% - Accent5 2 7 3" xfId="6239" xr:uid="{00000000-0005-0000-0000-00008E060000}"/>
    <cellStyle name="40% - Accent5 2 7 3 2" xfId="31538" xr:uid="{E84D7614-0166-411C-AFE7-163B7D9BCA0B}"/>
    <cellStyle name="40% - Accent5 2 7 3 3" xfId="23109" xr:uid="{56AE6194-6470-4426-83A0-C7704D986DC8}"/>
    <cellStyle name="40% - Accent5 2 7 3 4" xfId="39966" xr:uid="{8063B73D-3829-46CF-AE20-A913C7E8B9E4}"/>
    <cellStyle name="40% - Accent5 2 7 3 5" xfId="14674" xr:uid="{27A863D0-AE1C-45B9-ADC9-9DCC9FC04ED4}"/>
    <cellStyle name="40% - Accent5 2 7 4" xfId="27320" xr:uid="{995978B5-EACE-4AAD-BE79-D2B0BFDE0B63}"/>
    <cellStyle name="40% - Accent5 2 7 5" xfId="18891" xr:uid="{96B3E678-642D-4AB2-963F-7A15EF841B1F}"/>
    <cellStyle name="40% - Accent5 2 7 6" xfId="35749" xr:uid="{B39EACA9-1D5A-4DEE-A29D-ED1CF50B22AD}"/>
    <cellStyle name="40% - Accent5 2 7 7" xfId="10456" xr:uid="{35392F04-2CD2-420F-A731-CFA8F94E9284}"/>
    <cellStyle name="40% - Accent5 2 8" xfId="2345" xr:uid="{00000000-0005-0000-0000-00008F060000}"/>
    <cellStyle name="40% - Accent5 2 8 2" xfId="6652" xr:uid="{00000000-0005-0000-0000-000090060000}"/>
    <cellStyle name="40% - Accent5 2 8 2 2" xfId="31951" xr:uid="{1A97A034-D5C7-4A50-9E98-60AF7B0F34BB}"/>
    <cellStyle name="40% - Accent5 2 8 2 3" xfId="23522" xr:uid="{739B7A29-8A32-41B1-91AE-6A8E309B598F}"/>
    <cellStyle name="40% - Accent5 2 8 2 4" xfId="40379" xr:uid="{5FAE75E0-67CD-483E-8160-17EAC7986085}"/>
    <cellStyle name="40% - Accent5 2 8 2 5" xfId="15087" xr:uid="{E8CFF21F-1340-48BA-A2F8-3DC65FF34216}"/>
    <cellStyle name="40% - Accent5 2 8 3" xfId="27733" xr:uid="{5D69B18C-5FC9-438F-8FB0-A6517D65775D}"/>
    <cellStyle name="40% - Accent5 2 8 4" xfId="19304" xr:uid="{054C1E2D-AECC-4A39-ACAB-361DF2D10595}"/>
    <cellStyle name="40% - Accent5 2 8 5" xfId="36162" xr:uid="{BD07A8B8-787D-4F39-8071-13F2EC33C5B8}"/>
    <cellStyle name="40% - Accent5 2 8 6" xfId="10869" xr:uid="{93F085EB-B30E-4B43-854D-D90EC9CC1781}"/>
    <cellStyle name="40% - Accent5 2 9" xfId="4586" xr:uid="{00000000-0005-0000-0000-000091060000}"/>
    <cellStyle name="40% - Accent5 2 9 2" xfId="29885" xr:uid="{E875E7FE-2EDC-4B96-B5B5-775453BC3D6B}"/>
    <cellStyle name="40% - Accent5 2 9 3" xfId="21456" xr:uid="{B18A5692-EB52-4042-87AB-1C920117C657}"/>
    <cellStyle name="40% - Accent5 2 9 4" xfId="38313" xr:uid="{AB441A05-5F7B-41A7-9CBF-8D15D50F4DB6}"/>
    <cellStyle name="40% - Accent5 2 9 5" xfId="13021" xr:uid="{BDD857D0-E4BE-4AA6-A8C1-292E1802D9D8}"/>
    <cellStyle name="40% - Accent5 3" xfId="86" xr:uid="{00000000-0005-0000-0000-000092060000}"/>
    <cellStyle name="40% - Accent5 3 10" xfId="17242" xr:uid="{204E5A3A-8656-400F-B600-DA3415D22B6D}"/>
    <cellStyle name="40% - Accent5 3 11" xfId="34100" xr:uid="{7FF87003-CD90-4F8C-955F-D204267AE6DF}"/>
    <cellStyle name="40% - Accent5 3 12" xfId="8807" xr:uid="{80E5CC90-0DB4-4C15-A2D8-21EE836316CC}"/>
    <cellStyle name="40% - Accent5 3 2" xfId="87" xr:uid="{00000000-0005-0000-0000-000093060000}"/>
    <cellStyle name="40% - Accent5 3 2 10" xfId="34101" xr:uid="{F6752477-2AA9-4738-84FD-98A864177509}"/>
    <cellStyle name="40% - Accent5 3 2 11" xfId="8808" xr:uid="{9353A2AE-6BB2-40F6-B750-086F785DF7F4}"/>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32449" xr:uid="{E186AD99-5D56-43EA-80BC-8ED3B220FB74}"/>
    <cellStyle name="40% - Accent5 3 2 2 2 2 3" xfId="24020" xr:uid="{47D12AF7-DB2E-456E-A94C-35B79BE1B6C4}"/>
    <cellStyle name="40% - Accent5 3 2 2 2 2 4" xfId="40877" xr:uid="{4E65B576-1D70-4EB3-9C70-FE82EDF03FB8}"/>
    <cellStyle name="40% - Accent5 3 2 2 2 2 5" xfId="15585" xr:uid="{3301FF3F-0A3F-4907-AC6B-A589A907979C}"/>
    <cellStyle name="40% - Accent5 3 2 2 2 3" xfId="28231" xr:uid="{517038B5-F5D3-4CEC-9ADD-B5C0338226DF}"/>
    <cellStyle name="40% - Accent5 3 2 2 2 4" xfId="19802" xr:uid="{C282F675-67F8-44E9-BED6-B2928CBD1BC5}"/>
    <cellStyle name="40% - Accent5 3 2 2 2 5" xfId="36660" xr:uid="{127855F1-EBED-4FFE-B463-D375075898CB}"/>
    <cellStyle name="40% - Accent5 3 2 2 2 6" xfId="11367" xr:uid="{503B519E-7347-45EB-8C1C-619313CAB22C}"/>
    <cellStyle name="40% - Accent5 3 2 2 3" xfId="5005" xr:uid="{00000000-0005-0000-0000-000097060000}"/>
    <cellStyle name="40% - Accent5 3 2 2 3 2" xfId="30304" xr:uid="{990E6465-B17F-4DB3-98F8-44EBF5D215B3}"/>
    <cellStyle name="40% - Accent5 3 2 2 3 3" xfId="21875" xr:uid="{7EBF7E34-9AF6-458C-A344-A75DC2785F21}"/>
    <cellStyle name="40% - Accent5 3 2 2 3 4" xfId="38732" xr:uid="{B9112ED2-C349-4145-8AFA-C89B1691347A}"/>
    <cellStyle name="40% - Accent5 3 2 2 3 5" xfId="13440" xr:uid="{C0DD7B50-8B71-47CC-892C-DC75408C7221}"/>
    <cellStyle name="40% - Accent5 3 2 2 4" xfId="26086" xr:uid="{E9DF0F2A-E3E6-4A57-9BF8-C776F9030E73}"/>
    <cellStyle name="40% - Accent5 3 2 2 5" xfId="17657" xr:uid="{8AC39638-BF75-4DE5-8156-EED3804351F4}"/>
    <cellStyle name="40% - Accent5 3 2 2 6" xfId="34515" xr:uid="{F3C8C1DE-999A-46D4-A4E2-68E92575A414}"/>
    <cellStyle name="40% - Accent5 3 2 2 7" xfId="9222" xr:uid="{1F263E7B-15CA-4F00-AFC1-D4A82E2AE191}"/>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32862" xr:uid="{150414F5-8A0A-4FFF-AEF6-BE3719F5DD3F}"/>
    <cellStyle name="40% - Accent5 3 2 3 2 2 3" xfId="24433" xr:uid="{E0185DBD-3A7A-4D02-BF1D-37923F1C2DBC}"/>
    <cellStyle name="40% - Accent5 3 2 3 2 2 4" xfId="41290" xr:uid="{FE054531-F79C-4060-B0AB-E04022358245}"/>
    <cellStyle name="40% - Accent5 3 2 3 2 2 5" xfId="15998" xr:uid="{0EBBAA95-7547-478F-96AC-860A4E140865}"/>
    <cellStyle name="40% - Accent5 3 2 3 2 3" xfId="28644" xr:uid="{9A24EFF6-2A78-4202-82F1-A9BA1DF6A935}"/>
    <cellStyle name="40% - Accent5 3 2 3 2 4" xfId="20215" xr:uid="{4428EA22-3AA1-4940-A34E-AD89A9C0A038}"/>
    <cellStyle name="40% - Accent5 3 2 3 2 5" xfId="37073" xr:uid="{C5814C72-EC0F-4C9B-BAB4-C381551B14EB}"/>
    <cellStyle name="40% - Accent5 3 2 3 2 6" xfId="11780" xr:uid="{A2B6E3A7-C3F0-4F19-88FC-675150B37A90}"/>
    <cellStyle name="40% - Accent5 3 2 3 3" xfId="5418" xr:uid="{00000000-0005-0000-0000-00009B060000}"/>
    <cellStyle name="40% - Accent5 3 2 3 3 2" xfId="30717" xr:uid="{95883EF2-4EA2-4921-9C74-37726C8F5ACB}"/>
    <cellStyle name="40% - Accent5 3 2 3 3 3" xfId="22288" xr:uid="{A962745D-0851-4DEB-90EB-084FBF2A96A3}"/>
    <cellStyle name="40% - Accent5 3 2 3 3 4" xfId="39145" xr:uid="{B32FF76B-69D9-4CA6-A989-80EFEBC6C7F1}"/>
    <cellStyle name="40% - Accent5 3 2 3 3 5" xfId="13853" xr:uid="{D5223507-D481-4880-907F-F3FAC14EDF86}"/>
    <cellStyle name="40% - Accent5 3 2 3 4" xfId="26499" xr:uid="{42465037-D95E-4338-915A-2A374C41F485}"/>
    <cellStyle name="40% - Accent5 3 2 3 5" xfId="18070" xr:uid="{D50EB1A4-1CAE-4E2D-92B3-A9ABF522040A}"/>
    <cellStyle name="40% - Accent5 3 2 3 6" xfId="34928" xr:uid="{3F420C65-C5D1-4F3B-B333-10C10DE4046D}"/>
    <cellStyle name="40% - Accent5 3 2 3 7" xfId="9635" xr:uid="{117F8558-98C7-4B6C-AF44-3F68AAA5E121}"/>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33275" xr:uid="{11D9F91D-BB60-457E-8EE5-38F35F70F26B}"/>
    <cellStyle name="40% - Accent5 3 2 4 2 2 3" xfId="24846" xr:uid="{CBDB9B6A-2EBB-41AD-9735-185BDCF0D24C}"/>
    <cellStyle name="40% - Accent5 3 2 4 2 2 4" xfId="41703" xr:uid="{5C775DA1-A5F0-4538-B553-0953309ADA30}"/>
    <cellStyle name="40% - Accent5 3 2 4 2 2 5" xfId="16411" xr:uid="{6ADDA737-B9B5-44A5-B42A-D44C00718C04}"/>
    <cellStyle name="40% - Accent5 3 2 4 2 3" xfId="29057" xr:uid="{5AA2CCFA-DB94-4E00-B579-0FC3EAA1323D}"/>
    <cellStyle name="40% - Accent5 3 2 4 2 4" xfId="20628" xr:uid="{11C2A268-24B0-4280-B1C2-5BCA73065862}"/>
    <cellStyle name="40% - Accent5 3 2 4 2 5" xfId="37486" xr:uid="{3B110164-4513-4141-95E5-831D98A42453}"/>
    <cellStyle name="40% - Accent5 3 2 4 2 6" xfId="12193" xr:uid="{588696EA-E46D-46F5-A1C9-8815C7A28EFA}"/>
    <cellStyle name="40% - Accent5 3 2 4 3" xfId="5831" xr:uid="{00000000-0005-0000-0000-00009F060000}"/>
    <cellStyle name="40% - Accent5 3 2 4 3 2" xfId="31130" xr:uid="{1F85F06C-C949-437B-ABAE-7172364C1D1C}"/>
    <cellStyle name="40% - Accent5 3 2 4 3 3" xfId="22701" xr:uid="{D45C917F-D2B4-4A48-8FB6-4F6E9CF5A10A}"/>
    <cellStyle name="40% - Accent5 3 2 4 3 4" xfId="39558" xr:uid="{438E6B87-FF17-49B6-B5D4-BED79F93565B}"/>
    <cellStyle name="40% - Accent5 3 2 4 3 5" xfId="14266" xr:uid="{D3549A8A-2458-4ED6-87A9-A786C0C9FAD2}"/>
    <cellStyle name="40% - Accent5 3 2 4 4" xfId="26912" xr:uid="{3C247CB8-0D51-4E69-B6E0-44EA20674111}"/>
    <cellStyle name="40% - Accent5 3 2 4 5" xfId="18483" xr:uid="{1030275E-962E-457A-9816-31F7313E37BD}"/>
    <cellStyle name="40% - Accent5 3 2 4 6" xfId="35341" xr:uid="{9320719A-6CB4-40E4-9743-29589BB34C5D}"/>
    <cellStyle name="40% - Accent5 3 2 4 7" xfId="10048" xr:uid="{1DAECA35-D21E-4E62-9C7C-61C2D37EAC57}"/>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33688" xr:uid="{287345EF-2F38-4552-8AF2-89E6D4730BD4}"/>
    <cellStyle name="40% - Accent5 3 2 5 2 2 3" xfId="25259" xr:uid="{FF5D27CA-C4F2-453B-87E1-2246EA630A11}"/>
    <cellStyle name="40% - Accent5 3 2 5 2 2 4" xfId="42116" xr:uid="{BD9CB4EE-6FE5-4FA4-A77B-68BA28200A4C}"/>
    <cellStyle name="40% - Accent5 3 2 5 2 2 5" xfId="16824" xr:uid="{9F01FE08-1925-45E3-B9FB-2062FAFB4708}"/>
    <cellStyle name="40% - Accent5 3 2 5 2 3" xfId="29470" xr:uid="{619D0797-A8A1-473E-80F5-C5004162FC87}"/>
    <cellStyle name="40% - Accent5 3 2 5 2 4" xfId="21041" xr:uid="{DA474AD3-96FA-4599-B030-024A9119EED3}"/>
    <cellStyle name="40% - Accent5 3 2 5 2 5" xfId="37899" xr:uid="{9969F3AF-636F-4131-83E4-CCA34E6F68B3}"/>
    <cellStyle name="40% - Accent5 3 2 5 2 6" xfId="12606" xr:uid="{7B04B393-8DFE-46A6-B29E-BD8ACBD21076}"/>
    <cellStyle name="40% - Accent5 3 2 5 3" xfId="6244" xr:uid="{00000000-0005-0000-0000-0000A3060000}"/>
    <cellStyle name="40% - Accent5 3 2 5 3 2" xfId="31543" xr:uid="{10063DE1-468C-44E4-B1AE-8C6F444D0FC8}"/>
    <cellStyle name="40% - Accent5 3 2 5 3 3" xfId="23114" xr:uid="{5A7F0D98-181D-49FE-A3A9-74769B7469AB}"/>
    <cellStyle name="40% - Accent5 3 2 5 3 4" xfId="39971" xr:uid="{83DC7150-7B2E-4B04-8677-65479B70CC6B}"/>
    <cellStyle name="40% - Accent5 3 2 5 3 5" xfId="14679" xr:uid="{B58876A4-81C3-45F4-84AB-8C831A221B3C}"/>
    <cellStyle name="40% - Accent5 3 2 5 4" xfId="27325" xr:uid="{5D327983-D65A-4216-8F9E-7D5FF7720246}"/>
    <cellStyle name="40% - Accent5 3 2 5 5" xfId="18896" xr:uid="{E0C07894-23E8-4962-A398-3BFEA6936335}"/>
    <cellStyle name="40% - Accent5 3 2 5 6" xfId="35754" xr:uid="{0556470F-435A-44A7-BEDA-9846729BAA6E}"/>
    <cellStyle name="40% - Accent5 3 2 5 7" xfId="10461" xr:uid="{DAF67B2B-A95B-43DC-9C55-5408CF07B475}"/>
    <cellStyle name="40% - Accent5 3 2 6" xfId="2350" xr:uid="{00000000-0005-0000-0000-0000A4060000}"/>
    <cellStyle name="40% - Accent5 3 2 6 2" xfId="6657" xr:uid="{00000000-0005-0000-0000-0000A5060000}"/>
    <cellStyle name="40% - Accent5 3 2 6 2 2" xfId="31956" xr:uid="{7B2480E5-22EA-4420-9937-3C7C3F074414}"/>
    <cellStyle name="40% - Accent5 3 2 6 2 3" xfId="23527" xr:uid="{A4415293-4069-45F4-A91F-3AFC54931F10}"/>
    <cellStyle name="40% - Accent5 3 2 6 2 4" xfId="40384" xr:uid="{4606C727-DF8A-4A12-9AB3-38140F37EE80}"/>
    <cellStyle name="40% - Accent5 3 2 6 2 5" xfId="15092" xr:uid="{D2BA7D0C-F2BB-4AE1-8485-493551ACF1FD}"/>
    <cellStyle name="40% - Accent5 3 2 6 3" xfId="27738" xr:uid="{80EB19B3-A26D-494D-960F-F807718A50DA}"/>
    <cellStyle name="40% - Accent5 3 2 6 4" xfId="19309" xr:uid="{A6F4E136-A615-4FF6-88EF-30D524BED579}"/>
    <cellStyle name="40% - Accent5 3 2 6 5" xfId="36167" xr:uid="{87082254-D9FF-4FAF-B6BE-2CB23AEC16BD}"/>
    <cellStyle name="40% - Accent5 3 2 6 6" xfId="10874" xr:uid="{FB14B994-59E9-46F4-8EA6-C1B8BA45A4CA}"/>
    <cellStyle name="40% - Accent5 3 2 7" xfId="4591" xr:uid="{00000000-0005-0000-0000-0000A6060000}"/>
    <cellStyle name="40% - Accent5 3 2 7 2" xfId="29890" xr:uid="{E6BD2ABD-71CA-4F73-B5A5-FC359C23DBA2}"/>
    <cellStyle name="40% - Accent5 3 2 7 3" xfId="21461" xr:uid="{BC382879-7C5F-4916-9A1F-30826209D0C0}"/>
    <cellStyle name="40% - Accent5 3 2 7 4" xfId="38318" xr:uid="{6F8B7B82-E396-416E-BB13-8A2B2C8D77DB}"/>
    <cellStyle name="40% - Accent5 3 2 7 5" xfId="13026" xr:uid="{214868D5-1EA4-40E9-AC8F-634F2E97B88D}"/>
    <cellStyle name="40% - Accent5 3 2 8" xfId="25672" xr:uid="{657052EA-A291-4C1C-A55B-0275317B68C3}"/>
    <cellStyle name="40% - Accent5 3 2 9" xfId="17243" xr:uid="{83FE2A20-321A-4114-9814-7EBB22160277}"/>
    <cellStyle name="40% - Accent5 3 3" xfId="655" xr:uid="{00000000-0005-0000-0000-0000A7060000}"/>
    <cellStyle name="40% - Accent5 3 3 2" xfId="2926" xr:uid="{00000000-0005-0000-0000-0000A8060000}"/>
    <cellStyle name="40% - Accent5 3 3 2 2" xfId="7149" xr:uid="{00000000-0005-0000-0000-0000A9060000}"/>
    <cellStyle name="40% - Accent5 3 3 2 2 2" xfId="32448" xr:uid="{66EEE0D9-60EB-47C3-91CE-9365C7EE8662}"/>
    <cellStyle name="40% - Accent5 3 3 2 2 3" xfId="24019" xr:uid="{A09E9D54-F088-45CF-9429-8E50B77BBB9F}"/>
    <cellStyle name="40% - Accent5 3 3 2 2 4" xfId="40876" xr:uid="{BF8DB013-8330-48AD-BE11-7E7ED0666C6C}"/>
    <cellStyle name="40% - Accent5 3 3 2 2 5" xfId="15584" xr:uid="{BECF2D78-F5B3-4552-91D6-85A93D0484B2}"/>
    <cellStyle name="40% - Accent5 3 3 2 3" xfId="28230" xr:uid="{C90A8276-B9D8-48E1-82A7-3B40DFE8E262}"/>
    <cellStyle name="40% - Accent5 3 3 2 4" xfId="19801" xr:uid="{A2A62799-368F-4C75-936C-D4789D93664F}"/>
    <cellStyle name="40% - Accent5 3 3 2 5" xfId="36659" xr:uid="{50612305-8719-4B33-9B02-BE5B3C0F582B}"/>
    <cellStyle name="40% - Accent5 3 3 2 6" xfId="11366" xr:uid="{CD07F536-75B9-4C7B-ACED-C25A814B91CE}"/>
    <cellStyle name="40% - Accent5 3 3 3" xfId="5004" xr:uid="{00000000-0005-0000-0000-0000AA060000}"/>
    <cellStyle name="40% - Accent5 3 3 3 2" xfId="30303" xr:uid="{0B38A3BE-D44E-4C8C-90E9-53547C561C02}"/>
    <cellStyle name="40% - Accent5 3 3 3 3" xfId="21874" xr:uid="{F366429F-7461-4DB3-BBCE-582A5AFCEF39}"/>
    <cellStyle name="40% - Accent5 3 3 3 4" xfId="38731" xr:uid="{1086288B-891F-4A81-AF21-55BEC34CFCC4}"/>
    <cellStyle name="40% - Accent5 3 3 3 5" xfId="13439" xr:uid="{77416440-CB9C-49F4-BB39-11B1B520B1A3}"/>
    <cellStyle name="40% - Accent5 3 3 4" xfId="26085" xr:uid="{2E04F753-F7E6-4A6D-818B-1300A35704F4}"/>
    <cellStyle name="40% - Accent5 3 3 5" xfId="17656" xr:uid="{50762B27-4550-462B-956D-5E50977858A3}"/>
    <cellStyle name="40% - Accent5 3 3 6" xfId="34514" xr:uid="{A35DFAEC-1DE5-4AE0-9924-FD43FF4FA2BE}"/>
    <cellStyle name="40% - Accent5 3 3 7" xfId="9221" xr:uid="{F67001E8-89BD-43F4-91C0-119640783392}"/>
    <cellStyle name="40% - Accent5 3 4" xfId="1108" xr:uid="{00000000-0005-0000-0000-0000AB060000}"/>
    <cellStyle name="40% - Accent5 3 4 2" xfId="3339" xr:uid="{00000000-0005-0000-0000-0000AC060000}"/>
    <cellStyle name="40% - Accent5 3 4 2 2" xfId="7562" xr:uid="{00000000-0005-0000-0000-0000AD060000}"/>
    <cellStyle name="40% - Accent5 3 4 2 2 2" xfId="32861" xr:uid="{D7BECCBB-D62E-415C-B460-BFC382A81B8B}"/>
    <cellStyle name="40% - Accent5 3 4 2 2 3" xfId="24432" xr:uid="{7ABFB3F6-9157-4521-BCF4-1EEA70BD635F}"/>
    <cellStyle name="40% - Accent5 3 4 2 2 4" xfId="41289" xr:uid="{31A0F603-4441-4C75-8E63-054DFC2B894E}"/>
    <cellStyle name="40% - Accent5 3 4 2 2 5" xfId="15997" xr:uid="{B43E741B-FFE1-4172-AC32-0FF9E320A3E7}"/>
    <cellStyle name="40% - Accent5 3 4 2 3" xfId="28643" xr:uid="{56F8C1E0-22EF-4B02-BE00-F9647DA9AE29}"/>
    <cellStyle name="40% - Accent5 3 4 2 4" xfId="20214" xr:uid="{D8C4E6DF-5801-416B-B846-8F95D04B6C5B}"/>
    <cellStyle name="40% - Accent5 3 4 2 5" xfId="37072" xr:uid="{084D6A31-08FB-4466-B7D2-638EF580889B}"/>
    <cellStyle name="40% - Accent5 3 4 2 6" xfId="11779" xr:uid="{12390AD7-4F59-4A75-B8AC-CCB9474A0DD7}"/>
    <cellStyle name="40% - Accent5 3 4 3" xfId="5417" xr:uid="{00000000-0005-0000-0000-0000AE060000}"/>
    <cellStyle name="40% - Accent5 3 4 3 2" xfId="30716" xr:uid="{86EC8577-838E-4F1A-AC5B-5AE588A28351}"/>
    <cellStyle name="40% - Accent5 3 4 3 3" xfId="22287" xr:uid="{C26B7548-587D-416E-94FA-CF0729BC254B}"/>
    <cellStyle name="40% - Accent5 3 4 3 4" xfId="39144" xr:uid="{615BE371-3AAD-4B68-9AF7-98127ABD930B}"/>
    <cellStyle name="40% - Accent5 3 4 3 5" xfId="13852" xr:uid="{F1E74811-A918-4197-B23B-0ED2143A53CC}"/>
    <cellStyle name="40% - Accent5 3 4 4" xfId="26498" xr:uid="{2D2459B4-1475-4AD8-9643-17A34C33A895}"/>
    <cellStyle name="40% - Accent5 3 4 5" xfId="18069" xr:uid="{3AEFB41A-BF62-4240-A67E-4A1C423A3D95}"/>
    <cellStyle name="40% - Accent5 3 4 6" xfId="34927" xr:uid="{20B838B2-7E60-4D9B-8B9F-2E79C1A54071}"/>
    <cellStyle name="40% - Accent5 3 4 7" xfId="9634" xr:uid="{94A67319-1BC3-46EB-8442-6FC53F0302E5}"/>
    <cellStyle name="40% - Accent5 3 5" xfId="1522" xr:uid="{00000000-0005-0000-0000-0000AF060000}"/>
    <cellStyle name="40% - Accent5 3 5 2" xfId="3752" xr:uid="{00000000-0005-0000-0000-0000B0060000}"/>
    <cellStyle name="40% - Accent5 3 5 2 2" xfId="7975" xr:uid="{00000000-0005-0000-0000-0000B1060000}"/>
    <cellStyle name="40% - Accent5 3 5 2 2 2" xfId="33274" xr:uid="{A32F857E-1163-446F-A98F-337D7ADE5F20}"/>
    <cellStyle name="40% - Accent5 3 5 2 2 3" xfId="24845" xr:uid="{2F684E65-2F20-4773-902A-C6D5845919FC}"/>
    <cellStyle name="40% - Accent5 3 5 2 2 4" xfId="41702" xr:uid="{ECC768EA-0824-4A5E-8866-D95C6CD4CFBA}"/>
    <cellStyle name="40% - Accent5 3 5 2 2 5" xfId="16410" xr:uid="{3E882AEE-4B9D-4294-AC91-69586F776A25}"/>
    <cellStyle name="40% - Accent5 3 5 2 3" xfId="29056" xr:uid="{594BE0ED-BAEB-47F7-9BFD-B584DA04033F}"/>
    <cellStyle name="40% - Accent5 3 5 2 4" xfId="20627" xr:uid="{BEB43BF7-7325-4B36-BF69-D7DA7C54DA58}"/>
    <cellStyle name="40% - Accent5 3 5 2 5" xfId="37485" xr:uid="{A04A0365-EEAD-44E6-B9DA-318F0B30DFBD}"/>
    <cellStyle name="40% - Accent5 3 5 2 6" xfId="12192" xr:uid="{FA07C36E-C3A8-4277-AB79-185104799647}"/>
    <cellStyle name="40% - Accent5 3 5 3" xfId="5830" xr:uid="{00000000-0005-0000-0000-0000B2060000}"/>
    <cellStyle name="40% - Accent5 3 5 3 2" xfId="31129" xr:uid="{B4E27599-7E44-4EC4-A05C-970E3FC7BA06}"/>
    <cellStyle name="40% - Accent5 3 5 3 3" xfId="22700" xr:uid="{04FA56A6-DB75-4A06-9A1D-8B30B3C0D30F}"/>
    <cellStyle name="40% - Accent5 3 5 3 4" xfId="39557" xr:uid="{0A0A7854-D5B7-4B01-9C0A-EC04647997CB}"/>
    <cellStyle name="40% - Accent5 3 5 3 5" xfId="14265" xr:uid="{B3828A4B-7E56-4A30-8B1A-4E2F72BEAC06}"/>
    <cellStyle name="40% - Accent5 3 5 4" xfId="26911" xr:uid="{5ECF834C-8167-4024-8EA5-B1B3A877B75B}"/>
    <cellStyle name="40% - Accent5 3 5 5" xfId="18482" xr:uid="{5CD9B4B3-9A1C-4A82-AFA2-8C5270B2A9A8}"/>
    <cellStyle name="40% - Accent5 3 5 6" xfId="35340" xr:uid="{419EF9EF-A382-4C75-9A31-0953D09DDC51}"/>
    <cellStyle name="40% - Accent5 3 5 7" xfId="10047" xr:uid="{AFAECE03-D77F-4101-835A-0BF76C456BD6}"/>
    <cellStyle name="40% - Accent5 3 6" xfId="1936" xr:uid="{00000000-0005-0000-0000-0000B3060000}"/>
    <cellStyle name="40% - Accent5 3 6 2" xfId="4165" xr:uid="{00000000-0005-0000-0000-0000B4060000}"/>
    <cellStyle name="40% - Accent5 3 6 2 2" xfId="8388" xr:uid="{00000000-0005-0000-0000-0000B5060000}"/>
    <cellStyle name="40% - Accent5 3 6 2 2 2" xfId="33687" xr:uid="{495EAE59-8340-4A88-9578-62D4D2C4582F}"/>
    <cellStyle name="40% - Accent5 3 6 2 2 3" xfId="25258" xr:uid="{237EBF14-229C-4D57-BD1C-77D9506552E0}"/>
    <cellStyle name="40% - Accent5 3 6 2 2 4" xfId="42115" xr:uid="{7D76FC34-B443-475C-A8EF-8A96AC787722}"/>
    <cellStyle name="40% - Accent5 3 6 2 2 5" xfId="16823" xr:uid="{BE807A10-1B49-451E-88EB-D4976D494913}"/>
    <cellStyle name="40% - Accent5 3 6 2 3" xfId="29469" xr:uid="{1EC2C2EB-CF47-45C3-8CE1-ACFDCB4672F4}"/>
    <cellStyle name="40% - Accent5 3 6 2 4" xfId="21040" xr:uid="{55E18253-C20D-46D8-92ED-7FADD7D1C71F}"/>
    <cellStyle name="40% - Accent5 3 6 2 5" xfId="37898" xr:uid="{0A37DF06-F1F9-4AF2-AEE8-C65BF5CF6828}"/>
    <cellStyle name="40% - Accent5 3 6 2 6" xfId="12605" xr:uid="{DCEFA1A9-61D5-4F34-ACC1-D6843B86C9BE}"/>
    <cellStyle name="40% - Accent5 3 6 3" xfId="6243" xr:uid="{00000000-0005-0000-0000-0000B6060000}"/>
    <cellStyle name="40% - Accent5 3 6 3 2" xfId="31542" xr:uid="{5BE8C767-6161-4C95-95CC-101CDF5AB313}"/>
    <cellStyle name="40% - Accent5 3 6 3 3" xfId="23113" xr:uid="{FE992F6D-CD65-481B-9524-B40E5AE3406D}"/>
    <cellStyle name="40% - Accent5 3 6 3 4" xfId="39970" xr:uid="{443305FA-5CDF-4FF8-8FD4-D6842356467E}"/>
    <cellStyle name="40% - Accent5 3 6 3 5" xfId="14678" xr:uid="{707684E3-1B0E-4E63-8A37-08F5A01A68CC}"/>
    <cellStyle name="40% - Accent5 3 6 4" xfId="27324" xr:uid="{278AA3ED-4887-4FCB-A29C-E09A9F3E3CFD}"/>
    <cellStyle name="40% - Accent5 3 6 5" xfId="18895" xr:uid="{DAA7B11A-9750-416F-A11F-6FE54D0681ED}"/>
    <cellStyle name="40% - Accent5 3 6 6" xfId="35753" xr:uid="{3E0711EE-BB89-42DE-9FE6-BE59FF10FB8E}"/>
    <cellStyle name="40% - Accent5 3 6 7" xfId="10460" xr:uid="{5EEAE5EB-0800-4B1F-B66B-3A3EB68CC0CF}"/>
    <cellStyle name="40% - Accent5 3 7" xfId="2349" xr:uid="{00000000-0005-0000-0000-0000B7060000}"/>
    <cellStyle name="40% - Accent5 3 7 2" xfId="6656" xr:uid="{00000000-0005-0000-0000-0000B8060000}"/>
    <cellStyle name="40% - Accent5 3 7 2 2" xfId="31955" xr:uid="{2BE96E63-5D32-45B7-9487-473F0997E8A4}"/>
    <cellStyle name="40% - Accent5 3 7 2 3" xfId="23526" xr:uid="{B949CF41-337E-4C41-AD41-28E62EC62118}"/>
    <cellStyle name="40% - Accent5 3 7 2 4" xfId="40383" xr:uid="{D4D1E050-75A4-4D24-80FA-6EDE8B1CC35B}"/>
    <cellStyle name="40% - Accent5 3 7 2 5" xfId="15091" xr:uid="{993A91D3-C259-46FF-8200-D818519B9E31}"/>
    <cellStyle name="40% - Accent5 3 7 3" xfId="27737" xr:uid="{E94811CF-2DF8-472E-AF0A-B3298B7B7B71}"/>
    <cellStyle name="40% - Accent5 3 7 4" xfId="19308" xr:uid="{ABBF71F3-B526-45D7-8C23-BA4F88555545}"/>
    <cellStyle name="40% - Accent5 3 7 5" xfId="36166" xr:uid="{F1F46CDD-06E1-408D-AF93-AE17F8582978}"/>
    <cellStyle name="40% - Accent5 3 7 6" xfId="10873" xr:uid="{4BBD7737-6E7D-4641-ABC3-4565F77FFD19}"/>
    <cellStyle name="40% - Accent5 3 8" xfId="4590" xr:uid="{00000000-0005-0000-0000-0000B9060000}"/>
    <cellStyle name="40% - Accent5 3 8 2" xfId="29889" xr:uid="{0D458339-DA7C-4638-9BE7-889B0A4C41F4}"/>
    <cellStyle name="40% - Accent5 3 8 3" xfId="21460" xr:uid="{C96CC7A8-105A-4754-93AD-420E83CD9C56}"/>
    <cellStyle name="40% - Accent5 3 8 4" xfId="38317" xr:uid="{9FD84BE3-6402-470D-9565-099C55538BAE}"/>
    <cellStyle name="40% - Accent5 3 8 5" xfId="13025" xr:uid="{CD92A301-3223-42AD-BCCA-423CD417EE10}"/>
    <cellStyle name="40% - Accent5 3 9" xfId="25671" xr:uid="{94EA424F-6D5C-44B8-A1B0-412383095CEA}"/>
    <cellStyle name="40% - Accent5 4" xfId="88" xr:uid="{00000000-0005-0000-0000-0000BA060000}"/>
    <cellStyle name="40% - Accent5 4 10" xfId="34102" xr:uid="{629B0CE0-FDB0-4116-AE50-574AAF20F73A}"/>
    <cellStyle name="40% - Accent5 4 11" xfId="8809" xr:uid="{D1A9A688-ABD3-4141-9120-9322704DCD09}"/>
    <cellStyle name="40% - Accent5 4 2" xfId="657" xr:uid="{00000000-0005-0000-0000-0000BB060000}"/>
    <cellStyle name="40% - Accent5 4 2 2" xfId="2928" xr:uid="{00000000-0005-0000-0000-0000BC060000}"/>
    <cellStyle name="40% - Accent5 4 2 2 2" xfId="7151" xr:uid="{00000000-0005-0000-0000-0000BD060000}"/>
    <cellStyle name="40% - Accent5 4 2 2 2 2" xfId="32450" xr:uid="{E5AD651A-48AA-4C62-84BF-699B02EACB15}"/>
    <cellStyle name="40% - Accent5 4 2 2 2 3" xfId="24021" xr:uid="{ED9A67CB-A4BE-4394-98A0-8E56A3F7E2E5}"/>
    <cellStyle name="40% - Accent5 4 2 2 2 4" xfId="40878" xr:uid="{33F0B743-CDE0-4687-8971-F090F1010561}"/>
    <cellStyle name="40% - Accent5 4 2 2 2 5" xfId="15586" xr:uid="{757723B9-E6E3-41F8-B801-31A5E90C75FD}"/>
    <cellStyle name="40% - Accent5 4 2 2 3" xfId="28232" xr:uid="{7DD38B8F-2075-43A0-94B4-6303D2E022A7}"/>
    <cellStyle name="40% - Accent5 4 2 2 4" xfId="19803" xr:uid="{E0BF879C-FC06-4281-A032-832827927A4D}"/>
    <cellStyle name="40% - Accent5 4 2 2 5" xfId="36661" xr:uid="{15B2C6F3-1314-48F6-975B-2E108D1FDC9C}"/>
    <cellStyle name="40% - Accent5 4 2 2 6" xfId="11368" xr:uid="{0CF0C91A-D1F8-4803-8DCF-2D86BC70D1C6}"/>
    <cellStyle name="40% - Accent5 4 2 3" xfId="5006" xr:uid="{00000000-0005-0000-0000-0000BE060000}"/>
    <cellStyle name="40% - Accent5 4 2 3 2" xfId="30305" xr:uid="{FCBD0F39-EE11-4C66-B190-0D662CF8CD33}"/>
    <cellStyle name="40% - Accent5 4 2 3 3" xfId="21876" xr:uid="{4ABFCFE0-92F5-48A2-A835-B38F8C07FCD3}"/>
    <cellStyle name="40% - Accent5 4 2 3 4" xfId="38733" xr:uid="{3D358114-5A06-404E-A364-F0E870BC6554}"/>
    <cellStyle name="40% - Accent5 4 2 3 5" xfId="13441" xr:uid="{82EC5138-B687-43DA-A2FC-4C223480F857}"/>
    <cellStyle name="40% - Accent5 4 2 4" xfId="26087" xr:uid="{5F0ACA78-6DA2-47D9-8186-96AD792D4B5F}"/>
    <cellStyle name="40% - Accent5 4 2 5" xfId="17658" xr:uid="{B39F18C4-11CC-46F1-B976-DDF0A93EDBE7}"/>
    <cellStyle name="40% - Accent5 4 2 6" xfId="34516" xr:uid="{689C3606-B44D-4BD6-B26E-C5A8C5BDB2CF}"/>
    <cellStyle name="40% - Accent5 4 2 7" xfId="9223" xr:uid="{29C4293A-C8A4-4DEB-BB59-9D0737B70F98}"/>
    <cellStyle name="40% - Accent5 4 3" xfId="1110" xr:uid="{00000000-0005-0000-0000-0000BF060000}"/>
    <cellStyle name="40% - Accent5 4 3 2" xfId="3341" xr:uid="{00000000-0005-0000-0000-0000C0060000}"/>
    <cellStyle name="40% - Accent5 4 3 2 2" xfId="7564" xr:uid="{00000000-0005-0000-0000-0000C1060000}"/>
    <cellStyle name="40% - Accent5 4 3 2 2 2" xfId="32863" xr:uid="{B6F2EA2A-162B-48CB-B360-B9EA18CFB4B0}"/>
    <cellStyle name="40% - Accent5 4 3 2 2 3" xfId="24434" xr:uid="{6D099AC7-7F51-4CBE-8106-781717A5D223}"/>
    <cellStyle name="40% - Accent5 4 3 2 2 4" xfId="41291" xr:uid="{8D34B051-96D3-4C11-A25D-C8CFCDB0B29D}"/>
    <cellStyle name="40% - Accent5 4 3 2 2 5" xfId="15999" xr:uid="{482B553D-F65C-48C5-A048-6A0A51E20FAE}"/>
    <cellStyle name="40% - Accent5 4 3 2 3" xfId="28645" xr:uid="{A65D9B45-45AF-4FC6-A2B8-227546753B23}"/>
    <cellStyle name="40% - Accent5 4 3 2 4" xfId="20216" xr:uid="{95F106A8-8653-4A4A-8B69-9D33E30A1013}"/>
    <cellStyle name="40% - Accent5 4 3 2 5" xfId="37074" xr:uid="{8FD7C70D-8C2C-47AB-B4F9-07D0DFD13BB1}"/>
    <cellStyle name="40% - Accent5 4 3 2 6" xfId="11781" xr:uid="{C050B69C-0891-4AB2-AD75-667C76E6E606}"/>
    <cellStyle name="40% - Accent5 4 3 3" xfId="5419" xr:uid="{00000000-0005-0000-0000-0000C2060000}"/>
    <cellStyle name="40% - Accent5 4 3 3 2" xfId="30718" xr:uid="{85956746-49F0-45A2-B169-63911DE92874}"/>
    <cellStyle name="40% - Accent5 4 3 3 3" xfId="22289" xr:uid="{5877D898-9A2D-4F5E-BA24-55F66BDD0098}"/>
    <cellStyle name="40% - Accent5 4 3 3 4" xfId="39146" xr:uid="{B96A0756-7CD7-4E99-82D9-32959AE3BC89}"/>
    <cellStyle name="40% - Accent5 4 3 3 5" xfId="13854" xr:uid="{0651B09A-126F-4CB1-8BB0-CBD8C4E081FB}"/>
    <cellStyle name="40% - Accent5 4 3 4" xfId="26500" xr:uid="{ADED95CE-E938-4BCF-BBF7-8048AFDDF514}"/>
    <cellStyle name="40% - Accent5 4 3 5" xfId="18071" xr:uid="{CB25E43F-F658-4E73-A851-EFB55A14BE54}"/>
    <cellStyle name="40% - Accent5 4 3 6" xfId="34929" xr:uid="{94A02EE7-A2CB-46FF-8C92-DBA286A485FB}"/>
    <cellStyle name="40% - Accent5 4 3 7" xfId="9636" xr:uid="{DE50CF44-DD1D-46EB-851F-21A3919EE28A}"/>
    <cellStyle name="40% - Accent5 4 4" xfId="1524" xr:uid="{00000000-0005-0000-0000-0000C3060000}"/>
    <cellStyle name="40% - Accent5 4 4 2" xfId="3754" xr:uid="{00000000-0005-0000-0000-0000C4060000}"/>
    <cellStyle name="40% - Accent5 4 4 2 2" xfId="7977" xr:uid="{00000000-0005-0000-0000-0000C5060000}"/>
    <cellStyle name="40% - Accent5 4 4 2 2 2" xfId="33276" xr:uid="{21E1CD34-D154-4441-BCAA-39C8B1728425}"/>
    <cellStyle name="40% - Accent5 4 4 2 2 3" xfId="24847" xr:uid="{36C66FE8-AD27-4A63-8852-735A5E5EFAAE}"/>
    <cellStyle name="40% - Accent5 4 4 2 2 4" xfId="41704" xr:uid="{9A912659-17DD-42F4-B86C-EBFB5C49AC05}"/>
    <cellStyle name="40% - Accent5 4 4 2 2 5" xfId="16412" xr:uid="{693EEDE4-909B-475F-8DE8-99C8F5CFF0BB}"/>
    <cellStyle name="40% - Accent5 4 4 2 3" xfId="29058" xr:uid="{56E60009-9A0F-4DE0-B398-C9532A364ED8}"/>
    <cellStyle name="40% - Accent5 4 4 2 4" xfId="20629" xr:uid="{69F3AE4C-34DA-4A09-995F-F9917826864F}"/>
    <cellStyle name="40% - Accent5 4 4 2 5" xfId="37487" xr:uid="{B06ADDD0-691D-450B-9DEE-873C16C150D9}"/>
    <cellStyle name="40% - Accent5 4 4 2 6" xfId="12194" xr:uid="{C513E604-D354-43AC-8ECC-B8614802ACE4}"/>
    <cellStyle name="40% - Accent5 4 4 3" xfId="5832" xr:uid="{00000000-0005-0000-0000-0000C6060000}"/>
    <cellStyle name="40% - Accent5 4 4 3 2" xfId="31131" xr:uid="{80E14B08-B147-4B51-8DEF-A76200182837}"/>
    <cellStyle name="40% - Accent5 4 4 3 3" xfId="22702" xr:uid="{C9E85048-8B15-40E4-9A08-8ACB9570FBB3}"/>
    <cellStyle name="40% - Accent5 4 4 3 4" xfId="39559" xr:uid="{26D48476-74EA-4600-A02A-1B246F514517}"/>
    <cellStyle name="40% - Accent5 4 4 3 5" xfId="14267" xr:uid="{E6DCCCAB-25F9-4341-AACF-96CE3CCDD266}"/>
    <cellStyle name="40% - Accent5 4 4 4" xfId="26913" xr:uid="{FA4EB091-D9C2-4E18-9D31-0AB8A48B7F6C}"/>
    <cellStyle name="40% - Accent5 4 4 5" xfId="18484" xr:uid="{E5E30B0F-A4F5-4139-B472-4A70C7F233B8}"/>
    <cellStyle name="40% - Accent5 4 4 6" xfId="35342" xr:uid="{C5B0FB58-7973-4C4E-971A-FA8E9C22F639}"/>
    <cellStyle name="40% - Accent5 4 4 7" xfId="10049" xr:uid="{F1AD6175-1AA5-47D7-A919-7250E071AA69}"/>
    <cellStyle name="40% - Accent5 4 5" xfId="1938" xr:uid="{00000000-0005-0000-0000-0000C7060000}"/>
    <cellStyle name="40% - Accent5 4 5 2" xfId="4167" xr:uid="{00000000-0005-0000-0000-0000C8060000}"/>
    <cellStyle name="40% - Accent5 4 5 2 2" xfId="8390" xr:uid="{00000000-0005-0000-0000-0000C9060000}"/>
    <cellStyle name="40% - Accent5 4 5 2 2 2" xfId="33689" xr:uid="{AC44B052-8F6C-437D-9A57-54697558BA20}"/>
    <cellStyle name="40% - Accent5 4 5 2 2 3" xfId="25260" xr:uid="{320F422B-E7BE-4E35-ACD7-A02BB6F2051B}"/>
    <cellStyle name="40% - Accent5 4 5 2 2 4" xfId="42117" xr:uid="{EC927ACA-4E50-43C1-8CEA-2037AAB535BE}"/>
    <cellStyle name="40% - Accent5 4 5 2 2 5" xfId="16825" xr:uid="{48F67807-9926-4F54-9E5D-462B7BA0410A}"/>
    <cellStyle name="40% - Accent5 4 5 2 3" xfId="29471" xr:uid="{9C2DE4DF-63E3-497A-B4FD-F0CB357B9FB7}"/>
    <cellStyle name="40% - Accent5 4 5 2 4" xfId="21042" xr:uid="{F034BDD4-BF8D-4063-A178-EC18648D497C}"/>
    <cellStyle name="40% - Accent5 4 5 2 5" xfId="37900" xr:uid="{0E33E71B-4030-4FEE-80C1-0EBE61D59228}"/>
    <cellStyle name="40% - Accent5 4 5 2 6" xfId="12607" xr:uid="{9435E4E5-5CA1-4487-A331-0C7E6E74D59A}"/>
    <cellStyle name="40% - Accent5 4 5 3" xfId="6245" xr:uid="{00000000-0005-0000-0000-0000CA060000}"/>
    <cellStyle name="40% - Accent5 4 5 3 2" xfId="31544" xr:uid="{8D6A6365-0764-424D-A955-F1B1169B8055}"/>
    <cellStyle name="40% - Accent5 4 5 3 3" xfId="23115" xr:uid="{55A3D04F-E7B9-40A2-890B-A732E3DB2425}"/>
    <cellStyle name="40% - Accent5 4 5 3 4" xfId="39972" xr:uid="{2AE21F05-F098-4A68-98E5-8028A3714A73}"/>
    <cellStyle name="40% - Accent5 4 5 3 5" xfId="14680" xr:uid="{526BFE08-9F00-4D2E-930B-79D9ECA663F1}"/>
    <cellStyle name="40% - Accent5 4 5 4" xfId="27326" xr:uid="{958D12F3-1BBA-4B85-B9EC-D1872A6247F3}"/>
    <cellStyle name="40% - Accent5 4 5 5" xfId="18897" xr:uid="{9B0A604B-77A7-4B49-A12B-623FED37F625}"/>
    <cellStyle name="40% - Accent5 4 5 6" xfId="35755" xr:uid="{0471EA48-9AE7-4311-A185-264365A2AC08}"/>
    <cellStyle name="40% - Accent5 4 5 7" xfId="10462" xr:uid="{F470D2CB-5E23-4816-AEBC-D830562D26A9}"/>
    <cellStyle name="40% - Accent5 4 6" xfId="2351" xr:uid="{00000000-0005-0000-0000-0000CB060000}"/>
    <cellStyle name="40% - Accent5 4 6 2" xfId="6658" xr:uid="{00000000-0005-0000-0000-0000CC060000}"/>
    <cellStyle name="40% - Accent5 4 6 2 2" xfId="31957" xr:uid="{70627925-CF35-4236-84E7-960CA853A53A}"/>
    <cellStyle name="40% - Accent5 4 6 2 3" xfId="23528" xr:uid="{52012BB8-034E-416B-A35A-BDEB95EBDF87}"/>
    <cellStyle name="40% - Accent5 4 6 2 4" xfId="40385" xr:uid="{3A98AA70-9FD3-4532-94EC-689829861B68}"/>
    <cellStyle name="40% - Accent5 4 6 2 5" xfId="15093" xr:uid="{11C2F36C-3CF0-49A7-87C1-ED7622D884C3}"/>
    <cellStyle name="40% - Accent5 4 6 3" xfId="27739" xr:uid="{5C1C6E08-BD39-432A-A3C4-3CA15FC8EA07}"/>
    <cellStyle name="40% - Accent5 4 6 4" xfId="19310" xr:uid="{5B1814BC-BEFD-4C32-8986-23DA63AE99CA}"/>
    <cellStyle name="40% - Accent5 4 6 5" xfId="36168" xr:uid="{23104196-8551-4894-818C-1CCDB5014B4A}"/>
    <cellStyle name="40% - Accent5 4 6 6" xfId="10875" xr:uid="{E22BE69C-A3F5-42FD-BE01-7CAFC4DD2E9E}"/>
    <cellStyle name="40% - Accent5 4 7" xfId="4592" xr:uid="{00000000-0005-0000-0000-0000CD060000}"/>
    <cellStyle name="40% - Accent5 4 7 2" xfId="29891" xr:uid="{06164B3D-AFE9-4088-95B3-3A4D8D9A09AE}"/>
    <cellStyle name="40% - Accent5 4 7 3" xfId="21462" xr:uid="{E6D6A833-A1E4-4A24-88B9-D9FBD48A4C83}"/>
    <cellStyle name="40% - Accent5 4 7 4" xfId="38319" xr:uid="{3003BC8A-50F3-459E-8DFE-ABA69BFB115A}"/>
    <cellStyle name="40% - Accent5 4 7 5" xfId="13027" xr:uid="{F71A6B6F-F2B8-4A7E-A483-2586A2733E5F}"/>
    <cellStyle name="40% - Accent5 4 8" xfId="25673" xr:uid="{360D1FE0-5A82-4816-BE56-49D2AC1E8308}"/>
    <cellStyle name="40% - Accent5 4 9" xfId="17244" xr:uid="{54FF0ED0-0468-4DBE-A996-30F941135A7E}"/>
    <cellStyle name="40% - Accent5 5" xfId="650" xr:uid="{00000000-0005-0000-0000-0000CE060000}"/>
    <cellStyle name="40% - Accent5 5 2" xfId="2921" xr:uid="{00000000-0005-0000-0000-0000CF060000}"/>
    <cellStyle name="40% - Accent5 5 2 2" xfId="7144" xr:uid="{00000000-0005-0000-0000-0000D0060000}"/>
    <cellStyle name="40% - Accent5 5 2 2 2" xfId="32443" xr:uid="{01A64FA4-5825-4212-8512-DAAA3ED9D055}"/>
    <cellStyle name="40% - Accent5 5 2 2 3" xfId="24014" xr:uid="{924370BF-12D7-466F-9DAB-8423F58F131B}"/>
    <cellStyle name="40% - Accent5 5 2 2 4" xfId="40871" xr:uid="{2A68FF65-06AC-4F46-99AD-200D6E149905}"/>
    <cellStyle name="40% - Accent5 5 2 2 5" xfId="15579" xr:uid="{B7EE2BF2-B708-4F92-97FD-9D64D4325F59}"/>
    <cellStyle name="40% - Accent5 5 2 3" xfId="28225" xr:uid="{3AF24CAE-A942-434F-ADF2-51F8D42E192D}"/>
    <cellStyle name="40% - Accent5 5 2 4" xfId="19796" xr:uid="{03C0743F-199B-41ED-8DFF-CF08343BB874}"/>
    <cellStyle name="40% - Accent5 5 2 5" xfId="36654" xr:uid="{9B3F6A49-8EB2-408E-9FD0-193F34D70C88}"/>
    <cellStyle name="40% - Accent5 5 2 6" xfId="11361" xr:uid="{261F627F-9AEF-4D5D-B1B3-8B14EBE4619E}"/>
    <cellStyle name="40% - Accent5 5 3" xfId="4999" xr:uid="{00000000-0005-0000-0000-0000D1060000}"/>
    <cellStyle name="40% - Accent5 5 3 2" xfId="30298" xr:uid="{77426BF6-25FD-48A9-BB8B-B4391460E866}"/>
    <cellStyle name="40% - Accent5 5 3 3" xfId="21869" xr:uid="{CF5CDEFE-EF89-481C-9726-28CE5FB52BAA}"/>
    <cellStyle name="40% - Accent5 5 3 4" xfId="38726" xr:uid="{9B757516-9739-4756-A5CA-381067D95607}"/>
    <cellStyle name="40% - Accent5 5 3 5" xfId="13434" xr:uid="{2129DECB-E3C5-4363-9FD6-56683F9EBE29}"/>
    <cellStyle name="40% - Accent5 5 4" xfId="26080" xr:uid="{8B27A0B3-083F-41EB-BD90-45334C691D87}"/>
    <cellStyle name="40% - Accent5 5 5" xfId="17651" xr:uid="{9BB2818A-6122-4406-94A1-FC8883B08C85}"/>
    <cellStyle name="40% - Accent5 5 6" xfId="34509" xr:uid="{2F89EEFA-7898-4E62-AE7D-5E97C65FEC81}"/>
    <cellStyle name="40% - Accent5 5 7" xfId="9216" xr:uid="{5CD179D0-1092-4872-BB1D-32198F917DF3}"/>
    <cellStyle name="40% - Accent5 6" xfId="1103" xr:uid="{00000000-0005-0000-0000-0000D2060000}"/>
    <cellStyle name="40% - Accent5 6 2" xfId="3334" xr:uid="{00000000-0005-0000-0000-0000D3060000}"/>
    <cellStyle name="40% - Accent5 6 2 2" xfId="7557" xr:uid="{00000000-0005-0000-0000-0000D4060000}"/>
    <cellStyle name="40% - Accent5 6 2 2 2" xfId="32856" xr:uid="{BC35BB4B-A8B7-41BF-894F-B38CE85E99C5}"/>
    <cellStyle name="40% - Accent5 6 2 2 3" xfId="24427" xr:uid="{468D14C7-4E18-49CF-A6B9-B1C9F597EE0F}"/>
    <cellStyle name="40% - Accent5 6 2 2 4" xfId="41284" xr:uid="{166582C9-3217-4652-9644-3E40DA288D1A}"/>
    <cellStyle name="40% - Accent5 6 2 2 5" xfId="15992" xr:uid="{9BBCAB69-E434-406E-8032-5463B62CEDD7}"/>
    <cellStyle name="40% - Accent5 6 2 3" xfId="28638" xr:uid="{88EA27F2-707C-450E-B7A4-BC881F65C144}"/>
    <cellStyle name="40% - Accent5 6 2 4" xfId="20209" xr:uid="{0B215FF6-73EE-4848-AAA9-0746A3CAA583}"/>
    <cellStyle name="40% - Accent5 6 2 5" xfId="37067" xr:uid="{F0A0A85D-8B8F-4A35-B155-E458832BFA4B}"/>
    <cellStyle name="40% - Accent5 6 2 6" xfId="11774" xr:uid="{F1E5204C-D52F-464A-A8E5-ABCCC784B411}"/>
    <cellStyle name="40% - Accent5 6 3" xfId="5412" xr:uid="{00000000-0005-0000-0000-0000D5060000}"/>
    <cellStyle name="40% - Accent5 6 3 2" xfId="30711" xr:uid="{0909646C-D8A5-4DEF-8E1A-65CB44179AD5}"/>
    <cellStyle name="40% - Accent5 6 3 3" xfId="22282" xr:uid="{EF0D4A00-F223-4BBF-8516-890CE6072BB0}"/>
    <cellStyle name="40% - Accent5 6 3 4" xfId="39139" xr:uid="{D25B1497-2AC9-4FF7-A1A9-8F9B58282569}"/>
    <cellStyle name="40% - Accent5 6 3 5" xfId="13847" xr:uid="{BBBAF88E-5233-4E88-BD94-E7DD6C2AB702}"/>
    <cellStyle name="40% - Accent5 6 4" xfId="26493" xr:uid="{EA2CEF8E-7605-4C40-B7FE-9C9B59F00DBE}"/>
    <cellStyle name="40% - Accent5 6 5" xfId="18064" xr:uid="{A03F480A-F26B-4172-96BA-CB9A47AEB25B}"/>
    <cellStyle name="40% - Accent5 6 6" xfId="34922" xr:uid="{648B6B85-7E1F-4CA5-BDBF-0CF3E44F3A00}"/>
    <cellStyle name="40% - Accent5 6 7" xfId="9629" xr:uid="{C6E9B28A-0359-4FC3-80AD-38D07964D5A8}"/>
    <cellStyle name="40% - Accent5 7" xfId="1517" xr:uid="{00000000-0005-0000-0000-0000D6060000}"/>
    <cellStyle name="40% - Accent5 7 2" xfId="3747" xr:uid="{00000000-0005-0000-0000-0000D7060000}"/>
    <cellStyle name="40% - Accent5 7 2 2" xfId="7970" xr:uid="{00000000-0005-0000-0000-0000D8060000}"/>
    <cellStyle name="40% - Accent5 7 2 2 2" xfId="33269" xr:uid="{872406D6-03F4-470C-AF91-DD61354A414F}"/>
    <cellStyle name="40% - Accent5 7 2 2 3" xfId="24840" xr:uid="{A0A018FF-C17E-43D4-ACE0-D32FC9260383}"/>
    <cellStyle name="40% - Accent5 7 2 2 4" xfId="41697" xr:uid="{EE8C4AD6-79C7-48BB-A7F4-CF878A41ADA8}"/>
    <cellStyle name="40% - Accent5 7 2 2 5" xfId="16405" xr:uid="{F413A00E-1F60-4158-B983-B5B14D33FC6F}"/>
    <cellStyle name="40% - Accent5 7 2 3" xfId="29051" xr:uid="{6AAF25BC-74A2-4FE1-8D0A-6A0A2335EEF7}"/>
    <cellStyle name="40% - Accent5 7 2 4" xfId="20622" xr:uid="{07707BBE-7494-495D-9375-448F4C9C722E}"/>
    <cellStyle name="40% - Accent5 7 2 5" xfId="37480" xr:uid="{7B9A9C57-5310-4DE3-ACF7-1FE151EFF883}"/>
    <cellStyle name="40% - Accent5 7 2 6" xfId="12187" xr:uid="{09E7C309-2F8F-45D2-A34C-6B9ED1C5FB9A}"/>
    <cellStyle name="40% - Accent5 7 3" xfId="5825" xr:uid="{00000000-0005-0000-0000-0000D9060000}"/>
    <cellStyle name="40% - Accent5 7 3 2" xfId="31124" xr:uid="{7B3E7DEF-8C43-4F36-B62F-F567404AFAEB}"/>
    <cellStyle name="40% - Accent5 7 3 3" xfId="22695" xr:uid="{42BF152D-1D94-41F4-99F4-387110D82BFA}"/>
    <cellStyle name="40% - Accent5 7 3 4" xfId="39552" xr:uid="{22841FBB-506A-474B-A86B-5FB824B61E00}"/>
    <cellStyle name="40% - Accent5 7 3 5" xfId="14260" xr:uid="{09B18667-D4BB-4657-80E6-81604281D148}"/>
    <cellStyle name="40% - Accent5 7 4" xfId="26906" xr:uid="{BEC2BB1B-C9A1-4DD0-B777-FFEC562171FE}"/>
    <cellStyle name="40% - Accent5 7 5" xfId="18477" xr:uid="{2AD35691-8359-41FE-B28C-8ED497323F14}"/>
    <cellStyle name="40% - Accent5 7 6" xfId="35335" xr:uid="{06A2B77D-1E35-475D-A305-B3DD0151F840}"/>
    <cellStyle name="40% - Accent5 7 7" xfId="10042" xr:uid="{1305FA59-3E11-49DD-BC50-4D85E14C90E6}"/>
    <cellStyle name="40% - Accent5 8" xfId="1931" xr:uid="{00000000-0005-0000-0000-0000DA060000}"/>
    <cellStyle name="40% - Accent5 8 2" xfId="4160" xr:uid="{00000000-0005-0000-0000-0000DB060000}"/>
    <cellStyle name="40% - Accent5 8 2 2" xfId="8383" xr:uid="{00000000-0005-0000-0000-0000DC060000}"/>
    <cellStyle name="40% - Accent5 8 2 2 2" xfId="33682" xr:uid="{325CDAD7-F942-4A23-8A8A-7FA1405B0473}"/>
    <cellStyle name="40% - Accent5 8 2 2 3" xfId="25253" xr:uid="{F22BDC65-3917-4702-BB54-EF9DBE083D68}"/>
    <cellStyle name="40% - Accent5 8 2 2 4" xfId="42110" xr:uid="{677298E3-7D5E-4BB5-B4AB-DE6DE0BC47F1}"/>
    <cellStyle name="40% - Accent5 8 2 2 5" xfId="16818" xr:uid="{1CB34CA0-3685-4E4C-B26A-CE9D52D0DBF2}"/>
    <cellStyle name="40% - Accent5 8 2 3" xfId="29464" xr:uid="{1CF7B6BC-F6CB-4242-A793-CAA519B9006A}"/>
    <cellStyle name="40% - Accent5 8 2 4" xfId="21035" xr:uid="{ED756FFC-B059-4028-BA2A-13350AE87426}"/>
    <cellStyle name="40% - Accent5 8 2 5" xfId="37893" xr:uid="{23BFDB22-A2A5-443D-89F3-6EA339338C9E}"/>
    <cellStyle name="40% - Accent5 8 2 6" xfId="12600" xr:uid="{166DB526-DC27-4338-AE38-3D7EF9D7C199}"/>
    <cellStyle name="40% - Accent5 8 3" xfId="6238" xr:uid="{00000000-0005-0000-0000-0000DD060000}"/>
    <cellStyle name="40% - Accent5 8 3 2" xfId="31537" xr:uid="{FBC3BFE7-DC4C-4295-8B47-69B14D4AF84C}"/>
    <cellStyle name="40% - Accent5 8 3 3" xfId="23108" xr:uid="{13740F1A-61B2-4CFA-9E38-16F074B834E0}"/>
    <cellStyle name="40% - Accent5 8 3 4" xfId="39965" xr:uid="{6ACEB14E-D7E9-406A-B87E-D8AAB780CBAF}"/>
    <cellStyle name="40% - Accent5 8 3 5" xfId="14673" xr:uid="{CED63C1B-4A12-4D3B-A78D-6A24525EA2BF}"/>
    <cellStyle name="40% - Accent5 8 4" xfId="27319" xr:uid="{6EFFA111-E2D5-4C17-85D3-353CD8CA3761}"/>
    <cellStyle name="40% - Accent5 8 5" xfId="18890" xr:uid="{20710C81-13B2-459E-A10D-7B122C27D0FA}"/>
    <cellStyle name="40% - Accent5 8 6" xfId="35748" xr:uid="{799D9C3C-A8BE-4144-827B-D585C4ACFBD5}"/>
    <cellStyle name="40% - Accent5 8 7" xfId="10455" xr:uid="{9ACC43E9-7356-4845-9808-C62CF64213E4}"/>
    <cellStyle name="40% - Accent5 9" xfId="2344" xr:uid="{00000000-0005-0000-0000-0000DE060000}"/>
    <cellStyle name="40% - Accent5 9 2" xfId="6651" xr:uid="{00000000-0005-0000-0000-0000DF060000}"/>
    <cellStyle name="40% - Accent5 9 2 2" xfId="31950" xr:uid="{7ABA7209-8E60-4A19-A9D3-00B3BEFA2DA9}"/>
    <cellStyle name="40% - Accent5 9 2 3" xfId="23521" xr:uid="{3BD8E9C5-2832-4FA5-BAFD-07E78EF33C68}"/>
    <cellStyle name="40% - Accent5 9 2 4" xfId="40378" xr:uid="{6FA0388C-C375-4FA7-8A48-35C2B0509423}"/>
    <cellStyle name="40% - Accent5 9 2 5" xfId="15086" xr:uid="{85A95B84-CD0C-4E7F-A8B6-8CC3E1963D50}"/>
    <cellStyle name="40% - Accent5 9 3" xfId="27732" xr:uid="{43F695BB-C003-4911-B2A7-3412A1A45D08}"/>
    <cellStyle name="40% - Accent5 9 4" xfId="19303" xr:uid="{81E4FC2B-6ED7-4F95-AD57-DA94274B61EE}"/>
    <cellStyle name="40% - Accent5 9 5" xfId="36161" xr:uid="{68A38917-D301-47B7-A728-FBC24031FAF3}"/>
    <cellStyle name="40% - Accent5 9 6" xfId="10868" xr:uid="{A11C6AFF-476E-483A-9C2F-7B33283ABF97}"/>
    <cellStyle name="40% - Accent6" xfId="89" builtinId="51" customBuiltin="1"/>
    <cellStyle name="40% - Accent6 10" xfId="4593" xr:uid="{00000000-0005-0000-0000-0000E1060000}"/>
    <cellStyle name="40% - Accent6 10 2" xfId="29892" xr:uid="{9FEB81B8-AFB4-4C61-85C0-AE4A25718CDC}"/>
    <cellStyle name="40% - Accent6 10 3" xfId="21463" xr:uid="{5B88327E-41EE-49B7-9397-C0A7D1288E9D}"/>
    <cellStyle name="40% - Accent6 10 4" xfId="38320" xr:uid="{B5335F19-8338-470C-A0E6-CD9E0868CE9D}"/>
    <cellStyle name="40% - Accent6 10 5" xfId="13028" xr:uid="{0143B581-5FDC-40AC-9A63-86FBC85F872E}"/>
    <cellStyle name="40% - Accent6 11" xfId="25674" xr:uid="{3FC8D8AB-58E5-4C25-A860-643D41DAB10B}"/>
    <cellStyle name="40% - Accent6 12" xfId="17245" xr:uid="{6CEF935C-2F41-4AAB-8213-716C0F11F6E7}"/>
    <cellStyle name="40% - Accent6 13" xfId="34103" xr:uid="{FC24BA55-00D5-4C20-936E-C64C1C77714A}"/>
    <cellStyle name="40% - Accent6 14" xfId="8810" xr:uid="{67D4A0A9-BA9F-4F79-9CCC-ED06D5F9EE19}"/>
    <cellStyle name="40% - Accent6 2" xfId="90" xr:uid="{00000000-0005-0000-0000-0000E2060000}"/>
    <cellStyle name="40% - Accent6 2 10" xfId="25675" xr:uid="{807C6527-6232-4BE9-818B-BE12A0535242}"/>
    <cellStyle name="40% - Accent6 2 11" xfId="17246" xr:uid="{33A43837-BD52-4E4B-A014-E3F706E3C6AF}"/>
    <cellStyle name="40% - Accent6 2 12" xfId="34104" xr:uid="{C7E6CE0B-D572-4C73-86B0-9361B2A0A78B}"/>
    <cellStyle name="40% - Accent6 2 13" xfId="8811" xr:uid="{38E90DA6-8074-477B-BC86-477157F88C80}"/>
    <cellStyle name="40% - Accent6 2 2" xfId="91" xr:uid="{00000000-0005-0000-0000-0000E3060000}"/>
    <cellStyle name="40% - Accent6 2 2 10" xfId="17247" xr:uid="{2EBA0611-5FD4-4FD0-9C6E-C74BCBA4459C}"/>
    <cellStyle name="40% - Accent6 2 2 11" xfId="34105" xr:uid="{A3BE3A8C-30AF-4087-879A-8B4E78BDE457}"/>
    <cellStyle name="40% - Accent6 2 2 12" xfId="8812" xr:uid="{7F19B190-82A4-40CF-AC27-312135708966}"/>
    <cellStyle name="40% - Accent6 2 2 2" xfId="92" xr:uid="{00000000-0005-0000-0000-0000E4060000}"/>
    <cellStyle name="40% - Accent6 2 2 2 10" xfId="34106" xr:uid="{74BFFDD8-E34D-4A96-8B2C-CDE55D417128}"/>
    <cellStyle name="40% - Accent6 2 2 2 11" xfId="8813" xr:uid="{113214C0-2335-4FD2-9C1C-B6A30F06669F}"/>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32454" xr:uid="{9F2EECFB-95FA-4D63-A264-82F131F7B420}"/>
    <cellStyle name="40% - Accent6 2 2 2 2 2 2 3" xfId="24025" xr:uid="{45B50A64-BBDE-4E18-8067-D37E71825FDB}"/>
    <cellStyle name="40% - Accent6 2 2 2 2 2 2 4" xfId="40882" xr:uid="{0CB301CC-9EC0-4095-A1AE-03D99B6A167E}"/>
    <cellStyle name="40% - Accent6 2 2 2 2 2 2 5" xfId="15590" xr:uid="{A939440F-72CE-4E1B-8FE1-763A6E3A9851}"/>
    <cellStyle name="40% - Accent6 2 2 2 2 2 3" xfId="28236" xr:uid="{1B610A7C-F77E-4BF9-B78B-69BEDBC0C167}"/>
    <cellStyle name="40% - Accent6 2 2 2 2 2 4" xfId="19807" xr:uid="{1E48EA54-B28C-444A-A77A-DE137E3163C3}"/>
    <cellStyle name="40% - Accent6 2 2 2 2 2 5" xfId="36665" xr:uid="{7EF58194-B189-4797-AD9F-E41B6C130263}"/>
    <cellStyle name="40% - Accent6 2 2 2 2 2 6" xfId="11372" xr:uid="{5EA2DC94-76D1-4C46-B132-7B4A72453937}"/>
    <cellStyle name="40% - Accent6 2 2 2 2 3" xfId="5010" xr:uid="{00000000-0005-0000-0000-0000E8060000}"/>
    <cellStyle name="40% - Accent6 2 2 2 2 3 2" xfId="30309" xr:uid="{980DC990-4F31-4EFF-A0C9-1AAAAF384073}"/>
    <cellStyle name="40% - Accent6 2 2 2 2 3 3" xfId="21880" xr:uid="{EACE3102-5566-4C28-B3F8-49EC82098351}"/>
    <cellStyle name="40% - Accent6 2 2 2 2 3 4" xfId="38737" xr:uid="{ABD38CE5-B2E9-4D4F-AE2B-956A3BB8D0EF}"/>
    <cellStyle name="40% - Accent6 2 2 2 2 3 5" xfId="13445" xr:uid="{5A528280-C912-4B24-A619-F01D81F00F55}"/>
    <cellStyle name="40% - Accent6 2 2 2 2 4" xfId="26091" xr:uid="{3390D32C-D292-4A23-B7AF-1892A98BAE2C}"/>
    <cellStyle name="40% - Accent6 2 2 2 2 5" xfId="17662" xr:uid="{410A4EE2-9597-4FE8-86E3-EBEC27F0F92A}"/>
    <cellStyle name="40% - Accent6 2 2 2 2 6" xfId="34520" xr:uid="{F4A77B9B-D313-4A83-8059-C5ED033D686D}"/>
    <cellStyle name="40% - Accent6 2 2 2 2 7" xfId="9227" xr:uid="{847CEE4E-7CB7-405E-A83F-7AFBF5EE5A7B}"/>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32867" xr:uid="{EA84A1E9-6A02-4F55-B448-10DBA0727412}"/>
    <cellStyle name="40% - Accent6 2 2 2 3 2 2 3" xfId="24438" xr:uid="{E182BFA8-E146-4C87-B33F-4F47DD52D12B}"/>
    <cellStyle name="40% - Accent6 2 2 2 3 2 2 4" xfId="41295" xr:uid="{39CE7305-210B-403D-8096-B6CAF0B60DE7}"/>
    <cellStyle name="40% - Accent6 2 2 2 3 2 2 5" xfId="16003" xr:uid="{B296866E-E3F7-4AE6-B122-DF9FF94F26F4}"/>
    <cellStyle name="40% - Accent6 2 2 2 3 2 3" xfId="28649" xr:uid="{5CC41793-F527-4B64-A3BE-F28DA4F2460B}"/>
    <cellStyle name="40% - Accent6 2 2 2 3 2 4" xfId="20220" xr:uid="{8C972220-5813-4203-AC98-45271B3B7B4C}"/>
    <cellStyle name="40% - Accent6 2 2 2 3 2 5" xfId="37078" xr:uid="{6A7914D4-2543-490B-A2CA-E424F620D3E4}"/>
    <cellStyle name="40% - Accent6 2 2 2 3 2 6" xfId="11785" xr:uid="{707EC4C2-B2E6-4AAC-8416-1A5C31177256}"/>
    <cellStyle name="40% - Accent6 2 2 2 3 3" xfId="5423" xr:uid="{00000000-0005-0000-0000-0000EC060000}"/>
    <cellStyle name="40% - Accent6 2 2 2 3 3 2" xfId="30722" xr:uid="{F886CCB7-54F9-49E1-B42A-2BBBDE09869D}"/>
    <cellStyle name="40% - Accent6 2 2 2 3 3 3" xfId="22293" xr:uid="{7115EFA5-3FD1-4DC9-8C29-826902944CFC}"/>
    <cellStyle name="40% - Accent6 2 2 2 3 3 4" xfId="39150" xr:uid="{CDFE7A1D-7479-4423-8368-AB9E8835661E}"/>
    <cellStyle name="40% - Accent6 2 2 2 3 3 5" xfId="13858" xr:uid="{02BAE1B6-44EC-4CC5-9AE2-E5742342F6BF}"/>
    <cellStyle name="40% - Accent6 2 2 2 3 4" xfId="26504" xr:uid="{89B8994D-138D-46A2-B4BA-A65125F4D67E}"/>
    <cellStyle name="40% - Accent6 2 2 2 3 5" xfId="18075" xr:uid="{E6A0B193-A7B4-4286-9CE8-E648E13B4984}"/>
    <cellStyle name="40% - Accent6 2 2 2 3 6" xfId="34933" xr:uid="{F65A31DD-CBE6-4FDA-B8BB-E5A70D5AE2ED}"/>
    <cellStyle name="40% - Accent6 2 2 2 3 7" xfId="9640" xr:uid="{7C2CB313-6C69-4817-BD6B-92B3D3F4F1D9}"/>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33280" xr:uid="{43BB7F38-3F8B-416D-B810-73825C8BDF30}"/>
    <cellStyle name="40% - Accent6 2 2 2 4 2 2 3" xfId="24851" xr:uid="{C192EE31-856D-4102-97F5-DECBDF874179}"/>
    <cellStyle name="40% - Accent6 2 2 2 4 2 2 4" xfId="41708" xr:uid="{FE6EBD59-222F-423F-ABAE-57618B27144F}"/>
    <cellStyle name="40% - Accent6 2 2 2 4 2 2 5" xfId="16416" xr:uid="{2466A0A6-278B-4154-97FC-8BAB9A982ED8}"/>
    <cellStyle name="40% - Accent6 2 2 2 4 2 3" xfId="29062" xr:uid="{6CC0BDFC-EACC-4E0F-85E8-188311647A63}"/>
    <cellStyle name="40% - Accent6 2 2 2 4 2 4" xfId="20633" xr:uid="{6F995917-C990-4FD3-AA39-B25EF00B711A}"/>
    <cellStyle name="40% - Accent6 2 2 2 4 2 5" xfId="37491" xr:uid="{86B3AE77-B14F-439D-9115-C39A826E8B65}"/>
    <cellStyle name="40% - Accent6 2 2 2 4 2 6" xfId="12198" xr:uid="{B3119E8A-CFA7-42C1-A2D2-C6A1369B68BA}"/>
    <cellStyle name="40% - Accent6 2 2 2 4 3" xfId="5836" xr:uid="{00000000-0005-0000-0000-0000F0060000}"/>
    <cellStyle name="40% - Accent6 2 2 2 4 3 2" xfId="31135" xr:uid="{01F3993E-8A48-4CC4-81EE-7F71C59B9FD0}"/>
    <cellStyle name="40% - Accent6 2 2 2 4 3 3" xfId="22706" xr:uid="{2B7AD312-0DFD-4943-ADF2-138720F535FA}"/>
    <cellStyle name="40% - Accent6 2 2 2 4 3 4" xfId="39563" xr:uid="{B17CC095-F5AC-4EBE-A3A6-20CFD30D6962}"/>
    <cellStyle name="40% - Accent6 2 2 2 4 3 5" xfId="14271" xr:uid="{9C76B192-8514-4581-92C2-47CFD84ADAE9}"/>
    <cellStyle name="40% - Accent6 2 2 2 4 4" xfId="26917" xr:uid="{C099004E-8134-44D7-8FB8-B941ECE85BB8}"/>
    <cellStyle name="40% - Accent6 2 2 2 4 5" xfId="18488" xr:uid="{3BB3A924-6E14-48C0-8DEA-95F0E0EFD3CB}"/>
    <cellStyle name="40% - Accent6 2 2 2 4 6" xfId="35346" xr:uid="{B0525F83-A3C3-4A0E-BB3D-EB27DF0ABC4B}"/>
    <cellStyle name="40% - Accent6 2 2 2 4 7" xfId="10053" xr:uid="{A014CEBA-AB16-4DE7-B5F8-67D92A1DAB4F}"/>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33693" xr:uid="{F7FB4618-C0D2-4B8B-98F9-5B766EC86C57}"/>
    <cellStyle name="40% - Accent6 2 2 2 5 2 2 3" xfId="25264" xr:uid="{790099A5-D9E5-46C2-BA48-8B2E78139D58}"/>
    <cellStyle name="40% - Accent6 2 2 2 5 2 2 4" xfId="42121" xr:uid="{1020702B-CFF0-4A89-B8F7-A79B2AA63401}"/>
    <cellStyle name="40% - Accent6 2 2 2 5 2 2 5" xfId="16829" xr:uid="{37B9BD77-9A12-48B2-8C4C-95911E97B0D4}"/>
    <cellStyle name="40% - Accent6 2 2 2 5 2 3" xfId="29475" xr:uid="{EF9CD304-FF12-44FC-88D9-49FD4D7F3C1F}"/>
    <cellStyle name="40% - Accent6 2 2 2 5 2 4" xfId="21046" xr:uid="{5915329B-3016-47F5-B16C-8A28B932C043}"/>
    <cellStyle name="40% - Accent6 2 2 2 5 2 5" xfId="37904" xr:uid="{3D646869-D076-4181-868B-B00B41C8F854}"/>
    <cellStyle name="40% - Accent6 2 2 2 5 2 6" xfId="12611" xr:uid="{23154159-C85E-40DA-A0BC-3083A22D6D48}"/>
    <cellStyle name="40% - Accent6 2 2 2 5 3" xfId="6249" xr:uid="{00000000-0005-0000-0000-0000F4060000}"/>
    <cellStyle name="40% - Accent6 2 2 2 5 3 2" xfId="31548" xr:uid="{AFC621B9-0755-4D56-9994-9A797320E304}"/>
    <cellStyle name="40% - Accent6 2 2 2 5 3 3" xfId="23119" xr:uid="{98174D17-CCEF-4BA2-BCF9-BBCE232595C0}"/>
    <cellStyle name="40% - Accent6 2 2 2 5 3 4" xfId="39976" xr:uid="{F87D73D0-427D-4842-834D-836663C59207}"/>
    <cellStyle name="40% - Accent6 2 2 2 5 3 5" xfId="14684" xr:uid="{F85D70AB-0D37-41E0-A6F3-B7F7C28E5C77}"/>
    <cellStyle name="40% - Accent6 2 2 2 5 4" xfId="27330" xr:uid="{A4F3267B-7604-4699-9E0B-293250699B88}"/>
    <cellStyle name="40% - Accent6 2 2 2 5 5" xfId="18901" xr:uid="{88AA19D5-C6F3-4459-AAEB-59C181BBA6DC}"/>
    <cellStyle name="40% - Accent6 2 2 2 5 6" xfId="35759" xr:uid="{D9903758-4E16-4926-80AE-85297A629331}"/>
    <cellStyle name="40% - Accent6 2 2 2 5 7" xfId="10466" xr:uid="{11D4577B-4299-4E1B-AD8C-AFF514FB1B6C}"/>
    <cellStyle name="40% - Accent6 2 2 2 6" xfId="2355" xr:uid="{00000000-0005-0000-0000-0000F5060000}"/>
    <cellStyle name="40% - Accent6 2 2 2 6 2" xfId="6662" xr:uid="{00000000-0005-0000-0000-0000F6060000}"/>
    <cellStyle name="40% - Accent6 2 2 2 6 2 2" xfId="31961" xr:uid="{B1C5653C-5694-4AE8-945E-2F1C32356D0C}"/>
    <cellStyle name="40% - Accent6 2 2 2 6 2 3" xfId="23532" xr:uid="{863CF848-AEFD-4383-9C7F-49482C46AA75}"/>
    <cellStyle name="40% - Accent6 2 2 2 6 2 4" xfId="40389" xr:uid="{1991629F-8C74-4519-8087-00253F2D182B}"/>
    <cellStyle name="40% - Accent6 2 2 2 6 2 5" xfId="15097" xr:uid="{AB00C617-CA6E-45C3-87D1-E9490831DA97}"/>
    <cellStyle name="40% - Accent6 2 2 2 6 3" xfId="27743" xr:uid="{62750ABD-C3C4-4C04-BA20-C383E498CFE2}"/>
    <cellStyle name="40% - Accent6 2 2 2 6 4" xfId="19314" xr:uid="{DA5BC9E4-E5E8-40E5-BB13-1C44CCA00D2B}"/>
    <cellStyle name="40% - Accent6 2 2 2 6 5" xfId="36172" xr:uid="{621EEE9C-B4CA-4365-83E8-E572531CBE32}"/>
    <cellStyle name="40% - Accent6 2 2 2 6 6" xfId="10879" xr:uid="{73A58747-1ED9-4B79-A347-C4C3D10C3548}"/>
    <cellStyle name="40% - Accent6 2 2 2 7" xfId="4596" xr:uid="{00000000-0005-0000-0000-0000F7060000}"/>
    <cellStyle name="40% - Accent6 2 2 2 7 2" xfId="29895" xr:uid="{EB6980DC-C2C9-4591-A215-6FDF1083D32E}"/>
    <cellStyle name="40% - Accent6 2 2 2 7 3" xfId="21466" xr:uid="{BFFB1B90-6FCD-4E7B-9C4F-89E252D1A1B3}"/>
    <cellStyle name="40% - Accent6 2 2 2 7 4" xfId="38323" xr:uid="{63A0720D-69F8-4C1B-92F4-EB74E9D875F3}"/>
    <cellStyle name="40% - Accent6 2 2 2 7 5" xfId="13031" xr:uid="{89007BF8-AF2F-49C1-BEBB-9648BB091210}"/>
    <cellStyle name="40% - Accent6 2 2 2 8" xfId="25677" xr:uid="{D1910282-285E-407A-9B83-FF4DF4234A81}"/>
    <cellStyle name="40% - Accent6 2 2 2 9" xfId="17248" xr:uid="{337AAAAE-7F6A-4330-B258-FB044C629D72}"/>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32453" xr:uid="{E33D6755-1B90-4441-9F5B-701100CD2BDE}"/>
    <cellStyle name="40% - Accent6 2 2 3 2 2 3" xfId="24024" xr:uid="{2116CA64-5C8F-4252-9987-F35837149870}"/>
    <cellStyle name="40% - Accent6 2 2 3 2 2 4" xfId="40881" xr:uid="{7437FC11-7A3A-4D35-9D33-E8E5B500EFD3}"/>
    <cellStyle name="40% - Accent6 2 2 3 2 2 5" xfId="15589" xr:uid="{75094D7F-FB31-453A-8B1D-765FAB9876E3}"/>
    <cellStyle name="40% - Accent6 2 2 3 2 3" xfId="28235" xr:uid="{BE6F3B71-A11C-43F7-8B10-8339EDF0B2F4}"/>
    <cellStyle name="40% - Accent6 2 2 3 2 4" xfId="19806" xr:uid="{B55D6AA0-B568-4FBF-9626-3769565898A4}"/>
    <cellStyle name="40% - Accent6 2 2 3 2 5" xfId="36664" xr:uid="{F2CA8109-74E9-4840-996E-517A23F63536}"/>
    <cellStyle name="40% - Accent6 2 2 3 2 6" xfId="11371" xr:uid="{8B0464E5-09B9-4747-9E8E-15D23412F77D}"/>
    <cellStyle name="40% - Accent6 2 2 3 3" xfId="5009" xr:uid="{00000000-0005-0000-0000-0000FB060000}"/>
    <cellStyle name="40% - Accent6 2 2 3 3 2" xfId="30308" xr:uid="{232A50D9-58F3-4F32-A437-8FFE2EDE87D1}"/>
    <cellStyle name="40% - Accent6 2 2 3 3 3" xfId="21879" xr:uid="{E9D1AE6A-8794-4C77-B47F-9BD9B39A4107}"/>
    <cellStyle name="40% - Accent6 2 2 3 3 4" xfId="38736" xr:uid="{89B30D2D-A250-4E5C-9FFE-084BD2FAA8F3}"/>
    <cellStyle name="40% - Accent6 2 2 3 3 5" xfId="13444" xr:uid="{BFE2C664-060F-47F8-85FF-614CFF4345F5}"/>
    <cellStyle name="40% - Accent6 2 2 3 4" xfId="26090" xr:uid="{F7A7FD53-0C78-4D1E-8E6C-58D5F4835DD2}"/>
    <cellStyle name="40% - Accent6 2 2 3 5" xfId="17661" xr:uid="{18884FD3-5E20-4A76-934B-9349C2B6E4F4}"/>
    <cellStyle name="40% - Accent6 2 2 3 6" xfId="34519" xr:uid="{DDF7B239-6720-4C15-830F-87BFF42CD26A}"/>
    <cellStyle name="40% - Accent6 2 2 3 7" xfId="9226" xr:uid="{72B8A73B-3139-4A14-A8E4-9C23796D6E27}"/>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32866" xr:uid="{837DF4C0-9566-44B5-8F84-F64886D4E17E}"/>
    <cellStyle name="40% - Accent6 2 2 4 2 2 3" xfId="24437" xr:uid="{4E13E04E-3FA6-470B-96EE-1B9B523DA182}"/>
    <cellStyle name="40% - Accent6 2 2 4 2 2 4" xfId="41294" xr:uid="{6A984457-B2FB-4514-AA55-D6559C85FF6A}"/>
    <cellStyle name="40% - Accent6 2 2 4 2 2 5" xfId="16002" xr:uid="{97F29092-31B2-499B-8F96-077DA63FEDB6}"/>
    <cellStyle name="40% - Accent6 2 2 4 2 3" xfId="28648" xr:uid="{DA757317-B206-4A0C-982D-FF80BD791CAF}"/>
    <cellStyle name="40% - Accent6 2 2 4 2 4" xfId="20219" xr:uid="{F23F3219-4331-42C7-9A6E-68DF621743D6}"/>
    <cellStyle name="40% - Accent6 2 2 4 2 5" xfId="37077" xr:uid="{B4F54395-95BE-464E-8E7B-2DD4680C8606}"/>
    <cellStyle name="40% - Accent6 2 2 4 2 6" xfId="11784" xr:uid="{5D97C731-39AE-4319-87B0-3E50F584602A}"/>
    <cellStyle name="40% - Accent6 2 2 4 3" xfId="5422" xr:uid="{00000000-0005-0000-0000-0000FF060000}"/>
    <cellStyle name="40% - Accent6 2 2 4 3 2" xfId="30721" xr:uid="{1C781D66-425C-407D-955A-042865A93328}"/>
    <cellStyle name="40% - Accent6 2 2 4 3 3" xfId="22292" xr:uid="{127036E1-23E7-4CB8-90B5-EC986DB1C81B}"/>
    <cellStyle name="40% - Accent6 2 2 4 3 4" xfId="39149" xr:uid="{B85CCC61-8A18-415A-BDDE-02E3B8A5FAD0}"/>
    <cellStyle name="40% - Accent6 2 2 4 3 5" xfId="13857" xr:uid="{F827FE1E-3162-4A28-B115-F343D1185AF6}"/>
    <cellStyle name="40% - Accent6 2 2 4 4" xfId="26503" xr:uid="{A97F528E-956C-4509-9624-1C0430A92630}"/>
    <cellStyle name="40% - Accent6 2 2 4 5" xfId="18074" xr:uid="{8D685923-7271-4D64-965B-2FA285F4A995}"/>
    <cellStyle name="40% - Accent6 2 2 4 6" xfId="34932" xr:uid="{75E60A25-3050-4E4A-AFAA-15959EF33077}"/>
    <cellStyle name="40% - Accent6 2 2 4 7" xfId="9639" xr:uid="{BDCC14FC-1703-4AA3-9F69-069A43F670D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33279" xr:uid="{6BDBC18C-770E-4D5E-8E81-18FEBC233297}"/>
    <cellStyle name="40% - Accent6 2 2 5 2 2 3" xfId="24850" xr:uid="{6DA029D8-06AD-4CDE-A762-3EF9CB647523}"/>
    <cellStyle name="40% - Accent6 2 2 5 2 2 4" xfId="41707" xr:uid="{F8B30D26-9DEF-4708-A139-CA1F35AAA017}"/>
    <cellStyle name="40% - Accent6 2 2 5 2 2 5" xfId="16415" xr:uid="{24D16F64-F6ED-4F1C-96D5-616A8224462F}"/>
    <cellStyle name="40% - Accent6 2 2 5 2 3" xfId="29061" xr:uid="{5D7D4424-AA1A-462A-B084-D91B0B4B1F88}"/>
    <cellStyle name="40% - Accent6 2 2 5 2 4" xfId="20632" xr:uid="{82A6B9E6-E320-4EA4-9189-673E98FB1BFF}"/>
    <cellStyle name="40% - Accent6 2 2 5 2 5" xfId="37490" xr:uid="{60C9AC5F-D3FC-469D-B6F5-1D5ECB20547F}"/>
    <cellStyle name="40% - Accent6 2 2 5 2 6" xfId="12197" xr:uid="{407FCF59-1EF6-4642-9DE6-6701B99C8373}"/>
    <cellStyle name="40% - Accent6 2 2 5 3" xfId="5835" xr:uid="{00000000-0005-0000-0000-000003070000}"/>
    <cellStyle name="40% - Accent6 2 2 5 3 2" xfId="31134" xr:uid="{A3C9BFD6-DF7A-46F6-8A42-3B93D5C4CCB2}"/>
    <cellStyle name="40% - Accent6 2 2 5 3 3" xfId="22705" xr:uid="{C20F521E-4432-4959-B540-21A3A92CFEEC}"/>
    <cellStyle name="40% - Accent6 2 2 5 3 4" xfId="39562" xr:uid="{7C07A60B-5234-49CB-8EA1-9204E8550655}"/>
    <cellStyle name="40% - Accent6 2 2 5 3 5" xfId="14270" xr:uid="{19A6239C-FEDD-49F5-B90B-E785A5FB31E0}"/>
    <cellStyle name="40% - Accent6 2 2 5 4" xfId="26916" xr:uid="{6CA6A7AB-6E10-4A94-91C6-7E79646E5B3C}"/>
    <cellStyle name="40% - Accent6 2 2 5 5" xfId="18487" xr:uid="{EB9F0A8C-8A0F-405F-8FED-68E403D3C4E7}"/>
    <cellStyle name="40% - Accent6 2 2 5 6" xfId="35345" xr:uid="{7E47E9A4-67AD-4210-8442-A315A9A68DAF}"/>
    <cellStyle name="40% - Accent6 2 2 5 7" xfId="10052" xr:uid="{6589421A-4C25-467D-9C87-A397512AB5BC}"/>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33692" xr:uid="{38B0AAD3-1FEB-45C1-9543-47ED3CF3954B}"/>
    <cellStyle name="40% - Accent6 2 2 6 2 2 3" xfId="25263" xr:uid="{0F849B1F-0A06-48A9-936C-0E1D233524EB}"/>
    <cellStyle name="40% - Accent6 2 2 6 2 2 4" xfId="42120" xr:uid="{143D808E-A7AB-4417-A649-2DA070E1B788}"/>
    <cellStyle name="40% - Accent6 2 2 6 2 2 5" xfId="16828" xr:uid="{997AC874-ABFF-4126-8818-6336C8F90EE1}"/>
    <cellStyle name="40% - Accent6 2 2 6 2 3" xfId="29474" xr:uid="{748A7E4A-2EC4-4A4F-B3E1-7DA643391580}"/>
    <cellStyle name="40% - Accent6 2 2 6 2 4" xfId="21045" xr:uid="{81EBC488-E687-4C1E-B557-43DA78A2C9A6}"/>
    <cellStyle name="40% - Accent6 2 2 6 2 5" xfId="37903" xr:uid="{394F44B6-0703-4E55-9276-430F1BA94814}"/>
    <cellStyle name="40% - Accent6 2 2 6 2 6" xfId="12610" xr:uid="{BF723BFC-2532-484F-A368-89A944151767}"/>
    <cellStyle name="40% - Accent6 2 2 6 3" xfId="6248" xr:uid="{00000000-0005-0000-0000-000007070000}"/>
    <cellStyle name="40% - Accent6 2 2 6 3 2" xfId="31547" xr:uid="{C9890C57-D5BB-4B27-9233-AFE5C4786A3C}"/>
    <cellStyle name="40% - Accent6 2 2 6 3 3" xfId="23118" xr:uid="{76F47115-46B3-4C01-9210-19745B810C6C}"/>
    <cellStyle name="40% - Accent6 2 2 6 3 4" xfId="39975" xr:uid="{FD0B532C-3F14-4F34-80A0-A36391C22B64}"/>
    <cellStyle name="40% - Accent6 2 2 6 3 5" xfId="14683" xr:uid="{71536598-A635-4E87-B111-C3C45D4EB2F6}"/>
    <cellStyle name="40% - Accent6 2 2 6 4" xfId="27329" xr:uid="{D77A7F0C-146C-4EA4-81A1-ECDFBE02FE34}"/>
    <cellStyle name="40% - Accent6 2 2 6 5" xfId="18900" xr:uid="{6E77D993-0408-4087-B3C2-1654ECC0E72E}"/>
    <cellStyle name="40% - Accent6 2 2 6 6" xfId="35758" xr:uid="{B5E47BC1-2DFE-4B48-A316-47036521BE55}"/>
    <cellStyle name="40% - Accent6 2 2 6 7" xfId="10465" xr:uid="{B644A334-702D-461E-954C-6AC705E37CF4}"/>
    <cellStyle name="40% - Accent6 2 2 7" xfId="2354" xr:uid="{00000000-0005-0000-0000-000008070000}"/>
    <cellStyle name="40% - Accent6 2 2 7 2" xfId="6661" xr:uid="{00000000-0005-0000-0000-000009070000}"/>
    <cellStyle name="40% - Accent6 2 2 7 2 2" xfId="31960" xr:uid="{9DF1CF9F-16DF-4B8A-893C-A2AE5F69BC54}"/>
    <cellStyle name="40% - Accent6 2 2 7 2 3" xfId="23531" xr:uid="{0E0ECC0D-59E2-4B06-9AC5-1187A6AAE849}"/>
    <cellStyle name="40% - Accent6 2 2 7 2 4" xfId="40388" xr:uid="{399255E1-7246-4B95-A888-35E2D09E11E2}"/>
    <cellStyle name="40% - Accent6 2 2 7 2 5" xfId="15096" xr:uid="{EAA68C8A-86F6-465E-AEC0-2FBC3602FACD}"/>
    <cellStyle name="40% - Accent6 2 2 7 3" xfId="27742" xr:uid="{073D8FC4-9B99-4E48-A886-4FD8E0B1B7B5}"/>
    <cellStyle name="40% - Accent6 2 2 7 4" xfId="19313" xr:uid="{0FAF39CA-67D6-4CB0-9DD3-85624DF1B5CC}"/>
    <cellStyle name="40% - Accent6 2 2 7 5" xfId="36171" xr:uid="{5A45B63C-871B-4CB8-AEE5-BF2FBF498585}"/>
    <cellStyle name="40% - Accent6 2 2 7 6" xfId="10878" xr:uid="{55AB314D-0AD8-430D-9DD3-8F09542738B9}"/>
    <cellStyle name="40% - Accent6 2 2 8" xfId="4595" xr:uid="{00000000-0005-0000-0000-00000A070000}"/>
    <cellStyle name="40% - Accent6 2 2 8 2" xfId="29894" xr:uid="{2A519EBD-2235-49BE-9267-30775EB7A856}"/>
    <cellStyle name="40% - Accent6 2 2 8 3" xfId="21465" xr:uid="{AA6CC2E1-5810-42EC-8394-4E7630104E9B}"/>
    <cellStyle name="40% - Accent6 2 2 8 4" xfId="38322" xr:uid="{C6FC5748-325B-4DC9-B97D-CF87FCC9191F}"/>
    <cellStyle name="40% - Accent6 2 2 8 5" xfId="13030" xr:uid="{64D201B4-F1B2-4AA3-B040-47C3C8E6CCDC}"/>
    <cellStyle name="40% - Accent6 2 2 9" xfId="25676" xr:uid="{ECF1AD22-671C-4086-911F-161B079E1D9F}"/>
    <cellStyle name="40% - Accent6 2 3" xfId="93" xr:uid="{00000000-0005-0000-0000-00000B070000}"/>
    <cellStyle name="40% - Accent6 2 3 10" xfId="34107" xr:uid="{36A68055-B819-4E7D-88CF-10BA65A2C10E}"/>
    <cellStyle name="40% - Accent6 2 3 11" xfId="8814" xr:uid="{56952BBD-F849-40B5-B804-6EBD8A5DFBD5}"/>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32455" xr:uid="{5BA670DF-B67D-4B5F-A25C-2793B6D6586B}"/>
    <cellStyle name="40% - Accent6 2 3 2 2 2 3" xfId="24026" xr:uid="{D0797D44-BE7D-4969-AB52-913973D98D25}"/>
    <cellStyle name="40% - Accent6 2 3 2 2 2 4" xfId="40883" xr:uid="{38B45D82-B3CD-4762-B2DF-69FE3DD7C4CC}"/>
    <cellStyle name="40% - Accent6 2 3 2 2 2 5" xfId="15591" xr:uid="{D1C23CF3-D36A-407C-BF0E-DA88A837A683}"/>
    <cellStyle name="40% - Accent6 2 3 2 2 3" xfId="28237" xr:uid="{6BEF9F88-BBF3-43F2-92BE-8D3CCA38BB43}"/>
    <cellStyle name="40% - Accent6 2 3 2 2 4" xfId="19808" xr:uid="{8CF4265E-31D1-4327-8C26-BE5C859CA103}"/>
    <cellStyle name="40% - Accent6 2 3 2 2 5" xfId="36666" xr:uid="{C19A4758-E8F0-4E22-AAA5-A1E78CA25C54}"/>
    <cellStyle name="40% - Accent6 2 3 2 2 6" xfId="11373" xr:uid="{5C8B525F-0E97-4DCA-BC15-E4EC77A313B2}"/>
    <cellStyle name="40% - Accent6 2 3 2 3" xfId="5011" xr:uid="{00000000-0005-0000-0000-00000F070000}"/>
    <cellStyle name="40% - Accent6 2 3 2 3 2" xfId="30310" xr:uid="{9CC8C9D6-1A41-49AD-A046-67D7BF7B97EA}"/>
    <cellStyle name="40% - Accent6 2 3 2 3 3" xfId="21881" xr:uid="{F2DCE704-DA3C-4B0F-AF2B-8B8E147259E7}"/>
    <cellStyle name="40% - Accent6 2 3 2 3 4" xfId="38738" xr:uid="{B75FE341-AC95-44DE-BD15-945839EF6FA3}"/>
    <cellStyle name="40% - Accent6 2 3 2 3 5" xfId="13446" xr:uid="{664DEDC0-A0D4-4B25-A05B-660FEFED5C17}"/>
    <cellStyle name="40% - Accent6 2 3 2 4" xfId="26092" xr:uid="{23847943-D103-4F3F-98A2-3C7FE2BF2A04}"/>
    <cellStyle name="40% - Accent6 2 3 2 5" xfId="17663" xr:uid="{8528F69D-021F-41AF-8C27-523B167D0F0F}"/>
    <cellStyle name="40% - Accent6 2 3 2 6" xfId="34521" xr:uid="{8ED32D40-FFB8-452A-87BF-4E3A0DB89079}"/>
    <cellStyle name="40% - Accent6 2 3 2 7" xfId="9228" xr:uid="{7CCBB526-9C4B-4E4C-BCB7-34B7BD5F674F}"/>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32868" xr:uid="{9664B575-54D7-4B92-BA17-C731F9659791}"/>
    <cellStyle name="40% - Accent6 2 3 3 2 2 3" xfId="24439" xr:uid="{C43A0BDA-0A4B-48C2-B5D1-2057075AC8BD}"/>
    <cellStyle name="40% - Accent6 2 3 3 2 2 4" xfId="41296" xr:uid="{E14B2D6B-E00E-4B5A-8899-92BF5FB9E8F4}"/>
    <cellStyle name="40% - Accent6 2 3 3 2 2 5" xfId="16004" xr:uid="{4EB1A084-3407-4BBE-85A2-FBF80F578D1E}"/>
    <cellStyle name="40% - Accent6 2 3 3 2 3" xfId="28650" xr:uid="{B8FC8BFB-6694-4668-BCD3-6DF2ED6A36AC}"/>
    <cellStyle name="40% - Accent6 2 3 3 2 4" xfId="20221" xr:uid="{44D8536E-B1E8-45AA-9113-EBAF43277EC1}"/>
    <cellStyle name="40% - Accent6 2 3 3 2 5" xfId="37079" xr:uid="{CE83ECA4-7E95-4D64-809A-0386D877E147}"/>
    <cellStyle name="40% - Accent6 2 3 3 2 6" xfId="11786" xr:uid="{14A62D0C-32D7-41D9-8786-7BCDFEDBEA1A}"/>
    <cellStyle name="40% - Accent6 2 3 3 3" xfId="5424" xr:uid="{00000000-0005-0000-0000-000013070000}"/>
    <cellStyle name="40% - Accent6 2 3 3 3 2" xfId="30723" xr:uid="{0AF8900B-704C-4C4D-A16E-8A88A8C7098B}"/>
    <cellStyle name="40% - Accent6 2 3 3 3 3" xfId="22294" xr:uid="{E76B689D-855D-4FB6-B1BC-292CC486DA16}"/>
    <cellStyle name="40% - Accent6 2 3 3 3 4" xfId="39151" xr:uid="{41DAD8F2-5DA6-4F6E-8A19-660A9618F1E8}"/>
    <cellStyle name="40% - Accent6 2 3 3 3 5" xfId="13859" xr:uid="{321343E9-20EB-4C01-9C0D-9ED7C9C1AD8C}"/>
    <cellStyle name="40% - Accent6 2 3 3 4" xfId="26505" xr:uid="{60B6F4FF-F465-432C-AE2A-B5C527ED23CE}"/>
    <cellStyle name="40% - Accent6 2 3 3 5" xfId="18076" xr:uid="{90736B8E-D205-45E4-8220-2D79EB910D2F}"/>
    <cellStyle name="40% - Accent6 2 3 3 6" xfId="34934" xr:uid="{367B5563-382C-4C17-B084-1318B3C16425}"/>
    <cellStyle name="40% - Accent6 2 3 3 7" xfId="9641" xr:uid="{2484CC25-3D4D-48A7-B6FA-2BE63D78476E}"/>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33281" xr:uid="{187CB72B-4DD9-4A7D-ADD8-ED4548D6B56C}"/>
    <cellStyle name="40% - Accent6 2 3 4 2 2 3" xfId="24852" xr:uid="{6836E19E-8E31-404A-A2BD-63595C7D89E1}"/>
    <cellStyle name="40% - Accent6 2 3 4 2 2 4" xfId="41709" xr:uid="{0889213F-A0A8-49A6-B4C5-F7F0A698816F}"/>
    <cellStyle name="40% - Accent6 2 3 4 2 2 5" xfId="16417" xr:uid="{5703FC06-9B9A-48D1-9038-3825CD13A6B5}"/>
    <cellStyle name="40% - Accent6 2 3 4 2 3" xfId="29063" xr:uid="{A084CFEA-3930-49D8-84C1-C4BFADC2C4ED}"/>
    <cellStyle name="40% - Accent6 2 3 4 2 4" xfId="20634" xr:uid="{1AD1219F-5725-4297-ABC2-B295B20F529F}"/>
    <cellStyle name="40% - Accent6 2 3 4 2 5" xfId="37492" xr:uid="{E2D47852-7124-4032-9CDE-551747FC22DA}"/>
    <cellStyle name="40% - Accent6 2 3 4 2 6" xfId="12199" xr:uid="{01D2C7BC-9690-4D49-9885-A548163EB898}"/>
    <cellStyle name="40% - Accent6 2 3 4 3" xfId="5837" xr:uid="{00000000-0005-0000-0000-000017070000}"/>
    <cellStyle name="40% - Accent6 2 3 4 3 2" xfId="31136" xr:uid="{F78F7464-9A7B-4C41-8A95-3609AF9BC5F0}"/>
    <cellStyle name="40% - Accent6 2 3 4 3 3" xfId="22707" xr:uid="{F7ECDC03-3DDC-413F-826F-B738595D46BD}"/>
    <cellStyle name="40% - Accent6 2 3 4 3 4" xfId="39564" xr:uid="{2EA346E7-D908-4BA8-AE80-F340EBE29716}"/>
    <cellStyle name="40% - Accent6 2 3 4 3 5" xfId="14272" xr:uid="{CA208FB5-CBF0-4440-802D-5B65079BF5E0}"/>
    <cellStyle name="40% - Accent6 2 3 4 4" xfId="26918" xr:uid="{E171780D-D6E2-413F-BE85-801BEA4ABE8D}"/>
    <cellStyle name="40% - Accent6 2 3 4 5" xfId="18489" xr:uid="{EAB5A86E-D924-4439-BB24-676A6EF37C84}"/>
    <cellStyle name="40% - Accent6 2 3 4 6" xfId="35347" xr:uid="{7B51B784-C7A7-4E49-96E7-46C81EE9853D}"/>
    <cellStyle name="40% - Accent6 2 3 4 7" xfId="10054" xr:uid="{E32BB94F-DD5C-419E-8C55-3E820F7E9745}"/>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33694" xr:uid="{2ADD8C89-3B2E-4A79-B862-B2B53214208A}"/>
    <cellStyle name="40% - Accent6 2 3 5 2 2 3" xfId="25265" xr:uid="{11C13EDB-D82F-4657-BF62-228B4543E53C}"/>
    <cellStyle name="40% - Accent6 2 3 5 2 2 4" xfId="42122" xr:uid="{9CDCAA86-FA80-43E0-9A5F-A1AB2B4C4DD3}"/>
    <cellStyle name="40% - Accent6 2 3 5 2 2 5" xfId="16830" xr:uid="{457713E9-363C-4ADC-BD26-29CA47A84028}"/>
    <cellStyle name="40% - Accent6 2 3 5 2 3" xfId="29476" xr:uid="{8342DB60-2F89-4B02-801F-AB5B0FD92407}"/>
    <cellStyle name="40% - Accent6 2 3 5 2 4" xfId="21047" xr:uid="{9A6323AF-B225-4BB7-9E2D-9FEDDF5AA810}"/>
    <cellStyle name="40% - Accent6 2 3 5 2 5" xfId="37905" xr:uid="{752DA9B9-340B-4572-81FB-04BF45B5EC10}"/>
    <cellStyle name="40% - Accent6 2 3 5 2 6" xfId="12612" xr:uid="{09ACA415-78E6-4882-80A0-5112F58960FF}"/>
    <cellStyle name="40% - Accent6 2 3 5 3" xfId="6250" xr:uid="{00000000-0005-0000-0000-00001B070000}"/>
    <cellStyle name="40% - Accent6 2 3 5 3 2" xfId="31549" xr:uid="{A1BC9DC8-04F8-4589-962D-AC258FAC9356}"/>
    <cellStyle name="40% - Accent6 2 3 5 3 3" xfId="23120" xr:uid="{8E261EB1-83BC-4400-9D10-48B6EC1B6078}"/>
    <cellStyle name="40% - Accent6 2 3 5 3 4" xfId="39977" xr:uid="{91A54D7E-B9E7-4A98-9D21-F8778E299FE1}"/>
    <cellStyle name="40% - Accent6 2 3 5 3 5" xfId="14685" xr:uid="{3E15C138-2B14-4059-9AF2-EC2C12AEFB76}"/>
    <cellStyle name="40% - Accent6 2 3 5 4" xfId="27331" xr:uid="{030CB4D9-EC01-4EBD-BDB0-140C4AF6279C}"/>
    <cellStyle name="40% - Accent6 2 3 5 5" xfId="18902" xr:uid="{94371927-CBE1-4D45-B82B-F4C9963C6A75}"/>
    <cellStyle name="40% - Accent6 2 3 5 6" xfId="35760" xr:uid="{703F0F14-DE06-4091-947A-0AC67C41FC71}"/>
    <cellStyle name="40% - Accent6 2 3 5 7" xfId="10467" xr:uid="{4D575FAB-60A9-472C-8990-BC00E0F023D8}"/>
    <cellStyle name="40% - Accent6 2 3 6" xfId="2356" xr:uid="{00000000-0005-0000-0000-00001C070000}"/>
    <cellStyle name="40% - Accent6 2 3 6 2" xfId="6663" xr:uid="{00000000-0005-0000-0000-00001D070000}"/>
    <cellStyle name="40% - Accent6 2 3 6 2 2" xfId="31962" xr:uid="{A337D458-8AF0-4D47-B219-D7F7426A2DC3}"/>
    <cellStyle name="40% - Accent6 2 3 6 2 3" xfId="23533" xr:uid="{62D49732-5AD6-4AC0-88B7-87C639AC7443}"/>
    <cellStyle name="40% - Accent6 2 3 6 2 4" xfId="40390" xr:uid="{8136C72E-AE8F-4108-B21B-EC2DA60EC2B7}"/>
    <cellStyle name="40% - Accent6 2 3 6 2 5" xfId="15098" xr:uid="{74E69498-984B-4243-82A1-665AC3839E1A}"/>
    <cellStyle name="40% - Accent6 2 3 6 3" xfId="27744" xr:uid="{C6F3D2C1-A78C-4832-86BD-583F6D1C78B3}"/>
    <cellStyle name="40% - Accent6 2 3 6 4" xfId="19315" xr:uid="{1961EA48-DEA2-4335-9934-C4034A64D0BD}"/>
    <cellStyle name="40% - Accent6 2 3 6 5" xfId="36173" xr:uid="{D6E88DEE-E8A0-41A9-8520-B0C0378D58FB}"/>
    <cellStyle name="40% - Accent6 2 3 6 6" xfId="10880" xr:uid="{55E02C4C-A7BA-4969-B5EC-306D6DFEE09B}"/>
    <cellStyle name="40% - Accent6 2 3 7" xfId="4597" xr:uid="{00000000-0005-0000-0000-00001E070000}"/>
    <cellStyle name="40% - Accent6 2 3 7 2" xfId="29896" xr:uid="{A7B55F77-C0A2-49C2-96AF-5E3558660AEA}"/>
    <cellStyle name="40% - Accent6 2 3 7 3" xfId="21467" xr:uid="{352ADEF0-6803-4170-9DEE-5EEF71379DAE}"/>
    <cellStyle name="40% - Accent6 2 3 7 4" xfId="38324" xr:uid="{F05111BA-0ADB-4B0E-9B57-ED93AE8234E6}"/>
    <cellStyle name="40% - Accent6 2 3 7 5" xfId="13032" xr:uid="{AAE784AC-E948-4631-AA30-9D73A5252E01}"/>
    <cellStyle name="40% - Accent6 2 3 8" xfId="25678" xr:uid="{8CEBD351-F70F-4AE2-ADD4-7DEB3345323F}"/>
    <cellStyle name="40% - Accent6 2 3 9" xfId="17249" xr:uid="{6C328D18-9B30-4E98-8B97-087A91DD56F6}"/>
    <cellStyle name="40% - Accent6 2 4" xfId="659" xr:uid="{00000000-0005-0000-0000-00001F070000}"/>
    <cellStyle name="40% - Accent6 2 4 2" xfId="2930" xr:uid="{00000000-0005-0000-0000-000020070000}"/>
    <cellStyle name="40% - Accent6 2 4 2 2" xfId="7153" xr:uid="{00000000-0005-0000-0000-000021070000}"/>
    <cellStyle name="40% - Accent6 2 4 2 2 2" xfId="32452" xr:uid="{B99A5AC1-69A0-43F2-A252-3E487F8C0965}"/>
    <cellStyle name="40% - Accent6 2 4 2 2 3" xfId="24023" xr:uid="{51083782-F3D9-4837-B1C4-F3730BBC451A}"/>
    <cellStyle name="40% - Accent6 2 4 2 2 4" xfId="40880" xr:uid="{A2D9930A-7B89-449A-8676-EC24E9CE8696}"/>
    <cellStyle name="40% - Accent6 2 4 2 2 5" xfId="15588" xr:uid="{81E82878-A1EF-4910-A788-61509B1232E2}"/>
    <cellStyle name="40% - Accent6 2 4 2 3" xfId="28234" xr:uid="{D2F0B46A-2511-43F9-A055-34B6B2CB872E}"/>
    <cellStyle name="40% - Accent6 2 4 2 4" xfId="19805" xr:uid="{91A9A6AE-A218-4CB5-BB42-489D88F2BB43}"/>
    <cellStyle name="40% - Accent6 2 4 2 5" xfId="36663" xr:uid="{AFD00D4B-1BDD-42AC-A0BE-212B23FD5849}"/>
    <cellStyle name="40% - Accent6 2 4 2 6" xfId="11370" xr:uid="{F62CFC85-BFC6-4CA3-B931-740AC1521087}"/>
    <cellStyle name="40% - Accent6 2 4 3" xfId="5008" xr:uid="{00000000-0005-0000-0000-000022070000}"/>
    <cellStyle name="40% - Accent6 2 4 3 2" xfId="30307" xr:uid="{C625C93B-AAC6-4FEF-9B8D-DA3B81770118}"/>
    <cellStyle name="40% - Accent6 2 4 3 3" xfId="21878" xr:uid="{4FD70D61-8068-4341-98AB-3504A302544F}"/>
    <cellStyle name="40% - Accent6 2 4 3 4" xfId="38735" xr:uid="{5529C643-6BDF-42DB-8CCE-CBE8D8074017}"/>
    <cellStyle name="40% - Accent6 2 4 3 5" xfId="13443" xr:uid="{FCB1354D-FA68-4591-9AC1-9C2B710B689B}"/>
    <cellStyle name="40% - Accent6 2 4 4" xfId="26089" xr:uid="{5F7E5F71-BE2F-429E-95BA-4D60E6E8FE57}"/>
    <cellStyle name="40% - Accent6 2 4 5" xfId="17660" xr:uid="{0A749EE1-024C-49C6-8364-1422794E1D6B}"/>
    <cellStyle name="40% - Accent6 2 4 6" xfId="34518" xr:uid="{61E3C735-5EFC-432D-A1CF-51C87530EC4B}"/>
    <cellStyle name="40% - Accent6 2 4 7" xfId="9225" xr:uid="{B00F5B48-FB05-4889-B5CB-D957F6B89C6C}"/>
    <cellStyle name="40% - Accent6 2 5" xfId="1112" xr:uid="{00000000-0005-0000-0000-000023070000}"/>
    <cellStyle name="40% - Accent6 2 5 2" xfId="3343" xr:uid="{00000000-0005-0000-0000-000024070000}"/>
    <cellStyle name="40% - Accent6 2 5 2 2" xfId="7566" xr:uid="{00000000-0005-0000-0000-000025070000}"/>
    <cellStyle name="40% - Accent6 2 5 2 2 2" xfId="32865" xr:uid="{FC02798A-F049-424F-925D-75B9C789AF2B}"/>
    <cellStyle name="40% - Accent6 2 5 2 2 3" xfId="24436" xr:uid="{FD5CB558-0B75-4F81-952C-1C5B1C7A0BD2}"/>
    <cellStyle name="40% - Accent6 2 5 2 2 4" xfId="41293" xr:uid="{95785B0A-6F6D-42CC-ADAF-EF6ADFF694E7}"/>
    <cellStyle name="40% - Accent6 2 5 2 2 5" xfId="16001" xr:uid="{F508BDD8-ABF5-4987-8B05-48A4B2A00DD8}"/>
    <cellStyle name="40% - Accent6 2 5 2 3" xfId="28647" xr:uid="{BED7E74D-09FC-4423-932D-09B4D3CF0414}"/>
    <cellStyle name="40% - Accent6 2 5 2 4" xfId="20218" xr:uid="{AE03F3E8-BF87-4BE3-A4FF-F9C0083B8796}"/>
    <cellStyle name="40% - Accent6 2 5 2 5" xfId="37076" xr:uid="{6901FE19-5E04-4AF6-AA5C-2719C8EC477E}"/>
    <cellStyle name="40% - Accent6 2 5 2 6" xfId="11783" xr:uid="{19A611C7-A8FA-4416-A52F-5CAB02F682A9}"/>
    <cellStyle name="40% - Accent6 2 5 3" xfId="5421" xr:uid="{00000000-0005-0000-0000-000026070000}"/>
    <cellStyle name="40% - Accent6 2 5 3 2" xfId="30720" xr:uid="{235D84D5-2411-4948-BC50-0D8AE9FD8B63}"/>
    <cellStyle name="40% - Accent6 2 5 3 3" xfId="22291" xr:uid="{7748552C-7DB4-4026-8BB0-7DA702E922A4}"/>
    <cellStyle name="40% - Accent6 2 5 3 4" xfId="39148" xr:uid="{B8470C70-BCC0-4AD4-8A4F-3429FC095CC1}"/>
    <cellStyle name="40% - Accent6 2 5 3 5" xfId="13856" xr:uid="{7A97C92C-20A3-4A08-A482-20696916C91F}"/>
    <cellStyle name="40% - Accent6 2 5 4" xfId="26502" xr:uid="{955CA4C8-2AC2-4E61-A100-D2B6F435FEFB}"/>
    <cellStyle name="40% - Accent6 2 5 5" xfId="18073" xr:uid="{0B5E663A-BCC7-418B-A461-DCA8D006852A}"/>
    <cellStyle name="40% - Accent6 2 5 6" xfId="34931" xr:uid="{4E916820-47A4-463D-B4E3-4C992F0E5D74}"/>
    <cellStyle name="40% - Accent6 2 5 7" xfId="9638" xr:uid="{F10630B3-C71F-47E5-A7EE-DA2C1A1820E4}"/>
    <cellStyle name="40% - Accent6 2 6" xfId="1526" xr:uid="{00000000-0005-0000-0000-000027070000}"/>
    <cellStyle name="40% - Accent6 2 6 2" xfId="3756" xr:uid="{00000000-0005-0000-0000-000028070000}"/>
    <cellStyle name="40% - Accent6 2 6 2 2" xfId="7979" xr:uid="{00000000-0005-0000-0000-000029070000}"/>
    <cellStyle name="40% - Accent6 2 6 2 2 2" xfId="33278" xr:uid="{DDF74891-03E1-496C-900C-16DC9C276A55}"/>
    <cellStyle name="40% - Accent6 2 6 2 2 3" xfId="24849" xr:uid="{FF7ACFA6-0913-4297-948E-91B932910440}"/>
    <cellStyle name="40% - Accent6 2 6 2 2 4" xfId="41706" xr:uid="{025C644D-3FA6-4763-805F-320D4BFED785}"/>
    <cellStyle name="40% - Accent6 2 6 2 2 5" xfId="16414" xr:uid="{BB483842-FF2B-4C57-AA1D-F441DAFD3AFF}"/>
    <cellStyle name="40% - Accent6 2 6 2 3" xfId="29060" xr:uid="{0100ECF0-5501-4342-9344-79BF598D07D5}"/>
    <cellStyle name="40% - Accent6 2 6 2 4" xfId="20631" xr:uid="{BA1F74D3-5C5C-418C-AF93-414249B89547}"/>
    <cellStyle name="40% - Accent6 2 6 2 5" xfId="37489" xr:uid="{A7605548-D81E-4E3D-99B4-5E1ABEA07494}"/>
    <cellStyle name="40% - Accent6 2 6 2 6" xfId="12196" xr:uid="{72C3E29B-EDA2-49D0-8CD7-2EF068439B73}"/>
    <cellStyle name="40% - Accent6 2 6 3" xfId="5834" xr:uid="{00000000-0005-0000-0000-00002A070000}"/>
    <cellStyle name="40% - Accent6 2 6 3 2" xfId="31133" xr:uid="{A4C97F6D-320E-4F13-92E5-4F16C814C324}"/>
    <cellStyle name="40% - Accent6 2 6 3 3" xfId="22704" xr:uid="{B591D18B-8530-4634-BD40-948052E3E37A}"/>
    <cellStyle name="40% - Accent6 2 6 3 4" xfId="39561" xr:uid="{68D875C7-8A05-40BD-ADE3-8D3E7FD4C5D6}"/>
    <cellStyle name="40% - Accent6 2 6 3 5" xfId="14269" xr:uid="{4EE7EB76-8821-4C87-A18A-7099F3E5880B}"/>
    <cellStyle name="40% - Accent6 2 6 4" xfId="26915" xr:uid="{1A034C23-1017-4D04-A933-C837AC1BB239}"/>
    <cellStyle name="40% - Accent6 2 6 5" xfId="18486" xr:uid="{DFF2898F-55F6-4D36-9EB0-0EF3979FD270}"/>
    <cellStyle name="40% - Accent6 2 6 6" xfId="35344" xr:uid="{62FA5378-8E4B-48EE-9FC2-5164D16D5E78}"/>
    <cellStyle name="40% - Accent6 2 6 7" xfId="10051" xr:uid="{EF171CFB-5B7C-486C-A601-B43C333580F4}"/>
    <cellStyle name="40% - Accent6 2 7" xfId="1940" xr:uid="{00000000-0005-0000-0000-00002B070000}"/>
    <cellStyle name="40% - Accent6 2 7 2" xfId="4169" xr:uid="{00000000-0005-0000-0000-00002C070000}"/>
    <cellStyle name="40% - Accent6 2 7 2 2" xfId="8392" xr:uid="{00000000-0005-0000-0000-00002D070000}"/>
    <cellStyle name="40% - Accent6 2 7 2 2 2" xfId="33691" xr:uid="{CBBD399A-7F69-4E6D-9561-A55DE3DD5F69}"/>
    <cellStyle name="40% - Accent6 2 7 2 2 3" xfId="25262" xr:uid="{C7E34A23-D917-415D-B57E-03103568A295}"/>
    <cellStyle name="40% - Accent6 2 7 2 2 4" xfId="42119" xr:uid="{70F8F32B-FD25-4DBD-95D2-756F482E95BA}"/>
    <cellStyle name="40% - Accent6 2 7 2 2 5" xfId="16827" xr:uid="{0D9F3CBB-33EA-4C3F-A551-000672C84615}"/>
    <cellStyle name="40% - Accent6 2 7 2 3" xfId="29473" xr:uid="{91C456AB-4438-48BD-974B-8AFDD4FAE94D}"/>
    <cellStyle name="40% - Accent6 2 7 2 4" xfId="21044" xr:uid="{020AF938-917C-4480-BAD7-A514828DF44C}"/>
    <cellStyle name="40% - Accent6 2 7 2 5" xfId="37902" xr:uid="{1ECC2358-BC32-4BDC-825E-7771B2E24DE4}"/>
    <cellStyle name="40% - Accent6 2 7 2 6" xfId="12609" xr:uid="{6E89A511-F5AC-4A44-8BA8-D07C64571A88}"/>
    <cellStyle name="40% - Accent6 2 7 3" xfId="6247" xr:uid="{00000000-0005-0000-0000-00002E070000}"/>
    <cellStyle name="40% - Accent6 2 7 3 2" xfId="31546" xr:uid="{9D7AE6A9-866A-4038-B0E5-4D077BFA1CEC}"/>
    <cellStyle name="40% - Accent6 2 7 3 3" xfId="23117" xr:uid="{472B9FC3-ABAF-4884-82FA-6771E0E09691}"/>
    <cellStyle name="40% - Accent6 2 7 3 4" xfId="39974" xr:uid="{6BBDB743-5892-4A24-8AD2-0FE346466B0E}"/>
    <cellStyle name="40% - Accent6 2 7 3 5" xfId="14682" xr:uid="{63FE988D-564D-4348-9587-ED5AEA702842}"/>
    <cellStyle name="40% - Accent6 2 7 4" xfId="27328" xr:uid="{D5DC8AD5-8361-4615-96FE-073E295738EB}"/>
    <cellStyle name="40% - Accent6 2 7 5" xfId="18899" xr:uid="{81DBB1E4-C5F2-477B-B9CE-BC25B07F1A39}"/>
    <cellStyle name="40% - Accent6 2 7 6" xfId="35757" xr:uid="{47E80796-FA6A-4C38-8E5E-67ABFE1422C2}"/>
    <cellStyle name="40% - Accent6 2 7 7" xfId="10464" xr:uid="{CFE098B5-D7FE-410D-B158-8F070C1AB770}"/>
    <cellStyle name="40% - Accent6 2 8" xfId="2353" xr:uid="{00000000-0005-0000-0000-00002F070000}"/>
    <cellStyle name="40% - Accent6 2 8 2" xfId="6660" xr:uid="{00000000-0005-0000-0000-000030070000}"/>
    <cellStyle name="40% - Accent6 2 8 2 2" xfId="31959" xr:uid="{FDDD2CD7-619C-48BB-896B-BE1C4B9CEA8D}"/>
    <cellStyle name="40% - Accent6 2 8 2 3" xfId="23530" xr:uid="{1714A44B-10D5-4B9A-AF88-AC5B3101258C}"/>
    <cellStyle name="40% - Accent6 2 8 2 4" xfId="40387" xr:uid="{6F8DF035-D202-4443-8C8E-C34DE55612A5}"/>
    <cellStyle name="40% - Accent6 2 8 2 5" xfId="15095" xr:uid="{11AC7CF4-DEB8-4A0F-A66D-1D8B1F49D1DE}"/>
    <cellStyle name="40% - Accent6 2 8 3" xfId="27741" xr:uid="{B26FA588-F677-4E6C-8C30-E8F277BB1BCB}"/>
    <cellStyle name="40% - Accent6 2 8 4" xfId="19312" xr:uid="{9470E87A-AECC-44C1-899E-E92375935DE0}"/>
    <cellStyle name="40% - Accent6 2 8 5" xfId="36170" xr:uid="{084324DB-8B0F-4B8B-B901-BDBA777DDF78}"/>
    <cellStyle name="40% - Accent6 2 8 6" xfId="10877" xr:uid="{A8517F75-4D9A-4EBA-83A8-AA3681D61930}"/>
    <cellStyle name="40% - Accent6 2 9" xfId="4594" xr:uid="{00000000-0005-0000-0000-000031070000}"/>
    <cellStyle name="40% - Accent6 2 9 2" xfId="29893" xr:uid="{8ADA3A02-4275-40B8-B6C3-64257F9E8C4A}"/>
    <cellStyle name="40% - Accent6 2 9 3" xfId="21464" xr:uid="{36DDDC00-6A2D-49DF-8281-D914202BA6BF}"/>
    <cellStyle name="40% - Accent6 2 9 4" xfId="38321" xr:uid="{726A8658-4255-422F-B918-8BD1E1F6AE5E}"/>
    <cellStyle name="40% - Accent6 2 9 5" xfId="13029" xr:uid="{8D84B07E-E175-4AAF-AF18-4B272A4BDF34}"/>
    <cellStyle name="40% - Accent6 3" xfId="94" xr:uid="{00000000-0005-0000-0000-000032070000}"/>
    <cellStyle name="40% - Accent6 3 10" xfId="17250" xr:uid="{C8049A6C-6CD4-4039-9AED-F3531E7C8E3C}"/>
    <cellStyle name="40% - Accent6 3 11" xfId="34108" xr:uid="{EAD5B4ED-0E21-4379-8F7A-3594A089BBC9}"/>
    <cellStyle name="40% - Accent6 3 12" xfId="8815" xr:uid="{A49A93DE-28AE-4930-8832-7F7C591FA104}"/>
    <cellStyle name="40% - Accent6 3 2" xfId="95" xr:uid="{00000000-0005-0000-0000-000033070000}"/>
    <cellStyle name="40% - Accent6 3 2 10" xfId="34109" xr:uid="{E40DC6E1-159E-48B7-8CAB-64391F3CE71F}"/>
    <cellStyle name="40% - Accent6 3 2 11" xfId="8816" xr:uid="{1F5D5DBB-C2DB-47BA-BA77-ABEE74F1EE87}"/>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32457" xr:uid="{7C14A5A6-C7AD-4731-9341-D3EDECB39D0A}"/>
    <cellStyle name="40% - Accent6 3 2 2 2 2 3" xfId="24028" xr:uid="{35B1DF0F-E97B-4E41-A855-C73D145841D9}"/>
    <cellStyle name="40% - Accent6 3 2 2 2 2 4" xfId="40885" xr:uid="{7506792A-59CA-4BE2-B065-78965F3C060C}"/>
    <cellStyle name="40% - Accent6 3 2 2 2 2 5" xfId="15593" xr:uid="{A22933E2-9422-421B-B948-518B88364719}"/>
    <cellStyle name="40% - Accent6 3 2 2 2 3" xfId="28239" xr:uid="{0176EB4F-DE5A-4763-B9D1-38FB4DDFB8A4}"/>
    <cellStyle name="40% - Accent6 3 2 2 2 4" xfId="19810" xr:uid="{C98D1589-9CCE-4263-B862-5746D65E13FF}"/>
    <cellStyle name="40% - Accent6 3 2 2 2 5" xfId="36668" xr:uid="{379E59DC-BF15-4975-832B-A91F064F3C06}"/>
    <cellStyle name="40% - Accent6 3 2 2 2 6" xfId="11375" xr:uid="{69E7C869-A988-4077-8F36-70668F01D40A}"/>
    <cellStyle name="40% - Accent6 3 2 2 3" xfId="5013" xr:uid="{00000000-0005-0000-0000-000037070000}"/>
    <cellStyle name="40% - Accent6 3 2 2 3 2" xfId="30312" xr:uid="{CCDFB86E-7F57-4ECF-895F-7B25096F2C72}"/>
    <cellStyle name="40% - Accent6 3 2 2 3 3" xfId="21883" xr:uid="{1F90F0ED-EA23-4CC5-BD17-6D10E534B307}"/>
    <cellStyle name="40% - Accent6 3 2 2 3 4" xfId="38740" xr:uid="{B1B14145-996E-4A4F-ABA8-78EF040F2B03}"/>
    <cellStyle name="40% - Accent6 3 2 2 3 5" xfId="13448" xr:uid="{463FF981-60F3-45C4-AB0A-3FEBFAD0C17C}"/>
    <cellStyle name="40% - Accent6 3 2 2 4" xfId="26094" xr:uid="{ACE2D454-63C7-4482-A8CF-F85C01C9A171}"/>
    <cellStyle name="40% - Accent6 3 2 2 5" xfId="17665" xr:uid="{F5D92583-8FE3-4CC3-BE5A-694756B1DF6D}"/>
    <cellStyle name="40% - Accent6 3 2 2 6" xfId="34523" xr:uid="{8BC9A349-8E65-4B35-B18B-146E1671F211}"/>
    <cellStyle name="40% - Accent6 3 2 2 7" xfId="9230" xr:uid="{EE19CF29-353B-4DFF-A774-BD5DA693A948}"/>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32870" xr:uid="{4B43CA85-CB36-4993-A6D9-FFB1EA05A783}"/>
    <cellStyle name="40% - Accent6 3 2 3 2 2 3" xfId="24441" xr:uid="{162D90BB-FA31-4822-A797-4899C3E81849}"/>
    <cellStyle name="40% - Accent6 3 2 3 2 2 4" xfId="41298" xr:uid="{AFB5CD55-4FE1-409C-9FA1-212866B54191}"/>
    <cellStyle name="40% - Accent6 3 2 3 2 2 5" xfId="16006" xr:uid="{E4A1CCCD-17BF-404C-B81E-EC8B2EDAA5FF}"/>
    <cellStyle name="40% - Accent6 3 2 3 2 3" xfId="28652" xr:uid="{3ED01EC1-7488-4DF3-A958-D966E5C627C8}"/>
    <cellStyle name="40% - Accent6 3 2 3 2 4" xfId="20223" xr:uid="{8E404105-530E-474A-97FC-B42C1E9CA7F4}"/>
    <cellStyle name="40% - Accent6 3 2 3 2 5" xfId="37081" xr:uid="{EABD3C90-BD53-4DB5-AA47-68C01D2983C4}"/>
    <cellStyle name="40% - Accent6 3 2 3 2 6" xfId="11788" xr:uid="{E9AA58DF-9C18-4EB1-9008-D0FBD0543733}"/>
    <cellStyle name="40% - Accent6 3 2 3 3" xfId="5426" xr:uid="{00000000-0005-0000-0000-00003B070000}"/>
    <cellStyle name="40% - Accent6 3 2 3 3 2" xfId="30725" xr:uid="{43D234A0-03DF-4EE4-AE14-1D45BED0EB6C}"/>
    <cellStyle name="40% - Accent6 3 2 3 3 3" xfId="22296" xr:uid="{73C99D9F-D33D-4258-A254-C0D03365C8C7}"/>
    <cellStyle name="40% - Accent6 3 2 3 3 4" xfId="39153" xr:uid="{A7E3C82B-F806-46F6-9378-ACFA5B28D9BA}"/>
    <cellStyle name="40% - Accent6 3 2 3 3 5" xfId="13861" xr:uid="{E7A67D53-3368-48FB-B9AE-92C7E4FD4760}"/>
    <cellStyle name="40% - Accent6 3 2 3 4" xfId="26507" xr:uid="{C1366879-230A-4EDF-946D-493C7AA6DCDA}"/>
    <cellStyle name="40% - Accent6 3 2 3 5" xfId="18078" xr:uid="{C7E3DF2C-4C6B-4958-9EFD-7B4BFDD3531E}"/>
    <cellStyle name="40% - Accent6 3 2 3 6" xfId="34936" xr:uid="{F7DAC18C-DB48-4A54-A197-F6831C869EF5}"/>
    <cellStyle name="40% - Accent6 3 2 3 7" xfId="9643" xr:uid="{1C651A06-E8B8-41EC-A208-B66B2A67D8D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33283" xr:uid="{1047DF4E-EA23-4056-942B-DBB41A02D36D}"/>
    <cellStyle name="40% - Accent6 3 2 4 2 2 3" xfId="24854" xr:uid="{DBA4C275-D36A-4B8D-BAEC-AC7DCC3AC535}"/>
    <cellStyle name="40% - Accent6 3 2 4 2 2 4" xfId="41711" xr:uid="{1C5452E4-13C5-49E3-BE71-B5D79A23DD68}"/>
    <cellStyle name="40% - Accent6 3 2 4 2 2 5" xfId="16419" xr:uid="{D0BE5EC7-4284-44C6-B87B-49FFC348901A}"/>
    <cellStyle name="40% - Accent6 3 2 4 2 3" xfId="29065" xr:uid="{D11721BB-FCB6-4D17-9904-FB032ACDC1C2}"/>
    <cellStyle name="40% - Accent6 3 2 4 2 4" xfId="20636" xr:uid="{9830D247-65C3-4E5A-BF7A-C3C49584A85C}"/>
    <cellStyle name="40% - Accent6 3 2 4 2 5" xfId="37494" xr:uid="{67681F92-EF41-4B46-8853-ADAA82138116}"/>
    <cellStyle name="40% - Accent6 3 2 4 2 6" xfId="12201" xr:uid="{9287B99D-42DC-40D2-80D2-AC7F28DF5DF7}"/>
    <cellStyle name="40% - Accent6 3 2 4 3" xfId="5839" xr:uid="{00000000-0005-0000-0000-00003F070000}"/>
    <cellStyle name="40% - Accent6 3 2 4 3 2" xfId="31138" xr:uid="{2A767A04-FD7E-4EC2-9CFD-40AB19BB5FA4}"/>
    <cellStyle name="40% - Accent6 3 2 4 3 3" xfId="22709" xr:uid="{1359856E-005B-4D11-BE0F-AF1145894FA0}"/>
    <cellStyle name="40% - Accent6 3 2 4 3 4" xfId="39566" xr:uid="{33E455F9-8040-4417-9863-7A55B661440B}"/>
    <cellStyle name="40% - Accent6 3 2 4 3 5" xfId="14274" xr:uid="{895E50CF-E556-41FB-9013-E05E94FBD53D}"/>
    <cellStyle name="40% - Accent6 3 2 4 4" xfId="26920" xr:uid="{81FEA130-B6C2-49FE-B38F-0E97CD0A83B5}"/>
    <cellStyle name="40% - Accent6 3 2 4 5" xfId="18491" xr:uid="{FCB4CC7A-9A58-4274-9CCC-2089B1744472}"/>
    <cellStyle name="40% - Accent6 3 2 4 6" xfId="35349" xr:uid="{B65B9891-B284-4320-A134-2B1F05D44D41}"/>
    <cellStyle name="40% - Accent6 3 2 4 7" xfId="10056" xr:uid="{982FE72E-EBBA-46AC-818D-7B03DC739EF4}"/>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33696" xr:uid="{C2944ABC-E1B7-4F5D-8D0D-CC51E515B631}"/>
    <cellStyle name="40% - Accent6 3 2 5 2 2 3" xfId="25267" xr:uid="{43A6C0CC-C552-4A4F-BD89-B077D05E1000}"/>
    <cellStyle name="40% - Accent6 3 2 5 2 2 4" xfId="42124" xr:uid="{73307CF8-F278-44EE-B464-72A495C4E160}"/>
    <cellStyle name="40% - Accent6 3 2 5 2 2 5" xfId="16832" xr:uid="{F23FD4D3-BBAB-48B8-A9B6-7A6DD174B1D2}"/>
    <cellStyle name="40% - Accent6 3 2 5 2 3" xfId="29478" xr:uid="{75E5C0EA-383A-429F-801E-46B61609F8EB}"/>
    <cellStyle name="40% - Accent6 3 2 5 2 4" xfId="21049" xr:uid="{B4BCDD61-7251-4BF5-8EDB-85232819D0C5}"/>
    <cellStyle name="40% - Accent6 3 2 5 2 5" xfId="37907" xr:uid="{D4C381B0-777C-4711-A8FA-6F2279A23146}"/>
    <cellStyle name="40% - Accent6 3 2 5 2 6" xfId="12614" xr:uid="{3A680AE1-339A-44CD-8246-8A1577AF5EAE}"/>
    <cellStyle name="40% - Accent6 3 2 5 3" xfId="6252" xr:uid="{00000000-0005-0000-0000-000043070000}"/>
    <cellStyle name="40% - Accent6 3 2 5 3 2" xfId="31551" xr:uid="{D8EEC81A-1C76-440C-B28A-4CC819E225CD}"/>
    <cellStyle name="40% - Accent6 3 2 5 3 3" xfId="23122" xr:uid="{49D35248-F3F2-4BD1-8E16-BA0658554E7E}"/>
    <cellStyle name="40% - Accent6 3 2 5 3 4" xfId="39979" xr:uid="{68848ECF-508B-43F8-B935-BD17DB03BD55}"/>
    <cellStyle name="40% - Accent6 3 2 5 3 5" xfId="14687" xr:uid="{B1BA43A8-F001-4A18-9740-0D10A4ED5558}"/>
    <cellStyle name="40% - Accent6 3 2 5 4" xfId="27333" xr:uid="{E720D013-5C35-41EE-87CB-2A920E5810B5}"/>
    <cellStyle name="40% - Accent6 3 2 5 5" xfId="18904" xr:uid="{12B7583B-6928-4CD6-AE02-FE5313D600EC}"/>
    <cellStyle name="40% - Accent6 3 2 5 6" xfId="35762" xr:uid="{16C182AD-C5B7-42B8-BB53-B26CF09E128F}"/>
    <cellStyle name="40% - Accent6 3 2 5 7" xfId="10469" xr:uid="{0ACED114-1FD1-4B77-8589-D02B838C652C}"/>
    <cellStyle name="40% - Accent6 3 2 6" xfId="2358" xr:uid="{00000000-0005-0000-0000-000044070000}"/>
    <cellStyle name="40% - Accent6 3 2 6 2" xfId="6665" xr:uid="{00000000-0005-0000-0000-000045070000}"/>
    <cellStyle name="40% - Accent6 3 2 6 2 2" xfId="31964" xr:uid="{C6F1C156-53A9-496E-BF84-3F502FEAB73E}"/>
    <cellStyle name="40% - Accent6 3 2 6 2 3" xfId="23535" xr:uid="{487EB222-8C8B-409F-B6D5-3C604E574E3B}"/>
    <cellStyle name="40% - Accent6 3 2 6 2 4" xfId="40392" xr:uid="{D500A3E0-2874-4BD1-B659-CAAEA0B9CA06}"/>
    <cellStyle name="40% - Accent6 3 2 6 2 5" xfId="15100" xr:uid="{19BC83C4-1495-4FCB-B565-3AA0E03E4A41}"/>
    <cellStyle name="40% - Accent6 3 2 6 3" xfId="27746" xr:uid="{A44BC967-8294-453C-AF9E-19357228A4B1}"/>
    <cellStyle name="40% - Accent6 3 2 6 4" xfId="19317" xr:uid="{2415EA04-C1A8-492A-A488-F4ED071F5E20}"/>
    <cellStyle name="40% - Accent6 3 2 6 5" xfId="36175" xr:uid="{3954AF76-A8F5-419E-9A50-5F11FB70460C}"/>
    <cellStyle name="40% - Accent6 3 2 6 6" xfId="10882" xr:uid="{9437E98C-428E-4E67-86D6-98978F30416D}"/>
    <cellStyle name="40% - Accent6 3 2 7" xfId="4599" xr:uid="{00000000-0005-0000-0000-000046070000}"/>
    <cellStyle name="40% - Accent6 3 2 7 2" xfId="29898" xr:uid="{E49BE594-FBDB-4308-A902-2E0B3848DA55}"/>
    <cellStyle name="40% - Accent6 3 2 7 3" xfId="21469" xr:uid="{2BDC0835-45C7-444D-A9A6-B7D342686C2D}"/>
    <cellStyle name="40% - Accent6 3 2 7 4" xfId="38326" xr:uid="{D4053729-1773-40F3-AA32-478BCE678A5D}"/>
    <cellStyle name="40% - Accent6 3 2 7 5" xfId="13034" xr:uid="{90B95B46-A895-4133-9CC3-0932890029D0}"/>
    <cellStyle name="40% - Accent6 3 2 8" xfId="25680" xr:uid="{DFFC5978-3988-46F8-9858-F00675EB95B0}"/>
    <cellStyle name="40% - Accent6 3 2 9" xfId="17251" xr:uid="{521CD5D2-B9F5-4CD0-9296-DA83BCF6A86C}"/>
    <cellStyle name="40% - Accent6 3 3" xfId="663" xr:uid="{00000000-0005-0000-0000-000047070000}"/>
    <cellStyle name="40% - Accent6 3 3 2" xfId="2934" xr:uid="{00000000-0005-0000-0000-000048070000}"/>
    <cellStyle name="40% - Accent6 3 3 2 2" xfId="7157" xr:uid="{00000000-0005-0000-0000-000049070000}"/>
    <cellStyle name="40% - Accent6 3 3 2 2 2" xfId="32456" xr:uid="{BABD3601-D4F1-4887-A9DD-F1664E744275}"/>
    <cellStyle name="40% - Accent6 3 3 2 2 3" xfId="24027" xr:uid="{BB04CA9C-EC45-4FF7-B195-D2BB684A3C48}"/>
    <cellStyle name="40% - Accent6 3 3 2 2 4" xfId="40884" xr:uid="{92654817-5A16-4DC8-93D3-95B6C8BA97BB}"/>
    <cellStyle name="40% - Accent6 3 3 2 2 5" xfId="15592" xr:uid="{1EC25895-E33D-4951-B5F3-A5B5A678EC29}"/>
    <cellStyle name="40% - Accent6 3 3 2 3" xfId="28238" xr:uid="{165C2508-D576-4F9C-8A85-D473F3472C89}"/>
    <cellStyle name="40% - Accent6 3 3 2 4" xfId="19809" xr:uid="{26A6DE1C-098B-4C4C-A839-6706FC726457}"/>
    <cellStyle name="40% - Accent6 3 3 2 5" xfId="36667" xr:uid="{54E6E777-3F2F-4F58-B03D-D06ABC399441}"/>
    <cellStyle name="40% - Accent6 3 3 2 6" xfId="11374" xr:uid="{76C66CBC-AC07-42B7-A058-E4CE967618DE}"/>
    <cellStyle name="40% - Accent6 3 3 3" xfId="5012" xr:uid="{00000000-0005-0000-0000-00004A070000}"/>
    <cellStyle name="40% - Accent6 3 3 3 2" xfId="30311" xr:uid="{A469F506-6DAA-4E65-ADE6-8038D94082AB}"/>
    <cellStyle name="40% - Accent6 3 3 3 3" xfId="21882" xr:uid="{94F4281C-5F11-402B-86C8-4C8175767F69}"/>
    <cellStyle name="40% - Accent6 3 3 3 4" xfId="38739" xr:uid="{4711A406-8BD8-4B05-870F-4D1DD689A6DC}"/>
    <cellStyle name="40% - Accent6 3 3 3 5" xfId="13447" xr:uid="{4880B579-E3BF-4671-BF20-C4A16C774D27}"/>
    <cellStyle name="40% - Accent6 3 3 4" xfId="26093" xr:uid="{855696AC-9CD0-4672-ACDE-4C74EB736B45}"/>
    <cellStyle name="40% - Accent6 3 3 5" xfId="17664" xr:uid="{2A8A280F-23BB-47D9-8F2B-FA13AA417A9C}"/>
    <cellStyle name="40% - Accent6 3 3 6" xfId="34522" xr:uid="{4FE7BA55-A09F-4C2D-AA19-115830DDDD0F}"/>
    <cellStyle name="40% - Accent6 3 3 7" xfId="9229" xr:uid="{D1FA2FD2-A957-4970-9ED9-E8A2C30920D3}"/>
    <cellStyle name="40% - Accent6 3 4" xfId="1116" xr:uid="{00000000-0005-0000-0000-00004B070000}"/>
    <cellStyle name="40% - Accent6 3 4 2" xfId="3347" xr:uid="{00000000-0005-0000-0000-00004C070000}"/>
    <cellStyle name="40% - Accent6 3 4 2 2" xfId="7570" xr:uid="{00000000-0005-0000-0000-00004D070000}"/>
    <cellStyle name="40% - Accent6 3 4 2 2 2" xfId="32869" xr:uid="{59572570-CC11-4BA0-86EE-963E59C5AFBB}"/>
    <cellStyle name="40% - Accent6 3 4 2 2 3" xfId="24440" xr:uid="{7D74F644-FAD7-450F-9E51-9A1D328CFCB2}"/>
    <cellStyle name="40% - Accent6 3 4 2 2 4" xfId="41297" xr:uid="{42855D00-F2B9-4A0E-9A7E-FE785B50140A}"/>
    <cellStyle name="40% - Accent6 3 4 2 2 5" xfId="16005" xr:uid="{330476AD-8CFE-4A69-8E6A-F95A2A317D26}"/>
    <cellStyle name="40% - Accent6 3 4 2 3" xfId="28651" xr:uid="{E034DE60-7E8F-4C14-9A74-DAC3FD83548A}"/>
    <cellStyle name="40% - Accent6 3 4 2 4" xfId="20222" xr:uid="{CC61390B-CA20-420E-B5E9-56F24BE07D1D}"/>
    <cellStyle name="40% - Accent6 3 4 2 5" xfId="37080" xr:uid="{1DADAF73-0625-4414-BECF-CABFBAB4D06F}"/>
    <cellStyle name="40% - Accent6 3 4 2 6" xfId="11787" xr:uid="{D85A76C9-E6A8-4486-9487-1E08A636D529}"/>
    <cellStyle name="40% - Accent6 3 4 3" xfId="5425" xr:uid="{00000000-0005-0000-0000-00004E070000}"/>
    <cellStyle name="40% - Accent6 3 4 3 2" xfId="30724" xr:uid="{43F90321-9B7C-4E25-B1A2-300AF2AA3879}"/>
    <cellStyle name="40% - Accent6 3 4 3 3" xfId="22295" xr:uid="{46C406F5-99C0-43C2-B4A4-C002752C9006}"/>
    <cellStyle name="40% - Accent6 3 4 3 4" xfId="39152" xr:uid="{34EB9A86-E753-4A38-AF8D-3CF8D7E0C7DD}"/>
    <cellStyle name="40% - Accent6 3 4 3 5" xfId="13860" xr:uid="{8484B8B7-1E72-45C3-A832-6BF85800E8C9}"/>
    <cellStyle name="40% - Accent6 3 4 4" xfId="26506" xr:uid="{C7151FC0-477A-47FD-9C63-D0124D24118D}"/>
    <cellStyle name="40% - Accent6 3 4 5" xfId="18077" xr:uid="{8220A293-7B36-4A3E-AF69-B2C100F8B4AE}"/>
    <cellStyle name="40% - Accent6 3 4 6" xfId="34935" xr:uid="{761D9DEA-A96A-4139-8E95-2EE47BA5ECFD}"/>
    <cellStyle name="40% - Accent6 3 4 7" xfId="9642" xr:uid="{99D8C7EC-5E6B-4E44-99C5-72F90116A068}"/>
    <cellStyle name="40% - Accent6 3 5" xfId="1530" xr:uid="{00000000-0005-0000-0000-00004F070000}"/>
    <cellStyle name="40% - Accent6 3 5 2" xfId="3760" xr:uid="{00000000-0005-0000-0000-000050070000}"/>
    <cellStyle name="40% - Accent6 3 5 2 2" xfId="7983" xr:uid="{00000000-0005-0000-0000-000051070000}"/>
    <cellStyle name="40% - Accent6 3 5 2 2 2" xfId="33282" xr:uid="{1F9AE454-972C-4702-ADC2-0ABF7CF05786}"/>
    <cellStyle name="40% - Accent6 3 5 2 2 3" xfId="24853" xr:uid="{2B82E888-4C14-482E-86B5-563D2AF3639C}"/>
    <cellStyle name="40% - Accent6 3 5 2 2 4" xfId="41710" xr:uid="{E50381EA-BA4F-419C-81F2-46287F9D6A35}"/>
    <cellStyle name="40% - Accent6 3 5 2 2 5" xfId="16418" xr:uid="{8D3A03C3-6A50-475B-B0ED-597A520BA895}"/>
    <cellStyle name="40% - Accent6 3 5 2 3" xfId="29064" xr:uid="{DA2267CC-A562-4853-AF23-90A2274EB588}"/>
    <cellStyle name="40% - Accent6 3 5 2 4" xfId="20635" xr:uid="{67D9BF9D-C97E-46C2-8BB5-73147350CD63}"/>
    <cellStyle name="40% - Accent6 3 5 2 5" xfId="37493" xr:uid="{73F80823-EA30-4EBD-9582-A14F214B271D}"/>
    <cellStyle name="40% - Accent6 3 5 2 6" xfId="12200" xr:uid="{A061F6C5-E331-4613-A5E1-241A90F5E3F9}"/>
    <cellStyle name="40% - Accent6 3 5 3" xfId="5838" xr:uid="{00000000-0005-0000-0000-000052070000}"/>
    <cellStyle name="40% - Accent6 3 5 3 2" xfId="31137" xr:uid="{E8A62997-BA7D-401B-ABB6-C4CA590CEB05}"/>
    <cellStyle name="40% - Accent6 3 5 3 3" xfId="22708" xr:uid="{A69E2D2F-0C7C-48E5-B02B-4672C96D51A6}"/>
    <cellStyle name="40% - Accent6 3 5 3 4" xfId="39565" xr:uid="{5ABD00E5-74A2-4425-AECC-0D74EEC92FA2}"/>
    <cellStyle name="40% - Accent6 3 5 3 5" xfId="14273" xr:uid="{2B94DE36-0744-4A6F-BEBE-AD70839CC074}"/>
    <cellStyle name="40% - Accent6 3 5 4" xfId="26919" xr:uid="{B5990911-9B25-4A37-AC1F-1F3C9B0CD41D}"/>
    <cellStyle name="40% - Accent6 3 5 5" xfId="18490" xr:uid="{2B9C9392-C45D-48E5-9D0C-2A6CAEFB006A}"/>
    <cellStyle name="40% - Accent6 3 5 6" xfId="35348" xr:uid="{50F37F1E-350B-4E2D-A342-99A8C7C4F1AC}"/>
    <cellStyle name="40% - Accent6 3 5 7" xfId="10055" xr:uid="{FFC3D933-7DC4-4177-A912-28B92D157D8A}"/>
    <cellStyle name="40% - Accent6 3 6" xfId="1944" xr:uid="{00000000-0005-0000-0000-000053070000}"/>
    <cellStyle name="40% - Accent6 3 6 2" xfId="4173" xr:uid="{00000000-0005-0000-0000-000054070000}"/>
    <cellStyle name="40% - Accent6 3 6 2 2" xfId="8396" xr:uid="{00000000-0005-0000-0000-000055070000}"/>
    <cellStyle name="40% - Accent6 3 6 2 2 2" xfId="33695" xr:uid="{BC76E89A-972F-47FB-80B5-BCF96C8D42CE}"/>
    <cellStyle name="40% - Accent6 3 6 2 2 3" xfId="25266" xr:uid="{F24DC3BC-C636-4303-8308-6159C0933BB5}"/>
    <cellStyle name="40% - Accent6 3 6 2 2 4" xfId="42123" xr:uid="{68969416-2114-4D9C-8276-3461FB4DB960}"/>
    <cellStyle name="40% - Accent6 3 6 2 2 5" xfId="16831" xr:uid="{4D4CFEB3-9439-4888-8465-6A063C35360F}"/>
    <cellStyle name="40% - Accent6 3 6 2 3" xfId="29477" xr:uid="{06C0898B-EB91-4387-889D-94989C1E02B6}"/>
    <cellStyle name="40% - Accent6 3 6 2 4" xfId="21048" xr:uid="{5C5EC074-2741-40A4-AD36-C4D039DD52C9}"/>
    <cellStyle name="40% - Accent6 3 6 2 5" xfId="37906" xr:uid="{BF9DFCD3-1CDA-41D0-A587-B4969A225E31}"/>
    <cellStyle name="40% - Accent6 3 6 2 6" xfId="12613" xr:uid="{91AB0CC6-CB1D-4768-A1B1-9C06089C6E1A}"/>
    <cellStyle name="40% - Accent6 3 6 3" xfId="6251" xr:uid="{00000000-0005-0000-0000-000056070000}"/>
    <cellStyle name="40% - Accent6 3 6 3 2" xfId="31550" xr:uid="{4516D526-BAE6-4D21-9D62-A36D46222FB8}"/>
    <cellStyle name="40% - Accent6 3 6 3 3" xfId="23121" xr:uid="{C959F07A-FA6D-41F9-960A-E6C4F80EF712}"/>
    <cellStyle name="40% - Accent6 3 6 3 4" xfId="39978" xr:uid="{F7E1C456-7F2D-4091-9F94-0F31D8A257F1}"/>
    <cellStyle name="40% - Accent6 3 6 3 5" xfId="14686" xr:uid="{9B6E09C1-20CA-4BDB-92B2-345DC84948CA}"/>
    <cellStyle name="40% - Accent6 3 6 4" xfId="27332" xr:uid="{8B3C768E-DC66-4D84-B160-E311745B46B2}"/>
    <cellStyle name="40% - Accent6 3 6 5" xfId="18903" xr:uid="{A0E5539B-0017-4DB9-8DD3-F3663EF74D54}"/>
    <cellStyle name="40% - Accent6 3 6 6" xfId="35761" xr:uid="{DF7837EC-6E68-48D7-9C11-E80564946170}"/>
    <cellStyle name="40% - Accent6 3 6 7" xfId="10468" xr:uid="{FC9414F5-A608-46AA-8819-41B4EA6CD8B9}"/>
    <cellStyle name="40% - Accent6 3 7" xfId="2357" xr:uid="{00000000-0005-0000-0000-000057070000}"/>
    <cellStyle name="40% - Accent6 3 7 2" xfId="6664" xr:uid="{00000000-0005-0000-0000-000058070000}"/>
    <cellStyle name="40% - Accent6 3 7 2 2" xfId="31963" xr:uid="{DAAE6DE7-DE00-476D-9F91-09D8151F6098}"/>
    <cellStyle name="40% - Accent6 3 7 2 3" xfId="23534" xr:uid="{C8F20495-FE3E-4A02-9CD8-C0E1DDC6E77A}"/>
    <cellStyle name="40% - Accent6 3 7 2 4" xfId="40391" xr:uid="{8176AFFA-B607-4B31-A603-FCB16D2CF56A}"/>
    <cellStyle name="40% - Accent6 3 7 2 5" xfId="15099" xr:uid="{0404941A-2C9B-4868-BE59-B488EF8D7D3D}"/>
    <cellStyle name="40% - Accent6 3 7 3" xfId="27745" xr:uid="{BF48411B-244B-4B47-BBCB-F0E75E00DC9D}"/>
    <cellStyle name="40% - Accent6 3 7 4" xfId="19316" xr:uid="{67C57000-955C-41F8-81A1-1C1E85C82707}"/>
    <cellStyle name="40% - Accent6 3 7 5" xfId="36174" xr:uid="{86542E28-0B3D-419C-8FE6-1B004E8FD5CD}"/>
    <cellStyle name="40% - Accent6 3 7 6" xfId="10881" xr:uid="{8375EAFD-FC6C-442F-B2C1-93E5FAF71123}"/>
    <cellStyle name="40% - Accent6 3 8" xfId="4598" xr:uid="{00000000-0005-0000-0000-000059070000}"/>
    <cellStyle name="40% - Accent6 3 8 2" xfId="29897" xr:uid="{9368BF1D-6382-4B59-B1B9-09B16D443767}"/>
    <cellStyle name="40% - Accent6 3 8 3" xfId="21468" xr:uid="{44AA10E7-CCD9-465A-8039-735888D60AB2}"/>
    <cellStyle name="40% - Accent6 3 8 4" xfId="38325" xr:uid="{3F461872-207D-4EC5-AB5F-0516ABCE1700}"/>
    <cellStyle name="40% - Accent6 3 8 5" xfId="13033" xr:uid="{38E1A023-9631-4513-8B95-14A03F34F2F3}"/>
    <cellStyle name="40% - Accent6 3 9" xfId="25679" xr:uid="{A77FB9C8-9137-4A45-8117-917A8765B5A7}"/>
    <cellStyle name="40% - Accent6 4" xfId="96" xr:uid="{00000000-0005-0000-0000-00005A070000}"/>
    <cellStyle name="40% - Accent6 4 10" xfId="34110" xr:uid="{AE668404-537F-41D3-B173-875D40292F21}"/>
    <cellStyle name="40% - Accent6 4 11" xfId="8817" xr:uid="{E4A42B86-227B-4C82-9843-7A98363E729D}"/>
    <cellStyle name="40% - Accent6 4 2" xfId="665" xr:uid="{00000000-0005-0000-0000-00005B070000}"/>
    <cellStyle name="40% - Accent6 4 2 2" xfId="2936" xr:uid="{00000000-0005-0000-0000-00005C070000}"/>
    <cellStyle name="40% - Accent6 4 2 2 2" xfId="7159" xr:uid="{00000000-0005-0000-0000-00005D070000}"/>
    <cellStyle name="40% - Accent6 4 2 2 2 2" xfId="32458" xr:uid="{09415769-7366-4EA6-9DD0-15B9F3469403}"/>
    <cellStyle name="40% - Accent6 4 2 2 2 3" xfId="24029" xr:uid="{E269CDEB-4087-44DB-8316-53FCB09A6159}"/>
    <cellStyle name="40% - Accent6 4 2 2 2 4" xfId="40886" xr:uid="{25AB49A8-3F38-4FB2-B5F0-D4210C7DF9C8}"/>
    <cellStyle name="40% - Accent6 4 2 2 2 5" xfId="15594" xr:uid="{DD71A266-AF45-4323-BCFB-42912B408D7B}"/>
    <cellStyle name="40% - Accent6 4 2 2 3" xfId="28240" xr:uid="{E3966A63-C81B-468F-9A3D-EB07B6975C80}"/>
    <cellStyle name="40% - Accent6 4 2 2 4" xfId="19811" xr:uid="{A590F495-2CBC-4C40-9C80-D344E2A1748A}"/>
    <cellStyle name="40% - Accent6 4 2 2 5" xfId="36669" xr:uid="{6638CD90-8FA6-4C99-B77A-E50FFCA88B8C}"/>
    <cellStyle name="40% - Accent6 4 2 2 6" xfId="11376" xr:uid="{2D0EB1F7-2160-4C30-B22B-8B4B067BBB8C}"/>
    <cellStyle name="40% - Accent6 4 2 3" xfId="5014" xr:uid="{00000000-0005-0000-0000-00005E070000}"/>
    <cellStyle name="40% - Accent6 4 2 3 2" xfId="30313" xr:uid="{8367F476-CCE4-4892-B02E-A889C6A2D9DB}"/>
    <cellStyle name="40% - Accent6 4 2 3 3" xfId="21884" xr:uid="{5DB6FA62-30AF-4339-AAE0-3AE58C341D65}"/>
    <cellStyle name="40% - Accent6 4 2 3 4" xfId="38741" xr:uid="{B3A07758-B967-4E9F-86E4-79485B3D466A}"/>
    <cellStyle name="40% - Accent6 4 2 3 5" xfId="13449" xr:uid="{6AE046BC-A82D-47A5-9682-92699A53F96A}"/>
    <cellStyle name="40% - Accent6 4 2 4" xfId="26095" xr:uid="{ECCB037B-6036-46A7-B7D2-1E7E649B9780}"/>
    <cellStyle name="40% - Accent6 4 2 5" xfId="17666" xr:uid="{2CD49213-26C2-4FBE-9314-4BDDB4A734D9}"/>
    <cellStyle name="40% - Accent6 4 2 6" xfId="34524" xr:uid="{617FFA11-2357-4EF4-8FB5-D0CBB50AE4E5}"/>
    <cellStyle name="40% - Accent6 4 2 7" xfId="9231" xr:uid="{05686184-EA74-44AC-8F0A-6585F0BEE1E7}"/>
    <cellStyle name="40% - Accent6 4 3" xfId="1118" xr:uid="{00000000-0005-0000-0000-00005F070000}"/>
    <cellStyle name="40% - Accent6 4 3 2" xfId="3349" xr:uid="{00000000-0005-0000-0000-000060070000}"/>
    <cellStyle name="40% - Accent6 4 3 2 2" xfId="7572" xr:uid="{00000000-0005-0000-0000-000061070000}"/>
    <cellStyle name="40% - Accent6 4 3 2 2 2" xfId="32871" xr:uid="{04621250-242A-4457-8863-F4D622E3DB4D}"/>
    <cellStyle name="40% - Accent6 4 3 2 2 3" xfId="24442" xr:uid="{0655FA77-4435-4072-84C2-B9B80C137057}"/>
    <cellStyle name="40% - Accent6 4 3 2 2 4" xfId="41299" xr:uid="{672AEC25-8A76-4A68-82A9-56508BC85E7B}"/>
    <cellStyle name="40% - Accent6 4 3 2 2 5" xfId="16007" xr:uid="{F2BFC25A-BD97-4331-9884-2754B1499460}"/>
    <cellStyle name="40% - Accent6 4 3 2 3" xfId="28653" xr:uid="{BCF9C976-2DCF-4852-B9C2-926938666748}"/>
    <cellStyle name="40% - Accent6 4 3 2 4" xfId="20224" xr:uid="{C1FE79A0-6B6C-4C17-A862-230FF6F7CD23}"/>
    <cellStyle name="40% - Accent6 4 3 2 5" xfId="37082" xr:uid="{F95F0899-B6C8-4A72-85C6-3DF21C303153}"/>
    <cellStyle name="40% - Accent6 4 3 2 6" xfId="11789" xr:uid="{43386252-092A-4E2F-A48E-A4649B6EAC0A}"/>
    <cellStyle name="40% - Accent6 4 3 3" xfId="5427" xr:uid="{00000000-0005-0000-0000-000062070000}"/>
    <cellStyle name="40% - Accent6 4 3 3 2" xfId="30726" xr:uid="{C2D2C78B-FEB0-48F7-BE04-3B80D226EE43}"/>
    <cellStyle name="40% - Accent6 4 3 3 3" xfId="22297" xr:uid="{A21AC7CE-EDD2-4E65-88A1-5E9945299334}"/>
    <cellStyle name="40% - Accent6 4 3 3 4" xfId="39154" xr:uid="{11A6C6FB-7FEB-4CB9-9A4E-9D2EC1BBEBAC}"/>
    <cellStyle name="40% - Accent6 4 3 3 5" xfId="13862" xr:uid="{BA2CE32D-DD49-471B-B3E8-0EEECFF88DED}"/>
    <cellStyle name="40% - Accent6 4 3 4" xfId="26508" xr:uid="{6A23C3D4-ADCD-4703-94F8-45F5716F92F9}"/>
    <cellStyle name="40% - Accent6 4 3 5" xfId="18079" xr:uid="{CA61E139-D63A-4A3C-9643-840F2577DE98}"/>
    <cellStyle name="40% - Accent6 4 3 6" xfId="34937" xr:uid="{424B6CAE-EAD2-4EEF-81F6-46488721ECFC}"/>
    <cellStyle name="40% - Accent6 4 3 7" xfId="9644" xr:uid="{E9232C07-FAC0-4E79-B29D-87CAADFFDC6D}"/>
    <cellStyle name="40% - Accent6 4 4" xfId="1532" xr:uid="{00000000-0005-0000-0000-000063070000}"/>
    <cellStyle name="40% - Accent6 4 4 2" xfId="3762" xr:uid="{00000000-0005-0000-0000-000064070000}"/>
    <cellStyle name="40% - Accent6 4 4 2 2" xfId="7985" xr:uid="{00000000-0005-0000-0000-000065070000}"/>
    <cellStyle name="40% - Accent6 4 4 2 2 2" xfId="33284" xr:uid="{4F57E48E-C9E0-40E6-AB67-ECDCAD6FF9E3}"/>
    <cellStyle name="40% - Accent6 4 4 2 2 3" xfId="24855" xr:uid="{191CB577-3079-4A7A-83D3-58DD074BB57A}"/>
    <cellStyle name="40% - Accent6 4 4 2 2 4" xfId="41712" xr:uid="{6C179018-B7BF-4DD6-A232-5CA7DC76EC58}"/>
    <cellStyle name="40% - Accent6 4 4 2 2 5" xfId="16420" xr:uid="{FF8C9CE7-D317-437B-832D-7CBD50D1A81A}"/>
    <cellStyle name="40% - Accent6 4 4 2 3" xfId="29066" xr:uid="{88C58FC1-C773-43CC-9CCA-29F77AFE8154}"/>
    <cellStyle name="40% - Accent6 4 4 2 4" xfId="20637" xr:uid="{85FCDA93-3336-444E-B0F8-FDF2DA60645C}"/>
    <cellStyle name="40% - Accent6 4 4 2 5" xfId="37495" xr:uid="{3151AEF2-D4D2-41BC-BA19-2CFFEE8BB621}"/>
    <cellStyle name="40% - Accent6 4 4 2 6" xfId="12202" xr:uid="{F32CBBF6-FFF5-4BC4-9A87-E04BA7A41B45}"/>
    <cellStyle name="40% - Accent6 4 4 3" xfId="5840" xr:uid="{00000000-0005-0000-0000-000066070000}"/>
    <cellStyle name="40% - Accent6 4 4 3 2" xfId="31139" xr:uid="{3D173462-7C34-47C9-BDF7-B59C9F66FCC7}"/>
    <cellStyle name="40% - Accent6 4 4 3 3" xfId="22710" xr:uid="{739AC847-F125-418B-99CA-56071D986C60}"/>
    <cellStyle name="40% - Accent6 4 4 3 4" xfId="39567" xr:uid="{4E0C0154-B1DC-4333-9114-4ABBE6DC6DED}"/>
    <cellStyle name="40% - Accent6 4 4 3 5" xfId="14275" xr:uid="{43B724A9-FFF6-4EE6-B673-2A22BEB41C7E}"/>
    <cellStyle name="40% - Accent6 4 4 4" xfId="26921" xr:uid="{3DEED90F-4B3E-4D4B-B02C-F120FEE79188}"/>
    <cellStyle name="40% - Accent6 4 4 5" xfId="18492" xr:uid="{9E047395-19AE-41E3-9EA0-CBADDD407478}"/>
    <cellStyle name="40% - Accent6 4 4 6" xfId="35350" xr:uid="{A8C4CC69-FCCE-4F98-87E8-5F8EA84C18FD}"/>
    <cellStyle name="40% - Accent6 4 4 7" xfId="10057" xr:uid="{5E9C5A00-F655-4553-9A65-AC9F4A24C003}"/>
    <cellStyle name="40% - Accent6 4 5" xfId="1946" xr:uid="{00000000-0005-0000-0000-000067070000}"/>
    <cellStyle name="40% - Accent6 4 5 2" xfId="4175" xr:uid="{00000000-0005-0000-0000-000068070000}"/>
    <cellStyle name="40% - Accent6 4 5 2 2" xfId="8398" xr:uid="{00000000-0005-0000-0000-000069070000}"/>
    <cellStyle name="40% - Accent6 4 5 2 2 2" xfId="33697" xr:uid="{A7F6E4BB-9D2F-4A19-B768-910E4EB4E341}"/>
    <cellStyle name="40% - Accent6 4 5 2 2 3" xfId="25268" xr:uid="{9DDC9916-C4CB-42B4-87B4-706567999B98}"/>
    <cellStyle name="40% - Accent6 4 5 2 2 4" xfId="42125" xr:uid="{0CEE9039-06A3-4414-9327-2673B2061BDF}"/>
    <cellStyle name="40% - Accent6 4 5 2 2 5" xfId="16833" xr:uid="{52823691-3B90-4533-A9C4-9932373C42AA}"/>
    <cellStyle name="40% - Accent6 4 5 2 3" xfId="29479" xr:uid="{9AAEE275-BA15-431F-AC8C-38923C163E4D}"/>
    <cellStyle name="40% - Accent6 4 5 2 4" xfId="21050" xr:uid="{79479E20-639B-4F57-B55A-6B76F96A1457}"/>
    <cellStyle name="40% - Accent6 4 5 2 5" xfId="37908" xr:uid="{706A90A2-5FD1-4740-80CB-03DC4890C7B5}"/>
    <cellStyle name="40% - Accent6 4 5 2 6" xfId="12615" xr:uid="{7DC5E871-9D42-49FE-9BAF-2A2D440F7A57}"/>
    <cellStyle name="40% - Accent6 4 5 3" xfId="6253" xr:uid="{00000000-0005-0000-0000-00006A070000}"/>
    <cellStyle name="40% - Accent6 4 5 3 2" xfId="31552" xr:uid="{FE1D349D-2FD8-4FCE-BAEF-DE97A16BDD3D}"/>
    <cellStyle name="40% - Accent6 4 5 3 3" xfId="23123" xr:uid="{2A0FDDCB-89F3-4CF7-B197-E1A90CC58D04}"/>
    <cellStyle name="40% - Accent6 4 5 3 4" xfId="39980" xr:uid="{61448B6C-0D64-4A2F-99DF-A12351128ABC}"/>
    <cellStyle name="40% - Accent6 4 5 3 5" xfId="14688" xr:uid="{59C0E471-8ED2-497D-9117-1FA12C93C367}"/>
    <cellStyle name="40% - Accent6 4 5 4" xfId="27334" xr:uid="{95248078-EF52-40AA-A8B2-2627CFFC71AF}"/>
    <cellStyle name="40% - Accent6 4 5 5" xfId="18905" xr:uid="{B80EDBBF-0C70-4FBA-AAE5-AC212272E8E8}"/>
    <cellStyle name="40% - Accent6 4 5 6" xfId="35763" xr:uid="{EFCCA337-997B-4934-9BD2-FF14CF75043B}"/>
    <cellStyle name="40% - Accent6 4 5 7" xfId="10470" xr:uid="{E724EF82-C31E-43A8-AD0D-58EE38B49293}"/>
    <cellStyle name="40% - Accent6 4 6" xfId="2359" xr:uid="{00000000-0005-0000-0000-00006B070000}"/>
    <cellStyle name="40% - Accent6 4 6 2" xfId="6666" xr:uid="{00000000-0005-0000-0000-00006C070000}"/>
    <cellStyle name="40% - Accent6 4 6 2 2" xfId="31965" xr:uid="{2D38FFED-7584-4D72-A90B-BB6C9B4A1CC8}"/>
    <cellStyle name="40% - Accent6 4 6 2 3" xfId="23536" xr:uid="{48FA55AA-DF13-44A0-9072-70ADE86B0EC9}"/>
    <cellStyle name="40% - Accent6 4 6 2 4" xfId="40393" xr:uid="{A9BF2136-C8DA-4993-80A7-7BE03496FEDC}"/>
    <cellStyle name="40% - Accent6 4 6 2 5" xfId="15101" xr:uid="{1189CB5D-F628-4E46-8148-76B1DA504B98}"/>
    <cellStyle name="40% - Accent6 4 6 3" xfId="27747" xr:uid="{E6F697FD-FD15-4F94-8294-D147F41029B6}"/>
    <cellStyle name="40% - Accent6 4 6 4" xfId="19318" xr:uid="{3CDAF75E-CE5D-47EA-9097-1CC27DA9A9F0}"/>
    <cellStyle name="40% - Accent6 4 6 5" xfId="36176" xr:uid="{1A710C46-2089-4527-9B8F-B9538CFD6BB4}"/>
    <cellStyle name="40% - Accent6 4 6 6" xfId="10883" xr:uid="{1734C705-B90E-4DB1-BAAF-224218B7DBA0}"/>
    <cellStyle name="40% - Accent6 4 7" xfId="4600" xr:uid="{00000000-0005-0000-0000-00006D070000}"/>
    <cellStyle name="40% - Accent6 4 7 2" xfId="29899" xr:uid="{E7AFD940-1844-42ED-8C42-BC99256457CC}"/>
    <cellStyle name="40% - Accent6 4 7 3" xfId="21470" xr:uid="{EFEB8BFF-0636-407F-AFC1-49F454DF1281}"/>
    <cellStyle name="40% - Accent6 4 7 4" xfId="38327" xr:uid="{A52D2E09-B728-4F24-8CBB-218FFA3DFF0A}"/>
    <cellStyle name="40% - Accent6 4 7 5" xfId="13035" xr:uid="{091C9F35-9996-4208-BBDF-26B07AEEAF5E}"/>
    <cellStyle name="40% - Accent6 4 8" xfId="25681" xr:uid="{39037FBF-6109-4D3C-8C25-3C067445AE7C}"/>
    <cellStyle name="40% - Accent6 4 9" xfId="17252" xr:uid="{AF894380-55D2-4288-BC3C-4AB7A95B8B4E}"/>
    <cellStyle name="40% - Accent6 5" xfId="658" xr:uid="{00000000-0005-0000-0000-00006E070000}"/>
    <cellStyle name="40% - Accent6 5 2" xfId="2929" xr:uid="{00000000-0005-0000-0000-00006F070000}"/>
    <cellStyle name="40% - Accent6 5 2 2" xfId="7152" xr:uid="{00000000-0005-0000-0000-000070070000}"/>
    <cellStyle name="40% - Accent6 5 2 2 2" xfId="32451" xr:uid="{1EB6C9AA-6128-4692-998E-330D46375FD7}"/>
    <cellStyle name="40% - Accent6 5 2 2 3" xfId="24022" xr:uid="{AC1B2361-A168-4E7B-80C0-9FA4E9CEDFF0}"/>
    <cellStyle name="40% - Accent6 5 2 2 4" xfId="40879" xr:uid="{F7B0DDF6-495A-47E3-AAA9-490B835513AE}"/>
    <cellStyle name="40% - Accent6 5 2 2 5" xfId="15587" xr:uid="{3401F0CD-19FE-437D-8713-5CFE6CA2E9AB}"/>
    <cellStyle name="40% - Accent6 5 2 3" xfId="28233" xr:uid="{672E2EFF-4F2C-437E-A4EE-EB3AD0675103}"/>
    <cellStyle name="40% - Accent6 5 2 4" xfId="19804" xr:uid="{FA8B9A9C-B093-4274-BD9B-3D81210FAD93}"/>
    <cellStyle name="40% - Accent6 5 2 5" xfId="36662" xr:uid="{9A2F0B55-A9BC-4B31-99A5-10A12E32174B}"/>
    <cellStyle name="40% - Accent6 5 2 6" xfId="11369" xr:uid="{8E3A9E9E-424A-4B93-BEDE-993374F6B926}"/>
    <cellStyle name="40% - Accent6 5 3" xfId="5007" xr:uid="{00000000-0005-0000-0000-000071070000}"/>
    <cellStyle name="40% - Accent6 5 3 2" xfId="30306" xr:uid="{51E6CFE0-14C2-4B0F-A64F-B5385132BA83}"/>
    <cellStyle name="40% - Accent6 5 3 3" xfId="21877" xr:uid="{47CDB099-12BD-4C2F-946D-0EE45D2D3974}"/>
    <cellStyle name="40% - Accent6 5 3 4" xfId="38734" xr:uid="{C35973FE-1441-40BE-A0DE-E0123864B18C}"/>
    <cellStyle name="40% - Accent6 5 3 5" xfId="13442" xr:uid="{7F7C3085-5F3C-4265-A59F-678115BD6D6A}"/>
    <cellStyle name="40% - Accent6 5 4" xfId="26088" xr:uid="{BE64100C-7E6B-466D-95C0-6CB4E128DE98}"/>
    <cellStyle name="40% - Accent6 5 5" xfId="17659" xr:uid="{5127BD7D-249D-4E18-9802-BD63107C0178}"/>
    <cellStyle name="40% - Accent6 5 6" xfId="34517" xr:uid="{6E1D22CC-17F1-424D-B752-FE13D72DB2AD}"/>
    <cellStyle name="40% - Accent6 5 7" xfId="9224" xr:uid="{0CA3400C-5A90-4E50-8758-0935351FE877}"/>
    <cellStyle name="40% - Accent6 6" xfId="1111" xr:uid="{00000000-0005-0000-0000-000072070000}"/>
    <cellStyle name="40% - Accent6 6 2" xfId="3342" xr:uid="{00000000-0005-0000-0000-000073070000}"/>
    <cellStyle name="40% - Accent6 6 2 2" xfId="7565" xr:uid="{00000000-0005-0000-0000-000074070000}"/>
    <cellStyle name="40% - Accent6 6 2 2 2" xfId="32864" xr:uid="{9308BB8E-A2A3-409D-B0E8-CE55FDD4B8FC}"/>
    <cellStyle name="40% - Accent6 6 2 2 3" xfId="24435" xr:uid="{5E8E107C-4E39-4782-956F-46593E27F0E7}"/>
    <cellStyle name="40% - Accent6 6 2 2 4" xfId="41292" xr:uid="{15BCEB60-DFF4-47B3-B891-947B94A80769}"/>
    <cellStyle name="40% - Accent6 6 2 2 5" xfId="16000" xr:uid="{9E00BA81-E4B8-45BA-A2D2-211F35E9DBBF}"/>
    <cellStyle name="40% - Accent6 6 2 3" xfId="28646" xr:uid="{976F050E-496F-4A80-91C6-D49752E9C808}"/>
    <cellStyle name="40% - Accent6 6 2 4" xfId="20217" xr:uid="{F31442BA-D48A-41CB-9A29-2E0F6BD2E9CE}"/>
    <cellStyle name="40% - Accent6 6 2 5" xfId="37075" xr:uid="{C36690D5-5CBE-499C-A614-61DBBC32EEBD}"/>
    <cellStyle name="40% - Accent6 6 2 6" xfId="11782" xr:uid="{454BAB65-C77C-4DD2-82C7-20B6D5DDF962}"/>
    <cellStyle name="40% - Accent6 6 3" xfId="5420" xr:uid="{00000000-0005-0000-0000-000075070000}"/>
    <cellStyle name="40% - Accent6 6 3 2" xfId="30719" xr:uid="{D218E46B-5BC7-4533-AEAF-9FE9913448D9}"/>
    <cellStyle name="40% - Accent6 6 3 3" xfId="22290" xr:uid="{BD3B02E3-A7A0-422C-815E-C9463D0AF285}"/>
    <cellStyle name="40% - Accent6 6 3 4" xfId="39147" xr:uid="{7ECDDB25-08DA-4E9D-A5CF-0B490A4266EF}"/>
    <cellStyle name="40% - Accent6 6 3 5" xfId="13855" xr:uid="{75AD46DD-E53D-405C-B142-E99CD83D989E}"/>
    <cellStyle name="40% - Accent6 6 4" xfId="26501" xr:uid="{1F6C89BD-5413-42AC-B539-235B784F4462}"/>
    <cellStyle name="40% - Accent6 6 5" xfId="18072" xr:uid="{A46DBC2F-DD24-4146-8E07-E3BB2EE96CE5}"/>
    <cellStyle name="40% - Accent6 6 6" xfId="34930" xr:uid="{2CBBEE7E-E9F5-4DF0-A84F-AF99CBF511CA}"/>
    <cellStyle name="40% - Accent6 6 7" xfId="9637" xr:uid="{99866E1B-D2DB-4020-BE62-E67A87B312A4}"/>
    <cellStyle name="40% - Accent6 7" xfId="1525" xr:uid="{00000000-0005-0000-0000-000076070000}"/>
    <cellStyle name="40% - Accent6 7 2" xfId="3755" xr:uid="{00000000-0005-0000-0000-000077070000}"/>
    <cellStyle name="40% - Accent6 7 2 2" xfId="7978" xr:uid="{00000000-0005-0000-0000-000078070000}"/>
    <cellStyle name="40% - Accent6 7 2 2 2" xfId="33277" xr:uid="{8C58855F-AAF0-4061-8E92-86FFE0B476C9}"/>
    <cellStyle name="40% - Accent6 7 2 2 3" xfId="24848" xr:uid="{8683BD2C-0ED1-4D5B-B85F-33A755B6FFF5}"/>
    <cellStyle name="40% - Accent6 7 2 2 4" xfId="41705" xr:uid="{42E5F120-3AFB-4A79-A5C3-602245855FD0}"/>
    <cellStyle name="40% - Accent6 7 2 2 5" xfId="16413" xr:uid="{2C2436F2-9EC7-45F0-B535-269AB537818D}"/>
    <cellStyle name="40% - Accent6 7 2 3" xfId="29059" xr:uid="{BF8A25A5-566D-45A0-9982-5E231787D8FF}"/>
    <cellStyle name="40% - Accent6 7 2 4" xfId="20630" xr:uid="{65155050-3E03-4403-852E-A8C64764071D}"/>
    <cellStyle name="40% - Accent6 7 2 5" xfId="37488" xr:uid="{F7EC9DD6-6490-46DE-8D3C-495584AF85E5}"/>
    <cellStyle name="40% - Accent6 7 2 6" xfId="12195" xr:uid="{027012CB-5846-4B43-B0D0-2401E5582654}"/>
    <cellStyle name="40% - Accent6 7 3" xfId="5833" xr:uid="{00000000-0005-0000-0000-000079070000}"/>
    <cellStyle name="40% - Accent6 7 3 2" xfId="31132" xr:uid="{52EE3D2C-1B59-411D-A6D8-B74D344BD004}"/>
    <cellStyle name="40% - Accent6 7 3 3" xfId="22703" xr:uid="{5D5D913D-D290-44CC-91D0-4936B50B6A5C}"/>
    <cellStyle name="40% - Accent6 7 3 4" xfId="39560" xr:uid="{4A20998B-4BCA-4896-A2B9-F48BC252C615}"/>
    <cellStyle name="40% - Accent6 7 3 5" xfId="14268" xr:uid="{981DDEF8-4354-4B87-BB28-FBBF708037DA}"/>
    <cellStyle name="40% - Accent6 7 4" xfId="26914" xr:uid="{66344D16-788D-4617-8803-F4F773F3F5B7}"/>
    <cellStyle name="40% - Accent6 7 5" xfId="18485" xr:uid="{7346E9DC-2E78-4543-8ADF-79C1DBE17A3D}"/>
    <cellStyle name="40% - Accent6 7 6" xfId="35343" xr:uid="{D5B1185E-AAA9-404B-9A2C-AB697BEE8686}"/>
    <cellStyle name="40% - Accent6 7 7" xfId="10050" xr:uid="{48850FC2-C07E-41EA-A5D4-DC2020DF0FD7}"/>
    <cellStyle name="40% - Accent6 8" xfId="1939" xr:uid="{00000000-0005-0000-0000-00007A070000}"/>
    <cellStyle name="40% - Accent6 8 2" xfId="4168" xr:uid="{00000000-0005-0000-0000-00007B070000}"/>
    <cellStyle name="40% - Accent6 8 2 2" xfId="8391" xr:uid="{00000000-0005-0000-0000-00007C070000}"/>
    <cellStyle name="40% - Accent6 8 2 2 2" xfId="33690" xr:uid="{0BEA9F29-F5B2-421D-A5C1-B8D718009B2F}"/>
    <cellStyle name="40% - Accent6 8 2 2 3" xfId="25261" xr:uid="{8C80C7C8-7A9B-4B81-88BC-46E0781266FD}"/>
    <cellStyle name="40% - Accent6 8 2 2 4" xfId="42118" xr:uid="{77E90310-6549-4794-837F-78D219B7B7BA}"/>
    <cellStyle name="40% - Accent6 8 2 2 5" xfId="16826" xr:uid="{A55CB4D4-9D1F-43F7-8B91-526DEC82521D}"/>
    <cellStyle name="40% - Accent6 8 2 3" xfId="29472" xr:uid="{BF69677C-8F85-4061-B91B-6FE7FF8157D5}"/>
    <cellStyle name="40% - Accent6 8 2 4" xfId="21043" xr:uid="{49FB51F2-ECA0-41F7-A260-C2B33F3BD89E}"/>
    <cellStyle name="40% - Accent6 8 2 5" xfId="37901" xr:uid="{1A99002A-4EF9-4C14-BDC3-FCEB16CF42E1}"/>
    <cellStyle name="40% - Accent6 8 2 6" xfId="12608" xr:uid="{9FBFBC8F-93CF-41F4-80FA-619F75DB1C6D}"/>
    <cellStyle name="40% - Accent6 8 3" xfId="6246" xr:uid="{00000000-0005-0000-0000-00007D070000}"/>
    <cellStyle name="40% - Accent6 8 3 2" xfId="31545" xr:uid="{B175B999-B346-42B7-9731-5688D383CC01}"/>
    <cellStyle name="40% - Accent6 8 3 3" xfId="23116" xr:uid="{61157F94-A737-47B3-9623-01EF21DE1848}"/>
    <cellStyle name="40% - Accent6 8 3 4" xfId="39973" xr:uid="{C40CF634-1BC1-4B5A-9901-0F200DBCDFF6}"/>
    <cellStyle name="40% - Accent6 8 3 5" xfId="14681" xr:uid="{D3F8B55A-98C0-458A-9EDC-97F3178810D5}"/>
    <cellStyle name="40% - Accent6 8 4" xfId="27327" xr:uid="{18E22692-DADB-482E-BC1A-F414787C6CF2}"/>
    <cellStyle name="40% - Accent6 8 5" xfId="18898" xr:uid="{916F9847-DA37-49E7-8E02-1892CEB0974D}"/>
    <cellStyle name="40% - Accent6 8 6" xfId="35756" xr:uid="{B6F8AB04-9103-42B0-ADC1-0C906C67998E}"/>
    <cellStyle name="40% - Accent6 8 7" xfId="10463" xr:uid="{F394E034-E3CF-4A47-9071-7CFE3E17739B}"/>
    <cellStyle name="40% - Accent6 9" xfId="2352" xr:uid="{00000000-0005-0000-0000-00007E070000}"/>
    <cellStyle name="40% - Accent6 9 2" xfId="6659" xr:uid="{00000000-0005-0000-0000-00007F070000}"/>
    <cellStyle name="40% - Accent6 9 2 2" xfId="31958" xr:uid="{EA3A366C-146C-43DC-8F75-A48072259420}"/>
    <cellStyle name="40% - Accent6 9 2 3" xfId="23529" xr:uid="{2740FD60-819B-4E95-A619-AAAFC8DEAE68}"/>
    <cellStyle name="40% - Accent6 9 2 4" xfId="40386" xr:uid="{070A4112-27DD-49B7-A4DE-E12D6213B45B}"/>
    <cellStyle name="40% - Accent6 9 2 5" xfId="15094" xr:uid="{5439EC69-D8AF-41C0-9E8A-9934101EED2C}"/>
    <cellStyle name="40% - Accent6 9 3" xfId="27740" xr:uid="{A5AC821A-1967-4F63-91F8-7AC019AD5266}"/>
    <cellStyle name="40% - Accent6 9 4" xfId="19311" xr:uid="{4D144484-A9E5-4DDF-8BF5-54E19C29C800}"/>
    <cellStyle name="40% - Accent6 9 5" xfId="36169" xr:uid="{8E0D1FFC-7461-4A86-9ADD-CC3391ECF212}"/>
    <cellStyle name="40% - Accent6 9 6" xfId="10876" xr:uid="{E7450FAF-CBCF-4BB3-815A-51C0E665078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32283" xr:uid="{59A3D790-692B-4F4F-A143-91388B3C76F9}"/>
    <cellStyle name="Comma 4 2 2 2 10 2 3" xfId="23854" xr:uid="{773827FD-4B66-4427-B6AB-3E14ED10B120}"/>
    <cellStyle name="Comma 4 2 2 2 10 2 4" xfId="40711" xr:uid="{D7F85834-98D7-412F-B071-C416BEACE03C}"/>
    <cellStyle name="Comma 4 2 2 2 10 2 5" xfId="15419" xr:uid="{1A458F94-CBA2-4752-A55A-859C8B3D29FB}"/>
    <cellStyle name="Comma 4 2 2 2 10 3" xfId="28065" xr:uid="{FEA71CEA-20A1-4DF5-8906-627D1D03DA91}"/>
    <cellStyle name="Comma 4 2 2 2 10 4" xfId="19636" xr:uid="{BDC8DCD8-CA48-435A-B983-A86A789B52BF}"/>
    <cellStyle name="Comma 4 2 2 2 10 5" xfId="36494" xr:uid="{7FE29AF7-9D33-403E-954E-786F66E9498E}"/>
    <cellStyle name="Comma 4 2 2 2 10 6" xfId="11201" xr:uid="{D76CB93B-1C83-4838-896A-2033D7F8AC15}"/>
    <cellStyle name="Comma 4 2 2 2 11" xfId="4601" xr:uid="{00000000-0005-0000-0000-0000A3070000}"/>
    <cellStyle name="Comma 4 2 2 2 11 2" xfId="29900" xr:uid="{E315FE19-F47A-4ECE-8174-ABDDC65929FC}"/>
    <cellStyle name="Comma 4 2 2 2 11 3" xfId="21471" xr:uid="{06655726-D0A3-4E00-A26E-AAC58B736CB3}"/>
    <cellStyle name="Comma 4 2 2 2 11 4" xfId="38328" xr:uid="{4B4F3DA9-CCEE-45DE-8A08-EB740AFB7C4C}"/>
    <cellStyle name="Comma 4 2 2 2 11 5" xfId="13036" xr:uid="{DA4C2AE2-7E66-4432-B53A-DC38D8574208}"/>
    <cellStyle name="Comma 4 2 2 2 12" xfId="25682" xr:uid="{890B74D4-43E7-4A64-9DD2-673413E5B001}"/>
    <cellStyle name="Comma 4 2 2 2 13" xfId="17253" xr:uid="{BC744D8E-72CA-4CCF-914A-6917B8D5ED1F}"/>
    <cellStyle name="Comma 4 2 2 2 14" xfId="34111" xr:uid="{30987E66-F40E-4A74-A1BD-35720972B782}"/>
    <cellStyle name="Comma 4 2 2 2 15" xfId="8818" xr:uid="{E411458F-479C-4280-ABE9-BF345B7404FB}"/>
    <cellStyle name="Comma 4 2 2 2 2" xfId="129" xr:uid="{00000000-0005-0000-0000-0000A4070000}"/>
    <cellStyle name="Comma 4 2 2 2 2 10" xfId="4602" xr:uid="{00000000-0005-0000-0000-0000A5070000}"/>
    <cellStyle name="Comma 4 2 2 2 2 10 2" xfId="29901" xr:uid="{D1CAFCBD-BC12-48F8-B9F7-2FA790FA5C5B}"/>
    <cellStyle name="Comma 4 2 2 2 2 10 3" xfId="21472" xr:uid="{6ADF73A6-48DC-4ED9-8800-D037556AA243}"/>
    <cellStyle name="Comma 4 2 2 2 2 10 4" xfId="38329" xr:uid="{3638A6F5-03F3-4A76-BD0F-B13200E7C1DB}"/>
    <cellStyle name="Comma 4 2 2 2 2 10 5" xfId="13037" xr:uid="{DB2A0E51-6E4D-4302-9523-9202D5035947}"/>
    <cellStyle name="Comma 4 2 2 2 2 11" xfId="25683" xr:uid="{7AF3CF28-03C7-4DFA-931E-62DFCBBDE7CB}"/>
    <cellStyle name="Comma 4 2 2 2 2 12" xfId="17254" xr:uid="{9B9CA78C-D54A-4E7D-BADD-F6F258C56776}"/>
    <cellStyle name="Comma 4 2 2 2 2 13" xfId="34112" xr:uid="{CB02D8D9-ABC8-4B9C-9125-D73719803E96}"/>
    <cellStyle name="Comma 4 2 2 2 2 14" xfId="8819" xr:uid="{11D5F168-6FDC-4337-8A3E-844AEAEC9343}"/>
    <cellStyle name="Comma 4 2 2 2 2 2" xfId="130" xr:uid="{00000000-0005-0000-0000-0000A6070000}"/>
    <cellStyle name="Comma 4 2 2 2 2 2 10" xfId="25684" xr:uid="{26207FFA-50A5-4E6C-B1D8-DE83D850646A}"/>
    <cellStyle name="Comma 4 2 2 2 2 2 11" xfId="17255" xr:uid="{7FC664D2-2ACA-492B-ACB6-67CA6144F8A2}"/>
    <cellStyle name="Comma 4 2 2 2 2 2 12" xfId="34113" xr:uid="{96066B04-AD2E-4B00-A336-B2F06E307CDC}"/>
    <cellStyle name="Comma 4 2 2 2 2 2 13" xfId="8820" xr:uid="{C6F7AC6B-02CE-4850-80BE-F6A952677432}"/>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32461" xr:uid="{543E572E-BD78-475A-A620-0836B2CEF862}"/>
    <cellStyle name="Comma 4 2 2 2 2 2 2 2 2 3" xfId="24032" xr:uid="{DC2EDF94-9D7F-42F2-B365-009ECCB757AD}"/>
    <cellStyle name="Comma 4 2 2 2 2 2 2 2 2 4" xfId="40889" xr:uid="{5FAE548E-074E-4576-AC9B-C744D4B3A269}"/>
    <cellStyle name="Comma 4 2 2 2 2 2 2 2 2 5" xfId="15597" xr:uid="{6D5165C9-29C5-4854-8D3E-11EF2581013D}"/>
    <cellStyle name="Comma 4 2 2 2 2 2 2 2 3" xfId="28243" xr:uid="{96863533-039A-4A79-B772-579C6DA34A45}"/>
    <cellStyle name="Comma 4 2 2 2 2 2 2 2 4" xfId="19814" xr:uid="{A45AE63A-1AA1-4A90-90D9-502175539521}"/>
    <cellStyle name="Comma 4 2 2 2 2 2 2 2 5" xfId="36672" xr:uid="{CF0F3BB3-CC6F-47AE-A12F-B3D881976EFC}"/>
    <cellStyle name="Comma 4 2 2 2 2 2 2 2 6" xfId="11379" xr:uid="{CC0EAA69-E270-4B19-86DB-277D8C8CD8C8}"/>
    <cellStyle name="Comma 4 2 2 2 2 2 2 3" xfId="5017" xr:uid="{00000000-0005-0000-0000-0000AA070000}"/>
    <cellStyle name="Comma 4 2 2 2 2 2 2 3 2" xfId="30316" xr:uid="{A2950CC0-9D3B-4911-AB01-F94A99BF06FA}"/>
    <cellStyle name="Comma 4 2 2 2 2 2 2 3 3" xfId="21887" xr:uid="{376D4040-C5F3-4875-980C-44E8622D4AE5}"/>
    <cellStyle name="Comma 4 2 2 2 2 2 2 3 4" xfId="38744" xr:uid="{34B4123F-551B-4BCE-BF33-F87B6D5D91EB}"/>
    <cellStyle name="Comma 4 2 2 2 2 2 2 3 5" xfId="13452" xr:uid="{A42BE59C-2E29-4B23-9A30-CEE0B30A7094}"/>
    <cellStyle name="Comma 4 2 2 2 2 2 2 4" xfId="26098" xr:uid="{1D861935-E6FF-4E87-A52D-B5C51C337EAE}"/>
    <cellStyle name="Comma 4 2 2 2 2 2 2 5" xfId="17669" xr:uid="{58038633-70AB-4759-9551-271F5F2255C2}"/>
    <cellStyle name="Comma 4 2 2 2 2 2 2 6" xfId="34527" xr:uid="{60403682-91BA-49AB-98D3-9F256BCB5721}"/>
    <cellStyle name="Comma 4 2 2 2 2 2 2 7" xfId="9234" xr:uid="{EC90F45B-909F-46B8-9615-F0805AC0ECEC}"/>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32874" xr:uid="{387C0741-1A1A-451D-856B-C33042145EA4}"/>
    <cellStyle name="Comma 4 2 2 2 2 2 3 2 2 3" xfId="24445" xr:uid="{432B2E96-92FB-48FA-9D99-A83E457E387F}"/>
    <cellStyle name="Comma 4 2 2 2 2 2 3 2 2 4" xfId="41302" xr:uid="{C3E20C5F-7E51-4143-AD9E-D0917A1F7A1B}"/>
    <cellStyle name="Comma 4 2 2 2 2 2 3 2 2 5" xfId="16010" xr:uid="{E2E7B7C4-344C-403F-BEE4-565982D4BC35}"/>
    <cellStyle name="Comma 4 2 2 2 2 2 3 2 3" xfId="28656" xr:uid="{DF975FE5-A4D2-48F5-8980-6E8E49AB21B4}"/>
    <cellStyle name="Comma 4 2 2 2 2 2 3 2 4" xfId="20227" xr:uid="{1689ADC2-3839-4111-A5E7-7E8BE9246E4B}"/>
    <cellStyle name="Comma 4 2 2 2 2 2 3 2 5" xfId="37085" xr:uid="{EEDB7575-CE3F-48AA-A131-C3723B7A92F5}"/>
    <cellStyle name="Comma 4 2 2 2 2 2 3 2 6" xfId="11792" xr:uid="{B7A52108-F776-430C-8338-DF5A59C5F397}"/>
    <cellStyle name="Comma 4 2 2 2 2 2 3 3" xfId="5430" xr:uid="{00000000-0005-0000-0000-0000AE070000}"/>
    <cellStyle name="Comma 4 2 2 2 2 2 3 3 2" xfId="30729" xr:uid="{9960A681-F925-4020-8A85-9627B0E93744}"/>
    <cellStyle name="Comma 4 2 2 2 2 2 3 3 3" xfId="22300" xr:uid="{DB947B92-2C35-4772-8567-0E9953FE67D3}"/>
    <cellStyle name="Comma 4 2 2 2 2 2 3 3 4" xfId="39157" xr:uid="{7AD80024-5562-485B-8BDB-7D17CCF87F43}"/>
    <cellStyle name="Comma 4 2 2 2 2 2 3 3 5" xfId="13865" xr:uid="{9F961F5C-432E-4082-A937-514683A70268}"/>
    <cellStyle name="Comma 4 2 2 2 2 2 3 4" xfId="26511" xr:uid="{F78BCB46-90D7-47CD-A5F3-91B3E7ED3D1A}"/>
    <cellStyle name="Comma 4 2 2 2 2 2 3 5" xfId="18082" xr:uid="{D22096A7-BC94-4F1F-8F4D-4D1A6668C1B1}"/>
    <cellStyle name="Comma 4 2 2 2 2 2 3 6" xfId="34940" xr:uid="{C8883A6D-B804-4458-8008-73F25717E19B}"/>
    <cellStyle name="Comma 4 2 2 2 2 2 3 7" xfId="9647" xr:uid="{2E61C3F2-48C8-4039-AB5F-8A26042ADED2}"/>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33287" xr:uid="{BA89D691-F3C9-4DFB-9EF2-AC46058AC596}"/>
    <cellStyle name="Comma 4 2 2 2 2 2 4 2 2 3" xfId="24858" xr:uid="{224394FB-E04E-4AB4-AAB2-D7FC987D58AA}"/>
    <cellStyle name="Comma 4 2 2 2 2 2 4 2 2 4" xfId="41715" xr:uid="{F6DAC334-1E29-48FD-ACE7-8068C1A5493F}"/>
    <cellStyle name="Comma 4 2 2 2 2 2 4 2 2 5" xfId="16423" xr:uid="{4E7B74A0-5C72-4BA6-A22A-556A5B5C9FC5}"/>
    <cellStyle name="Comma 4 2 2 2 2 2 4 2 3" xfId="29069" xr:uid="{9CE5B7E3-E0A9-4AA1-A943-02F8171BF119}"/>
    <cellStyle name="Comma 4 2 2 2 2 2 4 2 4" xfId="20640" xr:uid="{FA9C5ACB-2756-4451-B3BC-35F8D318E70C}"/>
    <cellStyle name="Comma 4 2 2 2 2 2 4 2 5" xfId="37498" xr:uid="{2C471BF3-F684-40A5-94CB-B0C7F92603AC}"/>
    <cellStyle name="Comma 4 2 2 2 2 2 4 2 6" xfId="12205" xr:uid="{C1297DC8-ABF2-455F-8CB4-9C52224E8680}"/>
    <cellStyle name="Comma 4 2 2 2 2 2 4 3" xfId="5843" xr:uid="{00000000-0005-0000-0000-0000B2070000}"/>
    <cellStyle name="Comma 4 2 2 2 2 2 4 3 2" xfId="31142" xr:uid="{83A7BB67-7C7A-4768-8E27-38359C458A36}"/>
    <cellStyle name="Comma 4 2 2 2 2 2 4 3 3" xfId="22713" xr:uid="{52F7C538-7439-490D-9351-93F2906D2E1A}"/>
    <cellStyle name="Comma 4 2 2 2 2 2 4 3 4" xfId="39570" xr:uid="{1A0A2C6B-731D-42FD-A1EC-7026AA219037}"/>
    <cellStyle name="Comma 4 2 2 2 2 2 4 3 5" xfId="14278" xr:uid="{03065A2F-C549-4C7D-9224-37B34E937374}"/>
    <cellStyle name="Comma 4 2 2 2 2 2 4 4" xfId="26924" xr:uid="{838AC1F0-715B-4423-B221-B72AB68279CF}"/>
    <cellStyle name="Comma 4 2 2 2 2 2 4 5" xfId="18495" xr:uid="{C44CADCE-BD57-4838-ACDA-CF8646EB0383}"/>
    <cellStyle name="Comma 4 2 2 2 2 2 4 6" xfId="35353" xr:uid="{57069AED-4D0A-4D89-B7DD-30AC743AEAB6}"/>
    <cellStyle name="Comma 4 2 2 2 2 2 4 7" xfId="10060" xr:uid="{DC093569-A1AA-4E6B-A0B8-C271FED4B2A2}"/>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33700" xr:uid="{381E5E86-C104-43EA-8C82-38E3B9B3F453}"/>
    <cellStyle name="Comma 4 2 2 2 2 2 5 2 2 3" xfId="25271" xr:uid="{FA0E6800-5209-4AFD-A1E4-E8C5A302A8D5}"/>
    <cellStyle name="Comma 4 2 2 2 2 2 5 2 2 4" xfId="42128" xr:uid="{60A58820-F873-4DBE-A6E2-CFA3F094AC70}"/>
    <cellStyle name="Comma 4 2 2 2 2 2 5 2 2 5" xfId="16836" xr:uid="{C19E4158-39BA-4091-B47E-3AA1AD107445}"/>
    <cellStyle name="Comma 4 2 2 2 2 2 5 2 3" xfId="29482" xr:uid="{ED13DAC1-CC96-4217-BE00-4A1925418F15}"/>
    <cellStyle name="Comma 4 2 2 2 2 2 5 2 4" xfId="21053" xr:uid="{662DCFDA-0F06-46B8-BC85-F02725A04D9C}"/>
    <cellStyle name="Comma 4 2 2 2 2 2 5 2 5" xfId="37911" xr:uid="{BB4A16B9-0DBC-4218-B5E9-7E32F75A2B47}"/>
    <cellStyle name="Comma 4 2 2 2 2 2 5 2 6" xfId="12618" xr:uid="{43ADE4D5-DA95-4119-8F7C-387C17423AB4}"/>
    <cellStyle name="Comma 4 2 2 2 2 2 5 3" xfId="6256" xr:uid="{00000000-0005-0000-0000-0000B6070000}"/>
    <cellStyle name="Comma 4 2 2 2 2 2 5 3 2" xfId="31555" xr:uid="{F07BFF3A-C3FF-4F45-A375-498CDDA0E904}"/>
    <cellStyle name="Comma 4 2 2 2 2 2 5 3 3" xfId="23126" xr:uid="{97A03289-A83D-4E09-A364-82EEF25C76CD}"/>
    <cellStyle name="Comma 4 2 2 2 2 2 5 3 4" xfId="39983" xr:uid="{D7D0C100-8AD3-48EE-87BC-B6F4A84BD958}"/>
    <cellStyle name="Comma 4 2 2 2 2 2 5 3 5" xfId="14691" xr:uid="{76682BE2-006F-4A2B-9C21-74C10F29507C}"/>
    <cellStyle name="Comma 4 2 2 2 2 2 5 4" xfId="27337" xr:uid="{62CC667A-FA5C-4B08-ABDF-3B4343DABD6E}"/>
    <cellStyle name="Comma 4 2 2 2 2 2 5 5" xfId="18908" xr:uid="{E5A25069-9447-45E1-A7B7-802C0EA19495}"/>
    <cellStyle name="Comma 4 2 2 2 2 2 5 6" xfId="35766" xr:uid="{0A5E1AEA-6FA7-4FC4-8857-1B341A0AA44C}"/>
    <cellStyle name="Comma 4 2 2 2 2 2 5 7" xfId="10473" xr:uid="{19E9A00B-1623-41AF-892E-BBEC7E6EE4A3}"/>
    <cellStyle name="Comma 4 2 2 2 2 2 6" xfId="2384" xr:uid="{00000000-0005-0000-0000-0000B7070000}"/>
    <cellStyle name="Comma 4 2 2 2 2 2 6 2" xfId="6669" xr:uid="{00000000-0005-0000-0000-0000B8070000}"/>
    <cellStyle name="Comma 4 2 2 2 2 2 6 2 2" xfId="31968" xr:uid="{242D837D-E73D-4425-9DF2-A9AE55CE6806}"/>
    <cellStyle name="Comma 4 2 2 2 2 2 6 2 3" xfId="23539" xr:uid="{EEBB8E0E-C3CC-4F84-B53A-E5F0F3CF542E}"/>
    <cellStyle name="Comma 4 2 2 2 2 2 6 2 4" xfId="40396" xr:uid="{EDE98C26-7FAF-4F8B-86E9-9449150BD116}"/>
    <cellStyle name="Comma 4 2 2 2 2 2 6 2 5" xfId="15104" xr:uid="{5290DD36-DC75-4D6E-8D8C-A639A6EE9E6F}"/>
    <cellStyle name="Comma 4 2 2 2 2 2 6 3" xfId="27750" xr:uid="{9C5C21A7-FEC4-46C1-808F-A6B7F516FF35}"/>
    <cellStyle name="Comma 4 2 2 2 2 2 6 4" xfId="19321" xr:uid="{C3AF8BD5-D8A0-43BE-88BE-CB3C82368176}"/>
    <cellStyle name="Comma 4 2 2 2 2 2 6 5" xfId="36179" xr:uid="{7B935689-1819-428A-8136-21B6583C6B64}"/>
    <cellStyle name="Comma 4 2 2 2 2 2 6 6" xfId="10886" xr:uid="{A790A774-7244-49F2-830A-BA9B806B844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32285" xr:uid="{810A94F4-35CF-48A9-BC34-6AEFBF118F7D}"/>
    <cellStyle name="Comma 4 2 2 2 2 2 8 2 3" xfId="23856" xr:uid="{0DE39F70-292D-4CFD-B177-995AB679CE02}"/>
    <cellStyle name="Comma 4 2 2 2 2 2 8 2 4" xfId="40713" xr:uid="{D7A9FD59-A18D-4CD0-A6D7-534D73A5AD67}"/>
    <cellStyle name="Comma 4 2 2 2 2 2 8 2 5" xfId="15421" xr:uid="{637DE13E-7997-4DC2-9BA4-7C3493622919}"/>
    <cellStyle name="Comma 4 2 2 2 2 2 8 3" xfId="28067" xr:uid="{6ECAC836-154C-41AC-8128-A969C395A316}"/>
    <cellStyle name="Comma 4 2 2 2 2 2 8 4" xfId="19638" xr:uid="{E48645D0-EB26-4556-AB4D-EBE11545694E}"/>
    <cellStyle name="Comma 4 2 2 2 2 2 8 5" xfId="36496" xr:uid="{E64BF8DC-8716-4C25-8021-5490ED834F5A}"/>
    <cellStyle name="Comma 4 2 2 2 2 2 8 6" xfId="11203" xr:uid="{1F01A2B1-C7D9-4D6E-9D67-6784D6BC35AD}"/>
    <cellStyle name="Comma 4 2 2 2 2 2 9" xfId="4603" xr:uid="{00000000-0005-0000-0000-0000BC070000}"/>
    <cellStyle name="Comma 4 2 2 2 2 2 9 2" xfId="29902" xr:uid="{09377E36-2A35-4082-A033-7C5677B6C51E}"/>
    <cellStyle name="Comma 4 2 2 2 2 2 9 3" xfId="21473" xr:uid="{83BBDBE7-C673-46B9-AC94-525C51012550}"/>
    <cellStyle name="Comma 4 2 2 2 2 2 9 4" xfId="38330" xr:uid="{95DEB599-F75A-479E-8E65-7577FE8A1098}"/>
    <cellStyle name="Comma 4 2 2 2 2 2 9 5" xfId="13038" xr:uid="{29FE2628-F8AB-4C64-8213-39AF4FA4510A}"/>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32460" xr:uid="{AD57BA54-A7D1-4701-ADF0-B7565C368C29}"/>
    <cellStyle name="Comma 4 2 2 2 2 3 2 2 3" xfId="24031" xr:uid="{A8B6A8AC-8D2C-48FA-8482-4940B4A6597E}"/>
    <cellStyle name="Comma 4 2 2 2 2 3 2 2 4" xfId="40888" xr:uid="{3DB871F0-27F7-4B02-B635-F5890C1E976B}"/>
    <cellStyle name="Comma 4 2 2 2 2 3 2 2 5" xfId="15596" xr:uid="{8086EDCC-0F5C-41BF-AE40-A85B519D004F}"/>
    <cellStyle name="Comma 4 2 2 2 2 3 2 3" xfId="28242" xr:uid="{CD30520C-3266-43F4-A7C2-7B33BDA2AC7A}"/>
    <cellStyle name="Comma 4 2 2 2 2 3 2 4" xfId="19813" xr:uid="{F023FBDD-0991-4DD5-B224-7D88F526E247}"/>
    <cellStyle name="Comma 4 2 2 2 2 3 2 5" xfId="36671" xr:uid="{5CA628FC-B4B5-47A3-8FC2-32276874EEBA}"/>
    <cellStyle name="Comma 4 2 2 2 2 3 2 6" xfId="11378" xr:uid="{227FD872-CA1C-4A2E-AB31-4B7738A31AC5}"/>
    <cellStyle name="Comma 4 2 2 2 2 3 3" xfId="5016" xr:uid="{00000000-0005-0000-0000-0000C0070000}"/>
    <cellStyle name="Comma 4 2 2 2 2 3 3 2" xfId="30315" xr:uid="{B3B5AF1E-5F55-4F1C-9DB7-3F84DD3A7320}"/>
    <cellStyle name="Comma 4 2 2 2 2 3 3 3" xfId="21886" xr:uid="{9F4ED311-FC20-4148-A8F6-26BC90457BB6}"/>
    <cellStyle name="Comma 4 2 2 2 2 3 3 4" xfId="38743" xr:uid="{7DB68B29-4DD8-4895-9F42-661E1E6E05D8}"/>
    <cellStyle name="Comma 4 2 2 2 2 3 3 5" xfId="13451" xr:uid="{09BA3961-7FC6-4C41-AC07-FF71378F63A0}"/>
    <cellStyle name="Comma 4 2 2 2 2 3 4" xfId="26097" xr:uid="{F7ABECD4-65BD-4B7C-9207-C9DFD0787B5D}"/>
    <cellStyle name="Comma 4 2 2 2 2 3 5" xfId="17668" xr:uid="{063F8A18-B629-480B-821C-F6F057AE095C}"/>
    <cellStyle name="Comma 4 2 2 2 2 3 6" xfId="34526" xr:uid="{3410B285-8172-4626-94EB-38D786E056CB}"/>
    <cellStyle name="Comma 4 2 2 2 2 3 7" xfId="9233" xr:uid="{3B0D1844-3043-4B3E-A685-639E2B1F296D}"/>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32873" xr:uid="{7E093E56-6363-4BA6-998B-8CE9AE0C69A3}"/>
    <cellStyle name="Comma 4 2 2 2 2 4 2 2 3" xfId="24444" xr:uid="{D6463A5E-4BB9-4F33-A2B8-216ECF1256A3}"/>
    <cellStyle name="Comma 4 2 2 2 2 4 2 2 4" xfId="41301" xr:uid="{2DA451B9-3A7F-4268-8774-08184CD61BD3}"/>
    <cellStyle name="Comma 4 2 2 2 2 4 2 2 5" xfId="16009" xr:uid="{4B888090-6674-4CDF-B4E6-B46119E5E9EA}"/>
    <cellStyle name="Comma 4 2 2 2 2 4 2 3" xfId="28655" xr:uid="{10188EE2-7CE2-4810-AF2F-15C09AFACC37}"/>
    <cellStyle name="Comma 4 2 2 2 2 4 2 4" xfId="20226" xr:uid="{70B34B45-7035-4D27-8CC9-D81943EEC2C4}"/>
    <cellStyle name="Comma 4 2 2 2 2 4 2 5" xfId="37084" xr:uid="{C5057E2C-E9C6-407C-B18B-067B8D8BB7E0}"/>
    <cellStyle name="Comma 4 2 2 2 2 4 2 6" xfId="11791" xr:uid="{3BF7905A-7030-4340-8795-A5D0222A6BDA}"/>
    <cellStyle name="Comma 4 2 2 2 2 4 3" xfId="5429" xr:uid="{00000000-0005-0000-0000-0000C4070000}"/>
    <cellStyle name="Comma 4 2 2 2 2 4 3 2" xfId="30728" xr:uid="{1329CF27-E1A0-440F-8C69-23A39A2E7A0F}"/>
    <cellStyle name="Comma 4 2 2 2 2 4 3 3" xfId="22299" xr:uid="{A66F77B6-D1AF-43E6-AF51-E3A89F1EDE32}"/>
    <cellStyle name="Comma 4 2 2 2 2 4 3 4" xfId="39156" xr:uid="{CEE76DC4-54BF-46EB-BECF-CC6DA61B7911}"/>
    <cellStyle name="Comma 4 2 2 2 2 4 3 5" xfId="13864" xr:uid="{6FEAB16D-5F66-4B09-9876-0A2EC2B1332C}"/>
    <cellStyle name="Comma 4 2 2 2 2 4 4" xfId="26510" xr:uid="{A4F2EB95-B202-43E9-AA80-B4DDC45526D2}"/>
    <cellStyle name="Comma 4 2 2 2 2 4 5" xfId="18081" xr:uid="{A9C9B164-955D-44EA-9919-703C8EAF3E20}"/>
    <cellStyle name="Comma 4 2 2 2 2 4 6" xfId="34939" xr:uid="{0A45D102-1C45-4721-93B2-FEC41566247A}"/>
    <cellStyle name="Comma 4 2 2 2 2 4 7" xfId="9646" xr:uid="{2CB689E2-9A05-44BF-9DE0-CAD4E57D14F6}"/>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33286" xr:uid="{094E9774-3226-4234-B78C-39CE7D14EAE1}"/>
    <cellStyle name="Comma 4 2 2 2 2 5 2 2 3" xfId="24857" xr:uid="{05E117C3-09F3-4245-ADA1-625585EA99B8}"/>
    <cellStyle name="Comma 4 2 2 2 2 5 2 2 4" xfId="41714" xr:uid="{87E59787-4715-44F4-BBC0-DE0CCD2C7C1A}"/>
    <cellStyle name="Comma 4 2 2 2 2 5 2 2 5" xfId="16422" xr:uid="{C6652C47-1679-45E5-95B3-8C7520AF913C}"/>
    <cellStyle name="Comma 4 2 2 2 2 5 2 3" xfId="29068" xr:uid="{F5A1DA59-11CC-4DC5-A0FB-01815EF4E53A}"/>
    <cellStyle name="Comma 4 2 2 2 2 5 2 4" xfId="20639" xr:uid="{281FB1C7-BA9D-4E58-ACA6-E0C0009E61C0}"/>
    <cellStyle name="Comma 4 2 2 2 2 5 2 5" xfId="37497" xr:uid="{62B6ACFF-FE64-4A21-B11D-8C121B01657C}"/>
    <cellStyle name="Comma 4 2 2 2 2 5 2 6" xfId="12204" xr:uid="{CE2CB0CC-50F2-47A0-8276-A50FF17E3238}"/>
    <cellStyle name="Comma 4 2 2 2 2 5 3" xfId="5842" xr:uid="{00000000-0005-0000-0000-0000C8070000}"/>
    <cellStyle name="Comma 4 2 2 2 2 5 3 2" xfId="31141" xr:uid="{41D49BA1-783F-4376-AEFF-AE92EB6403DA}"/>
    <cellStyle name="Comma 4 2 2 2 2 5 3 3" xfId="22712" xr:uid="{73278E11-8FE9-4511-96E7-C0E40733A932}"/>
    <cellStyle name="Comma 4 2 2 2 2 5 3 4" xfId="39569" xr:uid="{D6765BF0-E1F1-4728-A7B2-B279F77324E9}"/>
    <cellStyle name="Comma 4 2 2 2 2 5 3 5" xfId="14277" xr:uid="{92E91460-B78D-49F1-9F65-8D3C3D91363B}"/>
    <cellStyle name="Comma 4 2 2 2 2 5 4" xfId="26923" xr:uid="{1964BEAB-CDA2-4BD9-BD00-326547C853F5}"/>
    <cellStyle name="Comma 4 2 2 2 2 5 5" xfId="18494" xr:uid="{6D82D577-5CBD-4E30-80F9-59B61917AA06}"/>
    <cellStyle name="Comma 4 2 2 2 2 5 6" xfId="35352" xr:uid="{894528A0-1703-4343-A73E-EDE3619C7F72}"/>
    <cellStyle name="Comma 4 2 2 2 2 5 7" xfId="10059" xr:uid="{9F2B8AC0-E7AE-4FA4-A426-B4DBA8C4046B}"/>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33699" xr:uid="{FDA31593-BD0E-4F95-8A2C-FCA3C4ED2EE9}"/>
    <cellStyle name="Comma 4 2 2 2 2 6 2 2 3" xfId="25270" xr:uid="{5F681067-9F9D-48E5-A93D-F9B2DC2FEC3F}"/>
    <cellStyle name="Comma 4 2 2 2 2 6 2 2 4" xfId="42127" xr:uid="{F20C5E60-EFAD-450C-B3A5-8933097325E1}"/>
    <cellStyle name="Comma 4 2 2 2 2 6 2 2 5" xfId="16835" xr:uid="{82780B94-E124-4CFF-BF3F-6C4349C35B20}"/>
    <cellStyle name="Comma 4 2 2 2 2 6 2 3" xfId="29481" xr:uid="{F257B119-B1EF-47BC-BFBF-84AAE83FA94B}"/>
    <cellStyle name="Comma 4 2 2 2 2 6 2 4" xfId="21052" xr:uid="{474AC788-D522-4963-8A2E-72C5D1CD7327}"/>
    <cellStyle name="Comma 4 2 2 2 2 6 2 5" xfId="37910" xr:uid="{525CB09D-D55F-4585-8AED-5A92B4AD6FE2}"/>
    <cellStyle name="Comma 4 2 2 2 2 6 2 6" xfId="12617" xr:uid="{05B7785E-1E83-4391-BCE4-3808DCA64B42}"/>
    <cellStyle name="Comma 4 2 2 2 2 6 3" xfId="6255" xr:uid="{00000000-0005-0000-0000-0000CC070000}"/>
    <cellStyle name="Comma 4 2 2 2 2 6 3 2" xfId="31554" xr:uid="{F6C6C720-901E-4591-AD8B-DE37C6C1E805}"/>
    <cellStyle name="Comma 4 2 2 2 2 6 3 3" xfId="23125" xr:uid="{29A8AFB0-B777-406A-95A8-B284CDABC8DB}"/>
    <cellStyle name="Comma 4 2 2 2 2 6 3 4" xfId="39982" xr:uid="{55D9B900-60E4-4ED2-B5FB-F5657353E281}"/>
    <cellStyle name="Comma 4 2 2 2 2 6 3 5" xfId="14690" xr:uid="{5333DA44-8965-406E-9C29-EF0EE157FFF4}"/>
    <cellStyle name="Comma 4 2 2 2 2 6 4" xfId="27336" xr:uid="{C0B03681-F71D-4446-87D5-ED2CD7B10463}"/>
    <cellStyle name="Comma 4 2 2 2 2 6 5" xfId="18907" xr:uid="{56E1631C-9BB0-4ED2-A65E-25A0E5879514}"/>
    <cellStyle name="Comma 4 2 2 2 2 6 6" xfId="35765" xr:uid="{B37450C7-322D-477C-BF6F-8CE0C74F5591}"/>
    <cellStyle name="Comma 4 2 2 2 2 6 7" xfId="10472" xr:uid="{3D99E73E-96E0-4300-9EB7-0503968B9BF4}"/>
    <cellStyle name="Comma 4 2 2 2 2 7" xfId="2383" xr:uid="{00000000-0005-0000-0000-0000CD070000}"/>
    <cellStyle name="Comma 4 2 2 2 2 7 2" xfId="6668" xr:uid="{00000000-0005-0000-0000-0000CE070000}"/>
    <cellStyle name="Comma 4 2 2 2 2 7 2 2" xfId="31967" xr:uid="{D5060EE8-06AE-4E44-98E7-61FEED778B83}"/>
    <cellStyle name="Comma 4 2 2 2 2 7 2 3" xfId="23538" xr:uid="{CBC20B20-07A7-40CA-BBEA-88115484F4CE}"/>
    <cellStyle name="Comma 4 2 2 2 2 7 2 4" xfId="40395" xr:uid="{97E1863F-D4C6-46E7-A206-9E7D70F8C0E7}"/>
    <cellStyle name="Comma 4 2 2 2 2 7 2 5" xfId="15103" xr:uid="{E350E52F-BB92-45FA-81C2-52C44BFFAD57}"/>
    <cellStyle name="Comma 4 2 2 2 2 7 3" xfId="27749" xr:uid="{DE6CFE63-F568-4119-BC65-01BA4DDEFF99}"/>
    <cellStyle name="Comma 4 2 2 2 2 7 4" xfId="19320" xr:uid="{E72D83B5-FCAA-46A1-9685-E6B2ED37770C}"/>
    <cellStyle name="Comma 4 2 2 2 2 7 5" xfId="36178" xr:uid="{C197F73E-8319-4F67-80C2-544C8376B94F}"/>
    <cellStyle name="Comma 4 2 2 2 2 7 6" xfId="10885" xr:uid="{20F80699-B054-4CAC-9F11-79952FABF5F6}"/>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32284" xr:uid="{4102F47B-2913-48D4-B426-9226A443A88E}"/>
    <cellStyle name="Comma 4 2 2 2 2 9 2 3" xfId="23855" xr:uid="{F20C1824-C29A-4F70-8E7E-FC9A4C154987}"/>
    <cellStyle name="Comma 4 2 2 2 2 9 2 4" xfId="40712" xr:uid="{F3F7420D-236D-4959-9C42-C38B6A3CFA92}"/>
    <cellStyle name="Comma 4 2 2 2 2 9 2 5" xfId="15420" xr:uid="{F3309AAE-CEAC-4001-A290-536FBB78E69B}"/>
    <cellStyle name="Comma 4 2 2 2 2 9 3" xfId="28066" xr:uid="{A80F4182-0563-4D26-8B36-3DED0EE50969}"/>
    <cellStyle name="Comma 4 2 2 2 2 9 4" xfId="19637" xr:uid="{48013327-8476-405E-B22A-AD90246FC023}"/>
    <cellStyle name="Comma 4 2 2 2 2 9 5" xfId="36495" xr:uid="{9A0AA595-98DF-4000-AA61-9C829AE2772D}"/>
    <cellStyle name="Comma 4 2 2 2 2 9 6" xfId="11202" xr:uid="{C3D215EE-3785-4F58-AC09-26BC83CCB5C7}"/>
    <cellStyle name="Comma 4 2 2 2 3" xfId="131" xr:uid="{00000000-0005-0000-0000-0000D2070000}"/>
    <cellStyle name="Comma 4 2 2 2 3 10" xfId="25685" xr:uid="{1A28C09F-689C-43FA-B5F5-D6C459A813E9}"/>
    <cellStyle name="Comma 4 2 2 2 3 11" xfId="17256" xr:uid="{5175F7D3-F97A-4FC9-8355-AE6F17F49243}"/>
    <cellStyle name="Comma 4 2 2 2 3 12" xfId="34114" xr:uid="{F62EEC61-53B2-4AD5-AB71-6477FD69722A}"/>
    <cellStyle name="Comma 4 2 2 2 3 13" xfId="8821" xr:uid="{75A9D972-0EC6-4714-A8D4-36808682FF5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32462" xr:uid="{EF73449A-8AE1-4D4E-A679-5A45052642AC}"/>
    <cellStyle name="Comma 4 2 2 2 3 2 2 2 3" xfId="24033" xr:uid="{76E5B835-0C15-40DF-8E42-669A6042F43C}"/>
    <cellStyle name="Comma 4 2 2 2 3 2 2 2 4" xfId="40890" xr:uid="{6BE717C9-F1FB-4372-805C-7B71C33C7D48}"/>
    <cellStyle name="Comma 4 2 2 2 3 2 2 2 5" xfId="15598" xr:uid="{42EFC21A-9EEB-432A-ACAE-DD30DE2201FF}"/>
    <cellStyle name="Comma 4 2 2 2 3 2 2 3" xfId="28244" xr:uid="{43F61420-B07C-4250-8C0D-59CC9FFE91A0}"/>
    <cellStyle name="Comma 4 2 2 2 3 2 2 4" xfId="19815" xr:uid="{4AD5EA1C-2603-4751-A12A-2EE777AB2BD5}"/>
    <cellStyle name="Comma 4 2 2 2 3 2 2 5" xfId="36673" xr:uid="{070F3A4B-AECD-450B-8141-1ADE24CF7A29}"/>
    <cellStyle name="Comma 4 2 2 2 3 2 2 6" xfId="11380" xr:uid="{37D99C9D-EF44-4B14-8D28-182AF4B32AA8}"/>
    <cellStyle name="Comma 4 2 2 2 3 2 3" xfId="5018" xr:uid="{00000000-0005-0000-0000-0000D6070000}"/>
    <cellStyle name="Comma 4 2 2 2 3 2 3 2" xfId="30317" xr:uid="{53FA6F5C-3CE8-47B9-8E21-B6C8D7D90E58}"/>
    <cellStyle name="Comma 4 2 2 2 3 2 3 3" xfId="21888" xr:uid="{1C2F83DC-7A41-412E-A756-98A1E8CDCD00}"/>
    <cellStyle name="Comma 4 2 2 2 3 2 3 4" xfId="38745" xr:uid="{A7CCD05B-E6F0-4186-94C1-E218C55A60E5}"/>
    <cellStyle name="Comma 4 2 2 2 3 2 3 5" xfId="13453" xr:uid="{398457BE-4061-476B-97B4-CD1E7DE785AB}"/>
    <cellStyle name="Comma 4 2 2 2 3 2 4" xfId="26099" xr:uid="{FE1D5ED2-9C61-4142-A5E2-91D5D16F96B0}"/>
    <cellStyle name="Comma 4 2 2 2 3 2 5" xfId="17670" xr:uid="{E6F9B1C0-1536-4FC1-A625-80C5C707E328}"/>
    <cellStyle name="Comma 4 2 2 2 3 2 6" xfId="34528" xr:uid="{DC5E45A2-76E6-420A-97D9-CE8924D39E61}"/>
    <cellStyle name="Comma 4 2 2 2 3 2 7" xfId="9235" xr:uid="{9FB9A4FE-2ED1-4FCE-84FC-CA96E106FDE9}"/>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32875" xr:uid="{F9021607-256F-4436-8511-7E0B6F7CA318}"/>
    <cellStyle name="Comma 4 2 2 2 3 3 2 2 3" xfId="24446" xr:uid="{1546FDF7-BC20-4A13-B920-776C533E077A}"/>
    <cellStyle name="Comma 4 2 2 2 3 3 2 2 4" xfId="41303" xr:uid="{BD060883-E7E3-45C2-84E0-B1CC0D44DAFA}"/>
    <cellStyle name="Comma 4 2 2 2 3 3 2 2 5" xfId="16011" xr:uid="{25484B70-87F9-4F27-BDB2-3583DE11DC2A}"/>
    <cellStyle name="Comma 4 2 2 2 3 3 2 3" xfId="28657" xr:uid="{F76A3671-4F03-42A0-AAE9-93ACEED93E5C}"/>
    <cellStyle name="Comma 4 2 2 2 3 3 2 4" xfId="20228" xr:uid="{91A43902-E934-41E3-BD99-6849AF39573B}"/>
    <cellStyle name="Comma 4 2 2 2 3 3 2 5" xfId="37086" xr:uid="{C08F2277-ED3D-4DA5-AACD-A36253D8209B}"/>
    <cellStyle name="Comma 4 2 2 2 3 3 2 6" xfId="11793" xr:uid="{E577B12B-B94A-4F7F-B85C-15EC46497197}"/>
    <cellStyle name="Comma 4 2 2 2 3 3 3" xfId="5431" xr:uid="{00000000-0005-0000-0000-0000DA070000}"/>
    <cellStyle name="Comma 4 2 2 2 3 3 3 2" xfId="30730" xr:uid="{9AA425CC-1041-450A-AF0F-77CA4E99B491}"/>
    <cellStyle name="Comma 4 2 2 2 3 3 3 3" xfId="22301" xr:uid="{EC831312-DCB4-4D39-B662-DA42FCF41BFC}"/>
    <cellStyle name="Comma 4 2 2 2 3 3 3 4" xfId="39158" xr:uid="{43AF7E55-0425-43E3-8665-74935A448A1B}"/>
    <cellStyle name="Comma 4 2 2 2 3 3 3 5" xfId="13866" xr:uid="{AFF0FA55-8673-4174-BAFC-3C0DD1D1AC8C}"/>
    <cellStyle name="Comma 4 2 2 2 3 3 4" xfId="26512" xr:uid="{340A2FF2-7A35-4772-8077-343BBB2C5479}"/>
    <cellStyle name="Comma 4 2 2 2 3 3 5" xfId="18083" xr:uid="{0D3248F4-AFD8-4226-8C73-468E217C5F13}"/>
    <cellStyle name="Comma 4 2 2 2 3 3 6" xfId="34941" xr:uid="{CE006BE2-AC00-4497-B200-6BEE81CE8482}"/>
    <cellStyle name="Comma 4 2 2 2 3 3 7" xfId="9648" xr:uid="{C7B9318C-BB9A-454B-AB93-DA8ACD97F855}"/>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33288" xr:uid="{2E3F4A74-F242-4CDE-875F-82E9E3516E71}"/>
    <cellStyle name="Comma 4 2 2 2 3 4 2 2 3" xfId="24859" xr:uid="{9D9E9FAD-2BD5-4F5F-9365-039106FEABA6}"/>
    <cellStyle name="Comma 4 2 2 2 3 4 2 2 4" xfId="41716" xr:uid="{77ED34A4-CC92-4020-B13C-EF02EDD209A8}"/>
    <cellStyle name="Comma 4 2 2 2 3 4 2 2 5" xfId="16424" xr:uid="{D3FB0FF5-F288-4477-BDCA-0420674BD431}"/>
    <cellStyle name="Comma 4 2 2 2 3 4 2 3" xfId="29070" xr:uid="{A661883F-28E8-44AA-864C-65A57E49FE9B}"/>
    <cellStyle name="Comma 4 2 2 2 3 4 2 4" xfId="20641" xr:uid="{115F0F52-62F9-44A5-8882-779D05C04945}"/>
    <cellStyle name="Comma 4 2 2 2 3 4 2 5" xfId="37499" xr:uid="{4F1B1BBD-E3C3-4C24-9DCC-4EE38EC08486}"/>
    <cellStyle name="Comma 4 2 2 2 3 4 2 6" xfId="12206" xr:uid="{748D3A04-2C46-4C3B-A90B-B0459E100973}"/>
    <cellStyle name="Comma 4 2 2 2 3 4 3" xfId="5844" xr:uid="{00000000-0005-0000-0000-0000DE070000}"/>
    <cellStyle name="Comma 4 2 2 2 3 4 3 2" xfId="31143" xr:uid="{542F081E-3295-4155-9842-946A41A1C8D2}"/>
    <cellStyle name="Comma 4 2 2 2 3 4 3 3" xfId="22714" xr:uid="{22CB4214-0C5F-486C-A19C-12E75BED382A}"/>
    <cellStyle name="Comma 4 2 2 2 3 4 3 4" xfId="39571" xr:uid="{283B700B-703F-493B-BDD6-D8433E3225A9}"/>
    <cellStyle name="Comma 4 2 2 2 3 4 3 5" xfId="14279" xr:uid="{436792F3-196B-414A-9E2E-F390FDF812E8}"/>
    <cellStyle name="Comma 4 2 2 2 3 4 4" xfId="26925" xr:uid="{7ABE677E-CF4A-45D7-9718-4127F1B95571}"/>
    <cellStyle name="Comma 4 2 2 2 3 4 5" xfId="18496" xr:uid="{9254DB3A-BCE0-4632-AE06-78018412FDBE}"/>
    <cellStyle name="Comma 4 2 2 2 3 4 6" xfId="35354" xr:uid="{205230BD-EFF7-49A2-BF6B-FE0D608A1306}"/>
    <cellStyle name="Comma 4 2 2 2 3 4 7" xfId="10061" xr:uid="{206DFD01-507D-409F-A316-E4DA11D0561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33701" xr:uid="{4106403F-DF3E-4240-80CE-390CE115074F}"/>
    <cellStyle name="Comma 4 2 2 2 3 5 2 2 3" xfId="25272" xr:uid="{63C95320-10BD-43D7-9CDE-03925E3D44FD}"/>
    <cellStyle name="Comma 4 2 2 2 3 5 2 2 4" xfId="42129" xr:uid="{78C039BD-1966-4F59-97AB-5F70112EC9A3}"/>
    <cellStyle name="Comma 4 2 2 2 3 5 2 2 5" xfId="16837" xr:uid="{460699C1-97F4-4308-B04D-06A9B1BBDCCF}"/>
    <cellStyle name="Comma 4 2 2 2 3 5 2 3" xfId="29483" xr:uid="{2C65C137-2A48-4987-9082-4294B63C52B2}"/>
    <cellStyle name="Comma 4 2 2 2 3 5 2 4" xfId="21054" xr:uid="{76C7C8CB-D9CB-4368-B896-89F777C624DF}"/>
    <cellStyle name="Comma 4 2 2 2 3 5 2 5" xfId="37912" xr:uid="{6984BA99-13BA-4E18-B1FE-8D30BD5DA175}"/>
    <cellStyle name="Comma 4 2 2 2 3 5 2 6" xfId="12619" xr:uid="{31040246-09D2-479E-A510-05D5BB6E2CE3}"/>
    <cellStyle name="Comma 4 2 2 2 3 5 3" xfId="6257" xr:uid="{00000000-0005-0000-0000-0000E2070000}"/>
    <cellStyle name="Comma 4 2 2 2 3 5 3 2" xfId="31556" xr:uid="{19A4ABCA-8F5F-4C8C-AD97-049EC44B6607}"/>
    <cellStyle name="Comma 4 2 2 2 3 5 3 3" xfId="23127" xr:uid="{28A397EC-80C3-41DF-953F-DA4FEF09F74B}"/>
    <cellStyle name="Comma 4 2 2 2 3 5 3 4" xfId="39984" xr:uid="{2937C82C-9103-4277-A435-352113176E93}"/>
    <cellStyle name="Comma 4 2 2 2 3 5 3 5" xfId="14692" xr:uid="{169546C1-479D-47DE-AB71-41DD95721912}"/>
    <cellStyle name="Comma 4 2 2 2 3 5 4" xfId="27338" xr:uid="{48046583-488F-4EB2-91F9-7EF81D3B8DDB}"/>
    <cellStyle name="Comma 4 2 2 2 3 5 5" xfId="18909" xr:uid="{1F20C910-81CC-4CA8-9450-62343574E6B2}"/>
    <cellStyle name="Comma 4 2 2 2 3 5 6" xfId="35767" xr:uid="{66D015FE-7846-4BA6-94F1-70F8C2BCA947}"/>
    <cellStyle name="Comma 4 2 2 2 3 5 7" xfId="10474" xr:uid="{EBAF5D0E-A528-45C3-A4D3-48561C4FE542}"/>
    <cellStyle name="Comma 4 2 2 2 3 6" xfId="2385" xr:uid="{00000000-0005-0000-0000-0000E3070000}"/>
    <cellStyle name="Comma 4 2 2 2 3 6 2" xfId="6670" xr:uid="{00000000-0005-0000-0000-0000E4070000}"/>
    <cellStyle name="Comma 4 2 2 2 3 6 2 2" xfId="31969" xr:uid="{C25DDE0C-49A7-4E01-8104-D9D911850099}"/>
    <cellStyle name="Comma 4 2 2 2 3 6 2 3" xfId="23540" xr:uid="{3A78F518-55DF-4B5C-ADAB-153CF7BA0C41}"/>
    <cellStyle name="Comma 4 2 2 2 3 6 2 4" xfId="40397" xr:uid="{556147C9-7FAD-4502-95A4-3CC5141C6D21}"/>
    <cellStyle name="Comma 4 2 2 2 3 6 2 5" xfId="15105" xr:uid="{A5CF3C7D-0747-47CB-A649-43DBDC4EF99F}"/>
    <cellStyle name="Comma 4 2 2 2 3 6 3" xfId="27751" xr:uid="{87F5F378-4865-4999-9242-EDE3D97C4C3A}"/>
    <cellStyle name="Comma 4 2 2 2 3 6 4" xfId="19322" xr:uid="{DB7BE699-72E2-435A-890D-B839135F5499}"/>
    <cellStyle name="Comma 4 2 2 2 3 6 5" xfId="36180" xr:uid="{A5C6CC7A-77A7-4A79-B440-AB2F2A94B88E}"/>
    <cellStyle name="Comma 4 2 2 2 3 6 6" xfId="10887" xr:uid="{4A481DFA-B4E3-411E-8A4C-DB809A7F3F3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32286" xr:uid="{DA03CA84-323C-4165-8FA3-C761C21F5DF5}"/>
    <cellStyle name="Comma 4 2 2 2 3 8 2 3" xfId="23857" xr:uid="{A51C3B4C-D391-45E3-A1A2-657313821B0E}"/>
    <cellStyle name="Comma 4 2 2 2 3 8 2 4" xfId="40714" xr:uid="{54B9FE82-3B11-40F5-B54B-AB803A8FD329}"/>
    <cellStyle name="Comma 4 2 2 2 3 8 2 5" xfId="15422" xr:uid="{FE59EABB-C4B4-4EBC-8778-5F1ABB60719C}"/>
    <cellStyle name="Comma 4 2 2 2 3 8 3" xfId="28068" xr:uid="{943719AF-CBC6-48F4-9631-820C3A90590F}"/>
    <cellStyle name="Comma 4 2 2 2 3 8 4" xfId="19639" xr:uid="{837ABA34-CCD3-42EC-AB9C-E967BFF1B032}"/>
    <cellStyle name="Comma 4 2 2 2 3 8 5" xfId="36497" xr:uid="{88497381-A0AE-4CA8-BEB6-8F0414200C66}"/>
    <cellStyle name="Comma 4 2 2 2 3 8 6" xfId="11204" xr:uid="{B2AB02CC-BABF-42D7-AEBD-D5BA35E0D500}"/>
    <cellStyle name="Comma 4 2 2 2 3 9" xfId="4604" xr:uid="{00000000-0005-0000-0000-0000E8070000}"/>
    <cellStyle name="Comma 4 2 2 2 3 9 2" xfId="29903" xr:uid="{6FDB5CBE-99FB-426A-BD4D-D65882D7E7FD}"/>
    <cellStyle name="Comma 4 2 2 2 3 9 3" xfId="21474" xr:uid="{69ACE63C-BF63-4657-8DAE-A486DD876573}"/>
    <cellStyle name="Comma 4 2 2 2 3 9 4" xfId="38331" xr:uid="{6A90A721-AA48-45E4-B335-A5F7B7DA58AD}"/>
    <cellStyle name="Comma 4 2 2 2 3 9 5" xfId="13039" xr:uid="{57DD99EB-CA98-498C-B653-C3E10135E180}"/>
    <cellStyle name="Comma 4 2 2 2 4" xfId="666" xr:uid="{00000000-0005-0000-0000-0000E9070000}"/>
    <cellStyle name="Comma 4 2 2 2 4 2" xfId="2937" xr:uid="{00000000-0005-0000-0000-0000EA070000}"/>
    <cellStyle name="Comma 4 2 2 2 4 2 2" xfId="7160" xr:uid="{00000000-0005-0000-0000-0000EB070000}"/>
    <cellStyle name="Comma 4 2 2 2 4 2 2 2" xfId="32459" xr:uid="{F1588ACD-DBC1-47BE-AB5D-C9FF0AE0D890}"/>
    <cellStyle name="Comma 4 2 2 2 4 2 2 3" xfId="24030" xr:uid="{59DD8F60-B58F-4B9D-BFCE-415FF50616AB}"/>
    <cellStyle name="Comma 4 2 2 2 4 2 2 4" xfId="40887" xr:uid="{9033AEB1-174D-4009-8948-7FEBE1A0B436}"/>
    <cellStyle name="Comma 4 2 2 2 4 2 2 5" xfId="15595" xr:uid="{496069DC-93CB-4EED-81E9-3AFCC3B3A31A}"/>
    <cellStyle name="Comma 4 2 2 2 4 2 3" xfId="28241" xr:uid="{76303D03-731B-47F1-95BE-32D966FA32B5}"/>
    <cellStyle name="Comma 4 2 2 2 4 2 4" xfId="19812" xr:uid="{84D9792B-8CDD-4848-8439-60D23963F1D0}"/>
    <cellStyle name="Comma 4 2 2 2 4 2 5" xfId="36670" xr:uid="{8B4470F2-E44A-43F2-8F06-1FFF48903F2B}"/>
    <cellStyle name="Comma 4 2 2 2 4 2 6" xfId="11377" xr:uid="{D07D9BB3-5706-4819-8BF0-B1A3EAE64D43}"/>
    <cellStyle name="Comma 4 2 2 2 4 3" xfId="5015" xr:uid="{00000000-0005-0000-0000-0000EC070000}"/>
    <cellStyle name="Comma 4 2 2 2 4 3 2" xfId="30314" xr:uid="{2847C9CB-3FB5-4B0D-BAD6-EFFC1887D953}"/>
    <cellStyle name="Comma 4 2 2 2 4 3 3" xfId="21885" xr:uid="{81A922F9-CA01-40BD-9443-5882BFABF797}"/>
    <cellStyle name="Comma 4 2 2 2 4 3 4" xfId="38742" xr:uid="{140DFEA6-384D-4573-95DE-EB356287511A}"/>
    <cellStyle name="Comma 4 2 2 2 4 3 5" xfId="13450" xr:uid="{75CD9BA1-B92D-4CBF-A9EE-7DF9F36C8D1F}"/>
    <cellStyle name="Comma 4 2 2 2 4 4" xfId="26096" xr:uid="{2BC483F7-5207-45F8-A8A0-ECEFE6A5131A}"/>
    <cellStyle name="Comma 4 2 2 2 4 5" xfId="17667" xr:uid="{E12AC69C-1D37-4B22-8942-0885441C1B2A}"/>
    <cellStyle name="Comma 4 2 2 2 4 6" xfId="34525" xr:uid="{053F2AEC-27E5-4680-9EDA-C7BB610EC6CD}"/>
    <cellStyle name="Comma 4 2 2 2 4 7" xfId="9232" xr:uid="{70FE37C0-6B0D-4BC0-A79F-8F94123C81E8}"/>
    <cellStyle name="Comma 4 2 2 2 5" xfId="1119" xr:uid="{00000000-0005-0000-0000-0000ED070000}"/>
    <cellStyle name="Comma 4 2 2 2 5 2" xfId="3350" xr:uid="{00000000-0005-0000-0000-0000EE070000}"/>
    <cellStyle name="Comma 4 2 2 2 5 2 2" xfId="7573" xr:uid="{00000000-0005-0000-0000-0000EF070000}"/>
    <cellStyle name="Comma 4 2 2 2 5 2 2 2" xfId="32872" xr:uid="{D64969EA-C491-4601-9E98-6971C4BE5B20}"/>
    <cellStyle name="Comma 4 2 2 2 5 2 2 3" xfId="24443" xr:uid="{9CEA3C2B-D5E0-4F30-94D3-DCEDA95C2F50}"/>
    <cellStyle name="Comma 4 2 2 2 5 2 2 4" xfId="41300" xr:uid="{EB612626-85D5-4226-9F3D-926685DF182A}"/>
    <cellStyle name="Comma 4 2 2 2 5 2 2 5" xfId="16008" xr:uid="{B660A320-BD4E-42A9-A61F-E20CF133DFDC}"/>
    <cellStyle name="Comma 4 2 2 2 5 2 3" xfId="28654" xr:uid="{2C011A15-3787-45CE-B31A-B5F72F61DF9D}"/>
    <cellStyle name="Comma 4 2 2 2 5 2 4" xfId="20225" xr:uid="{44E89417-8C75-4ECD-BD0C-135A856CD144}"/>
    <cellStyle name="Comma 4 2 2 2 5 2 5" xfId="37083" xr:uid="{D3FAF453-03F2-429F-8A47-46FA03EF2FB0}"/>
    <cellStyle name="Comma 4 2 2 2 5 2 6" xfId="11790" xr:uid="{8B6D1559-03AA-4B8D-BD64-54A9B1B04FA5}"/>
    <cellStyle name="Comma 4 2 2 2 5 3" xfId="5428" xr:uid="{00000000-0005-0000-0000-0000F0070000}"/>
    <cellStyle name="Comma 4 2 2 2 5 3 2" xfId="30727" xr:uid="{99B255C8-9F53-44DE-A9BC-493DF5D29991}"/>
    <cellStyle name="Comma 4 2 2 2 5 3 3" xfId="22298" xr:uid="{12ABD765-9DE7-438D-B9ED-7791046A5417}"/>
    <cellStyle name="Comma 4 2 2 2 5 3 4" xfId="39155" xr:uid="{F6B83073-85ED-477C-827D-36EDB679EAA9}"/>
    <cellStyle name="Comma 4 2 2 2 5 3 5" xfId="13863" xr:uid="{4924B925-BF88-4095-AAD1-587EC8A8786D}"/>
    <cellStyle name="Comma 4 2 2 2 5 4" xfId="26509" xr:uid="{21474BA4-9611-447D-9EEE-61B86B0C643F}"/>
    <cellStyle name="Comma 4 2 2 2 5 5" xfId="18080" xr:uid="{E0BABF94-6DA3-4CA7-B815-04B301171B94}"/>
    <cellStyle name="Comma 4 2 2 2 5 6" xfId="34938" xr:uid="{A7CBF2ED-FD1D-4D74-AF81-7C27ACA7A6D9}"/>
    <cellStyle name="Comma 4 2 2 2 5 7" xfId="9645" xr:uid="{FEAD8AF6-7D0E-4143-8DEA-2B48ECE25D33}"/>
    <cellStyle name="Comma 4 2 2 2 6" xfId="1533" xr:uid="{00000000-0005-0000-0000-0000F1070000}"/>
    <cellStyle name="Comma 4 2 2 2 6 2" xfId="3763" xr:uid="{00000000-0005-0000-0000-0000F2070000}"/>
    <cellStyle name="Comma 4 2 2 2 6 2 2" xfId="7986" xr:uid="{00000000-0005-0000-0000-0000F3070000}"/>
    <cellStyle name="Comma 4 2 2 2 6 2 2 2" xfId="33285" xr:uid="{EA34C1F9-2271-4DD4-AB5B-FD3A35791E01}"/>
    <cellStyle name="Comma 4 2 2 2 6 2 2 3" xfId="24856" xr:uid="{7BFBE66F-A707-4D57-9E15-42D0D58189C4}"/>
    <cellStyle name="Comma 4 2 2 2 6 2 2 4" xfId="41713" xr:uid="{19A763FB-AA44-4886-8B51-CEB5F53374E0}"/>
    <cellStyle name="Comma 4 2 2 2 6 2 2 5" xfId="16421" xr:uid="{9F5E303D-A46F-44B3-A477-91EC150104AA}"/>
    <cellStyle name="Comma 4 2 2 2 6 2 3" xfId="29067" xr:uid="{D98651F7-687D-4DE7-823D-488487123CC2}"/>
    <cellStyle name="Comma 4 2 2 2 6 2 4" xfId="20638" xr:uid="{316CECD5-8182-4B98-9F23-56338E6C17B0}"/>
    <cellStyle name="Comma 4 2 2 2 6 2 5" xfId="37496" xr:uid="{F2DA4DE5-B099-4DFB-A46C-BBBE3FAA70A2}"/>
    <cellStyle name="Comma 4 2 2 2 6 2 6" xfId="12203" xr:uid="{EE3D179E-B376-4F8A-8838-2AEBFC642538}"/>
    <cellStyle name="Comma 4 2 2 2 6 3" xfId="5841" xr:uid="{00000000-0005-0000-0000-0000F4070000}"/>
    <cellStyle name="Comma 4 2 2 2 6 3 2" xfId="31140" xr:uid="{7A695364-DFED-4BD0-91F2-57AF2A564659}"/>
    <cellStyle name="Comma 4 2 2 2 6 3 3" xfId="22711" xr:uid="{2A0FDFC2-85E2-48F8-BD86-5FB345C3BB43}"/>
    <cellStyle name="Comma 4 2 2 2 6 3 4" xfId="39568" xr:uid="{DD8FE238-0789-43DC-8149-A1F7A11237B8}"/>
    <cellStyle name="Comma 4 2 2 2 6 3 5" xfId="14276" xr:uid="{BF2E6CF7-B609-4E5E-AF35-96925BB7F018}"/>
    <cellStyle name="Comma 4 2 2 2 6 4" xfId="26922" xr:uid="{A0B47CA8-E69E-44A9-8293-A8B5F78D8E69}"/>
    <cellStyle name="Comma 4 2 2 2 6 5" xfId="18493" xr:uid="{AEA1890C-A6E7-4651-893F-3D4BB368E257}"/>
    <cellStyle name="Comma 4 2 2 2 6 6" xfId="35351" xr:uid="{5C7BA4E7-ABE4-4747-B947-C1AD673D26A6}"/>
    <cellStyle name="Comma 4 2 2 2 6 7" xfId="10058" xr:uid="{C0B539D4-4A9F-41ED-B58F-E809F6F46A7A}"/>
    <cellStyle name="Comma 4 2 2 2 7" xfId="1947" xr:uid="{00000000-0005-0000-0000-0000F5070000}"/>
    <cellStyle name="Comma 4 2 2 2 7 2" xfId="4176" xr:uid="{00000000-0005-0000-0000-0000F6070000}"/>
    <cellStyle name="Comma 4 2 2 2 7 2 2" xfId="8399" xr:uid="{00000000-0005-0000-0000-0000F7070000}"/>
    <cellStyle name="Comma 4 2 2 2 7 2 2 2" xfId="33698" xr:uid="{D018C15B-08D2-4AC4-A703-DFBB842A1E28}"/>
    <cellStyle name="Comma 4 2 2 2 7 2 2 3" xfId="25269" xr:uid="{2D72AC75-BEB0-4964-BF52-919EE1D5E3CB}"/>
    <cellStyle name="Comma 4 2 2 2 7 2 2 4" xfId="42126" xr:uid="{74485E33-5A31-42F3-B9E6-B810EE9D5C7B}"/>
    <cellStyle name="Comma 4 2 2 2 7 2 2 5" xfId="16834" xr:uid="{DA8EC830-481A-4F87-B165-51646B1E9880}"/>
    <cellStyle name="Comma 4 2 2 2 7 2 3" xfId="29480" xr:uid="{CF5717BF-F9BE-401C-8039-5626A0410F27}"/>
    <cellStyle name="Comma 4 2 2 2 7 2 4" xfId="21051" xr:uid="{280F0843-8115-4728-AE81-F2BAF24A4121}"/>
    <cellStyle name="Comma 4 2 2 2 7 2 5" xfId="37909" xr:uid="{DAD41D07-D3CE-4A9D-B388-CD7E983CF7A6}"/>
    <cellStyle name="Comma 4 2 2 2 7 2 6" xfId="12616" xr:uid="{E03B7AAF-57CD-453F-8FDF-F2A516EAF131}"/>
    <cellStyle name="Comma 4 2 2 2 7 3" xfId="6254" xr:uid="{00000000-0005-0000-0000-0000F8070000}"/>
    <cellStyle name="Comma 4 2 2 2 7 3 2" xfId="31553" xr:uid="{0883A11C-7594-4822-BDB6-FC32FFAECE04}"/>
    <cellStyle name="Comma 4 2 2 2 7 3 3" xfId="23124" xr:uid="{3E4456D1-4A80-4743-BAA8-81218B771910}"/>
    <cellStyle name="Comma 4 2 2 2 7 3 4" xfId="39981" xr:uid="{F68394A2-341B-43D8-8622-9269EA0AD036}"/>
    <cellStyle name="Comma 4 2 2 2 7 3 5" xfId="14689" xr:uid="{1794CBB9-9FB6-4E04-9389-821FEDFF75BE}"/>
    <cellStyle name="Comma 4 2 2 2 7 4" xfId="27335" xr:uid="{13BBAB1C-9CF5-490D-9654-D5230576F086}"/>
    <cellStyle name="Comma 4 2 2 2 7 5" xfId="18906" xr:uid="{34FD8866-C133-4A84-AC36-54CB4A3D7926}"/>
    <cellStyle name="Comma 4 2 2 2 7 6" xfId="35764" xr:uid="{3DD59902-6836-46EF-B241-76A63BA87A77}"/>
    <cellStyle name="Comma 4 2 2 2 7 7" xfId="10471" xr:uid="{7C1BDE96-A4A9-428B-9F14-385F23BCE29F}"/>
    <cellStyle name="Comma 4 2 2 2 8" xfId="2382" xr:uid="{00000000-0005-0000-0000-0000F9070000}"/>
    <cellStyle name="Comma 4 2 2 2 8 2" xfId="6667" xr:uid="{00000000-0005-0000-0000-0000FA070000}"/>
    <cellStyle name="Comma 4 2 2 2 8 2 2" xfId="31966" xr:uid="{FE5F818C-2BDE-4136-A388-8A8FB78D69D8}"/>
    <cellStyle name="Comma 4 2 2 2 8 2 3" xfId="23537" xr:uid="{BE371B1F-B626-414E-939D-3844C794899A}"/>
    <cellStyle name="Comma 4 2 2 2 8 2 4" xfId="40394" xr:uid="{E96AA5D0-BE84-40C7-96E6-D47850EEEC28}"/>
    <cellStyle name="Comma 4 2 2 2 8 2 5" xfId="15102" xr:uid="{A88DDD7B-171C-4837-AD62-8D9D1FB83ECB}"/>
    <cellStyle name="Comma 4 2 2 2 8 3" xfId="27748" xr:uid="{389B3313-7889-4FFB-977E-F04EAB5EFBF0}"/>
    <cellStyle name="Comma 4 2 2 2 8 4" xfId="19319" xr:uid="{28D283C1-AF5D-4EA0-B22C-7EBBE686F297}"/>
    <cellStyle name="Comma 4 2 2 2 8 5" xfId="36177" xr:uid="{73CD1879-A5BD-491A-BB76-A06D01BF315F}"/>
    <cellStyle name="Comma 4 2 2 2 8 6" xfId="10884" xr:uid="{CAEFE699-162D-4975-8D3D-A066D9095869}"/>
    <cellStyle name="Comma 4 2 2 2 9" xfId="2381" xr:uid="{00000000-0005-0000-0000-0000FB070000}"/>
    <cellStyle name="Comma 4 2 2 3" xfId="132" xr:uid="{00000000-0005-0000-0000-0000FC070000}"/>
    <cellStyle name="Comma 4 2 2 3 10" xfId="4605" xr:uid="{00000000-0005-0000-0000-0000FD070000}"/>
    <cellStyle name="Comma 4 2 2 3 10 2" xfId="29904" xr:uid="{D9F409C0-12F5-4480-AEA7-3410A638DF4E}"/>
    <cellStyle name="Comma 4 2 2 3 10 3" xfId="21475" xr:uid="{C58FCCAD-B2C7-4291-AD7F-0BD92F3E677B}"/>
    <cellStyle name="Comma 4 2 2 3 10 4" xfId="38332" xr:uid="{9B557817-7372-46A8-BF0A-C71653181436}"/>
    <cellStyle name="Comma 4 2 2 3 10 5" xfId="13040" xr:uid="{4B90710A-F64B-41CA-95AF-3BF3A7B0B609}"/>
    <cellStyle name="Comma 4 2 2 3 11" xfId="25686" xr:uid="{A3FAEC6D-2374-4040-A453-A0B422FAD629}"/>
    <cellStyle name="Comma 4 2 2 3 12" xfId="17257" xr:uid="{C2FF997C-AFEF-4519-9D3B-307611832C17}"/>
    <cellStyle name="Comma 4 2 2 3 13" xfId="34115" xr:uid="{CFDD44A2-094C-4E45-8B89-1153A0812E87}"/>
    <cellStyle name="Comma 4 2 2 3 14" xfId="8822" xr:uid="{0BF2D62C-94D8-47C9-AA21-A82526F0541E}"/>
    <cellStyle name="Comma 4 2 2 3 2" xfId="133" xr:uid="{00000000-0005-0000-0000-0000FE070000}"/>
    <cellStyle name="Comma 4 2 2 3 2 10" xfId="25687" xr:uid="{0CE1693E-3768-4F5A-9D9F-89432338B55D}"/>
    <cellStyle name="Comma 4 2 2 3 2 11" xfId="17258" xr:uid="{453C179A-901F-4555-AFA3-9A249A582FDF}"/>
    <cellStyle name="Comma 4 2 2 3 2 12" xfId="34116" xr:uid="{9766387C-BDF8-4843-B9AD-58EBAC0EF439}"/>
    <cellStyle name="Comma 4 2 2 3 2 13" xfId="8823" xr:uid="{7A6DBB8B-EE65-4E33-8673-26D7BA85000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32464" xr:uid="{3BD4F49D-7C05-44F6-A2CA-4FC99A75B75E}"/>
    <cellStyle name="Comma 4 2 2 3 2 2 2 2 3" xfId="24035" xr:uid="{B149E33E-D05B-4AE9-A01D-B68B2A73FD26}"/>
    <cellStyle name="Comma 4 2 2 3 2 2 2 2 4" xfId="40892" xr:uid="{F85F2021-ABF5-4DD2-8BF3-AADA7A0AADFA}"/>
    <cellStyle name="Comma 4 2 2 3 2 2 2 2 5" xfId="15600" xr:uid="{6D9E882F-F374-4D3B-AA28-ACCD408EFD6D}"/>
    <cellStyle name="Comma 4 2 2 3 2 2 2 3" xfId="28246" xr:uid="{112D4E2E-F361-4F50-AB53-6A81AC14102B}"/>
    <cellStyle name="Comma 4 2 2 3 2 2 2 4" xfId="19817" xr:uid="{483869C5-7423-4A61-8822-1C6281474F3C}"/>
    <cellStyle name="Comma 4 2 2 3 2 2 2 5" xfId="36675" xr:uid="{2F3023AB-778D-4B66-9861-41535BEB7E52}"/>
    <cellStyle name="Comma 4 2 2 3 2 2 2 6" xfId="11382" xr:uid="{3DCFDCA3-14F7-4C8C-A0D4-F87ED45CDC6C}"/>
    <cellStyle name="Comma 4 2 2 3 2 2 3" xfId="5020" xr:uid="{00000000-0005-0000-0000-000002080000}"/>
    <cellStyle name="Comma 4 2 2 3 2 2 3 2" xfId="30319" xr:uid="{32185B22-79A3-4501-8C02-11ECC5F35123}"/>
    <cellStyle name="Comma 4 2 2 3 2 2 3 3" xfId="21890" xr:uid="{681E2E09-A65C-422A-B221-B0D1196E6DC7}"/>
    <cellStyle name="Comma 4 2 2 3 2 2 3 4" xfId="38747" xr:uid="{45137B9C-770E-41BE-A219-06D5861CF02D}"/>
    <cellStyle name="Comma 4 2 2 3 2 2 3 5" xfId="13455" xr:uid="{59351B74-64F7-47FD-A924-AFB444A511C0}"/>
    <cellStyle name="Comma 4 2 2 3 2 2 4" xfId="26101" xr:uid="{A9D4B649-68CE-44CA-B177-029BB57EFF03}"/>
    <cellStyle name="Comma 4 2 2 3 2 2 5" xfId="17672" xr:uid="{3A859921-D4A2-4AD1-A84B-5F9D75063060}"/>
    <cellStyle name="Comma 4 2 2 3 2 2 6" xfId="34530" xr:uid="{F68D9966-8141-495A-B814-1BE61AF42AE3}"/>
    <cellStyle name="Comma 4 2 2 3 2 2 7" xfId="9237" xr:uid="{6A974C53-F1D4-45DD-975A-A9E0AC3887B8}"/>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32877" xr:uid="{4C99FF39-9023-4784-BD54-3B9EB6CFFE25}"/>
    <cellStyle name="Comma 4 2 2 3 2 3 2 2 3" xfId="24448" xr:uid="{6DBC3BC8-8B39-47E4-A109-2C977391A13D}"/>
    <cellStyle name="Comma 4 2 2 3 2 3 2 2 4" xfId="41305" xr:uid="{97FDA003-6432-4055-ABCB-29449FBAC8AD}"/>
    <cellStyle name="Comma 4 2 2 3 2 3 2 2 5" xfId="16013" xr:uid="{D0157E03-C879-4643-90F4-50C32178D428}"/>
    <cellStyle name="Comma 4 2 2 3 2 3 2 3" xfId="28659" xr:uid="{5B07E756-A62A-4FA0-9B96-7C954575520D}"/>
    <cellStyle name="Comma 4 2 2 3 2 3 2 4" xfId="20230" xr:uid="{71E2CCC6-D83D-4618-B3F5-0A7F571BB614}"/>
    <cellStyle name="Comma 4 2 2 3 2 3 2 5" xfId="37088" xr:uid="{6B83A383-1AFE-4CDC-9EB4-02D56BF1C4E8}"/>
    <cellStyle name="Comma 4 2 2 3 2 3 2 6" xfId="11795" xr:uid="{F34C5E1C-E552-4C0F-873C-806DFEEEBCD5}"/>
    <cellStyle name="Comma 4 2 2 3 2 3 3" xfId="5433" xr:uid="{00000000-0005-0000-0000-000006080000}"/>
    <cellStyle name="Comma 4 2 2 3 2 3 3 2" xfId="30732" xr:uid="{0927B4CB-8E3F-473B-BDAB-0888DE2C9405}"/>
    <cellStyle name="Comma 4 2 2 3 2 3 3 3" xfId="22303" xr:uid="{2CD556CA-29E1-47A1-9CF5-076F60999541}"/>
    <cellStyle name="Comma 4 2 2 3 2 3 3 4" xfId="39160" xr:uid="{DE14A1D3-671E-4C56-8051-24422B103870}"/>
    <cellStyle name="Comma 4 2 2 3 2 3 3 5" xfId="13868" xr:uid="{1F14E217-024F-466B-94AC-6118E7BBFABB}"/>
    <cellStyle name="Comma 4 2 2 3 2 3 4" xfId="26514" xr:uid="{4AF35D67-7136-4628-B149-33D97E237D5A}"/>
    <cellStyle name="Comma 4 2 2 3 2 3 5" xfId="18085" xr:uid="{EAC10B82-2DCE-4556-A8C0-85D72CEA2E78}"/>
    <cellStyle name="Comma 4 2 2 3 2 3 6" xfId="34943" xr:uid="{3FDFB13E-63B9-4C45-9A4D-441ECBA633F5}"/>
    <cellStyle name="Comma 4 2 2 3 2 3 7" xfId="9650" xr:uid="{C1996E20-8CFD-4A5E-8555-61DB341DA5F1}"/>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33290" xr:uid="{8CFFA343-409F-495C-BDDA-CA7646B7FF05}"/>
    <cellStyle name="Comma 4 2 2 3 2 4 2 2 3" xfId="24861" xr:uid="{A127870E-E173-4265-8ABA-56A2AEE30CCD}"/>
    <cellStyle name="Comma 4 2 2 3 2 4 2 2 4" xfId="41718" xr:uid="{E08242F9-41E9-497B-A90B-DB780FF3327F}"/>
    <cellStyle name="Comma 4 2 2 3 2 4 2 2 5" xfId="16426" xr:uid="{B65B801B-2827-49A2-B54A-B3F87EA15F2A}"/>
    <cellStyle name="Comma 4 2 2 3 2 4 2 3" xfId="29072" xr:uid="{4ECC5F9A-D0E0-472E-9949-2373634947A7}"/>
    <cellStyle name="Comma 4 2 2 3 2 4 2 4" xfId="20643" xr:uid="{53D6A95C-9F7E-48A2-83C3-5BD487DEE7F9}"/>
    <cellStyle name="Comma 4 2 2 3 2 4 2 5" xfId="37501" xr:uid="{ECFB89F9-C66C-4E2B-A41F-532455A86D3B}"/>
    <cellStyle name="Comma 4 2 2 3 2 4 2 6" xfId="12208" xr:uid="{D8ECDD0D-0681-4D9A-9593-171C6E6BA580}"/>
    <cellStyle name="Comma 4 2 2 3 2 4 3" xfId="5846" xr:uid="{00000000-0005-0000-0000-00000A080000}"/>
    <cellStyle name="Comma 4 2 2 3 2 4 3 2" xfId="31145" xr:uid="{521634D0-B0A6-4C8E-B006-D2B25AB29244}"/>
    <cellStyle name="Comma 4 2 2 3 2 4 3 3" xfId="22716" xr:uid="{A9E4AFD2-7D25-4F74-BE7B-C55538D76F43}"/>
    <cellStyle name="Comma 4 2 2 3 2 4 3 4" xfId="39573" xr:uid="{223CFBE4-6B3D-4CE5-90AB-2BF30A3DEA74}"/>
    <cellStyle name="Comma 4 2 2 3 2 4 3 5" xfId="14281" xr:uid="{9709E22C-02ED-4A97-BB33-30AB16CE1421}"/>
    <cellStyle name="Comma 4 2 2 3 2 4 4" xfId="26927" xr:uid="{3CD7924F-2BF1-4206-A3DD-9EFDE0310693}"/>
    <cellStyle name="Comma 4 2 2 3 2 4 5" xfId="18498" xr:uid="{A06D8A77-7C62-4356-B909-E7CC22F0D3A5}"/>
    <cellStyle name="Comma 4 2 2 3 2 4 6" xfId="35356" xr:uid="{21F1CDB5-EEBF-48C3-BD43-57B327CE15C0}"/>
    <cellStyle name="Comma 4 2 2 3 2 4 7" xfId="10063" xr:uid="{E2C09180-9939-446D-A9F7-C02D06332BA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33703" xr:uid="{34AEEB98-08F3-4B60-8CFF-994EFA0CFE09}"/>
    <cellStyle name="Comma 4 2 2 3 2 5 2 2 3" xfId="25274" xr:uid="{ED0A4994-DD21-4150-9292-DE5D3F95E5C5}"/>
    <cellStyle name="Comma 4 2 2 3 2 5 2 2 4" xfId="42131" xr:uid="{3D483B2C-2307-4DE5-8CAD-CEFEA5D04F02}"/>
    <cellStyle name="Comma 4 2 2 3 2 5 2 2 5" xfId="16839" xr:uid="{02F4A0A3-C711-45EC-91C7-03247B7E1A05}"/>
    <cellStyle name="Comma 4 2 2 3 2 5 2 3" xfId="29485" xr:uid="{A6CCA030-B7AC-4035-B3DF-636B6AF27F1E}"/>
    <cellStyle name="Comma 4 2 2 3 2 5 2 4" xfId="21056" xr:uid="{970E01E8-DD16-43C0-A3F3-B05A36EE1D67}"/>
    <cellStyle name="Comma 4 2 2 3 2 5 2 5" xfId="37914" xr:uid="{0B1A09A2-95F7-4ED3-A585-EA8CE1F26947}"/>
    <cellStyle name="Comma 4 2 2 3 2 5 2 6" xfId="12621" xr:uid="{28DF6F94-7D5E-4CDB-A819-424230B2CD4D}"/>
    <cellStyle name="Comma 4 2 2 3 2 5 3" xfId="6259" xr:uid="{00000000-0005-0000-0000-00000E080000}"/>
    <cellStyle name="Comma 4 2 2 3 2 5 3 2" xfId="31558" xr:uid="{A1A0D0A5-AB42-430E-B3E3-C5A631AA83FF}"/>
    <cellStyle name="Comma 4 2 2 3 2 5 3 3" xfId="23129" xr:uid="{34B5C962-5FBF-4A00-83A9-797ED7213EE4}"/>
    <cellStyle name="Comma 4 2 2 3 2 5 3 4" xfId="39986" xr:uid="{D1F1FF2C-65CE-4C01-AE07-AA5F3C1A9E6D}"/>
    <cellStyle name="Comma 4 2 2 3 2 5 3 5" xfId="14694" xr:uid="{2BFB5AD6-E300-4244-A647-C89B34E1249C}"/>
    <cellStyle name="Comma 4 2 2 3 2 5 4" xfId="27340" xr:uid="{C8F1EB6A-381B-4D2C-B1A1-58F13D37A6E4}"/>
    <cellStyle name="Comma 4 2 2 3 2 5 5" xfId="18911" xr:uid="{CEF0DCCB-4D8C-4A08-BFCE-9D53E97C4876}"/>
    <cellStyle name="Comma 4 2 2 3 2 5 6" xfId="35769" xr:uid="{0EBBF925-ECFB-4D3C-B350-B3C5D4F80C1E}"/>
    <cellStyle name="Comma 4 2 2 3 2 5 7" xfId="10476" xr:uid="{3C432651-5028-4B65-8294-4C3F40FD6690}"/>
    <cellStyle name="Comma 4 2 2 3 2 6" xfId="2387" xr:uid="{00000000-0005-0000-0000-00000F080000}"/>
    <cellStyle name="Comma 4 2 2 3 2 6 2" xfId="6672" xr:uid="{00000000-0005-0000-0000-000010080000}"/>
    <cellStyle name="Comma 4 2 2 3 2 6 2 2" xfId="31971" xr:uid="{7D2EB953-1674-4281-AD35-17F221978268}"/>
    <cellStyle name="Comma 4 2 2 3 2 6 2 3" xfId="23542" xr:uid="{3546D54C-B606-4E13-9B64-57613EDFD483}"/>
    <cellStyle name="Comma 4 2 2 3 2 6 2 4" xfId="40399" xr:uid="{D76B4B22-58CB-4D31-98BE-C93EBE187384}"/>
    <cellStyle name="Comma 4 2 2 3 2 6 2 5" xfId="15107" xr:uid="{F19E8C77-6C83-459B-8156-824E3CF775CC}"/>
    <cellStyle name="Comma 4 2 2 3 2 6 3" xfId="27753" xr:uid="{B6445B3A-265C-4493-8A89-D33923FDBF23}"/>
    <cellStyle name="Comma 4 2 2 3 2 6 4" xfId="19324" xr:uid="{7BE1B5E9-50DF-474C-BE54-40AF2BCB454C}"/>
    <cellStyle name="Comma 4 2 2 3 2 6 5" xfId="36182" xr:uid="{4479FD64-9364-4A6E-9A78-0991241A4954}"/>
    <cellStyle name="Comma 4 2 2 3 2 6 6" xfId="10889" xr:uid="{4AC5AEEE-407D-4A83-BE32-4A737D9E8E8F}"/>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32288" xr:uid="{09493024-BDB3-4D12-9086-53B1EBC32DA8}"/>
    <cellStyle name="Comma 4 2 2 3 2 8 2 3" xfId="23859" xr:uid="{E432A399-FB36-41F2-9D54-FE30FD5FC051}"/>
    <cellStyle name="Comma 4 2 2 3 2 8 2 4" xfId="40716" xr:uid="{7DC63A94-30D1-4EFD-B113-99884733331B}"/>
    <cellStyle name="Comma 4 2 2 3 2 8 2 5" xfId="15424" xr:uid="{AA37EB28-817A-45E9-87A9-55035E02BD96}"/>
    <cellStyle name="Comma 4 2 2 3 2 8 3" xfId="28070" xr:uid="{B71C1A4F-53C0-4140-BE42-B885A554328A}"/>
    <cellStyle name="Comma 4 2 2 3 2 8 4" xfId="19641" xr:uid="{18EA3B03-E16F-4CDD-968C-7C85E85B5DEE}"/>
    <cellStyle name="Comma 4 2 2 3 2 8 5" xfId="36499" xr:uid="{29DA512E-8728-403A-9AB8-13D3A1C37D42}"/>
    <cellStyle name="Comma 4 2 2 3 2 8 6" xfId="11206" xr:uid="{0A1F5306-0111-4192-9E97-6E14F7E943F9}"/>
    <cellStyle name="Comma 4 2 2 3 2 9" xfId="4606" xr:uid="{00000000-0005-0000-0000-000014080000}"/>
    <cellStyle name="Comma 4 2 2 3 2 9 2" xfId="29905" xr:uid="{5F548CCC-951E-41A4-8D93-6163D2F5EF97}"/>
    <cellStyle name="Comma 4 2 2 3 2 9 3" xfId="21476" xr:uid="{F6A94F6E-2EF7-46F1-BF7B-A73F563F1C38}"/>
    <cellStyle name="Comma 4 2 2 3 2 9 4" xfId="38333" xr:uid="{964800A1-9EC0-4ACB-B541-06D476EEBB4A}"/>
    <cellStyle name="Comma 4 2 2 3 2 9 5" xfId="13041" xr:uid="{17443806-8383-4410-BFF0-0082CBE74CBA}"/>
    <cellStyle name="Comma 4 2 2 3 3" xfId="670" xr:uid="{00000000-0005-0000-0000-000015080000}"/>
    <cellStyle name="Comma 4 2 2 3 3 2" xfId="2941" xr:uid="{00000000-0005-0000-0000-000016080000}"/>
    <cellStyle name="Comma 4 2 2 3 3 2 2" xfId="7164" xr:uid="{00000000-0005-0000-0000-000017080000}"/>
    <cellStyle name="Comma 4 2 2 3 3 2 2 2" xfId="32463" xr:uid="{887A722E-2E24-4B99-ADF4-60FC18973D4C}"/>
    <cellStyle name="Comma 4 2 2 3 3 2 2 3" xfId="24034" xr:uid="{30AFBAD9-4AB4-40C1-90C2-C90AC8BF80DE}"/>
    <cellStyle name="Comma 4 2 2 3 3 2 2 4" xfId="40891" xr:uid="{93F4C387-BF62-4114-9BB8-D1D5BF1BF643}"/>
    <cellStyle name="Comma 4 2 2 3 3 2 2 5" xfId="15599" xr:uid="{DCCF5BF1-3D06-4A29-8CAD-4E9EC09732D2}"/>
    <cellStyle name="Comma 4 2 2 3 3 2 3" xfId="28245" xr:uid="{5EBEB65F-8D01-48BA-8EFD-FA756DDCA7CD}"/>
    <cellStyle name="Comma 4 2 2 3 3 2 4" xfId="19816" xr:uid="{EA7545D5-5D44-4EC3-B13E-135763391262}"/>
    <cellStyle name="Comma 4 2 2 3 3 2 5" xfId="36674" xr:uid="{73F5AE40-7583-4239-ADAD-FCE966884004}"/>
    <cellStyle name="Comma 4 2 2 3 3 2 6" xfId="11381" xr:uid="{AFFD0DFD-3D48-4A07-A863-53DC108D4F4A}"/>
    <cellStyle name="Comma 4 2 2 3 3 3" xfId="5019" xr:uid="{00000000-0005-0000-0000-000018080000}"/>
    <cellStyle name="Comma 4 2 2 3 3 3 2" xfId="30318" xr:uid="{F3686D2C-71A4-4578-8F97-33C67C8EA059}"/>
    <cellStyle name="Comma 4 2 2 3 3 3 3" xfId="21889" xr:uid="{938A8153-19B4-4269-A01A-8A9613AE59E8}"/>
    <cellStyle name="Comma 4 2 2 3 3 3 4" xfId="38746" xr:uid="{D02B8745-D4FF-432E-A293-6480D0C1AD86}"/>
    <cellStyle name="Comma 4 2 2 3 3 3 5" xfId="13454" xr:uid="{46B5BD0E-11DA-48F0-A52D-BAF110CDBF70}"/>
    <cellStyle name="Comma 4 2 2 3 3 4" xfId="26100" xr:uid="{4C75772E-9267-432D-B5FF-F149E97C746D}"/>
    <cellStyle name="Comma 4 2 2 3 3 5" xfId="17671" xr:uid="{A230BA1F-87A2-4938-8A84-3ACA31C9CFE4}"/>
    <cellStyle name="Comma 4 2 2 3 3 6" xfId="34529" xr:uid="{44AF886E-CBA0-40B5-B9B1-3B284A73A945}"/>
    <cellStyle name="Comma 4 2 2 3 3 7" xfId="9236" xr:uid="{E627A51E-A624-4111-8F69-649DE0181C55}"/>
    <cellStyle name="Comma 4 2 2 3 4" xfId="1123" xr:uid="{00000000-0005-0000-0000-000019080000}"/>
    <cellStyle name="Comma 4 2 2 3 4 2" xfId="3354" xr:uid="{00000000-0005-0000-0000-00001A080000}"/>
    <cellStyle name="Comma 4 2 2 3 4 2 2" xfId="7577" xr:uid="{00000000-0005-0000-0000-00001B080000}"/>
    <cellStyle name="Comma 4 2 2 3 4 2 2 2" xfId="32876" xr:uid="{16EA4F0A-B919-4D14-83B1-8D1F255CA20A}"/>
    <cellStyle name="Comma 4 2 2 3 4 2 2 3" xfId="24447" xr:uid="{F238FFF3-A91C-4219-8862-3B881C65021F}"/>
    <cellStyle name="Comma 4 2 2 3 4 2 2 4" xfId="41304" xr:uid="{1AD76792-FC5A-4EE3-9AF6-484C3B6475D4}"/>
    <cellStyle name="Comma 4 2 2 3 4 2 2 5" xfId="16012" xr:uid="{943D268F-ED14-41D2-AFA7-020D4A07D676}"/>
    <cellStyle name="Comma 4 2 2 3 4 2 3" xfId="28658" xr:uid="{D98D7D83-CC6D-4EE4-9B8E-1F03F83CB3DD}"/>
    <cellStyle name="Comma 4 2 2 3 4 2 4" xfId="20229" xr:uid="{1D35713A-F8AB-48B8-8A20-6D20451B4BCA}"/>
    <cellStyle name="Comma 4 2 2 3 4 2 5" xfId="37087" xr:uid="{90E7DA57-FB12-4832-880E-76B10430DCF2}"/>
    <cellStyle name="Comma 4 2 2 3 4 2 6" xfId="11794" xr:uid="{D36C7014-28AA-488E-AD82-F20EA31EA2C1}"/>
    <cellStyle name="Comma 4 2 2 3 4 3" xfId="5432" xr:uid="{00000000-0005-0000-0000-00001C080000}"/>
    <cellStyle name="Comma 4 2 2 3 4 3 2" xfId="30731" xr:uid="{DEDE7ABA-4060-4436-B060-38C3BA368903}"/>
    <cellStyle name="Comma 4 2 2 3 4 3 3" xfId="22302" xr:uid="{218CA080-4911-4F81-BC0B-DF7E05A80ED6}"/>
    <cellStyle name="Comma 4 2 2 3 4 3 4" xfId="39159" xr:uid="{126118B6-B9E3-45B5-AD79-AE0A61850D6E}"/>
    <cellStyle name="Comma 4 2 2 3 4 3 5" xfId="13867" xr:uid="{8E7E1D7E-5DAF-43E8-96C7-70EF29F0E9C7}"/>
    <cellStyle name="Comma 4 2 2 3 4 4" xfId="26513" xr:uid="{B6806123-F889-4904-BAB5-52C8EFADFD31}"/>
    <cellStyle name="Comma 4 2 2 3 4 5" xfId="18084" xr:uid="{4BD5CCB4-6C96-4A87-A6F6-EE7841DE2670}"/>
    <cellStyle name="Comma 4 2 2 3 4 6" xfId="34942" xr:uid="{BBEDB3C2-340B-4E17-A671-6E93233D2AF9}"/>
    <cellStyle name="Comma 4 2 2 3 4 7" xfId="9649" xr:uid="{11B98F21-B67D-4426-85F0-A4146C967148}"/>
    <cellStyle name="Comma 4 2 2 3 5" xfId="1537" xr:uid="{00000000-0005-0000-0000-00001D080000}"/>
    <cellStyle name="Comma 4 2 2 3 5 2" xfId="3767" xr:uid="{00000000-0005-0000-0000-00001E080000}"/>
    <cellStyle name="Comma 4 2 2 3 5 2 2" xfId="7990" xr:uid="{00000000-0005-0000-0000-00001F080000}"/>
    <cellStyle name="Comma 4 2 2 3 5 2 2 2" xfId="33289" xr:uid="{2EF054A7-F8A1-4AE0-8EF0-BF8A06BAEF37}"/>
    <cellStyle name="Comma 4 2 2 3 5 2 2 3" xfId="24860" xr:uid="{7004711C-712D-441C-BEFC-F3E0E522C25B}"/>
    <cellStyle name="Comma 4 2 2 3 5 2 2 4" xfId="41717" xr:uid="{72D2B5CE-279D-4306-B350-B66CAB0B284C}"/>
    <cellStyle name="Comma 4 2 2 3 5 2 2 5" xfId="16425" xr:uid="{01593923-2923-4295-9646-55DC9937E085}"/>
    <cellStyle name="Comma 4 2 2 3 5 2 3" xfId="29071" xr:uid="{DBFE3AA2-B229-44A4-84A1-FBDAC097A9A3}"/>
    <cellStyle name="Comma 4 2 2 3 5 2 4" xfId="20642" xr:uid="{38290879-0E84-421C-A694-E85D4483C8FF}"/>
    <cellStyle name="Comma 4 2 2 3 5 2 5" xfId="37500" xr:uid="{DC765DA4-7B61-450D-B2D6-F28D115D6061}"/>
    <cellStyle name="Comma 4 2 2 3 5 2 6" xfId="12207" xr:uid="{D6B6C4DB-900D-435D-8FF4-ADB67D45C587}"/>
    <cellStyle name="Comma 4 2 2 3 5 3" xfId="5845" xr:uid="{00000000-0005-0000-0000-000020080000}"/>
    <cellStyle name="Comma 4 2 2 3 5 3 2" xfId="31144" xr:uid="{480E738B-F56A-4409-8A30-E5317A61AAC2}"/>
    <cellStyle name="Comma 4 2 2 3 5 3 3" xfId="22715" xr:uid="{FE160E31-6641-4460-BBB2-1229C66CC1C0}"/>
    <cellStyle name="Comma 4 2 2 3 5 3 4" xfId="39572" xr:uid="{2338B6EC-3340-4C49-BF9D-D5AAFFB9234C}"/>
    <cellStyle name="Comma 4 2 2 3 5 3 5" xfId="14280" xr:uid="{16E229FC-B5F5-4312-A2FC-709124B4CAD6}"/>
    <cellStyle name="Comma 4 2 2 3 5 4" xfId="26926" xr:uid="{A05886FA-402B-4FCF-A94D-1063A46A59B5}"/>
    <cellStyle name="Comma 4 2 2 3 5 5" xfId="18497" xr:uid="{C721595E-45F9-4997-8A15-792BE5E57EFF}"/>
    <cellStyle name="Comma 4 2 2 3 5 6" xfId="35355" xr:uid="{41006EDF-7AA6-4F0F-8E53-5F296A04F00D}"/>
    <cellStyle name="Comma 4 2 2 3 5 7" xfId="10062" xr:uid="{4855EDA4-D891-4DDF-8282-335175F196EC}"/>
    <cellStyle name="Comma 4 2 2 3 6" xfId="1951" xr:uid="{00000000-0005-0000-0000-000021080000}"/>
    <cellStyle name="Comma 4 2 2 3 6 2" xfId="4180" xr:uid="{00000000-0005-0000-0000-000022080000}"/>
    <cellStyle name="Comma 4 2 2 3 6 2 2" xfId="8403" xr:uid="{00000000-0005-0000-0000-000023080000}"/>
    <cellStyle name="Comma 4 2 2 3 6 2 2 2" xfId="33702" xr:uid="{43F51C76-551C-45EB-BF8C-AE2DE44CC198}"/>
    <cellStyle name="Comma 4 2 2 3 6 2 2 3" xfId="25273" xr:uid="{DBD5B3BA-05AF-4A82-9AFD-A620FF99FA56}"/>
    <cellStyle name="Comma 4 2 2 3 6 2 2 4" xfId="42130" xr:uid="{7BE6F901-437F-4EB8-8BFE-1B6C8A331EB3}"/>
    <cellStyle name="Comma 4 2 2 3 6 2 2 5" xfId="16838" xr:uid="{3282F4DD-3EC3-4CD8-B10F-D172907E662D}"/>
    <cellStyle name="Comma 4 2 2 3 6 2 3" xfId="29484" xr:uid="{FA42CEB8-8D1F-4004-ABA4-115BC0512D24}"/>
    <cellStyle name="Comma 4 2 2 3 6 2 4" xfId="21055" xr:uid="{B130E9F7-A7BD-4617-B0E8-D87DCAF549A4}"/>
    <cellStyle name="Comma 4 2 2 3 6 2 5" xfId="37913" xr:uid="{1FDEC52E-1709-4BAB-A751-E5889BCB86EA}"/>
    <cellStyle name="Comma 4 2 2 3 6 2 6" xfId="12620" xr:uid="{7D3FABED-FF6C-40A5-A496-E64DACD1A57C}"/>
    <cellStyle name="Comma 4 2 2 3 6 3" xfId="6258" xr:uid="{00000000-0005-0000-0000-000024080000}"/>
    <cellStyle name="Comma 4 2 2 3 6 3 2" xfId="31557" xr:uid="{5D4F4E17-E31A-49B7-AC70-8F98351E9967}"/>
    <cellStyle name="Comma 4 2 2 3 6 3 3" xfId="23128" xr:uid="{BE588AF5-C39F-4CD8-9306-C8799846B7CE}"/>
    <cellStyle name="Comma 4 2 2 3 6 3 4" xfId="39985" xr:uid="{F69D0E30-191B-4872-BCDC-5145C90B8B4E}"/>
    <cellStyle name="Comma 4 2 2 3 6 3 5" xfId="14693" xr:uid="{91E63DBD-E1E4-42D0-B611-BB4DEC660948}"/>
    <cellStyle name="Comma 4 2 2 3 6 4" xfId="27339" xr:uid="{CA6BD4AD-DF4C-49FB-84B6-2FB6F9E3AB51}"/>
    <cellStyle name="Comma 4 2 2 3 6 5" xfId="18910" xr:uid="{EC9BA24D-9F16-4EDC-A677-F88CDEE74197}"/>
    <cellStyle name="Comma 4 2 2 3 6 6" xfId="35768" xr:uid="{3D4947A9-365B-4ECD-A956-6D1578B17554}"/>
    <cellStyle name="Comma 4 2 2 3 6 7" xfId="10475" xr:uid="{EEA15536-BEE7-4712-888D-9F7238E250BF}"/>
    <cellStyle name="Comma 4 2 2 3 7" xfId="2386" xr:uid="{00000000-0005-0000-0000-000025080000}"/>
    <cellStyle name="Comma 4 2 2 3 7 2" xfId="6671" xr:uid="{00000000-0005-0000-0000-000026080000}"/>
    <cellStyle name="Comma 4 2 2 3 7 2 2" xfId="31970" xr:uid="{3DBB080A-CB69-4EFC-802F-9C09DA45302B}"/>
    <cellStyle name="Comma 4 2 2 3 7 2 3" xfId="23541" xr:uid="{CA9E7906-D5D4-4674-85B1-379C74E15B52}"/>
    <cellStyle name="Comma 4 2 2 3 7 2 4" xfId="40398" xr:uid="{BA45732C-A15A-4D19-B203-383E4815C7C1}"/>
    <cellStyle name="Comma 4 2 2 3 7 2 5" xfId="15106" xr:uid="{82FFA8DF-F3F6-4049-B408-197FC1E31E6A}"/>
    <cellStyle name="Comma 4 2 2 3 7 3" xfId="27752" xr:uid="{80C1AC97-05E2-4A40-9834-0F90875B886A}"/>
    <cellStyle name="Comma 4 2 2 3 7 4" xfId="19323" xr:uid="{0C2147E7-11DC-46CA-949A-B3586C3A71CD}"/>
    <cellStyle name="Comma 4 2 2 3 7 5" xfId="36181" xr:uid="{C02427EA-2336-49AD-8496-5B5B96ED2D0F}"/>
    <cellStyle name="Comma 4 2 2 3 7 6" xfId="10888" xr:uid="{9B3079B4-F7A1-4DCD-B688-AB6F0E2B6A85}"/>
    <cellStyle name="Comma 4 2 2 3 8" xfId="2377" xr:uid="{00000000-0005-0000-0000-000027080000}"/>
    <cellStyle name="Comma 4 2 2 3 9" xfId="2764" xr:uid="{00000000-0005-0000-0000-000028080000}"/>
    <cellStyle name="Comma 4 2 2 3 9 2" xfId="6988" xr:uid="{00000000-0005-0000-0000-000029080000}"/>
    <cellStyle name="Comma 4 2 2 3 9 2 2" xfId="32287" xr:uid="{DF9F5FB8-DACE-42F4-A0DC-E192D042CDBD}"/>
    <cellStyle name="Comma 4 2 2 3 9 2 3" xfId="23858" xr:uid="{56589E04-3018-4A5E-A63E-D610F0301803}"/>
    <cellStyle name="Comma 4 2 2 3 9 2 4" xfId="40715" xr:uid="{FCDBA525-A38E-48C9-A381-1038F152094D}"/>
    <cellStyle name="Comma 4 2 2 3 9 2 5" xfId="15423" xr:uid="{644468C7-0152-4377-BD34-391CF1F0FDCA}"/>
    <cellStyle name="Comma 4 2 2 3 9 3" xfId="28069" xr:uid="{841AA2D4-6491-4065-AC8B-461C1EE1780C}"/>
    <cellStyle name="Comma 4 2 2 3 9 4" xfId="19640" xr:uid="{3F1FBCD3-1F10-47B1-B1E5-1EFA16D6C521}"/>
    <cellStyle name="Comma 4 2 2 3 9 5" xfId="36498" xr:uid="{BA9C442D-4564-449F-845B-85A508DB1EC1}"/>
    <cellStyle name="Comma 4 2 2 3 9 6" xfId="11205" xr:uid="{B8B6B16E-E3CB-4742-9FBA-36B67CC3EAA7}"/>
    <cellStyle name="Comma 4 2 2 4" xfId="134" xr:uid="{00000000-0005-0000-0000-00002A080000}"/>
    <cellStyle name="Comma 4 2 2 4 10" xfId="25688" xr:uid="{00EC8931-DA00-401A-AFC7-9B38962CBF36}"/>
    <cellStyle name="Comma 4 2 2 4 11" xfId="17259" xr:uid="{8D9161A2-57AB-4A12-BE50-E8AAE70119AB}"/>
    <cellStyle name="Comma 4 2 2 4 12" xfId="34117" xr:uid="{A58E29AC-4037-4232-985B-E27D92EAAC3E}"/>
    <cellStyle name="Comma 4 2 2 4 13" xfId="8824" xr:uid="{5AEAC82A-EDEC-4488-9314-5311996FA198}"/>
    <cellStyle name="Comma 4 2 2 4 2" xfId="672" xr:uid="{00000000-0005-0000-0000-00002B080000}"/>
    <cellStyle name="Comma 4 2 2 4 2 2" xfId="2943" xr:uid="{00000000-0005-0000-0000-00002C080000}"/>
    <cellStyle name="Comma 4 2 2 4 2 2 2" xfId="7166" xr:uid="{00000000-0005-0000-0000-00002D080000}"/>
    <cellStyle name="Comma 4 2 2 4 2 2 2 2" xfId="32465" xr:uid="{A0AC8A13-6DCC-4781-9793-A642E2D3A819}"/>
    <cellStyle name="Comma 4 2 2 4 2 2 2 3" xfId="24036" xr:uid="{3E782AD5-6562-484D-8582-546135AD292C}"/>
    <cellStyle name="Comma 4 2 2 4 2 2 2 4" xfId="40893" xr:uid="{52425AFD-BFAE-4D6D-A5A0-769377B75E94}"/>
    <cellStyle name="Comma 4 2 2 4 2 2 2 5" xfId="15601" xr:uid="{53CAC531-AF77-4CFA-AB3E-5B9D69EB69D7}"/>
    <cellStyle name="Comma 4 2 2 4 2 2 3" xfId="28247" xr:uid="{BDE83DBC-2009-4ACF-9475-F8A73AF40B0C}"/>
    <cellStyle name="Comma 4 2 2 4 2 2 4" xfId="19818" xr:uid="{27BB30C2-CC7E-4968-BA1E-49FE1D51837F}"/>
    <cellStyle name="Comma 4 2 2 4 2 2 5" xfId="36676" xr:uid="{EE5B1BCB-150C-4278-B154-A7AC4C08BFA2}"/>
    <cellStyle name="Comma 4 2 2 4 2 2 6" xfId="11383" xr:uid="{B4F9AD0E-738C-43FC-8337-A24D8926A51F}"/>
    <cellStyle name="Comma 4 2 2 4 2 3" xfId="5021" xr:uid="{00000000-0005-0000-0000-00002E080000}"/>
    <cellStyle name="Comma 4 2 2 4 2 3 2" xfId="30320" xr:uid="{A78E53BA-7AF3-43B6-BA15-BAF26218B935}"/>
    <cellStyle name="Comma 4 2 2 4 2 3 3" xfId="21891" xr:uid="{80CB777A-5913-44AE-A40C-020866592D84}"/>
    <cellStyle name="Comma 4 2 2 4 2 3 4" xfId="38748" xr:uid="{9032FF83-9D40-424C-A8BB-5213DE50C863}"/>
    <cellStyle name="Comma 4 2 2 4 2 3 5" xfId="13456" xr:uid="{50681A55-E4FA-4B75-9023-8E71899FC6FF}"/>
    <cellStyle name="Comma 4 2 2 4 2 4" xfId="26102" xr:uid="{7ED8E8E4-0A4F-42FA-9882-4F32BE0E8DC8}"/>
    <cellStyle name="Comma 4 2 2 4 2 5" xfId="17673" xr:uid="{A2D80BE9-D8DA-4518-A9E6-15D09DD169FA}"/>
    <cellStyle name="Comma 4 2 2 4 2 6" xfId="34531" xr:uid="{5B64B73C-17C6-4F8E-9FCA-5F9778287673}"/>
    <cellStyle name="Comma 4 2 2 4 2 7" xfId="9238" xr:uid="{9A950A34-52BE-44DA-B1BF-C914C0B3DC68}"/>
    <cellStyle name="Comma 4 2 2 4 3" xfId="1125" xr:uid="{00000000-0005-0000-0000-00002F080000}"/>
    <cellStyle name="Comma 4 2 2 4 3 2" xfId="3356" xr:uid="{00000000-0005-0000-0000-000030080000}"/>
    <cellStyle name="Comma 4 2 2 4 3 2 2" xfId="7579" xr:uid="{00000000-0005-0000-0000-000031080000}"/>
    <cellStyle name="Comma 4 2 2 4 3 2 2 2" xfId="32878" xr:uid="{0260AA89-0C05-4F45-8D1F-0EEE26812E59}"/>
    <cellStyle name="Comma 4 2 2 4 3 2 2 3" xfId="24449" xr:uid="{9FC71F8F-D9DE-46C0-90AC-B8951C1A53DB}"/>
    <cellStyle name="Comma 4 2 2 4 3 2 2 4" xfId="41306" xr:uid="{211ECB23-4AD6-4061-A092-AD9C57A1AC4A}"/>
    <cellStyle name="Comma 4 2 2 4 3 2 2 5" xfId="16014" xr:uid="{524AC2C9-BBF4-44B9-AD11-5CFC59A7FC18}"/>
    <cellStyle name="Comma 4 2 2 4 3 2 3" xfId="28660" xr:uid="{66DC7BF8-49D3-4189-AD4D-DA8761816B35}"/>
    <cellStyle name="Comma 4 2 2 4 3 2 4" xfId="20231" xr:uid="{0ABFEABB-1ABC-4699-BE47-37F0636068A1}"/>
    <cellStyle name="Comma 4 2 2 4 3 2 5" xfId="37089" xr:uid="{9B137CF9-5577-4D3C-9E6D-508E78F93966}"/>
    <cellStyle name="Comma 4 2 2 4 3 2 6" xfId="11796" xr:uid="{3FA54C2F-354E-4218-94B5-8A8FD3C01D11}"/>
    <cellStyle name="Comma 4 2 2 4 3 3" xfId="5434" xr:uid="{00000000-0005-0000-0000-000032080000}"/>
    <cellStyle name="Comma 4 2 2 4 3 3 2" xfId="30733" xr:uid="{041D51D1-1568-40D0-98FB-7291AE70EBC0}"/>
    <cellStyle name="Comma 4 2 2 4 3 3 3" xfId="22304" xr:uid="{A5F73CAF-03AF-4F89-AC93-4630071F0241}"/>
    <cellStyle name="Comma 4 2 2 4 3 3 4" xfId="39161" xr:uid="{490E3F43-7CD5-4AEB-BCE1-F8F696CF524C}"/>
    <cellStyle name="Comma 4 2 2 4 3 3 5" xfId="13869" xr:uid="{BA1D18E6-2289-4648-AE24-6EB75028BD3D}"/>
    <cellStyle name="Comma 4 2 2 4 3 4" xfId="26515" xr:uid="{C305E573-E60E-460F-BA93-1C6F4C8F67B3}"/>
    <cellStyle name="Comma 4 2 2 4 3 5" xfId="18086" xr:uid="{D99403D5-2A7C-43A0-B362-F7B1698160D3}"/>
    <cellStyle name="Comma 4 2 2 4 3 6" xfId="34944" xr:uid="{4BA49F1F-FD13-4BD5-9EB4-12618D44A48E}"/>
    <cellStyle name="Comma 4 2 2 4 3 7" xfId="9651" xr:uid="{8FFF42F3-A3F7-46FD-BA8A-0B5747420265}"/>
    <cellStyle name="Comma 4 2 2 4 4" xfId="1539" xr:uid="{00000000-0005-0000-0000-000033080000}"/>
    <cellStyle name="Comma 4 2 2 4 4 2" xfId="3769" xr:uid="{00000000-0005-0000-0000-000034080000}"/>
    <cellStyle name="Comma 4 2 2 4 4 2 2" xfId="7992" xr:uid="{00000000-0005-0000-0000-000035080000}"/>
    <cellStyle name="Comma 4 2 2 4 4 2 2 2" xfId="33291" xr:uid="{146BE307-81EA-4ECF-8F86-59931701880C}"/>
    <cellStyle name="Comma 4 2 2 4 4 2 2 3" xfId="24862" xr:uid="{02B4DCFC-FB7F-4974-B7A9-929F63B6480A}"/>
    <cellStyle name="Comma 4 2 2 4 4 2 2 4" xfId="41719" xr:uid="{D0B5740C-32EF-43EF-B40B-BA0D92B63036}"/>
    <cellStyle name="Comma 4 2 2 4 4 2 2 5" xfId="16427" xr:uid="{112F91DB-CDB0-4924-958F-A7A39BD76662}"/>
    <cellStyle name="Comma 4 2 2 4 4 2 3" xfId="29073" xr:uid="{79E499D6-F854-417F-8EF9-CEA9F590D91B}"/>
    <cellStyle name="Comma 4 2 2 4 4 2 4" xfId="20644" xr:uid="{CC051336-953A-4395-8EC3-B41E53B09B65}"/>
    <cellStyle name="Comma 4 2 2 4 4 2 5" xfId="37502" xr:uid="{19974F37-0EA1-4909-9A0D-20D89F0DD430}"/>
    <cellStyle name="Comma 4 2 2 4 4 2 6" xfId="12209" xr:uid="{D8F90299-E8EB-4F7A-AA59-AA63EE746962}"/>
    <cellStyle name="Comma 4 2 2 4 4 3" xfId="5847" xr:uid="{00000000-0005-0000-0000-000036080000}"/>
    <cellStyle name="Comma 4 2 2 4 4 3 2" xfId="31146" xr:uid="{632A5D0E-95FA-4530-BB25-484ABC943C33}"/>
    <cellStyle name="Comma 4 2 2 4 4 3 3" xfId="22717" xr:uid="{BBB290B5-8D98-4633-A17C-639A5D5BAC00}"/>
    <cellStyle name="Comma 4 2 2 4 4 3 4" xfId="39574" xr:uid="{E8758D30-3E65-4382-9236-51FA2E4F36F9}"/>
    <cellStyle name="Comma 4 2 2 4 4 3 5" xfId="14282" xr:uid="{6CAA44C8-3555-4393-B4C0-601C7C2AAF28}"/>
    <cellStyle name="Comma 4 2 2 4 4 4" xfId="26928" xr:uid="{53F87373-E499-4313-8F99-24254B27E261}"/>
    <cellStyle name="Comma 4 2 2 4 4 5" xfId="18499" xr:uid="{189667A9-FBAF-4A5C-81A7-B837A5C02953}"/>
    <cellStyle name="Comma 4 2 2 4 4 6" xfId="35357" xr:uid="{835F585E-E7D6-47C9-AEE7-66BC46BE278E}"/>
    <cellStyle name="Comma 4 2 2 4 4 7" xfId="10064" xr:uid="{F07AE500-4971-4D70-B662-4F5A217D653B}"/>
    <cellStyle name="Comma 4 2 2 4 5" xfId="1953" xr:uid="{00000000-0005-0000-0000-000037080000}"/>
    <cellStyle name="Comma 4 2 2 4 5 2" xfId="4182" xr:uid="{00000000-0005-0000-0000-000038080000}"/>
    <cellStyle name="Comma 4 2 2 4 5 2 2" xfId="8405" xr:uid="{00000000-0005-0000-0000-000039080000}"/>
    <cellStyle name="Comma 4 2 2 4 5 2 2 2" xfId="33704" xr:uid="{1FE080D1-CCDC-4977-81B1-7079814EDA9A}"/>
    <cellStyle name="Comma 4 2 2 4 5 2 2 3" xfId="25275" xr:uid="{ADDED1C3-D34E-4970-B197-B3F46689D8B8}"/>
    <cellStyle name="Comma 4 2 2 4 5 2 2 4" xfId="42132" xr:uid="{D2CB3DA7-AD49-4D90-91E8-30EFE65DAEDE}"/>
    <cellStyle name="Comma 4 2 2 4 5 2 2 5" xfId="16840" xr:uid="{E132382D-DC3B-4E61-931B-F39B9F95A314}"/>
    <cellStyle name="Comma 4 2 2 4 5 2 3" xfId="29486" xr:uid="{5713175C-CF01-4354-9EDA-D7A08AED6EA1}"/>
    <cellStyle name="Comma 4 2 2 4 5 2 4" xfId="21057" xr:uid="{B149A60C-9269-4509-9EDB-703C07BF9DF1}"/>
    <cellStyle name="Comma 4 2 2 4 5 2 5" xfId="37915" xr:uid="{44F2C156-1290-476E-8D63-81BF3730F655}"/>
    <cellStyle name="Comma 4 2 2 4 5 2 6" xfId="12622" xr:uid="{DE1EC57E-9587-4EB8-B3D0-05A84114A2FF}"/>
    <cellStyle name="Comma 4 2 2 4 5 3" xfId="6260" xr:uid="{00000000-0005-0000-0000-00003A080000}"/>
    <cellStyle name="Comma 4 2 2 4 5 3 2" xfId="31559" xr:uid="{9BB6A15E-EDD2-48F2-A210-C54075F49EE1}"/>
    <cellStyle name="Comma 4 2 2 4 5 3 3" xfId="23130" xr:uid="{40394AD7-9907-47F0-8E60-601AF4705020}"/>
    <cellStyle name="Comma 4 2 2 4 5 3 4" xfId="39987" xr:uid="{3FF3C391-739F-411A-96CF-D2CB08717532}"/>
    <cellStyle name="Comma 4 2 2 4 5 3 5" xfId="14695" xr:uid="{8FC81DE2-8637-45D3-B481-DB7907FF6171}"/>
    <cellStyle name="Comma 4 2 2 4 5 4" xfId="27341" xr:uid="{A01121BC-957A-419C-A4B9-62FC08DD9E78}"/>
    <cellStyle name="Comma 4 2 2 4 5 5" xfId="18912" xr:uid="{EC251F0C-1555-439D-B2BE-3E8F7273992C}"/>
    <cellStyle name="Comma 4 2 2 4 5 6" xfId="35770" xr:uid="{C2D67195-E80C-405E-9F1D-2A918211BA31}"/>
    <cellStyle name="Comma 4 2 2 4 5 7" xfId="10477" xr:uid="{4A917D49-3369-400E-A6DA-AB8A9E40117F}"/>
    <cellStyle name="Comma 4 2 2 4 6" xfId="2388" xr:uid="{00000000-0005-0000-0000-00003B080000}"/>
    <cellStyle name="Comma 4 2 2 4 6 2" xfId="6673" xr:uid="{00000000-0005-0000-0000-00003C080000}"/>
    <cellStyle name="Comma 4 2 2 4 6 2 2" xfId="31972" xr:uid="{7AC32E5D-C8C5-4D11-8133-F605B51C5331}"/>
    <cellStyle name="Comma 4 2 2 4 6 2 3" xfId="23543" xr:uid="{C2C1B93E-6A9E-48E7-9A5C-851B44118193}"/>
    <cellStyle name="Comma 4 2 2 4 6 2 4" xfId="40400" xr:uid="{D97EF966-7997-4BCA-8798-5A6889E128C1}"/>
    <cellStyle name="Comma 4 2 2 4 6 2 5" xfId="15108" xr:uid="{175E2A3F-6C24-484F-AA02-E60F6EFBA209}"/>
    <cellStyle name="Comma 4 2 2 4 6 3" xfId="27754" xr:uid="{970F6317-10BD-4DB2-A75B-EC5C122E852F}"/>
    <cellStyle name="Comma 4 2 2 4 6 4" xfId="19325" xr:uid="{28EF8F42-FC39-422D-9C9F-B776048CC35E}"/>
    <cellStyle name="Comma 4 2 2 4 6 5" xfId="36183" xr:uid="{B3520520-C77A-4003-A819-E948BDB8DA75}"/>
    <cellStyle name="Comma 4 2 2 4 6 6" xfId="10890" xr:uid="{8AA565AB-4BCF-4F00-B6D5-1D56FFD7105D}"/>
    <cellStyle name="Comma 4 2 2 4 7" xfId="2375" xr:uid="{00000000-0005-0000-0000-00003D080000}"/>
    <cellStyle name="Comma 4 2 2 4 8" xfId="2766" xr:uid="{00000000-0005-0000-0000-00003E080000}"/>
    <cellStyle name="Comma 4 2 2 4 8 2" xfId="6990" xr:uid="{00000000-0005-0000-0000-00003F080000}"/>
    <cellStyle name="Comma 4 2 2 4 8 2 2" xfId="32289" xr:uid="{2BCCD130-C465-42B4-B66B-8A8C3AA6F0C2}"/>
    <cellStyle name="Comma 4 2 2 4 8 2 3" xfId="23860" xr:uid="{C732D32E-9119-4D90-ABE0-5EC85DD02109}"/>
    <cellStyle name="Comma 4 2 2 4 8 2 4" xfId="40717" xr:uid="{07C5524D-DE41-47B1-B521-F884FD257CAE}"/>
    <cellStyle name="Comma 4 2 2 4 8 2 5" xfId="15425" xr:uid="{6CEBE939-9427-4F16-8054-A3431C50AA92}"/>
    <cellStyle name="Comma 4 2 2 4 8 3" xfId="28071" xr:uid="{7FA66691-286A-4427-AD13-4CA9183666C9}"/>
    <cellStyle name="Comma 4 2 2 4 8 4" xfId="19642" xr:uid="{AADCC893-55AA-44CC-BF7E-64753E12D07E}"/>
    <cellStyle name="Comma 4 2 2 4 8 5" xfId="36500" xr:uid="{790C2A94-2E77-4DE3-AF34-A6BF499BFA5D}"/>
    <cellStyle name="Comma 4 2 2 4 8 6" xfId="11207" xr:uid="{CD1F7053-4CFE-411B-9BD1-491476CFC856}"/>
    <cellStyle name="Comma 4 2 2 4 9" xfId="4607" xr:uid="{00000000-0005-0000-0000-000040080000}"/>
    <cellStyle name="Comma 4 2 2 4 9 2" xfId="29906" xr:uid="{3D93E575-6352-4EE9-86DF-C1BA469894F6}"/>
    <cellStyle name="Comma 4 2 2 4 9 3" xfId="21477" xr:uid="{FFF8D9E5-E1F3-43D8-9AA6-E649167DA784}"/>
    <cellStyle name="Comma 4 2 2 4 9 4" xfId="38334" xr:uid="{E87584A5-5257-472E-B017-A7A23C749F0E}"/>
    <cellStyle name="Comma 4 2 2 4 9 5" xfId="13042" xr:uid="{0B40EB73-F50C-4358-ABD1-B43E2B52FA75}"/>
    <cellStyle name="Comma 4 2 2 5" xfId="135" xr:uid="{00000000-0005-0000-0000-000041080000}"/>
    <cellStyle name="Comma 4 2 2 5 10" xfId="25689" xr:uid="{F56356A5-A3A2-490E-86C5-95BCA5322D78}"/>
    <cellStyle name="Comma 4 2 2 5 11" xfId="17260" xr:uid="{3E768516-480B-4570-AEB0-30BB155D9285}"/>
    <cellStyle name="Comma 4 2 2 5 12" xfId="34118" xr:uid="{5ED41CCB-126C-4A99-BD3A-1D163C9F8A48}"/>
    <cellStyle name="Comma 4 2 2 5 13" xfId="8825" xr:uid="{9C98FAE8-1376-4C2B-8ABB-9B99B1178B94}"/>
    <cellStyle name="Comma 4 2 2 5 2" xfId="673" xr:uid="{00000000-0005-0000-0000-000042080000}"/>
    <cellStyle name="Comma 4 2 2 5 2 2" xfId="2944" xr:uid="{00000000-0005-0000-0000-000043080000}"/>
    <cellStyle name="Comma 4 2 2 5 2 2 2" xfId="7167" xr:uid="{00000000-0005-0000-0000-000044080000}"/>
    <cellStyle name="Comma 4 2 2 5 2 2 2 2" xfId="32466" xr:uid="{7C02A10F-C355-42CE-A35A-F875EE3822C8}"/>
    <cellStyle name="Comma 4 2 2 5 2 2 2 3" xfId="24037" xr:uid="{6841BC8A-1AA2-4DBE-B35E-091DF1D559A9}"/>
    <cellStyle name="Comma 4 2 2 5 2 2 2 4" xfId="40894" xr:uid="{4630FD15-CC87-4823-B293-45DFFA8CF9AC}"/>
    <cellStyle name="Comma 4 2 2 5 2 2 2 5" xfId="15602" xr:uid="{2A13AFDD-4AF8-4BF0-9D4C-0B6FE7C76143}"/>
    <cellStyle name="Comma 4 2 2 5 2 2 3" xfId="28248" xr:uid="{88F778F1-E39D-4B45-8E73-6A5F337E1FCF}"/>
    <cellStyle name="Comma 4 2 2 5 2 2 4" xfId="19819" xr:uid="{06D0668B-6A08-4DE2-BE8D-DFB6E597569F}"/>
    <cellStyle name="Comma 4 2 2 5 2 2 5" xfId="36677" xr:uid="{2DB55783-557D-4342-A061-07CCA0196489}"/>
    <cellStyle name="Comma 4 2 2 5 2 2 6" xfId="11384" xr:uid="{6E64B698-4F31-46C5-A5F0-F20C817B37E2}"/>
    <cellStyle name="Comma 4 2 2 5 2 3" xfId="5022" xr:uid="{00000000-0005-0000-0000-000045080000}"/>
    <cellStyle name="Comma 4 2 2 5 2 3 2" xfId="30321" xr:uid="{A2AD8781-B8FA-4951-83EA-FAD35FB021D1}"/>
    <cellStyle name="Comma 4 2 2 5 2 3 3" xfId="21892" xr:uid="{25F99F51-A07B-4E0E-9159-80E5D62E343D}"/>
    <cellStyle name="Comma 4 2 2 5 2 3 4" xfId="38749" xr:uid="{45EACACD-5E61-44F7-9634-D14838BB4C79}"/>
    <cellStyle name="Comma 4 2 2 5 2 3 5" xfId="13457" xr:uid="{39AB9905-05AE-435A-A97D-EE4AADB81F83}"/>
    <cellStyle name="Comma 4 2 2 5 2 4" xfId="26103" xr:uid="{786A5A42-243B-4845-9F71-7274B383D1B8}"/>
    <cellStyle name="Comma 4 2 2 5 2 5" xfId="17674" xr:uid="{C45A8F7A-9E7D-42CB-8E7B-BB4F3C3F03DD}"/>
    <cellStyle name="Comma 4 2 2 5 2 6" xfId="34532" xr:uid="{B3961085-D28F-4807-934D-4ADED018A426}"/>
    <cellStyle name="Comma 4 2 2 5 2 7" xfId="9239" xr:uid="{E055BED2-AF30-4814-B638-8A4CC49EA9B7}"/>
    <cellStyle name="Comma 4 2 2 5 3" xfId="1126" xr:uid="{00000000-0005-0000-0000-000046080000}"/>
    <cellStyle name="Comma 4 2 2 5 3 2" xfId="3357" xr:uid="{00000000-0005-0000-0000-000047080000}"/>
    <cellStyle name="Comma 4 2 2 5 3 2 2" xfId="7580" xr:uid="{00000000-0005-0000-0000-000048080000}"/>
    <cellStyle name="Comma 4 2 2 5 3 2 2 2" xfId="32879" xr:uid="{FF440908-B66C-433E-B668-69C8D9EA0569}"/>
    <cellStyle name="Comma 4 2 2 5 3 2 2 3" xfId="24450" xr:uid="{E5CD5203-1BC9-41CB-A627-E7637B7E383C}"/>
    <cellStyle name="Comma 4 2 2 5 3 2 2 4" xfId="41307" xr:uid="{81347A8A-C015-410B-AED3-CE4C17BD688A}"/>
    <cellStyle name="Comma 4 2 2 5 3 2 2 5" xfId="16015" xr:uid="{ECF41DC7-A134-4CA7-B139-527C5F75CF27}"/>
    <cellStyle name="Comma 4 2 2 5 3 2 3" xfId="28661" xr:uid="{ADB85D27-F4EA-4F5C-90B1-EC4E69E18D58}"/>
    <cellStyle name="Comma 4 2 2 5 3 2 4" xfId="20232" xr:uid="{DAFDD7FC-31B9-4F4F-B5D6-5248E6CA0B97}"/>
    <cellStyle name="Comma 4 2 2 5 3 2 5" xfId="37090" xr:uid="{C8E3BA50-C3DD-47A5-9485-C99512EEE81D}"/>
    <cellStyle name="Comma 4 2 2 5 3 2 6" xfId="11797" xr:uid="{E5D6F866-EC6C-4226-9E98-FC52B04A7906}"/>
    <cellStyle name="Comma 4 2 2 5 3 3" xfId="5435" xr:uid="{00000000-0005-0000-0000-000049080000}"/>
    <cellStyle name="Comma 4 2 2 5 3 3 2" xfId="30734" xr:uid="{98BA6EFF-E498-4211-85BD-B9A7812A479B}"/>
    <cellStyle name="Comma 4 2 2 5 3 3 3" xfId="22305" xr:uid="{0A15A8CB-8221-4E1C-A385-3A0C4B712B4D}"/>
    <cellStyle name="Comma 4 2 2 5 3 3 4" xfId="39162" xr:uid="{C29096A0-CD65-493F-91E3-7000617DADBB}"/>
    <cellStyle name="Comma 4 2 2 5 3 3 5" xfId="13870" xr:uid="{C9FBDF98-57FD-4CFC-B653-524AF4FF5F21}"/>
    <cellStyle name="Comma 4 2 2 5 3 4" xfId="26516" xr:uid="{AEED21B9-8E0E-4F3A-B07F-044F484E6165}"/>
    <cellStyle name="Comma 4 2 2 5 3 5" xfId="18087" xr:uid="{896851B2-8617-48E0-9C06-796E018E62F0}"/>
    <cellStyle name="Comma 4 2 2 5 3 6" xfId="34945" xr:uid="{DD1E4A42-559C-45AE-87AC-E954274DADB1}"/>
    <cellStyle name="Comma 4 2 2 5 3 7" xfId="9652" xr:uid="{A0C0C38D-A825-4D17-8B94-44BCC9F87D64}"/>
    <cellStyle name="Comma 4 2 2 5 4" xfId="1540" xr:uid="{00000000-0005-0000-0000-00004A080000}"/>
    <cellStyle name="Comma 4 2 2 5 4 2" xfId="3770" xr:uid="{00000000-0005-0000-0000-00004B080000}"/>
    <cellStyle name="Comma 4 2 2 5 4 2 2" xfId="7993" xr:uid="{00000000-0005-0000-0000-00004C080000}"/>
    <cellStyle name="Comma 4 2 2 5 4 2 2 2" xfId="33292" xr:uid="{C94C4CD1-DC22-4E24-B019-49D837AADBA0}"/>
    <cellStyle name="Comma 4 2 2 5 4 2 2 3" xfId="24863" xr:uid="{F4CD1714-3561-4BAF-8EE6-34C91337369E}"/>
    <cellStyle name="Comma 4 2 2 5 4 2 2 4" xfId="41720" xr:uid="{6039FC97-53F1-4D9B-AFCD-6D0F75999EA9}"/>
    <cellStyle name="Comma 4 2 2 5 4 2 2 5" xfId="16428" xr:uid="{98FEBC39-FDB4-4FDB-A573-22C76DAC8CA9}"/>
    <cellStyle name="Comma 4 2 2 5 4 2 3" xfId="29074" xr:uid="{65A7648B-1211-4419-8FC6-E2AB537C13C6}"/>
    <cellStyle name="Comma 4 2 2 5 4 2 4" xfId="20645" xr:uid="{8B96F1BF-4C93-485D-8A1E-7878585DEDBE}"/>
    <cellStyle name="Comma 4 2 2 5 4 2 5" xfId="37503" xr:uid="{1BADECA5-0E2E-49B3-952F-4CAF47EF14D4}"/>
    <cellStyle name="Comma 4 2 2 5 4 2 6" xfId="12210" xr:uid="{D1CEC814-1915-45A4-81AB-B83DA850395F}"/>
    <cellStyle name="Comma 4 2 2 5 4 3" xfId="5848" xr:uid="{00000000-0005-0000-0000-00004D080000}"/>
    <cellStyle name="Comma 4 2 2 5 4 3 2" xfId="31147" xr:uid="{87F5F647-5FD3-4445-9CBE-5E4E28B3BE11}"/>
    <cellStyle name="Comma 4 2 2 5 4 3 3" xfId="22718" xr:uid="{AD2F3656-B3A1-4591-B132-DCF00FA8D70C}"/>
    <cellStyle name="Comma 4 2 2 5 4 3 4" xfId="39575" xr:uid="{83DFDA52-69E7-47DE-96B4-8074D616CC94}"/>
    <cellStyle name="Comma 4 2 2 5 4 3 5" xfId="14283" xr:uid="{DE013E4C-9391-4F6F-997E-676B458ACCE0}"/>
    <cellStyle name="Comma 4 2 2 5 4 4" xfId="26929" xr:uid="{512E6C1B-1C26-469C-83E8-3E80CF553B19}"/>
    <cellStyle name="Comma 4 2 2 5 4 5" xfId="18500" xr:uid="{00A3432B-BA6E-4C78-BA06-C5ABD274CA5C}"/>
    <cellStyle name="Comma 4 2 2 5 4 6" xfId="35358" xr:uid="{1093B0B2-D2DE-4B23-8586-167E1FC2C8E8}"/>
    <cellStyle name="Comma 4 2 2 5 4 7" xfId="10065" xr:uid="{E56F3A8B-D84C-4DE4-8698-E60664A9F19F}"/>
    <cellStyle name="Comma 4 2 2 5 5" xfId="1954" xr:uid="{00000000-0005-0000-0000-00004E080000}"/>
    <cellStyle name="Comma 4 2 2 5 5 2" xfId="4183" xr:uid="{00000000-0005-0000-0000-00004F080000}"/>
    <cellStyle name="Comma 4 2 2 5 5 2 2" xfId="8406" xr:uid="{00000000-0005-0000-0000-000050080000}"/>
    <cellStyle name="Comma 4 2 2 5 5 2 2 2" xfId="33705" xr:uid="{7EE6BE31-BDD4-4527-AA10-0BBA55A14AA6}"/>
    <cellStyle name="Comma 4 2 2 5 5 2 2 3" xfId="25276" xr:uid="{A4D25AF0-7A9C-4F6A-AAA8-683404AF6BCE}"/>
    <cellStyle name="Comma 4 2 2 5 5 2 2 4" xfId="42133" xr:uid="{95F33CBC-FC58-4840-A46E-AC3C57EB1B52}"/>
    <cellStyle name="Comma 4 2 2 5 5 2 2 5" xfId="16841" xr:uid="{A2E5A190-AC1A-430B-B71F-EEB49A7269C1}"/>
    <cellStyle name="Comma 4 2 2 5 5 2 3" xfId="29487" xr:uid="{9DBA1E5F-2FC6-4D02-A024-A21043F13203}"/>
    <cellStyle name="Comma 4 2 2 5 5 2 4" xfId="21058" xr:uid="{D2029328-89DB-4529-876C-CDCD8AB5408D}"/>
    <cellStyle name="Comma 4 2 2 5 5 2 5" xfId="37916" xr:uid="{5058D706-1272-4290-9FE2-9C1FF1801EDA}"/>
    <cellStyle name="Comma 4 2 2 5 5 2 6" xfId="12623" xr:uid="{D4F7BCFF-8A12-411E-97EF-C81257C734BE}"/>
    <cellStyle name="Comma 4 2 2 5 5 3" xfId="6261" xr:uid="{00000000-0005-0000-0000-000051080000}"/>
    <cellStyle name="Comma 4 2 2 5 5 3 2" xfId="31560" xr:uid="{8B1BFB17-0087-4204-BC58-23005F84549B}"/>
    <cellStyle name="Comma 4 2 2 5 5 3 3" xfId="23131" xr:uid="{8846F6AA-17EB-4A45-BB86-252D84FE0BC1}"/>
    <cellStyle name="Comma 4 2 2 5 5 3 4" xfId="39988" xr:uid="{49DC1445-D933-43B2-9F3C-D71495AB8D1F}"/>
    <cellStyle name="Comma 4 2 2 5 5 3 5" xfId="14696" xr:uid="{33A6AAC4-55FF-49A6-BB4B-37CFA1B2B054}"/>
    <cellStyle name="Comma 4 2 2 5 5 4" xfId="27342" xr:uid="{96C187DD-49BA-4867-89EB-A463896C924A}"/>
    <cellStyle name="Comma 4 2 2 5 5 5" xfId="18913" xr:uid="{73CA8BEE-3740-4D57-95D6-334B7B0F1695}"/>
    <cellStyle name="Comma 4 2 2 5 5 6" xfId="35771" xr:uid="{A927E570-9D16-48D6-B370-F0AC8A450807}"/>
    <cellStyle name="Comma 4 2 2 5 5 7" xfId="10478" xr:uid="{5B7B25B9-7C9C-43E1-97C3-E6413296FDC9}"/>
    <cellStyle name="Comma 4 2 2 5 6" xfId="2389" xr:uid="{00000000-0005-0000-0000-000052080000}"/>
    <cellStyle name="Comma 4 2 2 5 6 2" xfId="6674" xr:uid="{00000000-0005-0000-0000-000053080000}"/>
    <cellStyle name="Comma 4 2 2 5 6 2 2" xfId="31973" xr:uid="{1E725D35-29DC-4511-B00A-CAE844B2A199}"/>
    <cellStyle name="Comma 4 2 2 5 6 2 3" xfId="23544" xr:uid="{7033D894-514B-48FB-B24D-24B170C510FF}"/>
    <cellStyle name="Comma 4 2 2 5 6 2 4" xfId="40401" xr:uid="{D5FFB76B-712C-43FE-B3F7-EEC200534AA7}"/>
    <cellStyle name="Comma 4 2 2 5 6 2 5" xfId="15109" xr:uid="{091F28DD-1D07-4659-B850-EAFEDB496626}"/>
    <cellStyle name="Comma 4 2 2 5 6 3" xfId="27755" xr:uid="{AB0538EC-DEDC-4C8D-8F4A-34BE15FC0EB0}"/>
    <cellStyle name="Comma 4 2 2 5 6 4" xfId="19326" xr:uid="{2EFB5560-39FD-4909-AE1B-C293CC1E38B7}"/>
    <cellStyle name="Comma 4 2 2 5 6 5" xfId="36184" xr:uid="{BDE8ADAE-2F68-453B-981B-470FC5A5E744}"/>
    <cellStyle name="Comma 4 2 2 5 6 6" xfId="10891" xr:uid="{E81D1155-A5AB-4F5B-B8F8-24194C094007}"/>
    <cellStyle name="Comma 4 2 2 5 7" xfId="2374" xr:uid="{00000000-0005-0000-0000-000054080000}"/>
    <cellStyle name="Comma 4 2 2 5 8" xfId="2767" xr:uid="{00000000-0005-0000-0000-000055080000}"/>
    <cellStyle name="Comma 4 2 2 5 8 2" xfId="6991" xr:uid="{00000000-0005-0000-0000-000056080000}"/>
    <cellStyle name="Comma 4 2 2 5 8 2 2" xfId="32290" xr:uid="{38F2A1FF-0CDA-4D6D-83D6-3262FBF4FDC3}"/>
    <cellStyle name="Comma 4 2 2 5 8 2 3" xfId="23861" xr:uid="{A20DF301-2CD9-4FE8-96EB-53972969B0FF}"/>
    <cellStyle name="Comma 4 2 2 5 8 2 4" xfId="40718" xr:uid="{D7172B90-6755-4EC3-94C0-B99BA951B64D}"/>
    <cellStyle name="Comma 4 2 2 5 8 2 5" xfId="15426" xr:uid="{FB13895E-5ABC-4012-B053-8A6C2A5E6B71}"/>
    <cellStyle name="Comma 4 2 2 5 8 3" xfId="28072" xr:uid="{6F0B3F3D-52D7-4364-875D-3298F263AF04}"/>
    <cellStyle name="Comma 4 2 2 5 8 4" xfId="19643" xr:uid="{9503E9CE-7718-47F5-8401-E0B839B50E31}"/>
    <cellStyle name="Comma 4 2 2 5 8 5" xfId="36501" xr:uid="{AC9BDBD4-C0B0-4E74-9F5D-BEB9D61A5D2B}"/>
    <cellStyle name="Comma 4 2 2 5 8 6" xfId="11208" xr:uid="{F50E7195-441A-4E09-B3FB-AF4F9D678ED4}"/>
    <cellStyle name="Comma 4 2 2 5 9" xfId="4608" xr:uid="{00000000-0005-0000-0000-000057080000}"/>
    <cellStyle name="Comma 4 2 2 5 9 2" xfId="29907" xr:uid="{E12FCA23-E017-487F-A53D-A9519C802629}"/>
    <cellStyle name="Comma 4 2 2 5 9 3" xfId="21478" xr:uid="{70D0015A-8C9B-46A3-ABC6-F0A9BFAA6312}"/>
    <cellStyle name="Comma 4 2 2 5 9 4" xfId="38335" xr:uid="{F6DB9051-7B25-4763-AD01-C5E30B857729}"/>
    <cellStyle name="Comma 4 2 2 5 9 5" xfId="13043" xr:uid="{E2CBE0A6-432A-4F7D-B74C-37DC8920A883}"/>
    <cellStyle name="Comma 4 2 3" xfId="136" xr:uid="{00000000-0005-0000-0000-000058080000}"/>
    <cellStyle name="Comma 4 2 3 10" xfId="2768" xr:uid="{00000000-0005-0000-0000-000059080000}"/>
    <cellStyle name="Comma 4 2 3 10 2" xfId="6992" xr:uid="{00000000-0005-0000-0000-00005A080000}"/>
    <cellStyle name="Comma 4 2 3 10 2 2" xfId="32291" xr:uid="{57894F89-97B6-41A6-852E-76E952385EB0}"/>
    <cellStyle name="Comma 4 2 3 10 2 3" xfId="23862" xr:uid="{203B6805-051B-4040-9A95-926FC2489B0C}"/>
    <cellStyle name="Comma 4 2 3 10 2 4" xfId="40719" xr:uid="{548C6669-BAD4-47AD-800B-DA477E2FF449}"/>
    <cellStyle name="Comma 4 2 3 10 2 5" xfId="15427" xr:uid="{94314341-80B5-4A28-B474-7C09105AC06C}"/>
    <cellStyle name="Comma 4 2 3 10 3" xfId="28073" xr:uid="{B653CF21-A35D-4A39-800E-D84E72255C98}"/>
    <cellStyle name="Comma 4 2 3 10 4" xfId="19644" xr:uid="{A345C7CA-98E4-4E84-A21A-5DC86BD8B429}"/>
    <cellStyle name="Comma 4 2 3 10 5" xfId="36502" xr:uid="{2BA3DA67-4946-4B6D-9820-E0C24E529B7B}"/>
    <cellStyle name="Comma 4 2 3 10 6" xfId="11209" xr:uid="{BD6CB324-E5CF-4F79-B5C8-93871903D232}"/>
    <cellStyle name="Comma 4 2 3 11" xfId="4609" xr:uid="{00000000-0005-0000-0000-00005B080000}"/>
    <cellStyle name="Comma 4 2 3 11 2" xfId="29908" xr:uid="{B63C32CE-1C68-4E13-BE2D-27FDC609ACDB}"/>
    <cellStyle name="Comma 4 2 3 11 3" xfId="21479" xr:uid="{F78AFAFC-D0BA-4C9B-B2E2-4FC77E4D7789}"/>
    <cellStyle name="Comma 4 2 3 11 4" xfId="38336" xr:uid="{B19F37F6-4855-4531-B2D6-30D89AA9FEDC}"/>
    <cellStyle name="Comma 4 2 3 11 5" xfId="13044" xr:uid="{749E6C03-B8C4-49F8-B18E-18760B5953B7}"/>
    <cellStyle name="Comma 4 2 3 12" xfId="25690" xr:uid="{90A73B3D-733C-4088-A338-804232365D92}"/>
    <cellStyle name="Comma 4 2 3 13" xfId="17261" xr:uid="{C27D1F7B-8BF4-43EE-8727-586A74B7EE9B}"/>
    <cellStyle name="Comma 4 2 3 14" xfId="34119" xr:uid="{44BC4198-84B2-4B5E-A92F-BCA6449F333F}"/>
    <cellStyle name="Comma 4 2 3 15" xfId="8826" xr:uid="{3A31BEBC-7934-4507-A453-BB8AAEB786C9}"/>
    <cellStyle name="Comma 4 2 3 2" xfId="137" xr:uid="{00000000-0005-0000-0000-00005C080000}"/>
    <cellStyle name="Comma 4 2 3 2 10" xfId="4610" xr:uid="{00000000-0005-0000-0000-00005D080000}"/>
    <cellStyle name="Comma 4 2 3 2 10 2" xfId="29909" xr:uid="{7628651A-EE52-4F09-A584-ED99A5E6EDE6}"/>
    <cellStyle name="Comma 4 2 3 2 10 3" xfId="21480" xr:uid="{42D657C2-18D9-4BEC-819D-EEFBA408AE0B}"/>
    <cellStyle name="Comma 4 2 3 2 10 4" xfId="38337" xr:uid="{7A72A4BF-863D-4357-BB03-FC14E9903AF9}"/>
    <cellStyle name="Comma 4 2 3 2 10 5" xfId="13045" xr:uid="{D9EE82DD-1315-4B5B-B71D-5E8C1CE42AAC}"/>
    <cellStyle name="Comma 4 2 3 2 11" xfId="25691" xr:uid="{83A70CC5-6C66-4006-ABD7-EB23CE9BE60A}"/>
    <cellStyle name="Comma 4 2 3 2 12" xfId="17262" xr:uid="{CAC0BE81-0411-49FF-8CCC-1F336102FD30}"/>
    <cellStyle name="Comma 4 2 3 2 13" xfId="34120" xr:uid="{F43903C9-D203-4D67-9129-FFCEBF097918}"/>
    <cellStyle name="Comma 4 2 3 2 14" xfId="8827" xr:uid="{225581D6-243F-4EF1-B5F8-C8EE68F03F9C}"/>
    <cellStyle name="Comma 4 2 3 2 2" xfId="138" xr:uid="{00000000-0005-0000-0000-00005E080000}"/>
    <cellStyle name="Comma 4 2 3 2 2 10" xfId="25692" xr:uid="{09D82DA2-BC80-4AC0-85C1-8FBA019573EA}"/>
    <cellStyle name="Comma 4 2 3 2 2 11" xfId="17263" xr:uid="{BDCEF480-13C2-48D6-A60D-AFA2860E523E}"/>
    <cellStyle name="Comma 4 2 3 2 2 12" xfId="34121" xr:uid="{22B300FD-3882-4148-9996-1931442F082E}"/>
    <cellStyle name="Comma 4 2 3 2 2 13" xfId="8828" xr:uid="{E65AA212-3E87-47AC-9C2A-22A4AD822BD4}"/>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32469" xr:uid="{1372387B-AE63-491A-8A3A-ABA187F5CF05}"/>
    <cellStyle name="Comma 4 2 3 2 2 2 2 2 3" xfId="24040" xr:uid="{A5BF5BAB-7C0F-45D2-A558-70E7FDA2BF11}"/>
    <cellStyle name="Comma 4 2 3 2 2 2 2 2 4" xfId="40897" xr:uid="{4B865AB8-FD1A-41F5-B02A-7D6EB27EC47F}"/>
    <cellStyle name="Comma 4 2 3 2 2 2 2 2 5" xfId="15605" xr:uid="{B08FD8DD-FFF4-4937-9CDC-8533EFD67CC0}"/>
    <cellStyle name="Comma 4 2 3 2 2 2 2 3" xfId="28251" xr:uid="{5690A82C-542C-4640-A387-A74C96AA730B}"/>
    <cellStyle name="Comma 4 2 3 2 2 2 2 4" xfId="19822" xr:uid="{5B04C85D-0C6C-449B-92D2-90685ADE9651}"/>
    <cellStyle name="Comma 4 2 3 2 2 2 2 5" xfId="36680" xr:uid="{01A025DF-0F35-43A1-8F85-70AE02F825D5}"/>
    <cellStyle name="Comma 4 2 3 2 2 2 2 6" xfId="11387" xr:uid="{0DE15C28-EF64-4CB7-B1EC-BF253CEF1BF6}"/>
    <cellStyle name="Comma 4 2 3 2 2 2 3" xfId="5025" xr:uid="{00000000-0005-0000-0000-000062080000}"/>
    <cellStyle name="Comma 4 2 3 2 2 2 3 2" xfId="30324" xr:uid="{7136B979-2DFA-4CAF-B955-5AC3093EF34A}"/>
    <cellStyle name="Comma 4 2 3 2 2 2 3 3" xfId="21895" xr:uid="{3B3A698D-771B-41BD-843E-21216FCE813D}"/>
    <cellStyle name="Comma 4 2 3 2 2 2 3 4" xfId="38752" xr:uid="{73B0E44B-D790-4104-9571-5051A900CD08}"/>
    <cellStyle name="Comma 4 2 3 2 2 2 3 5" xfId="13460" xr:uid="{7B9DC080-D174-4AF8-8947-FABBB170C5A5}"/>
    <cellStyle name="Comma 4 2 3 2 2 2 4" xfId="26106" xr:uid="{ED987AB4-1506-4271-A134-8A577F573FD3}"/>
    <cellStyle name="Comma 4 2 3 2 2 2 5" xfId="17677" xr:uid="{07704CE1-CB32-4EC0-A298-D85E8D200BE9}"/>
    <cellStyle name="Comma 4 2 3 2 2 2 6" xfId="34535" xr:uid="{12545C16-3C0E-48D2-9C19-6D280F8D196F}"/>
    <cellStyle name="Comma 4 2 3 2 2 2 7" xfId="9242" xr:uid="{1F1E51CE-8F69-4E3E-9414-9AA070FB4D4C}"/>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32882" xr:uid="{703CE8EB-3D90-4A2E-9DC0-458AC8D40C42}"/>
    <cellStyle name="Comma 4 2 3 2 2 3 2 2 3" xfId="24453" xr:uid="{94A7566B-FB8D-48C3-8534-BD29AC223B28}"/>
    <cellStyle name="Comma 4 2 3 2 2 3 2 2 4" xfId="41310" xr:uid="{3B8E7B52-EE70-426D-B401-AC005541C4CE}"/>
    <cellStyle name="Comma 4 2 3 2 2 3 2 2 5" xfId="16018" xr:uid="{864626E3-7EC6-4225-872E-1FA6B5346ABD}"/>
    <cellStyle name="Comma 4 2 3 2 2 3 2 3" xfId="28664" xr:uid="{1A78EAC0-1FA1-4638-9CFC-47243EE5C6D6}"/>
    <cellStyle name="Comma 4 2 3 2 2 3 2 4" xfId="20235" xr:uid="{04B424B9-2E3E-4BBA-84E4-A42A148C9938}"/>
    <cellStyle name="Comma 4 2 3 2 2 3 2 5" xfId="37093" xr:uid="{0DACFE2E-91D9-4BA6-A2A9-80C02E9FB422}"/>
    <cellStyle name="Comma 4 2 3 2 2 3 2 6" xfId="11800" xr:uid="{2575381C-0A22-419B-950F-E9F46A782A0E}"/>
    <cellStyle name="Comma 4 2 3 2 2 3 3" xfId="5438" xr:uid="{00000000-0005-0000-0000-000066080000}"/>
    <cellStyle name="Comma 4 2 3 2 2 3 3 2" xfId="30737" xr:uid="{66C0923F-96F5-4DD5-AF5A-81E74B45B988}"/>
    <cellStyle name="Comma 4 2 3 2 2 3 3 3" xfId="22308" xr:uid="{AA2A0E0C-F730-496D-B97E-723F1BBBD6ED}"/>
    <cellStyle name="Comma 4 2 3 2 2 3 3 4" xfId="39165" xr:uid="{A8544634-3BF2-41A0-8040-2EE40C34121B}"/>
    <cellStyle name="Comma 4 2 3 2 2 3 3 5" xfId="13873" xr:uid="{C1824679-0796-475B-8DE7-4603C8709EBF}"/>
    <cellStyle name="Comma 4 2 3 2 2 3 4" xfId="26519" xr:uid="{C20FA418-B862-4684-BA09-90FFAB573CE4}"/>
    <cellStyle name="Comma 4 2 3 2 2 3 5" xfId="18090" xr:uid="{C7B3B96A-D93C-43A8-B0E5-09AA2949ECEF}"/>
    <cellStyle name="Comma 4 2 3 2 2 3 6" xfId="34948" xr:uid="{DF23F799-2692-4D46-B1AB-702129B73C96}"/>
    <cellStyle name="Comma 4 2 3 2 2 3 7" xfId="9655" xr:uid="{19C61EB1-6817-41F3-8A30-430803B6E42E}"/>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33295" xr:uid="{86ED4ADE-388C-4B71-87AA-C0C4DAA94378}"/>
    <cellStyle name="Comma 4 2 3 2 2 4 2 2 3" xfId="24866" xr:uid="{C4C6AFA0-A66B-4F32-8EDD-AEF77332DEF1}"/>
    <cellStyle name="Comma 4 2 3 2 2 4 2 2 4" xfId="41723" xr:uid="{3498561F-C3F0-464C-B673-9AFBB7A5D867}"/>
    <cellStyle name="Comma 4 2 3 2 2 4 2 2 5" xfId="16431" xr:uid="{75076630-2DE9-491B-8CFC-BD55FC5DA7DF}"/>
    <cellStyle name="Comma 4 2 3 2 2 4 2 3" xfId="29077" xr:uid="{77D44DCD-151E-4DC6-A4D7-51D78B837543}"/>
    <cellStyle name="Comma 4 2 3 2 2 4 2 4" xfId="20648" xr:uid="{36BB2F4B-7FDD-44F0-BA4A-7D6244126270}"/>
    <cellStyle name="Comma 4 2 3 2 2 4 2 5" xfId="37506" xr:uid="{510FD7CE-4E7B-4ED4-B6DF-9154438E812D}"/>
    <cellStyle name="Comma 4 2 3 2 2 4 2 6" xfId="12213" xr:uid="{44286D8E-2611-4BF2-AF24-D4DDA7BCF882}"/>
    <cellStyle name="Comma 4 2 3 2 2 4 3" xfId="5851" xr:uid="{00000000-0005-0000-0000-00006A080000}"/>
    <cellStyle name="Comma 4 2 3 2 2 4 3 2" xfId="31150" xr:uid="{EF8C1612-55ED-484C-9D2C-2480E19EF4EB}"/>
    <cellStyle name="Comma 4 2 3 2 2 4 3 3" xfId="22721" xr:uid="{B27670F0-CAB3-4B02-89C2-8C033DEB1AE5}"/>
    <cellStyle name="Comma 4 2 3 2 2 4 3 4" xfId="39578" xr:uid="{32975A5B-F519-4DFF-8570-8E9901B702DE}"/>
    <cellStyle name="Comma 4 2 3 2 2 4 3 5" xfId="14286" xr:uid="{21827A44-30C6-49F2-AD4C-AABB3460D17F}"/>
    <cellStyle name="Comma 4 2 3 2 2 4 4" xfId="26932" xr:uid="{60CCE140-6175-4BBD-AD34-03AC8DEC40BB}"/>
    <cellStyle name="Comma 4 2 3 2 2 4 5" xfId="18503" xr:uid="{EF886820-E306-41C7-B17A-6B640831CC6E}"/>
    <cellStyle name="Comma 4 2 3 2 2 4 6" xfId="35361" xr:uid="{A7F3D526-8A54-4256-8A4E-4808699191C5}"/>
    <cellStyle name="Comma 4 2 3 2 2 4 7" xfId="10068" xr:uid="{E5FCB786-7D77-4856-8CC0-AFFC77209E70}"/>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33708" xr:uid="{67BA875B-5407-4AE7-97FF-DA3DDAF529ED}"/>
    <cellStyle name="Comma 4 2 3 2 2 5 2 2 3" xfId="25279" xr:uid="{56D1ACC3-A3A7-4B60-A13A-504087269908}"/>
    <cellStyle name="Comma 4 2 3 2 2 5 2 2 4" xfId="42136" xr:uid="{F6AD70C5-01FC-4CBA-B69C-94500344C61C}"/>
    <cellStyle name="Comma 4 2 3 2 2 5 2 2 5" xfId="16844" xr:uid="{464F9A6E-AED4-4CAB-8ED3-D3189F206BF2}"/>
    <cellStyle name="Comma 4 2 3 2 2 5 2 3" xfId="29490" xr:uid="{B308B255-BB0E-4927-BF5D-0C8848423031}"/>
    <cellStyle name="Comma 4 2 3 2 2 5 2 4" xfId="21061" xr:uid="{F55377AE-AB46-47B3-AA8B-7DBFC4CF5669}"/>
    <cellStyle name="Comma 4 2 3 2 2 5 2 5" xfId="37919" xr:uid="{57196B5C-5956-456F-AEE9-24BC52E62227}"/>
    <cellStyle name="Comma 4 2 3 2 2 5 2 6" xfId="12626" xr:uid="{4B67AE6A-CB5E-41BF-A4CD-8C56B4E3AE0E}"/>
    <cellStyle name="Comma 4 2 3 2 2 5 3" xfId="6264" xr:uid="{00000000-0005-0000-0000-00006E080000}"/>
    <cellStyle name="Comma 4 2 3 2 2 5 3 2" xfId="31563" xr:uid="{BF2EB267-524A-4C0D-9FB6-DF35225A7BCA}"/>
    <cellStyle name="Comma 4 2 3 2 2 5 3 3" xfId="23134" xr:uid="{A0796092-D953-4461-89C5-62ABE3AFC652}"/>
    <cellStyle name="Comma 4 2 3 2 2 5 3 4" xfId="39991" xr:uid="{51137862-E4F7-433E-A636-7ADCAC2D414D}"/>
    <cellStyle name="Comma 4 2 3 2 2 5 3 5" xfId="14699" xr:uid="{F02ABC12-3C6E-447F-AC0B-DA437C0F7A5D}"/>
    <cellStyle name="Comma 4 2 3 2 2 5 4" xfId="27345" xr:uid="{AD9A8DBA-7201-4408-AECE-B50B0281920C}"/>
    <cellStyle name="Comma 4 2 3 2 2 5 5" xfId="18916" xr:uid="{0423122C-528E-44CE-A18B-FD54AF9037D0}"/>
    <cellStyle name="Comma 4 2 3 2 2 5 6" xfId="35774" xr:uid="{62F25B86-821F-4DFD-9E2E-BDCA49F50210}"/>
    <cellStyle name="Comma 4 2 3 2 2 5 7" xfId="10481" xr:uid="{AE19C8A5-EC70-478C-AC85-8BE5CA7F6AFB}"/>
    <cellStyle name="Comma 4 2 3 2 2 6" xfId="2392" xr:uid="{00000000-0005-0000-0000-00006F080000}"/>
    <cellStyle name="Comma 4 2 3 2 2 6 2" xfId="6677" xr:uid="{00000000-0005-0000-0000-000070080000}"/>
    <cellStyle name="Comma 4 2 3 2 2 6 2 2" xfId="31976" xr:uid="{F5938438-C1D2-4E58-BE00-A5F94E05A8C7}"/>
    <cellStyle name="Comma 4 2 3 2 2 6 2 3" xfId="23547" xr:uid="{1CCAC5F6-01EA-4363-898D-5E8980CFAB2C}"/>
    <cellStyle name="Comma 4 2 3 2 2 6 2 4" xfId="40404" xr:uid="{4D718F79-F9DD-4B9A-8EA9-CA4C33CE4BB6}"/>
    <cellStyle name="Comma 4 2 3 2 2 6 2 5" xfId="15112" xr:uid="{59410483-B840-4107-A23D-4CADBF6A25FC}"/>
    <cellStyle name="Comma 4 2 3 2 2 6 3" xfId="27758" xr:uid="{91B47EAE-0B13-41EA-BC1D-EE619108C9BE}"/>
    <cellStyle name="Comma 4 2 3 2 2 6 4" xfId="19329" xr:uid="{26CC4D25-17F6-4AE1-9584-D758355C07B3}"/>
    <cellStyle name="Comma 4 2 3 2 2 6 5" xfId="36187" xr:uid="{21741905-AA29-463B-B88B-BA82A7B7D935}"/>
    <cellStyle name="Comma 4 2 3 2 2 6 6" xfId="10894" xr:uid="{7DE6D38F-34E7-41E5-A782-70D89E5B023A}"/>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32293" xr:uid="{D53A0E3E-28F4-4943-9126-E4E39B02D665}"/>
    <cellStyle name="Comma 4 2 3 2 2 8 2 3" xfId="23864" xr:uid="{47552931-55E0-451D-BE3D-40F03C5BC2A0}"/>
    <cellStyle name="Comma 4 2 3 2 2 8 2 4" xfId="40721" xr:uid="{166D3C77-B83F-41DD-976A-FBE439E9DDB4}"/>
    <cellStyle name="Comma 4 2 3 2 2 8 2 5" xfId="15429" xr:uid="{D4E64555-0C1C-428B-BD5A-DEF5DFE56E61}"/>
    <cellStyle name="Comma 4 2 3 2 2 8 3" xfId="28075" xr:uid="{7CEF7D13-86F9-4856-8BB5-D91F24FBBD26}"/>
    <cellStyle name="Comma 4 2 3 2 2 8 4" xfId="19646" xr:uid="{C0CC8413-05D3-4AD5-90AD-9AE02F97C94D}"/>
    <cellStyle name="Comma 4 2 3 2 2 8 5" xfId="36504" xr:uid="{F2EDAFFC-63EC-4898-8AB2-4636BD25B36A}"/>
    <cellStyle name="Comma 4 2 3 2 2 8 6" xfId="11211" xr:uid="{B3D6529F-F6D5-4BA7-A2AA-8344FE68EA9A}"/>
    <cellStyle name="Comma 4 2 3 2 2 9" xfId="4611" xr:uid="{00000000-0005-0000-0000-000074080000}"/>
    <cellStyle name="Comma 4 2 3 2 2 9 2" xfId="29910" xr:uid="{B9AE33FC-59CB-4992-9492-4AE5D078C340}"/>
    <cellStyle name="Comma 4 2 3 2 2 9 3" xfId="21481" xr:uid="{7BB74D7C-CEB4-4260-8CD1-D267585947AA}"/>
    <cellStyle name="Comma 4 2 3 2 2 9 4" xfId="38338" xr:uid="{1C6689B3-A410-42F4-A6B4-8C87DE863479}"/>
    <cellStyle name="Comma 4 2 3 2 2 9 5" xfId="13046" xr:uid="{C68D7939-76E6-498D-BD51-25367282AA66}"/>
    <cellStyle name="Comma 4 2 3 2 3" xfId="675" xr:uid="{00000000-0005-0000-0000-000075080000}"/>
    <cellStyle name="Comma 4 2 3 2 3 2" xfId="2946" xr:uid="{00000000-0005-0000-0000-000076080000}"/>
    <cellStyle name="Comma 4 2 3 2 3 2 2" xfId="7169" xr:uid="{00000000-0005-0000-0000-000077080000}"/>
    <cellStyle name="Comma 4 2 3 2 3 2 2 2" xfId="32468" xr:uid="{929940AD-5C80-463C-86C0-3E2E382BE236}"/>
    <cellStyle name="Comma 4 2 3 2 3 2 2 3" xfId="24039" xr:uid="{00749114-002D-4AD2-9C61-CA2DB2BB6175}"/>
    <cellStyle name="Comma 4 2 3 2 3 2 2 4" xfId="40896" xr:uid="{1F69F1A2-6637-4449-A7F3-42242FF22D6D}"/>
    <cellStyle name="Comma 4 2 3 2 3 2 2 5" xfId="15604" xr:uid="{4089902A-BFD0-4E9C-864B-F1609AF95743}"/>
    <cellStyle name="Comma 4 2 3 2 3 2 3" xfId="28250" xr:uid="{042687FA-716D-4C8D-99FF-50D8401CD532}"/>
    <cellStyle name="Comma 4 2 3 2 3 2 4" xfId="19821" xr:uid="{B556BEE7-BCB2-4D3D-A7CC-5C125272F567}"/>
    <cellStyle name="Comma 4 2 3 2 3 2 5" xfId="36679" xr:uid="{71F2B1D4-DDEF-4EBB-90E7-768B33250AF7}"/>
    <cellStyle name="Comma 4 2 3 2 3 2 6" xfId="11386" xr:uid="{DE48B8D0-1CD3-461A-82E5-FD7B5254C258}"/>
    <cellStyle name="Comma 4 2 3 2 3 3" xfId="5024" xr:uid="{00000000-0005-0000-0000-000078080000}"/>
    <cellStyle name="Comma 4 2 3 2 3 3 2" xfId="30323" xr:uid="{1855B10B-3C6E-4E52-BBC2-19D9B3623AB9}"/>
    <cellStyle name="Comma 4 2 3 2 3 3 3" xfId="21894" xr:uid="{D38A56B0-01E1-4119-90A7-B4F8D4A91736}"/>
    <cellStyle name="Comma 4 2 3 2 3 3 4" xfId="38751" xr:uid="{6EACE1C5-DC8C-476C-B511-94D7D21EACCD}"/>
    <cellStyle name="Comma 4 2 3 2 3 3 5" xfId="13459" xr:uid="{AB623721-74CE-44CD-A1FA-0D92847CCE19}"/>
    <cellStyle name="Comma 4 2 3 2 3 4" xfId="26105" xr:uid="{1ABDF6C3-DC83-4928-8D7C-9787F27B6AEF}"/>
    <cellStyle name="Comma 4 2 3 2 3 5" xfId="17676" xr:uid="{5F5BD339-0FF8-4013-ABE9-FA0A9A15DCB3}"/>
    <cellStyle name="Comma 4 2 3 2 3 6" xfId="34534" xr:uid="{507CEA3E-5C3B-4E1C-8F49-75F54D4091FB}"/>
    <cellStyle name="Comma 4 2 3 2 3 7" xfId="9241" xr:uid="{C0954B93-43BB-48EC-86F2-74D1D1FDE53E}"/>
    <cellStyle name="Comma 4 2 3 2 4" xfId="1128" xr:uid="{00000000-0005-0000-0000-000079080000}"/>
    <cellStyle name="Comma 4 2 3 2 4 2" xfId="3359" xr:uid="{00000000-0005-0000-0000-00007A080000}"/>
    <cellStyle name="Comma 4 2 3 2 4 2 2" xfId="7582" xr:uid="{00000000-0005-0000-0000-00007B080000}"/>
    <cellStyle name="Comma 4 2 3 2 4 2 2 2" xfId="32881" xr:uid="{4D0089CF-3E14-460B-AAA9-1EED202539C1}"/>
    <cellStyle name="Comma 4 2 3 2 4 2 2 3" xfId="24452" xr:uid="{04F9DF00-50A9-4C6A-AD3C-509E30612EB5}"/>
    <cellStyle name="Comma 4 2 3 2 4 2 2 4" xfId="41309" xr:uid="{DEC8DABA-532E-4C72-B6D9-9D7F1D740A7A}"/>
    <cellStyle name="Comma 4 2 3 2 4 2 2 5" xfId="16017" xr:uid="{4268B2FD-F2F4-427D-84B3-C752CEA12959}"/>
    <cellStyle name="Comma 4 2 3 2 4 2 3" xfId="28663" xr:uid="{2BAF6309-B7DA-4A4B-B0A5-A690D672E74F}"/>
    <cellStyle name="Comma 4 2 3 2 4 2 4" xfId="20234" xr:uid="{08D22679-2C00-4CCA-A6E2-6FB1FFF2D6FC}"/>
    <cellStyle name="Comma 4 2 3 2 4 2 5" xfId="37092" xr:uid="{40405D0A-2E4F-4EB3-925F-D9D00896DCF9}"/>
    <cellStyle name="Comma 4 2 3 2 4 2 6" xfId="11799" xr:uid="{68DA8AE1-3785-4220-8831-A5BF8DBF1293}"/>
    <cellStyle name="Comma 4 2 3 2 4 3" xfId="5437" xr:uid="{00000000-0005-0000-0000-00007C080000}"/>
    <cellStyle name="Comma 4 2 3 2 4 3 2" xfId="30736" xr:uid="{C1F637A8-DEC4-4550-94C7-97BF63CC4FB5}"/>
    <cellStyle name="Comma 4 2 3 2 4 3 3" xfId="22307" xr:uid="{37266976-BD8E-4361-92F8-9796854B9DA4}"/>
    <cellStyle name="Comma 4 2 3 2 4 3 4" xfId="39164" xr:uid="{B1E70E22-2779-4837-A5FD-B2EB6AAF28EB}"/>
    <cellStyle name="Comma 4 2 3 2 4 3 5" xfId="13872" xr:uid="{874002DC-2387-427B-87D4-6E4564D7E8C7}"/>
    <cellStyle name="Comma 4 2 3 2 4 4" xfId="26518" xr:uid="{F077A4F2-332F-4AC4-B5B7-1D3D1194C578}"/>
    <cellStyle name="Comma 4 2 3 2 4 5" xfId="18089" xr:uid="{6636F379-DEEA-4F98-81A4-CC36E98D045B}"/>
    <cellStyle name="Comma 4 2 3 2 4 6" xfId="34947" xr:uid="{830F9B61-1620-48CF-9D4F-24AD8EA13C3D}"/>
    <cellStyle name="Comma 4 2 3 2 4 7" xfId="9654" xr:uid="{821654EE-A0DA-4518-BD0B-5DB949433A29}"/>
    <cellStyle name="Comma 4 2 3 2 5" xfId="1542" xr:uid="{00000000-0005-0000-0000-00007D080000}"/>
    <cellStyle name="Comma 4 2 3 2 5 2" xfId="3772" xr:uid="{00000000-0005-0000-0000-00007E080000}"/>
    <cellStyle name="Comma 4 2 3 2 5 2 2" xfId="7995" xr:uid="{00000000-0005-0000-0000-00007F080000}"/>
    <cellStyle name="Comma 4 2 3 2 5 2 2 2" xfId="33294" xr:uid="{F348141A-44B8-4415-BAF3-CFDCD0AA7C3B}"/>
    <cellStyle name="Comma 4 2 3 2 5 2 2 3" xfId="24865" xr:uid="{64037E18-D16E-4651-902A-D45D3F02ED12}"/>
    <cellStyle name="Comma 4 2 3 2 5 2 2 4" xfId="41722" xr:uid="{88A23523-BDB2-4DD9-B730-05D37FBE92B2}"/>
    <cellStyle name="Comma 4 2 3 2 5 2 2 5" xfId="16430" xr:uid="{B28FD234-019C-4508-90DA-B3BF12FEDA08}"/>
    <cellStyle name="Comma 4 2 3 2 5 2 3" xfId="29076" xr:uid="{E904D087-8BD1-4CD3-BF81-50452548FBCE}"/>
    <cellStyle name="Comma 4 2 3 2 5 2 4" xfId="20647" xr:uid="{3C84990C-9AE9-4134-89B3-66D897352F68}"/>
    <cellStyle name="Comma 4 2 3 2 5 2 5" xfId="37505" xr:uid="{40A2E32B-DB82-4589-BFB8-0D21DFF8AF7C}"/>
    <cellStyle name="Comma 4 2 3 2 5 2 6" xfId="12212" xr:uid="{7350B454-1396-478C-941D-196B8746E343}"/>
    <cellStyle name="Comma 4 2 3 2 5 3" xfId="5850" xr:uid="{00000000-0005-0000-0000-000080080000}"/>
    <cellStyle name="Comma 4 2 3 2 5 3 2" xfId="31149" xr:uid="{74B952B7-AB56-4BC1-B57F-186B29930ADD}"/>
    <cellStyle name="Comma 4 2 3 2 5 3 3" xfId="22720" xr:uid="{DC2CFAEE-FD28-475E-8609-24887566D1E5}"/>
    <cellStyle name="Comma 4 2 3 2 5 3 4" xfId="39577" xr:uid="{A73DC96D-02CC-4CD9-8B1C-5A6EA54150BD}"/>
    <cellStyle name="Comma 4 2 3 2 5 3 5" xfId="14285" xr:uid="{72D0CED5-3783-4DA2-B97A-28C56647F4E1}"/>
    <cellStyle name="Comma 4 2 3 2 5 4" xfId="26931" xr:uid="{D705ACF7-74E2-43C6-94F2-3A681A7342F3}"/>
    <cellStyle name="Comma 4 2 3 2 5 5" xfId="18502" xr:uid="{6ECFB74D-24DF-4CF1-9782-5C7234346870}"/>
    <cellStyle name="Comma 4 2 3 2 5 6" xfId="35360" xr:uid="{6A88781D-CDA4-4CB3-9887-619BC5D59336}"/>
    <cellStyle name="Comma 4 2 3 2 5 7" xfId="10067" xr:uid="{438E3009-C8AF-465B-9C8E-15735FE88FEF}"/>
    <cellStyle name="Comma 4 2 3 2 6" xfId="1956" xr:uid="{00000000-0005-0000-0000-000081080000}"/>
    <cellStyle name="Comma 4 2 3 2 6 2" xfId="4185" xr:uid="{00000000-0005-0000-0000-000082080000}"/>
    <cellStyle name="Comma 4 2 3 2 6 2 2" xfId="8408" xr:uid="{00000000-0005-0000-0000-000083080000}"/>
    <cellStyle name="Comma 4 2 3 2 6 2 2 2" xfId="33707" xr:uid="{62A60A9A-D379-4F21-8310-A803F8F5D5D7}"/>
    <cellStyle name="Comma 4 2 3 2 6 2 2 3" xfId="25278" xr:uid="{BC1EC1E8-3E62-4B0E-A6D8-7D8199896410}"/>
    <cellStyle name="Comma 4 2 3 2 6 2 2 4" xfId="42135" xr:uid="{EBF3F1B4-ABC8-4104-AC7E-80671A21A029}"/>
    <cellStyle name="Comma 4 2 3 2 6 2 2 5" xfId="16843" xr:uid="{F70FF228-D28A-4377-B590-88D24C4A1EFF}"/>
    <cellStyle name="Comma 4 2 3 2 6 2 3" xfId="29489" xr:uid="{D46F7527-26CB-4D0D-BD11-005A3A13423B}"/>
    <cellStyle name="Comma 4 2 3 2 6 2 4" xfId="21060" xr:uid="{7D58C035-9ED3-4BBD-993D-2163DB83E3A8}"/>
    <cellStyle name="Comma 4 2 3 2 6 2 5" xfId="37918" xr:uid="{450046CF-1939-433C-A3AA-DA843CF535BF}"/>
    <cellStyle name="Comma 4 2 3 2 6 2 6" xfId="12625" xr:uid="{4A5780B4-D631-4043-AC4F-6BCADCFDECC8}"/>
    <cellStyle name="Comma 4 2 3 2 6 3" xfId="6263" xr:uid="{00000000-0005-0000-0000-000084080000}"/>
    <cellStyle name="Comma 4 2 3 2 6 3 2" xfId="31562" xr:uid="{1EAB3990-2BB8-49A6-8A81-6131FB11C82F}"/>
    <cellStyle name="Comma 4 2 3 2 6 3 3" xfId="23133" xr:uid="{F25A5A3B-A56F-4F3E-A7E8-6867BA75B1A7}"/>
    <cellStyle name="Comma 4 2 3 2 6 3 4" xfId="39990" xr:uid="{4DCCB76E-4798-4F63-AAE1-9C085FBCA0DD}"/>
    <cellStyle name="Comma 4 2 3 2 6 3 5" xfId="14698" xr:uid="{1E7CB119-47F4-458C-B6CD-B31472AF201A}"/>
    <cellStyle name="Comma 4 2 3 2 6 4" xfId="27344" xr:uid="{D34DF108-5A2A-4F02-9D10-0C2FDE1AE2EC}"/>
    <cellStyle name="Comma 4 2 3 2 6 5" xfId="18915" xr:uid="{FC11B661-3C00-4390-8D16-0BEDAC4D52AE}"/>
    <cellStyle name="Comma 4 2 3 2 6 6" xfId="35773" xr:uid="{B4A05955-AE84-41CF-BE0A-DD88241C337D}"/>
    <cellStyle name="Comma 4 2 3 2 6 7" xfId="10480" xr:uid="{CCFB7F33-877B-4D1C-8EF4-1F21FF83A32B}"/>
    <cellStyle name="Comma 4 2 3 2 7" xfId="2391" xr:uid="{00000000-0005-0000-0000-000085080000}"/>
    <cellStyle name="Comma 4 2 3 2 7 2" xfId="6676" xr:uid="{00000000-0005-0000-0000-000086080000}"/>
    <cellStyle name="Comma 4 2 3 2 7 2 2" xfId="31975" xr:uid="{66143219-77E8-43B6-8739-2B1048488307}"/>
    <cellStyle name="Comma 4 2 3 2 7 2 3" xfId="23546" xr:uid="{456CD96F-F4CD-463B-9CB0-35AEA1D3DB12}"/>
    <cellStyle name="Comma 4 2 3 2 7 2 4" xfId="40403" xr:uid="{048C4405-7226-403F-B5E6-09C0737F5617}"/>
    <cellStyle name="Comma 4 2 3 2 7 2 5" xfId="15111" xr:uid="{A79BCB1F-FE6C-44B4-8EDE-E0BACBCBD07C}"/>
    <cellStyle name="Comma 4 2 3 2 7 3" xfId="27757" xr:uid="{C9631414-725A-4253-820B-DE3FE9477D1C}"/>
    <cellStyle name="Comma 4 2 3 2 7 4" xfId="19328" xr:uid="{7C981B6C-0DA1-4B7C-B695-9081EFD50739}"/>
    <cellStyle name="Comma 4 2 3 2 7 5" xfId="36186" xr:uid="{D817FEF8-D8B0-404F-821E-B306BEEE4E1A}"/>
    <cellStyle name="Comma 4 2 3 2 7 6" xfId="10893" xr:uid="{E192C84B-7C83-4BE4-9277-07BF8959D608}"/>
    <cellStyle name="Comma 4 2 3 2 8" xfId="2372" xr:uid="{00000000-0005-0000-0000-000087080000}"/>
    <cellStyle name="Comma 4 2 3 2 9" xfId="2769" xr:uid="{00000000-0005-0000-0000-000088080000}"/>
    <cellStyle name="Comma 4 2 3 2 9 2" xfId="6993" xr:uid="{00000000-0005-0000-0000-000089080000}"/>
    <cellStyle name="Comma 4 2 3 2 9 2 2" xfId="32292" xr:uid="{8B5B3DE7-45AA-4151-AF27-FAD5BDD7D33D}"/>
    <cellStyle name="Comma 4 2 3 2 9 2 3" xfId="23863" xr:uid="{26361B47-8EA7-4F4A-AD5F-9D3477D6FF9D}"/>
    <cellStyle name="Comma 4 2 3 2 9 2 4" xfId="40720" xr:uid="{7CEA0401-A499-4BC9-B63D-B4B0815750A4}"/>
    <cellStyle name="Comma 4 2 3 2 9 2 5" xfId="15428" xr:uid="{3EEEC154-EDAC-4A2F-A944-93E6200C0551}"/>
    <cellStyle name="Comma 4 2 3 2 9 3" xfId="28074" xr:uid="{2D0EDDD1-563F-403A-A782-02A3D56EB991}"/>
    <cellStyle name="Comma 4 2 3 2 9 4" xfId="19645" xr:uid="{98887A0A-1818-42FF-BF6A-5F42AB93B5D9}"/>
    <cellStyle name="Comma 4 2 3 2 9 5" xfId="36503" xr:uid="{68E2CF51-2F43-4280-9114-623F5AEE092E}"/>
    <cellStyle name="Comma 4 2 3 2 9 6" xfId="11210" xr:uid="{D983626B-D6E1-4761-BC37-3D92E41693E0}"/>
    <cellStyle name="Comma 4 2 3 3" xfId="139" xr:uid="{00000000-0005-0000-0000-00008A080000}"/>
    <cellStyle name="Comma 4 2 3 3 10" xfId="25693" xr:uid="{175CEA17-3573-4BE2-820A-6BCDE04D7F76}"/>
    <cellStyle name="Comma 4 2 3 3 11" xfId="17264" xr:uid="{994A2BC5-DDBB-4D95-B28E-C01EF7495020}"/>
    <cellStyle name="Comma 4 2 3 3 12" xfId="34122" xr:uid="{B42DA9B1-F1A2-4C3D-B25B-F5DD86760DB5}"/>
    <cellStyle name="Comma 4 2 3 3 13" xfId="8829" xr:uid="{CA424ED8-B5DF-421B-96A9-0167CE42A250}"/>
    <cellStyle name="Comma 4 2 3 3 2" xfId="677" xr:uid="{00000000-0005-0000-0000-00008B080000}"/>
    <cellStyle name="Comma 4 2 3 3 2 2" xfId="2948" xr:uid="{00000000-0005-0000-0000-00008C080000}"/>
    <cellStyle name="Comma 4 2 3 3 2 2 2" xfId="7171" xr:uid="{00000000-0005-0000-0000-00008D080000}"/>
    <cellStyle name="Comma 4 2 3 3 2 2 2 2" xfId="32470" xr:uid="{B88A8C97-D2AB-46BD-B0A1-13364DF34801}"/>
    <cellStyle name="Comma 4 2 3 3 2 2 2 3" xfId="24041" xr:uid="{8BB4D2EF-4257-46E9-9C71-FEA64FF913C2}"/>
    <cellStyle name="Comma 4 2 3 3 2 2 2 4" xfId="40898" xr:uid="{80AB88A4-C538-4318-BA93-B2D26A23EFA0}"/>
    <cellStyle name="Comma 4 2 3 3 2 2 2 5" xfId="15606" xr:uid="{DC4C5578-AC69-4D03-899C-B47D5FEA14C4}"/>
    <cellStyle name="Comma 4 2 3 3 2 2 3" xfId="28252" xr:uid="{4AB24C43-F0A4-4A9B-88AD-823ED5913AA2}"/>
    <cellStyle name="Comma 4 2 3 3 2 2 4" xfId="19823" xr:uid="{BE417E94-7BFC-40B7-A963-DDF53F7BAEBD}"/>
    <cellStyle name="Comma 4 2 3 3 2 2 5" xfId="36681" xr:uid="{C13449C8-8FBA-4136-9E9C-989719331F44}"/>
    <cellStyle name="Comma 4 2 3 3 2 2 6" xfId="11388" xr:uid="{C2465916-45A0-4641-8363-05FFE3EA59A3}"/>
    <cellStyle name="Comma 4 2 3 3 2 3" xfId="5026" xr:uid="{00000000-0005-0000-0000-00008E080000}"/>
    <cellStyle name="Comma 4 2 3 3 2 3 2" xfId="30325" xr:uid="{F3E46DAF-E8AA-4714-9534-CA4D9B86D240}"/>
    <cellStyle name="Comma 4 2 3 3 2 3 3" xfId="21896" xr:uid="{0B17905C-0774-4646-BCC0-CB3AA9F592FC}"/>
    <cellStyle name="Comma 4 2 3 3 2 3 4" xfId="38753" xr:uid="{FC684A88-5A2F-4028-BB16-2E71C7332B78}"/>
    <cellStyle name="Comma 4 2 3 3 2 3 5" xfId="13461" xr:uid="{1C5410BA-3024-45B4-B2BF-4DDD750FD4BE}"/>
    <cellStyle name="Comma 4 2 3 3 2 4" xfId="26107" xr:uid="{EE9E2289-F130-496A-BC1F-FA99EAD0BFDD}"/>
    <cellStyle name="Comma 4 2 3 3 2 5" xfId="17678" xr:uid="{32AC923C-B1B2-4A88-BC8D-880F713006A6}"/>
    <cellStyle name="Comma 4 2 3 3 2 6" xfId="34536" xr:uid="{D1E3A9C7-DAA1-4D68-B795-FA2D4AF75AA0}"/>
    <cellStyle name="Comma 4 2 3 3 2 7" xfId="9243" xr:uid="{04BF43A7-3990-4072-AB06-6486D7A8C8E3}"/>
    <cellStyle name="Comma 4 2 3 3 3" xfId="1130" xr:uid="{00000000-0005-0000-0000-00008F080000}"/>
    <cellStyle name="Comma 4 2 3 3 3 2" xfId="3361" xr:uid="{00000000-0005-0000-0000-000090080000}"/>
    <cellStyle name="Comma 4 2 3 3 3 2 2" xfId="7584" xr:uid="{00000000-0005-0000-0000-000091080000}"/>
    <cellStyle name="Comma 4 2 3 3 3 2 2 2" xfId="32883" xr:uid="{76C44861-FE9B-40B4-9C69-22DE2B0B4872}"/>
    <cellStyle name="Comma 4 2 3 3 3 2 2 3" xfId="24454" xr:uid="{7176A589-6BBF-44D5-B2EF-F202AC2711E3}"/>
    <cellStyle name="Comma 4 2 3 3 3 2 2 4" xfId="41311" xr:uid="{005F0E27-AE84-4359-8580-A92A2E3C5199}"/>
    <cellStyle name="Comma 4 2 3 3 3 2 2 5" xfId="16019" xr:uid="{CE9819C7-F3A3-4214-9C1F-6621B9DB49FC}"/>
    <cellStyle name="Comma 4 2 3 3 3 2 3" xfId="28665" xr:uid="{C6F5A70B-8B01-4CCF-B96F-64ECDC5FED22}"/>
    <cellStyle name="Comma 4 2 3 3 3 2 4" xfId="20236" xr:uid="{B2917B9A-1E16-476E-B808-55DE472ECA84}"/>
    <cellStyle name="Comma 4 2 3 3 3 2 5" xfId="37094" xr:uid="{96D195C9-3363-42A5-A1E8-2EAEEF8F3A8C}"/>
    <cellStyle name="Comma 4 2 3 3 3 2 6" xfId="11801" xr:uid="{7E0852DA-7C82-403D-B200-7043083F06BC}"/>
    <cellStyle name="Comma 4 2 3 3 3 3" xfId="5439" xr:uid="{00000000-0005-0000-0000-000092080000}"/>
    <cellStyle name="Comma 4 2 3 3 3 3 2" xfId="30738" xr:uid="{1E59EC81-7212-4177-9E0B-8485FF2869CB}"/>
    <cellStyle name="Comma 4 2 3 3 3 3 3" xfId="22309" xr:uid="{0E803235-E7EB-4FC8-94FC-E55FA3AB22A3}"/>
    <cellStyle name="Comma 4 2 3 3 3 3 4" xfId="39166" xr:uid="{667B09F9-7EE6-47DE-9EFD-BFE20AE1AFDF}"/>
    <cellStyle name="Comma 4 2 3 3 3 3 5" xfId="13874" xr:uid="{BAA1CE8E-E8AA-4936-AF12-1FCEE70EBEE5}"/>
    <cellStyle name="Comma 4 2 3 3 3 4" xfId="26520" xr:uid="{B416DDD7-A898-4EBF-B162-868BD9892A2A}"/>
    <cellStyle name="Comma 4 2 3 3 3 5" xfId="18091" xr:uid="{45E23934-FF48-41CB-86EA-7D69B21E1CC7}"/>
    <cellStyle name="Comma 4 2 3 3 3 6" xfId="34949" xr:uid="{C1024894-53A5-4F3E-8B19-8479A07CB9C1}"/>
    <cellStyle name="Comma 4 2 3 3 3 7" xfId="9656" xr:uid="{35CC04FD-EC39-435B-84C9-71629C63AA4C}"/>
    <cellStyle name="Comma 4 2 3 3 4" xfId="1544" xr:uid="{00000000-0005-0000-0000-000093080000}"/>
    <cellStyle name="Comma 4 2 3 3 4 2" xfId="3774" xr:uid="{00000000-0005-0000-0000-000094080000}"/>
    <cellStyle name="Comma 4 2 3 3 4 2 2" xfId="7997" xr:uid="{00000000-0005-0000-0000-000095080000}"/>
    <cellStyle name="Comma 4 2 3 3 4 2 2 2" xfId="33296" xr:uid="{887E67D9-BF9D-4428-9777-D1A5590E2BC0}"/>
    <cellStyle name="Comma 4 2 3 3 4 2 2 3" xfId="24867" xr:uid="{8F5189E6-B080-48D1-ADF9-0EE2A2389604}"/>
    <cellStyle name="Comma 4 2 3 3 4 2 2 4" xfId="41724" xr:uid="{853798DD-A230-468D-BCAC-B9A5E1F147DD}"/>
    <cellStyle name="Comma 4 2 3 3 4 2 2 5" xfId="16432" xr:uid="{2F18D62E-97C7-4911-A7AB-3D55567B2912}"/>
    <cellStyle name="Comma 4 2 3 3 4 2 3" xfId="29078" xr:uid="{0C86F54E-4580-4D0F-8112-5DEE91FE8B06}"/>
    <cellStyle name="Comma 4 2 3 3 4 2 4" xfId="20649" xr:uid="{3AA5F898-CCF3-4F46-82ED-C603292F56DC}"/>
    <cellStyle name="Comma 4 2 3 3 4 2 5" xfId="37507" xr:uid="{F4C27B02-50FB-4870-BBC6-7FC195B6EE06}"/>
    <cellStyle name="Comma 4 2 3 3 4 2 6" xfId="12214" xr:uid="{80DB291C-A87A-4066-A90E-C2B8A2EEE551}"/>
    <cellStyle name="Comma 4 2 3 3 4 3" xfId="5852" xr:uid="{00000000-0005-0000-0000-000096080000}"/>
    <cellStyle name="Comma 4 2 3 3 4 3 2" xfId="31151" xr:uid="{366BA1DE-B469-4943-AEF0-CEC54B2626A0}"/>
    <cellStyle name="Comma 4 2 3 3 4 3 3" xfId="22722" xr:uid="{BD22D23F-33EF-40AC-8087-B8BB59C3199F}"/>
    <cellStyle name="Comma 4 2 3 3 4 3 4" xfId="39579" xr:uid="{F427B610-B4F9-4E18-A7FF-05E1E0D752F0}"/>
    <cellStyle name="Comma 4 2 3 3 4 3 5" xfId="14287" xr:uid="{C0055167-1445-4738-84EF-176CA0A4AEAE}"/>
    <cellStyle name="Comma 4 2 3 3 4 4" xfId="26933" xr:uid="{B9C4ED3A-63DE-492B-AF6C-2A486B0A8F76}"/>
    <cellStyle name="Comma 4 2 3 3 4 5" xfId="18504" xr:uid="{B4F4A971-B911-4A71-99F5-649BA0090807}"/>
    <cellStyle name="Comma 4 2 3 3 4 6" xfId="35362" xr:uid="{7AB7B107-F6CC-44E0-AA97-AAE8DA17F7E1}"/>
    <cellStyle name="Comma 4 2 3 3 4 7" xfId="10069" xr:uid="{DB9B1FDB-2999-43E0-A8D6-371712000613}"/>
    <cellStyle name="Comma 4 2 3 3 5" xfId="1958" xr:uid="{00000000-0005-0000-0000-000097080000}"/>
    <cellStyle name="Comma 4 2 3 3 5 2" xfId="4187" xr:uid="{00000000-0005-0000-0000-000098080000}"/>
    <cellStyle name="Comma 4 2 3 3 5 2 2" xfId="8410" xr:uid="{00000000-0005-0000-0000-000099080000}"/>
    <cellStyle name="Comma 4 2 3 3 5 2 2 2" xfId="33709" xr:uid="{E17E1DA9-5D71-4E2A-905E-9663714D1CEF}"/>
    <cellStyle name="Comma 4 2 3 3 5 2 2 3" xfId="25280" xr:uid="{65CA594C-4CCF-40B7-B95C-5A2FB4D94531}"/>
    <cellStyle name="Comma 4 2 3 3 5 2 2 4" xfId="42137" xr:uid="{CC657865-B89E-46FF-A064-AE760EE87F25}"/>
    <cellStyle name="Comma 4 2 3 3 5 2 2 5" xfId="16845" xr:uid="{60DE2125-A533-4CCE-9E01-4829C3302C23}"/>
    <cellStyle name="Comma 4 2 3 3 5 2 3" xfId="29491" xr:uid="{B6EE5E86-7D5D-426E-829C-2A380AFA149F}"/>
    <cellStyle name="Comma 4 2 3 3 5 2 4" xfId="21062" xr:uid="{6ED0B1E7-BABA-43FF-BEA7-D4F6D80D326B}"/>
    <cellStyle name="Comma 4 2 3 3 5 2 5" xfId="37920" xr:uid="{4BC092B2-D7E3-494A-8E77-C15AB62F401E}"/>
    <cellStyle name="Comma 4 2 3 3 5 2 6" xfId="12627" xr:uid="{088BC81A-5253-4B26-AF04-EF982F5E8452}"/>
    <cellStyle name="Comma 4 2 3 3 5 3" xfId="6265" xr:uid="{00000000-0005-0000-0000-00009A080000}"/>
    <cellStyle name="Comma 4 2 3 3 5 3 2" xfId="31564" xr:uid="{57E4E2EA-A896-405F-85F0-2540C7F08E8D}"/>
    <cellStyle name="Comma 4 2 3 3 5 3 3" xfId="23135" xr:uid="{43341936-5630-4273-A8EF-330F54915D36}"/>
    <cellStyle name="Comma 4 2 3 3 5 3 4" xfId="39992" xr:uid="{AA076BE0-9B0E-43F7-B51E-F9EA53CD75AB}"/>
    <cellStyle name="Comma 4 2 3 3 5 3 5" xfId="14700" xr:uid="{4693C785-91DF-47DD-B418-C78D9C86CD21}"/>
    <cellStyle name="Comma 4 2 3 3 5 4" xfId="27346" xr:uid="{F0C8A933-6080-443B-99ED-E58451636407}"/>
    <cellStyle name="Comma 4 2 3 3 5 5" xfId="18917" xr:uid="{77446E51-930C-455C-9021-79268D68DAFE}"/>
    <cellStyle name="Comma 4 2 3 3 5 6" xfId="35775" xr:uid="{80A58AAE-843C-40C8-A760-D77379979019}"/>
    <cellStyle name="Comma 4 2 3 3 5 7" xfId="10482" xr:uid="{BD87D293-73CC-4F21-8E8B-2B7F93C5C6F9}"/>
    <cellStyle name="Comma 4 2 3 3 6" xfId="2393" xr:uid="{00000000-0005-0000-0000-00009B080000}"/>
    <cellStyle name="Comma 4 2 3 3 6 2" xfId="6678" xr:uid="{00000000-0005-0000-0000-00009C080000}"/>
    <cellStyle name="Comma 4 2 3 3 6 2 2" xfId="31977" xr:uid="{C0BDC2A2-90AA-4FBD-8FC8-DC458FFCBFAD}"/>
    <cellStyle name="Comma 4 2 3 3 6 2 3" xfId="23548" xr:uid="{CCBD2307-0480-4357-968F-563792141584}"/>
    <cellStyle name="Comma 4 2 3 3 6 2 4" xfId="40405" xr:uid="{6DDB6A78-91AA-4F66-8AC9-946D533EA2CB}"/>
    <cellStyle name="Comma 4 2 3 3 6 2 5" xfId="15113" xr:uid="{62EA6204-AA67-4F90-8157-2707D4F0BC1B}"/>
    <cellStyle name="Comma 4 2 3 3 6 3" xfId="27759" xr:uid="{A052DC89-BF50-4451-A5CC-72C1A11E8D3C}"/>
    <cellStyle name="Comma 4 2 3 3 6 4" xfId="19330" xr:uid="{D8A6019F-8FB8-452A-8D9A-E91E41161B29}"/>
    <cellStyle name="Comma 4 2 3 3 6 5" xfId="36188" xr:uid="{54353B84-A86C-4067-9E9E-B58DAF9EF384}"/>
    <cellStyle name="Comma 4 2 3 3 6 6" xfId="10895" xr:uid="{74907D34-4D99-4CF8-BE02-9BBCA9FC4551}"/>
    <cellStyle name="Comma 4 2 3 3 7" xfId="2370" xr:uid="{00000000-0005-0000-0000-00009D080000}"/>
    <cellStyle name="Comma 4 2 3 3 8" xfId="2771" xr:uid="{00000000-0005-0000-0000-00009E080000}"/>
    <cellStyle name="Comma 4 2 3 3 8 2" xfId="6995" xr:uid="{00000000-0005-0000-0000-00009F080000}"/>
    <cellStyle name="Comma 4 2 3 3 8 2 2" xfId="32294" xr:uid="{6E3B121E-3775-4608-88E6-F17CEA04AD41}"/>
    <cellStyle name="Comma 4 2 3 3 8 2 3" xfId="23865" xr:uid="{8CAC00E8-D16B-4AA9-BD91-70B3076D0B0E}"/>
    <cellStyle name="Comma 4 2 3 3 8 2 4" xfId="40722" xr:uid="{61634FDD-59F7-4ABB-951F-670A680AD404}"/>
    <cellStyle name="Comma 4 2 3 3 8 2 5" xfId="15430" xr:uid="{34002D8F-624E-468D-BB44-805DDFEC20F9}"/>
    <cellStyle name="Comma 4 2 3 3 8 3" xfId="28076" xr:uid="{5193EF1D-86AF-44BF-9684-BC0FA473269A}"/>
    <cellStyle name="Comma 4 2 3 3 8 4" xfId="19647" xr:uid="{0BAB9ED7-4857-454F-9C4A-7CE1E63AB61A}"/>
    <cellStyle name="Comma 4 2 3 3 8 5" xfId="36505" xr:uid="{2756872B-EB03-4B1A-9FF5-7594F6E8B18F}"/>
    <cellStyle name="Comma 4 2 3 3 8 6" xfId="11212" xr:uid="{594393B9-1F9B-48A5-A779-5428177F5787}"/>
    <cellStyle name="Comma 4 2 3 3 9" xfId="4612" xr:uid="{00000000-0005-0000-0000-0000A0080000}"/>
    <cellStyle name="Comma 4 2 3 3 9 2" xfId="29911" xr:uid="{B2AF8851-8849-44F5-8095-AABEFCAD67B7}"/>
    <cellStyle name="Comma 4 2 3 3 9 3" xfId="21482" xr:uid="{B52FF9E9-056A-4248-9A59-7AB5B80E0E35}"/>
    <cellStyle name="Comma 4 2 3 3 9 4" xfId="38339" xr:uid="{98B8AEE7-FDAD-49E7-8682-BE0CFF0720BA}"/>
    <cellStyle name="Comma 4 2 3 3 9 5" xfId="13047" xr:uid="{57C122E1-9C5D-40E1-A09A-7603641426E6}"/>
    <cellStyle name="Comma 4 2 3 4" xfId="674" xr:uid="{00000000-0005-0000-0000-0000A1080000}"/>
    <cellStyle name="Comma 4 2 3 4 2" xfId="2945" xr:uid="{00000000-0005-0000-0000-0000A2080000}"/>
    <cellStyle name="Comma 4 2 3 4 2 2" xfId="7168" xr:uid="{00000000-0005-0000-0000-0000A3080000}"/>
    <cellStyle name="Comma 4 2 3 4 2 2 2" xfId="32467" xr:uid="{2F4DFF1A-1210-41C4-A5AB-31A18EFC199E}"/>
    <cellStyle name="Comma 4 2 3 4 2 2 3" xfId="24038" xr:uid="{C97C7314-B00C-42F9-8CC9-87139C0752C6}"/>
    <cellStyle name="Comma 4 2 3 4 2 2 4" xfId="40895" xr:uid="{8C528151-908C-440E-9811-109D77B32A29}"/>
    <cellStyle name="Comma 4 2 3 4 2 2 5" xfId="15603" xr:uid="{393A1486-20A5-4C54-B4A1-7B53E4602641}"/>
    <cellStyle name="Comma 4 2 3 4 2 3" xfId="28249" xr:uid="{68F4DFCA-5F99-4890-8BA3-EE84326C72C2}"/>
    <cellStyle name="Comma 4 2 3 4 2 4" xfId="19820" xr:uid="{F96E9E13-A4BA-4FBB-9F65-6F253DE32338}"/>
    <cellStyle name="Comma 4 2 3 4 2 5" xfId="36678" xr:uid="{97038B72-C8DA-4731-A634-3BF3C3545F7F}"/>
    <cellStyle name="Comma 4 2 3 4 2 6" xfId="11385" xr:uid="{C651D912-B5B4-4998-B79A-CA6BE49B2049}"/>
    <cellStyle name="Comma 4 2 3 4 3" xfId="5023" xr:uid="{00000000-0005-0000-0000-0000A4080000}"/>
    <cellStyle name="Comma 4 2 3 4 3 2" xfId="30322" xr:uid="{60719F61-B331-4BC2-94D1-17A486AE24B3}"/>
    <cellStyle name="Comma 4 2 3 4 3 3" xfId="21893" xr:uid="{FB7397E9-63F5-40D8-AE41-4F146866570B}"/>
    <cellStyle name="Comma 4 2 3 4 3 4" xfId="38750" xr:uid="{996CF295-7D1A-4B42-A516-7FEF6CBF17EF}"/>
    <cellStyle name="Comma 4 2 3 4 3 5" xfId="13458" xr:uid="{6D035D92-E24F-49F5-A173-59640858BC95}"/>
    <cellStyle name="Comma 4 2 3 4 4" xfId="26104" xr:uid="{A363D355-1F19-40FF-BCCD-3E6B4040CC39}"/>
    <cellStyle name="Comma 4 2 3 4 5" xfId="17675" xr:uid="{9426B1A0-C876-4B9A-8270-FE3667FAC6BA}"/>
    <cellStyle name="Comma 4 2 3 4 6" xfId="34533" xr:uid="{868F354B-FAEF-4046-9828-6DB78B1D8455}"/>
    <cellStyle name="Comma 4 2 3 4 7" xfId="9240" xr:uid="{7B244B5D-0C11-40BE-9BD8-AAC009024AB1}"/>
    <cellStyle name="Comma 4 2 3 5" xfId="1127" xr:uid="{00000000-0005-0000-0000-0000A5080000}"/>
    <cellStyle name="Comma 4 2 3 5 2" xfId="3358" xr:uid="{00000000-0005-0000-0000-0000A6080000}"/>
    <cellStyle name="Comma 4 2 3 5 2 2" xfId="7581" xr:uid="{00000000-0005-0000-0000-0000A7080000}"/>
    <cellStyle name="Comma 4 2 3 5 2 2 2" xfId="32880" xr:uid="{823BA94D-EE3B-479D-9EDD-3DCE5C655C61}"/>
    <cellStyle name="Comma 4 2 3 5 2 2 3" xfId="24451" xr:uid="{71E98675-9E48-41A0-BBB3-017EAE3ABA65}"/>
    <cellStyle name="Comma 4 2 3 5 2 2 4" xfId="41308" xr:uid="{BDE6DE77-0DEE-4A27-AAA4-AC423486A33B}"/>
    <cellStyle name="Comma 4 2 3 5 2 2 5" xfId="16016" xr:uid="{5CB898D8-5DEA-4A0D-952A-7DF9F521C860}"/>
    <cellStyle name="Comma 4 2 3 5 2 3" xfId="28662" xr:uid="{0180EF15-5F79-4401-B627-B49968A5FE02}"/>
    <cellStyle name="Comma 4 2 3 5 2 4" xfId="20233" xr:uid="{5094985C-D870-4A61-B98E-354E542FE4E6}"/>
    <cellStyle name="Comma 4 2 3 5 2 5" xfId="37091" xr:uid="{B41EE346-BB71-467D-94BA-BA140F06502E}"/>
    <cellStyle name="Comma 4 2 3 5 2 6" xfId="11798" xr:uid="{8505F54A-428C-433A-B76E-39A5EE80E3B5}"/>
    <cellStyle name="Comma 4 2 3 5 3" xfId="5436" xr:uid="{00000000-0005-0000-0000-0000A8080000}"/>
    <cellStyle name="Comma 4 2 3 5 3 2" xfId="30735" xr:uid="{400F802A-12B9-471D-957B-A19670D42608}"/>
    <cellStyle name="Comma 4 2 3 5 3 3" xfId="22306" xr:uid="{A19E5E84-27EB-461B-9AB4-1273E1B21181}"/>
    <cellStyle name="Comma 4 2 3 5 3 4" xfId="39163" xr:uid="{FDE095EE-A545-4EDE-88D7-4E10BA9B82BB}"/>
    <cellStyle name="Comma 4 2 3 5 3 5" xfId="13871" xr:uid="{489D57C8-1391-4DF9-9CD5-56A1B75C8667}"/>
    <cellStyle name="Comma 4 2 3 5 4" xfId="26517" xr:uid="{9153D161-5FF1-4DDA-BD92-0D6DD6B25E51}"/>
    <cellStyle name="Comma 4 2 3 5 5" xfId="18088" xr:uid="{0C02E08B-5D53-46F5-A2D6-BBA13D6DB864}"/>
    <cellStyle name="Comma 4 2 3 5 6" xfId="34946" xr:uid="{656D5F4D-0219-4210-BB19-97CA83D0E6E3}"/>
    <cellStyle name="Comma 4 2 3 5 7" xfId="9653" xr:uid="{FE837FAC-36EB-4DBA-945E-5D01A917159F}"/>
    <cellStyle name="Comma 4 2 3 6" xfId="1541" xr:uid="{00000000-0005-0000-0000-0000A9080000}"/>
    <cellStyle name="Comma 4 2 3 6 2" xfId="3771" xr:uid="{00000000-0005-0000-0000-0000AA080000}"/>
    <cellStyle name="Comma 4 2 3 6 2 2" xfId="7994" xr:uid="{00000000-0005-0000-0000-0000AB080000}"/>
    <cellStyle name="Comma 4 2 3 6 2 2 2" xfId="33293" xr:uid="{BFD0A799-2861-48A5-95FD-35AD13620A17}"/>
    <cellStyle name="Comma 4 2 3 6 2 2 3" xfId="24864" xr:uid="{E6694B2D-0B9B-4C36-B77B-784BFE74B6BC}"/>
    <cellStyle name="Comma 4 2 3 6 2 2 4" xfId="41721" xr:uid="{BD3CB7B9-19B3-4F97-ADF0-60A373ABCFAC}"/>
    <cellStyle name="Comma 4 2 3 6 2 2 5" xfId="16429" xr:uid="{4709E5D7-610A-4703-A960-CBE70E2ED8B7}"/>
    <cellStyle name="Comma 4 2 3 6 2 3" xfId="29075" xr:uid="{F6E44C90-D978-4F77-8E72-602D8A68E920}"/>
    <cellStyle name="Comma 4 2 3 6 2 4" xfId="20646" xr:uid="{46D0A95B-DA38-4CB6-A9DC-B6949513C9BA}"/>
    <cellStyle name="Comma 4 2 3 6 2 5" xfId="37504" xr:uid="{55DF8AB2-F6AA-40E1-81F8-EBCE648F1450}"/>
    <cellStyle name="Comma 4 2 3 6 2 6" xfId="12211" xr:uid="{70E27C24-574D-416E-A3C6-A71CF5EDDFE1}"/>
    <cellStyle name="Comma 4 2 3 6 3" xfId="5849" xr:uid="{00000000-0005-0000-0000-0000AC080000}"/>
    <cellStyle name="Comma 4 2 3 6 3 2" xfId="31148" xr:uid="{9344525E-BE34-45F5-84CB-5E7CEB0A8C7D}"/>
    <cellStyle name="Comma 4 2 3 6 3 3" xfId="22719" xr:uid="{A3867EA6-80CA-4C05-B1C3-8C1CAC6E03A8}"/>
    <cellStyle name="Comma 4 2 3 6 3 4" xfId="39576" xr:uid="{9C305C88-84D5-444D-AD20-BC740B53F125}"/>
    <cellStyle name="Comma 4 2 3 6 3 5" xfId="14284" xr:uid="{DFBD2E57-2DA3-42D7-AC05-B7DB8A85323D}"/>
    <cellStyle name="Comma 4 2 3 6 4" xfId="26930" xr:uid="{8E5801A1-E267-4C66-B31D-789C0864C329}"/>
    <cellStyle name="Comma 4 2 3 6 5" xfId="18501" xr:uid="{190A8296-AC63-41C3-B634-EF0E2AD2020E}"/>
    <cellStyle name="Comma 4 2 3 6 6" xfId="35359" xr:uid="{8B18082C-BF38-4387-A113-44A3F371F1BC}"/>
    <cellStyle name="Comma 4 2 3 6 7" xfId="10066" xr:uid="{FD427DE9-9B15-46D8-B4FB-BFB94728B187}"/>
    <cellStyle name="Comma 4 2 3 7" xfId="1955" xr:uid="{00000000-0005-0000-0000-0000AD080000}"/>
    <cellStyle name="Comma 4 2 3 7 2" xfId="4184" xr:uid="{00000000-0005-0000-0000-0000AE080000}"/>
    <cellStyle name="Comma 4 2 3 7 2 2" xfId="8407" xr:uid="{00000000-0005-0000-0000-0000AF080000}"/>
    <cellStyle name="Comma 4 2 3 7 2 2 2" xfId="33706" xr:uid="{1CD493CD-5C79-4434-8933-0A743BDF15A5}"/>
    <cellStyle name="Comma 4 2 3 7 2 2 3" xfId="25277" xr:uid="{DEC3FBDC-1661-45A0-9117-2197BB157170}"/>
    <cellStyle name="Comma 4 2 3 7 2 2 4" xfId="42134" xr:uid="{B40DA0E2-B879-4C37-A980-5874A1358453}"/>
    <cellStyle name="Comma 4 2 3 7 2 2 5" xfId="16842" xr:uid="{491B4D01-A928-4615-BBA4-06C7356E443A}"/>
    <cellStyle name="Comma 4 2 3 7 2 3" xfId="29488" xr:uid="{29F394CB-E2FE-4A92-B444-350C0A440AE6}"/>
    <cellStyle name="Comma 4 2 3 7 2 4" xfId="21059" xr:uid="{6D48569C-1761-4555-95E3-EBF1B0E5A848}"/>
    <cellStyle name="Comma 4 2 3 7 2 5" xfId="37917" xr:uid="{27E60998-C32A-4A27-9017-6BED3BEB04AF}"/>
    <cellStyle name="Comma 4 2 3 7 2 6" xfId="12624" xr:uid="{F3DE93CB-EB3B-4626-AD7E-88905A299421}"/>
    <cellStyle name="Comma 4 2 3 7 3" xfId="6262" xr:uid="{00000000-0005-0000-0000-0000B0080000}"/>
    <cellStyle name="Comma 4 2 3 7 3 2" xfId="31561" xr:uid="{95D01D1B-0251-4616-B7F1-03CF796B4F6A}"/>
    <cellStyle name="Comma 4 2 3 7 3 3" xfId="23132" xr:uid="{FC542511-97FA-49F7-93AA-D4AC8134FDDA}"/>
    <cellStyle name="Comma 4 2 3 7 3 4" xfId="39989" xr:uid="{7DEE40BF-2FED-47F5-952E-089423F1C984}"/>
    <cellStyle name="Comma 4 2 3 7 3 5" xfId="14697" xr:uid="{78B12DB9-5BB6-45E4-B77C-9533951172A6}"/>
    <cellStyle name="Comma 4 2 3 7 4" xfId="27343" xr:uid="{3EFBA6FE-C640-4533-B4B0-A3D522747C85}"/>
    <cellStyle name="Comma 4 2 3 7 5" xfId="18914" xr:uid="{494BEB76-5611-49AA-90F3-40791A754203}"/>
    <cellStyle name="Comma 4 2 3 7 6" xfId="35772" xr:uid="{B64AC4F3-A77A-4BAE-B913-748186D53286}"/>
    <cellStyle name="Comma 4 2 3 7 7" xfId="10479" xr:uid="{11A3B8F1-FD7A-4340-8814-6ACB218EF2C1}"/>
    <cellStyle name="Comma 4 2 3 8" xfId="2390" xr:uid="{00000000-0005-0000-0000-0000B1080000}"/>
    <cellStyle name="Comma 4 2 3 8 2" xfId="6675" xr:uid="{00000000-0005-0000-0000-0000B2080000}"/>
    <cellStyle name="Comma 4 2 3 8 2 2" xfId="31974" xr:uid="{7846DE1B-515C-4B66-A191-A34861F056D9}"/>
    <cellStyle name="Comma 4 2 3 8 2 3" xfId="23545" xr:uid="{EE48EAE0-2AF3-4404-9188-09ECFD7DDA54}"/>
    <cellStyle name="Comma 4 2 3 8 2 4" xfId="40402" xr:uid="{DE452A8F-D634-411C-A475-9B8199DC7F37}"/>
    <cellStyle name="Comma 4 2 3 8 2 5" xfId="15110" xr:uid="{56C7A154-DC8D-42FD-BFF0-9BDF2FA88C10}"/>
    <cellStyle name="Comma 4 2 3 8 3" xfId="27756" xr:uid="{C0A2F422-A477-4792-95DA-933FD2F36582}"/>
    <cellStyle name="Comma 4 2 3 8 4" xfId="19327" xr:uid="{F53BBC45-DAFE-4457-A136-25A8726621AB}"/>
    <cellStyle name="Comma 4 2 3 8 5" xfId="36185" xr:uid="{EF5C8701-FFB0-4F67-889F-A2C78F7153C6}"/>
    <cellStyle name="Comma 4 2 3 8 6" xfId="10892" xr:uid="{EC33FB31-DCBE-4151-AF9A-B472C3C3FD94}"/>
    <cellStyle name="Comma 4 2 3 9" xfId="2373" xr:uid="{00000000-0005-0000-0000-0000B3080000}"/>
    <cellStyle name="Comma 4 2 4" xfId="140" xr:uid="{00000000-0005-0000-0000-0000B4080000}"/>
    <cellStyle name="Comma 4 2 4 10" xfId="4613" xr:uid="{00000000-0005-0000-0000-0000B5080000}"/>
    <cellStyle name="Comma 4 2 4 10 2" xfId="29912" xr:uid="{02F0DFB9-B0F2-407D-A6FF-9A9443DADBAA}"/>
    <cellStyle name="Comma 4 2 4 10 3" xfId="21483" xr:uid="{918EB943-24C4-4586-977E-92850C31BE3D}"/>
    <cellStyle name="Comma 4 2 4 10 4" xfId="38340" xr:uid="{E3D62D92-8E2D-45F1-8D43-EB361BEC0D83}"/>
    <cellStyle name="Comma 4 2 4 10 5" xfId="13048" xr:uid="{5135DF35-F125-4891-8DD8-8CEF22D5B763}"/>
    <cellStyle name="Comma 4 2 4 11" xfId="25694" xr:uid="{0B2494D3-D6E1-4378-A368-A681F82F8F10}"/>
    <cellStyle name="Comma 4 2 4 12" xfId="17265" xr:uid="{E2AAD229-FE3C-4A20-A03B-C10172863695}"/>
    <cellStyle name="Comma 4 2 4 13" xfId="34123" xr:uid="{E0EE8ADB-7387-4569-8CD2-3F23CC0C38C6}"/>
    <cellStyle name="Comma 4 2 4 14" xfId="8830" xr:uid="{B657B113-3F5C-4EF1-B2F8-39B84AEB46D8}"/>
    <cellStyle name="Comma 4 2 4 2" xfId="141" xr:uid="{00000000-0005-0000-0000-0000B6080000}"/>
    <cellStyle name="Comma 4 2 4 2 10" xfId="25695" xr:uid="{A5732EC0-B0D2-4732-9FA0-B63250F54AB9}"/>
    <cellStyle name="Comma 4 2 4 2 11" xfId="17266" xr:uid="{F52F6004-7903-45AE-ACC9-C30307BC8714}"/>
    <cellStyle name="Comma 4 2 4 2 12" xfId="34124" xr:uid="{DFCA2BC0-5A5B-4ADB-9BCC-EE814EC0244D}"/>
    <cellStyle name="Comma 4 2 4 2 13" xfId="8831" xr:uid="{1CD73B83-6F1C-43FB-B8AE-BE7B3E2A7B0D}"/>
    <cellStyle name="Comma 4 2 4 2 2" xfId="679" xr:uid="{00000000-0005-0000-0000-0000B7080000}"/>
    <cellStyle name="Comma 4 2 4 2 2 2" xfId="2950" xr:uid="{00000000-0005-0000-0000-0000B8080000}"/>
    <cellStyle name="Comma 4 2 4 2 2 2 2" xfId="7173" xr:uid="{00000000-0005-0000-0000-0000B9080000}"/>
    <cellStyle name="Comma 4 2 4 2 2 2 2 2" xfId="32472" xr:uid="{3E4A3202-4315-4ECA-B4E9-E0BE2A48D600}"/>
    <cellStyle name="Comma 4 2 4 2 2 2 2 3" xfId="24043" xr:uid="{802B1561-D7F9-4D94-8593-3E1B2F4C9CEA}"/>
    <cellStyle name="Comma 4 2 4 2 2 2 2 4" xfId="40900" xr:uid="{F5077C30-80FA-42F3-B0E7-7ED6C9935C68}"/>
    <cellStyle name="Comma 4 2 4 2 2 2 2 5" xfId="15608" xr:uid="{71262C59-08A1-498A-9B51-EBB397B5064E}"/>
    <cellStyle name="Comma 4 2 4 2 2 2 3" xfId="28254" xr:uid="{3A8AD1A1-94CC-44A1-82C3-CE4D2502E206}"/>
    <cellStyle name="Comma 4 2 4 2 2 2 4" xfId="19825" xr:uid="{B3D01870-207A-4ACE-A555-CE27B376C599}"/>
    <cellStyle name="Comma 4 2 4 2 2 2 5" xfId="36683" xr:uid="{7B4D967D-5D5A-4EC4-B8A7-053F89FAA9A9}"/>
    <cellStyle name="Comma 4 2 4 2 2 2 6" xfId="11390" xr:uid="{8A390D72-C468-4171-939A-1D3EE277A49B}"/>
    <cellStyle name="Comma 4 2 4 2 2 3" xfId="5028" xr:uid="{00000000-0005-0000-0000-0000BA080000}"/>
    <cellStyle name="Comma 4 2 4 2 2 3 2" xfId="30327" xr:uid="{124C5E57-624A-4386-AB01-48B8CAEC2A06}"/>
    <cellStyle name="Comma 4 2 4 2 2 3 3" xfId="21898" xr:uid="{BA950882-6205-49B7-994C-D529008B344C}"/>
    <cellStyle name="Comma 4 2 4 2 2 3 4" xfId="38755" xr:uid="{228D5F23-900D-4413-A513-9FCA48ACBBA0}"/>
    <cellStyle name="Comma 4 2 4 2 2 3 5" xfId="13463" xr:uid="{758C71BD-5C2B-4E81-A047-1A99B6FD1F8E}"/>
    <cellStyle name="Comma 4 2 4 2 2 4" xfId="26109" xr:uid="{BE3A6FAB-4F2B-4C54-BFB7-C4CBDDD13467}"/>
    <cellStyle name="Comma 4 2 4 2 2 5" xfId="17680" xr:uid="{D9ECF40D-54F3-42FD-8C3D-1FF0C315EA27}"/>
    <cellStyle name="Comma 4 2 4 2 2 6" xfId="34538" xr:uid="{3C5C6480-B339-433F-B910-1DA9E079B974}"/>
    <cellStyle name="Comma 4 2 4 2 2 7" xfId="9245" xr:uid="{F111D06D-A64E-4573-81C8-BB9556091E5A}"/>
    <cellStyle name="Comma 4 2 4 2 3" xfId="1132" xr:uid="{00000000-0005-0000-0000-0000BB080000}"/>
    <cellStyle name="Comma 4 2 4 2 3 2" xfId="3363" xr:uid="{00000000-0005-0000-0000-0000BC080000}"/>
    <cellStyle name="Comma 4 2 4 2 3 2 2" xfId="7586" xr:uid="{00000000-0005-0000-0000-0000BD080000}"/>
    <cellStyle name="Comma 4 2 4 2 3 2 2 2" xfId="32885" xr:uid="{A8FF58C5-F445-4043-AE8D-878B1DDC34D9}"/>
    <cellStyle name="Comma 4 2 4 2 3 2 2 3" xfId="24456" xr:uid="{8FA4D1D3-2EC0-4D4A-8ACE-F3834EA023E0}"/>
    <cellStyle name="Comma 4 2 4 2 3 2 2 4" xfId="41313" xr:uid="{7EFAF34F-DC41-4FD3-B37A-F3AF12C5B0E0}"/>
    <cellStyle name="Comma 4 2 4 2 3 2 2 5" xfId="16021" xr:uid="{26ED5097-FD71-4411-813F-C181C63245F1}"/>
    <cellStyle name="Comma 4 2 4 2 3 2 3" xfId="28667" xr:uid="{B92FDBB2-366F-433C-B2E2-66AF0E82351F}"/>
    <cellStyle name="Comma 4 2 4 2 3 2 4" xfId="20238" xr:uid="{0AB94400-C816-435B-8CA0-88E26EBB804A}"/>
    <cellStyle name="Comma 4 2 4 2 3 2 5" xfId="37096" xr:uid="{3B3B6FD6-DE24-4836-91A2-29FF3E377A9B}"/>
    <cellStyle name="Comma 4 2 4 2 3 2 6" xfId="11803" xr:uid="{87B6D096-244E-4C9F-9551-DA700E46BE2E}"/>
    <cellStyle name="Comma 4 2 4 2 3 3" xfId="5441" xr:uid="{00000000-0005-0000-0000-0000BE080000}"/>
    <cellStyle name="Comma 4 2 4 2 3 3 2" xfId="30740" xr:uid="{2EF8EE52-6B48-47D9-BBB5-F8AF02572247}"/>
    <cellStyle name="Comma 4 2 4 2 3 3 3" xfId="22311" xr:uid="{C8E67717-E8DE-4401-A2DB-80B2A975A912}"/>
    <cellStyle name="Comma 4 2 4 2 3 3 4" xfId="39168" xr:uid="{4E591B3E-9973-4E4A-8098-854DF15557B4}"/>
    <cellStyle name="Comma 4 2 4 2 3 3 5" xfId="13876" xr:uid="{83983D12-C5C1-4DD5-91F9-CABC56D2473C}"/>
    <cellStyle name="Comma 4 2 4 2 3 4" xfId="26522" xr:uid="{A9A626CC-5673-41EC-9B38-2B60C13E4839}"/>
    <cellStyle name="Comma 4 2 4 2 3 5" xfId="18093" xr:uid="{A8FD5CCD-B4E1-46FE-8B07-DC8017712F50}"/>
    <cellStyle name="Comma 4 2 4 2 3 6" xfId="34951" xr:uid="{9A7AFF7C-37F0-4B96-9BC1-5BA1773CCF80}"/>
    <cellStyle name="Comma 4 2 4 2 3 7" xfId="9658" xr:uid="{1BC947BC-0A22-44D6-805F-5BB4B5BAE8ED}"/>
    <cellStyle name="Comma 4 2 4 2 4" xfId="1546" xr:uid="{00000000-0005-0000-0000-0000BF080000}"/>
    <cellStyle name="Comma 4 2 4 2 4 2" xfId="3776" xr:uid="{00000000-0005-0000-0000-0000C0080000}"/>
    <cellStyle name="Comma 4 2 4 2 4 2 2" xfId="7999" xr:uid="{00000000-0005-0000-0000-0000C1080000}"/>
    <cellStyle name="Comma 4 2 4 2 4 2 2 2" xfId="33298" xr:uid="{C57D3B5F-4A03-4F52-97AF-FE4F7A362039}"/>
    <cellStyle name="Comma 4 2 4 2 4 2 2 3" xfId="24869" xr:uid="{AB5500A4-7569-4270-9AF1-8EB525EEB9B5}"/>
    <cellStyle name="Comma 4 2 4 2 4 2 2 4" xfId="41726" xr:uid="{66EEE92A-F595-43AA-A5A6-D5B88736A832}"/>
    <cellStyle name="Comma 4 2 4 2 4 2 2 5" xfId="16434" xr:uid="{36E2AECC-CA96-4BD0-8FBA-154CBA77079E}"/>
    <cellStyle name="Comma 4 2 4 2 4 2 3" xfId="29080" xr:uid="{B25BF75F-1D42-4049-ABF8-18041D03330C}"/>
    <cellStyle name="Comma 4 2 4 2 4 2 4" xfId="20651" xr:uid="{ED76844F-C456-4591-9770-260F4E25B272}"/>
    <cellStyle name="Comma 4 2 4 2 4 2 5" xfId="37509" xr:uid="{BA4B1850-AC50-4E4D-B803-44F89197DDEB}"/>
    <cellStyle name="Comma 4 2 4 2 4 2 6" xfId="12216" xr:uid="{883268F4-D7FF-4485-A436-89804597C028}"/>
    <cellStyle name="Comma 4 2 4 2 4 3" xfId="5854" xr:uid="{00000000-0005-0000-0000-0000C2080000}"/>
    <cellStyle name="Comma 4 2 4 2 4 3 2" xfId="31153" xr:uid="{207DE062-2889-4840-A5D5-294E1151C6AE}"/>
    <cellStyle name="Comma 4 2 4 2 4 3 3" xfId="22724" xr:uid="{EE6EDF47-7B74-4532-828E-AE225CC3E3A5}"/>
    <cellStyle name="Comma 4 2 4 2 4 3 4" xfId="39581" xr:uid="{EE13DC60-CE3A-4884-944D-3C8407DE1BA0}"/>
    <cellStyle name="Comma 4 2 4 2 4 3 5" xfId="14289" xr:uid="{EB8E8291-B4EB-4C38-B6E8-F248A6A856C0}"/>
    <cellStyle name="Comma 4 2 4 2 4 4" xfId="26935" xr:uid="{A216166C-6382-4016-8BD6-A20E824F08FB}"/>
    <cellStyle name="Comma 4 2 4 2 4 5" xfId="18506" xr:uid="{011DEBC6-AC66-40D1-B04B-CFBC85EE11C8}"/>
    <cellStyle name="Comma 4 2 4 2 4 6" xfId="35364" xr:uid="{6EAE6059-5F27-44CF-B9C0-E7E39EE14805}"/>
    <cellStyle name="Comma 4 2 4 2 4 7" xfId="10071" xr:uid="{30E5948D-6C1F-4DE0-A1B9-3E7A5E887C54}"/>
    <cellStyle name="Comma 4 2 4 2 5" xfId="1960" xr:uid="{00000000-0005-0000-0000-0000C3080000}"/>
    <cellStyle name="Comma 4 2 4 2 5 2" xfId="4189" xr:uid="{00000000-0005-0000-0000-0000C4080000}"/>
    <cellStyle name="Comma 4 2 4 2 5 2 2" xfId="8412" xr:uid="{00000000-0005-0000-0000-0000C5080000}"/>
    <cellStyle name="Comma 4 2 4 2 5 2 2 2" xfId="33711" xr:uid="{D57A8555-A841-4B7B-A839-C5395454AB92}"/>
    <cellStyle name="Comma 4 2 4 2 5 2 2 3" xfId="25282" xr:uid="{D8D1E284-E89F-4D3B-A46A-1AF203D04E1B}"/>
    <cellStyle name="Comma 4 2 4 2 5 2 2 4" xfId="42139" xr:uid="{1DB295AF-D164-44CE-9908-83BD0531314B}"/>
    <cellStyle name="Comma 4 2 4 2 5 2 2 5" xfId="16847" xr:uid="{D028802D-0C14-4AEA-BCDF-15DF9AC4D29E}"/>
    <cellStyle name="Comma 4 2 4 2 5 2 3" xfId="29493" xr:uid="{17FC5475-F6B7-4F0C-B3EF-E4A9E20B787D}"/>
    <cellStyle name="Comma 4 2 4 2 5 2 4" xfId="21064" xr:uid="{9E98CA9A-325D-4B5E-AFAD-371BB6B83D5B}"/>
    <cellStyle name="Comma 4 2 4 2 5 2 5" xfId="37922" xr:uid="{39F81276-349B-4379-9D83-35DD434CF50A}"/>
    <cellStyle name="Comma 4 2 4 2 5 2 6" xfId="12629" xr:uid="{EFD30374-3246-47D0-8CC7-9A819E8912D7}"/>
    <cellStyle name="Comma 4 2 4 2 5 3" xfId="6267" xr:uid="{00000000-0005-0000-0000-0000C6080000}"/>
    <cellStyle name="Comma 4 2 4 2 5 3 2" xfId="31566" xr:uid="{CD3979D0-74C2-4ED4-BA8B-889355BF434F}"/>
    <cellStyle name="Comma 4 2 4 2 5 3 3" xfId="23137" xr:uid="{2547ED75-F656-4DF7-859E-00C0FB595379}"/>
    <cellStyle name="Comma 4 2 4 2 5 3 4" xfId="39994" xr:uid="{D9C9975E-28F3-43AF-92AA-5F636BC33602}"/>
    <cellStyle name="Comma 4 2 4 2 5 3 5" xfId="14702" xr:uid="{F241E879-DB42-4B5F-B1A2-DBFB3D050519}"/>
    <cellStyle name="Comma 4 2 4 2 5 4" xfId="27348" xr:uid="{7AEA16F5-2435-4958-A700-90054AAC058B}"/>
    <cellStyle name="Comma 4 2 4 2 5 5" xfId="18919" xr:uid="{7710D8C1-4ADB-493F-A951-483C33788DAA}"/>
    <cellStyle name="Comma 4 2 4 2 5 6" xfId="35777" xr:uid="{633ED189-CD88-4EF9-8AD0-EBD4701AC65F}"/>
    <cellStyle name="Comma 4 2 4 2 5 7" xfId="10484" xr:uid="{B3F475EA-22B2-43BA-B776-8D36F0D9894A}"/>
    <cellStyle name="Comma 4 2 4 2 6" xfId="2395" xr:uid="{00000000-0005-0000-0000-0000C7080000}"/>
    <cellStyle name="Comma 4 2 4 2 6 2" xfId="6680" xr:uid="{00000000-0005-0000-0000-0000C8080000}"/>
    <cellStyle name="Comma 4 2 4 2 6 2 2" xfId="31979" xr:uid="{D95FAF11-9045-477D-A3EA-D06BBB6F2F4F}"/>
    <cellStyle name="Comma 4 2 4 2 6 2 3" xfId="23550" xr:uid="{48BA1B31-D9DC-405E-A6EE-D98CB29F0763}"/>
    <cellStyle name="Comma 4 2 4 2 6 2 4" xfId="40407" xr:uid="{D56DF784-E3DE-49E7-AB40-F17998E83BF4}"/>
    <cellStyle name="Comma 4 2 4 2 6 2 5" xfId="15115" xr:uid="{0C5A4A03-98FE-4452-9837-A09CB764CAE9}"/>
    <cellStyle name="Comma 4 2 4 2 6 3" xfId="27761" xr:uid="{6393091B-96B9-4334-A31C-3E9C5CAE2CC0}"/>
    <cellStyle name="Comma 4 2 4 2 6 4" xfId="19332" xr:uid="{4D1CA24F-4C62-4E4E-AA56-00F5EE3C9FD7}"/>
    <cellStyle name="Comma 4 2 4 2 6 5" xfId="36190" xr:uid="{5C3464B8-FBEC-49F6-8782-43383CA87139}"/>
    <cellStyle name="Comma 4 2 4 2 6 6" xfId="10897" xr:uid="{F399EA86-2B8E-4776-982F-0C3FEAC7F4BB}"/>
    <cellStyle name="Comma 4 2 4 2 7" xfId="2368" xr:uid="{00000000-0005-0000-0000-0000C9080000}"/>
    <cellStyle name="Comma 4 2 4 2 8" xfId="2773" xr:uid="{00000000-0005-0000-0000-0000CA080000}"/>
    <cellStyle name="Comma 4 2 4 2 8 2" xfId="6997" xr:uid="{00000000-0005-0000-0000-0000CB080000}"/>
    <cellStyle name="Comma 4 2 4 2 8 2 2" xfId="32296" xr:uid="{5E9BF64C-AFF9-4DE9-8325-DC6916C66284}"/>
    <cellStyle name="Comma 4 2 4 2 8 2 3" xfId="23867" xr:uid="{4540B649-FBC8-416A-8022-32016A94439B}"/>
    <cellStyle name="Comma 4 2 4 2 8 2 4" xfId="40724" xr:uid="{E3395B3D-69B5-4568-BE3A-525C7C329700}"/>
    <cellStyle name="Comma 4 2 4 2 8 2 5" xfId="15432" xr:uid="{A3E71ED2-E872-4FDE-975F-2E97EBC09AED}"/>
    <cellStyle name="Comma 4 2 4 2 8 3" xfId="28078" xr:uid="{639C5D32-BA1F-4A0B-B1D9-49993EE367DD}"/>
    <cellStyle name="Comma 4 2 4 2 8 4" xfId="19649" xr:uid="{EC8C6EEC-53ED-4994-A492-C960910A82AD}"/>
    <cellStyle name="Comma 4 2 4 2 8 5" xfId="36507" xr:uid="{7E9F6BBB-2504-4298-A44A-276FFA6E486E}"/>
    <cellStyle name="Comma 4 2 4 2 8 6" xfId="11214" xr:uid="{7E07F471-1158-4565-AE94-D2350852F6E3}"/>
    <cellStyle name="Comma 4 2 4 2 9" xfId="4614" xr:uid="{00000000-0005-0000-0000-0000CC080000}"/>
    <cellStyle name="Comma 4 2 4 2 9 2" xfId="29913" xr:uid="{8E48C624-90A1-4B88-9915-7285BB94B147}"/>
    <cellStyle name="Comma 4 2 4 2 9 3" xfId="21484" xr:uid="{CCE7C8AE-BE86-4F14-B994-89AEE63FE6DB}"/>
    <cellStyle name="Comma 4 2 4 2 9 4" xfId="38341" xr:uid="{CFDF407A-0325-4285-BB78-58415ECFAAE4}"/>
    <cellStyle name="Comma 4 2 4 2 9 5" xfId="13049" xr:uid="{16DE8D03-7623-4561-A027-A7D6BD4DCDAF}"/>
    <cellStyle name="Comma 4 2 4 3" xfId="678" xr:uid="{00000000-0005-0000-0000-0000CD080000}"/>
    <cellStyle name="Comma 4 2 4 3 2" xfId="2949" xr:uid="{00000000-0005-0000-0000-0000CE080000}"/>
    <cellStyle name="Comma 4 2 4 3 2 2" xfId="7172" xr:uid="{00000000-0005-0000-0000-0000CF080000}"/>
    <cellStyle name="Comma 4 2 4 3 2 2 2" xfId="32471" xr:uid="{E07CD015-742A-4726-BA73-579C9858C9E3}"/>
    <cellStyle name="Comma 4 2 4 3 2 2 3" xfId="24042" xr:uid="{5584F17A-251A-4A13-B32A-CD5D22AAE984}"/>
    <cellStyle name="Comma 4 2 4 3 2 2 4" xfId="40899" xr:uid="{C1F33F0E-6C07-4C66-B587-46EB9FA1A001}"/>
    <cellStyle name="Comma 4 2 4 3 2 2 5" xfId="15607" xr:uid="{88890467-81C4-4C2B-83F3-C528DE5DBF32}"/>
    <cellStyle name="Comma 4 2 4 3 2 3" xfId="28253" xr:uid="{EA44D549-49DE-42FA-8643-F65603B99668}"/>
    <cellStyle name="Comma 4 2 4 3 2 4" xfId="19824" xr:uid="{DC426E27-A607-467E-811C-96F3D6BE7FEB}"/>
    <cellStyle name="Comma 4 2 4 3 2 5" xfId="36682" xr:uid="{C7E2E40A-B392-4FBE-80E0-FED5E6B65161}"/>
    <cellStyle name="Comma 4 2 4 3 2 6" xfId="11389" xr:uid="{69B52524-9CBB-4C88-A3CC-EAF74C106799}"/>
    <cellStyle name="Comma 4 2 4 3 3" xfId="5027" xr:uid="{00000000-0005-0000-0000-0000D0080000}"/>
    <cellStyle name="Comma 4 2 4 3 3 2" xfId="30326" xr:uid="{D802216D-5B61-47C1-B9F1-14A4BCB9B449}"/>
    <cellStyle name="Comma 4 2 4 3 3 3" xfId="21897" xr:uid="{E8C6E554-1D60-40D8-9D74-BE55533408A9}"/>
    <cellStyle name="Comma 4 2 4 3 3 4" xfId="38754" xr:uid="{BBB82CE0-A459-4CA1-8D97-CE5AB4C639E8}"/>
    <cellStyle name="Comma 4 2 4 3 3 5" xfId="13462" xr:uid="{DBE523FB-CBCA-4013-B7B2-0F1D3039E664}"/>
    <cellStyle name="Comma 4 2 4 3 4" xfId="26108" xr:uid="{63974864-F083-47A0-B95F-83EBE134549A}"/>
    <cellStyle name="Comma 4 2 4 3 5" xfId="17679" xr:uid="{15BC6D41-DB3D-4479-927C-7996CDB9296B}"/>
    <cellStyle name="Comma 4 2 4 3 6" xfId="34537" xr:uid="{D04BEC4A-BABF-4361-B861-00FE53199BC4}"/>
    <cellStyle name="Comma 4 2 4 3 7" xfId="9244" xr:uid="{364AC8C7-530F-4B0B-A239-98EDF5D16824}"/>
    <cellStyle name="Comma 4 2 4 4" xfId="1131" xr:uid="{00000000-0005-0000-0000-0000D1080000}"/>
    <cellStyle name="Comma 4 2 4 4 2" xfId="3362" xr:uid="{00000000-0005-0000-0000-0000D2080000}"/>
    <cellStyle name="Comma 4 2 4 4 2 2" xfId="7585" xr:uid="{00000000-0005-0000-0000-0000D3080000}"/>
    <cellStyle name="Comma 4 2 4 4 2 2 2" xfId="32884" xr:uid="{8ACB9CEE-7049-4D6B-842E-65031456D332}"/>
    <cellStyle name="Comma 4 2 4 4 2 2 3" xfId="24455" xr:uid="{1208E4CA-5BDB-48D4-9E37-892E5ABF0C5D}"/>
    <cellStyle name="Comma 4 2 4 4 2 2 4" xfId="41312" xr:uid="{1AA31060-0B6A-40F1-97E1-544D980FA5CF}"/>
    <cellStyle name="Comma 4 2 4 4 2 2 5" xfId="16020" xr:uid="{8B6247C7-57C9-4180-AEB5-F3BCE0419C1D}"/>
    <cellStyle name="Comma 4 2 4 4 2 3" xfId="28666" xr:uid="{DF792990-80AA-425F-A6D1-E1C85BCE9799}"/>
    <cellStyle name="Comma 4 2 4 4 2 4" xfId="20237" xr:uid="{83D03880-6BF8-4C27-B2DE-316B3E875DA7}"/>
    <cellStyle name="Comma 4 2 4 4 2 5" xfId="37095" xr:uid="{34BC78B7-18EC-4914-862C-589AEC16C19D}"/>
    <cellStyle name="Comma 4 2 4 4 2 6" xfId="11802" xr:uid="{7715D132-DACE-43D6-BA78-60ED97C4BD1F}"/>
    <cellStyle name="Comma 4 2 4 4 3" xfId="5440" xr:uid="{00000000-0005-0000-0000-0000D4080000}"/>
    <cellStyle name="Comma 4 2 4 4 3 2" xfId="30739" xr:uid="{C0E6EE51-2484-4CC6-AE09-03AE6B7FBAF8}"/>
    <cellStyle name="Comma 4 2 4 4 3 3" xfId="22310" xr:uid="{ED4B480B-C511-47D9-A1E6-83862AC70FC1}"/>
    <cellStyle name="Comma 4 2 4 4 3 4" xfId="39167" xr:uid="{41CFCD24-402F-4A9D-ADD7-A52B9D9A4A62}"/>
    <cellStyle name="Comma 4 2 4 4 3 5" xfId="13875" xr:uid="{872A2857-53CB-4AE4-A0E5-9839FE3E27B8}"/>
    <cellStyle name="Comma 4 2 4 4 4" xfId="26521" xr:uid="{93BDC1EA-0EA1-489E-86B8-3C5B435DDA19}"/>
    <cellStyle name="Comma 4 2 4 4 5" xfId="18092" xr:uid="{32283D20-50DA-4300-AAAE-BAFB7B6476B9}"/>
    <cellStyle name="Comma 4 2 4 4 6" xfId="34950" xr:uid="{C5822155-C986-4847-B0C6-E11DC74D9169}"/>
    <cellStyle name="Comma 4 2 4 4 7" xfId="9657" xr:uid="{3BFD7669-3D08-4AE5-94F2-0A1CD4784AEE}"/>
    <cellStyle name="Comma 4 2 4 5" xfId="1545" xr:uid="{00000000-0005-0000-0000-0000D5080000}"/>
    <cellStyle name="Comma 4 2 4 5 2" xfId="3775" xr:uid="{00000000-0005-0000-0000-0000D6080000}"/>
    <cellStyle name="Comma 4 2 4 5 2 2" xfId="7998" xr:uid="{00000000-0005-0000-0000-0000D7080000}"/>
    <cellStyle name="Comma 4 2 4 5 2 2 2" xfId="33297" xr:uid="{4A9F6E8E-1DA7-4D05-B4AD-0ADC60FED46F}"/>
    <cellStyle name="Comma 4 2 4 5 2 2 3" xfId="24868" xr:uid="{709956EE-812B-477B-A852-1A8A4A2EF6D8}"/>
    <cellStyle name="Comma 4 2 4 5 2 2 4" xfId="41725" xr:uid="{0A787A6E-C6FA-416B-88D5-F29E0A38BA6D}"/>
    <cellStyle name="Comma 4 2 4 5 2 2 5" xfId="16433" xr:uid="{1F418398-90A1-477D-AB44-32D0CD4152DD}"/>
    <cellStyle name="Comma 4 2 4 5 2 3" xfId="29079" xr:uid="{117263D7-29C2-40DB-A7D7-6E675BD4D141}"/>
    <cellStyle name="Comma 4 2 4 5 2 4" xfId="20650" xr:uid="{0E7DC166-929A-408F-BC1C-095B54DA8244}"/>
    <cellStyle name="Comma 4 2 4 5 2 5" xfId="37508" xr:uid="{C4DCE064-9612-4C8C-93BE-4664730CC2FC}"/>
    <cellStyle name="Comma 4 2 4 5 2 6" xfId="12215" xr:uid="{268310C0-D400-4BBB-A6F0-EE4047BF204C}"/>
    <cellStyle name="Comma 4 2 4 5 3" xfId="5853" xr:uid="{00000000-0005-0000-0000-0000D8080000}"/>
    <cellStyle name="Comma 4 2 4 5 3 2" xfId="31152" xr:uid="{996D595B-010C-48BD-AB85-0E0CC5333669}"/>
    <cellStyle name="Comma 4 2 4 5 3 3" xfId="22723" xr:uid="{C689BEBD-EE99-4CE5-91F4-95CDB2C457CD}"/>
    <cellStyle name="Comma 4 2 4 5 3 4" xfId="39580" xr:uid="{100184EC-B104-47B3-B8D0-7474E1202205}"/>
    <cellStyle name="Comma 4 2 4 5 3 5" xfId="14288" xr:uid="{08493EBC-D3DB-4B02-A8D8-EF42113CA896}"/>
    <cellStyle name="Comma 4 2 4 5 4" xfId="26934" xr:uid="{09198019-05AC-499B-B36A-6407F95F63F3}"/>
    <cellStyle name="Comma 4 2 4 5 5" xfId="18505" xr:uid="{E4705448-61AE-47EA-B7F9-86F9D984E07A}"/>
    <cellStyle name="Comma 4 2 4 5 6" xfId="35363" xr:uid="{CBE7A8BF-5D02-4CFE-B1B6-9E248ECA078F}"/>
    <cellStyle name="Comma 4 2 4 5 7" xfId="10070" xr:uid="{7BB9F0ED-B5A0-4A4E-A686-D98BBC2C55BF}"/>
    <cellStyle name="Comma 4 2 4 6" xfId="1959" xr:uid="{00000000-0005-0000-0000-0000D9080000}"/>
    <cellStyle name="Comma 4 2 4 6 2" xfId="4188" xr:uid="{00000000-0005-0000-0000-0000DA080000}"/>
    <cellStyle name="Comma 4 2 4 6 2 2" xfId="8411" xr:uid="{00000000-0005-0000-0000-0000DB080000}"/>
    <cellStyle name="Comma 4 2 4 6 2 2 2" xfId="33710" xr:uid="{6AE3C7E2-02E6-448A-B4AD-8008F94E94C2}"/>
    <cellStyle name="Comma 4 2 4 6 2 2 3" xfId="25281" xr:uid="{352F75BE-73D9-46B2-A295-AC7961E95A31}"/>
    <cellStyle name="Comma 4 2 4 6 2 2 4" xfId="42138" xr:uid="{2EEA13C7-E61E-471A-AB6D-E2A82A607D44}"/>
    <cellStyle name="Comma 4 2 4 6 2 2 5" xfId="16846" xr:uid="{B958037E-62A3-4FEA-A6E5-F79E57DF4A9A}"/>
    <cellStyle name="Comma 4 2 4 6 2 3" xfId="29492" xr:uid="{EA36D6C8-3B7E-4257-B8A7-94B78D81A169}"/>
    <cellStyle name="Comma 4 2 4 6 2 4" xfId="21063" xr:uid="{1D7681E1-24B3-4F2E-90A7-43BB3449A065}"/>
    <cellStyle name="Comma 4 2 4 6 2 5" xfId="37921" xr:uid="{A02C60D6-0890-4932-92F4-6F3D0E56300B}"/>
    <cellStyle name="Comma 4 2 4 6 2 6" xfId="12628" xr:uid="{2E754770-135F-4D98-A096-1A62147F892E}"/>
    <cellStyle name="Comma 4 2 4 6 3" xfId="6266" xr:uid="{00000000-0005-0000-0000-0000DC080000}"/>
    <cellStyle name="Comma 4 2 4 6 3 2" xfId="31565" xr:uid="{AB1435B6-4B5E-49D1-B8C6-D703A00B5FF4}"/>
    <cellStyle name="Comma 4 2 4 6 3 3" xfId="23136" xr:uid="{54DB7663-C8A7-4380-8E10-72FF9050A4F5}"/>
    <cellStyle name="Comma 4 2 4 6 3 4" xfId="39993" xr:uid="{62DF50A0-2704-43B1-B181-83293956A8A2}"/>
    <cellStyle name="Comma 4 2 4 6 3 5" xfId="14701" xr:uid="{BFAE8A59-9340-452E-A87C-97BB1AA4B15D}"/>
    <cellStyle name="Comma 4 2 4 6 4" xfId="27347" xr:uid="{0AF2CFFC-FA2B-462E-9EF3-F315B582B966}"/>
    <cellStyle name="Comma 4 2 4 6 5" xfId="18918" xr:uid="{A98272FE-DDF3-471E-902E-0E09FF00AED6}"/>
    <cellStyle name="Comma 4 2 4 6 6" xfId="35776" xr:uid="{DAB39B1E-EF6F-414D-8F56-DC704D2AC724}"/>
    <cellStyle name="Comma 4 2 4 6 7" xfId="10483" xr:uid="{954E63A5-EA8E-46BD-91D0-305B13C93FA5}"/>
    <cellStyle name="Comma 4 2 4 7" xfId="2394" xr:uid="{00000000-0005-0000-0000-0000DD080000}"/>
    <cellStyle name="Comma 4 2 4 7 2" xfId="6679" xr:uid="{00000000-0005-0000-0000-0000DE080000}"/>
    <cellStyle name="Comma 4 2 4 7 2 2" xfId="31978" xr:uid="{905A69A1-1272-4164-A507-CE6A64617DB6}"/>
    <cellStyle name="Comma 4 2 4 7 2 3" xfId="23549" xr:uid="{D9EF10AD-7160-459E-9252-0F05CF574A90}"/>
    <cellStyle name="Comma 4 2 4 7 2 4" xfId="40406" xr:uid="{0EB074AD-CD45-49C7-80A2-E4E1F83BA19C}"/>
    <cellStyle name="Comma 4 2 4 7 2 5" xfId="15114" xr:uid="{219FAC5D-A27E-4E93-B248-0E8BE1A4CD33}"/>
    <cellStyle name="Comma 4 2 4 7 3" xfId="27760" xr:uid="{6644D606-AA5D-4E58-AD21-69852E49AFA2}"/>
    <cellStyle name="Comma 4 2 4 7 4" xfId="19331" xr:uid="{4140FBE4-13E3-4AF1-BC46-B62E41BACBBF}"/>
    <cellStyle name="Comma 4 2 4 7 5" xfId="36189" xr:uid="{3F53C4E6-27A7-4467-A9B9-2E4F6F24D093}"/>
    <cellStyle name="Comma 4 2 4 7 6" xfId="10896" xr:uid="{F8C3E49D-1D49-4196-B66C-6EF7A49460D1}"/>
    <cellStyle name="Comma 4 2 4 8" xfId="2369" xr:uid="{00000000-0005-0000-0000-0000DF080000}"/>
    <cellStyle name="Comma 4 2 4 9" xfId="2772" xr:uid="{00000000-0005-0000-0000-0000E0080000}"/>
    <cellStyle name="Comma 4 2 4 9 2" xfId="6996" xr:uid="{00000000-0005-0000-0000-0000E1080000}"/>
    <cellStyle name="Comma 4 2 4 9 2 2" xfId="32295" xr:uid="{D7068D53-CD84-4304-8F07-5FC53D4D2AE4}"/>
    <cellStyle name="Comma 4 2 4 9 2 3" xfId="23866" xr:uid="{B2E16A70-E6F5-4C53-9A06-2F87A10FD9DF}"/>
    <cellStyle name="Comma 4 2 4 9 2 4" xfId="40723" xr:uid="{1940E15C-0237-4E0C-8D10-5B587DAB643D}"/>
    <cellStyle name="Comma 4 2 4 9 2 5" xfId="15431" xr:uid="{54F9884D-6A27-43EA-89D5-BD231C367064}"/>
    <cellStyle name="Comma 4 2 4 9 3" xfId="28077" xr:uid="{DD3B1FC8-59EE-4705-8339-E522FF1EFFEE}"/>
    <cellStyle name="Comma 4 2 4 9 4" xfId="19648" xr:uid="{B79F612E-4AB6-464C-8F11-1B21FBFA2F26}"/>
    <cellStyle name="Comma 4 2 4 9 5" xfId="36506" xr:uid="{CC83DD44-D965-4358-95C3-51C90487A218}"/>
    <cellStyle name="Comma 4 2 4 9 6" xfId="11213" xr:uid="{AED6E2CA-A869-4A1D-8CB9-70CBA30F4D33}"/>
    <cellStyle name="Comma 4 2 5" xfId="142" xr:uid="{00000000-0005-0000-0000-0000E2080000}"/>
    <cellStyle name="Comma 4 2 5 10" xfId="25696" xr:uid="{DC08B71C-C898-422F-89E9-1F3CB366D81F}"/>
    <cellStyle name="Comma 4 2 5 11" xfId="17267" xr:uid="{1E62B6E9-1836-4A53-B943-12F259E8EFC1}"/>
    <cellStyle name="Comma 4 2 5 12" xfId="34125" xr:uid="{BEFBB4B8-1297-4F49-9FB4-B47BBFA9B113}"/>
    <cellStyle name="Comma 4 2 5 13" xfId="8832" xr:uid="{95B1B21A-58DA-4FA2-B769-29D3C284DAB0}"/>
    <cellStyle name="Comma 4 2 5 2" xfId="680" xr:uid="{00000000-0005-0000-0000-0000E3080000}"/>
    <cellStyle name="Comma 4 2 5 2 2" xfId="2951" xr:uid="{00000000-0005-0000-0000-0000E4080000}"/>
    <cellStyle name="Comma 4 2 5 2 2 2" xfId="7174" xr:uid="{00000000-0005-0000-0000-0000E5080000}"/>
    <cellStyle name="Comma 4 2 5 2 2 2 2" xfId="32473" xr:uid="{BEABCCCE-D27A-473C-B9F6-462885F4EF80}"/>
    <cellStyle name="Comma 4 2 5 2 2 2 3" xfId="24044" xr:uid="{FF4CC211-A206-4C44-82A3-C9EB2907D018}"/>
    <cellStyle name="Comma 4 2 5 2 2 2 4" xfId="40901" xr:uid="{530F57AD-3F37-4C52-8615-ADFC30D32F6B}"/>
    <cellStyle name="Comma 4 2 5 2 2 2 5" xfId="15609" xr:uid="{43466726-1369-44C9-92D0-965C1DDEDB07}"/>
    <cellStyle name="Comma 4 2 5 2 2 3" xfId="28255" xr:uid="{43A0201F-9C06-41CB-AB39-CE4C9A8687D1}"/>
    <cellStyle name="Comma 4 2 5 2 2 4" xfId="19826" xr:uid="{DFAACE4B-E657-490B-BB57-49112D8CF298}"/>
    <cellStyle name="Comma 4 2 5 2 2 5" xfId="36684" xr:uid="{4918E16B-4A2D-4B49-8B87-8999304DA509}"/>
    <cellStyle name="Comma 4 2 5 2 2 6" xfId="11391" xr:uid="{41DE507F-98C8-4D4E-A593-57B04FCFAEE2}"/>
    <cellStyle name="Comma 4 2 5 2 3" xfId="5029" xr:uid="{00000000-0005-0000-0000-0000E6080000}"/>
    <cellStyle name="Comma 4 2 5 2 3 2" xfId="30328" xr:uid="{76BCEC44-B1B3-4C92-8458-9C5C1FD15AA6}"/>
    <cellStyle name="Comma 4 2 5 2 3 3" xfId="21899" xr:uid="{9723ABE8-0F4E-4D94-A4AB-1B1A4C162DE3}"/>
    <cellStyle name="Comma 4 2 5 2 3 4" xfId="38756" xr:uid="{CE6F3168-9A81-4E4F-97C3-0C73E1624157}"/>
    <cellStyle name="Comma 4 2 5 2 3 5" xfId="13464" xr:uid="{8325DC76-FC75-4641-8212-B3A61EDCF787}"/>
    <cellStyle name="Comma 4 2 5 2 4" xfId="26110" xr:uid="{8A3DF00F-54D3-4BD9-ABD1-81F2418A18C3}"/>
    <cellStyle name="Comma 4 2 5 2 5" xfId="17681" xr:uid="{135C0349-AA5A-402F-96E7-55628E5F0CDF}"/>
    <cellStyle name="Comma 4 2 5 2 6" xfId="34539" xr:uid="{637896D7-57DA-45FC-A2C9-407894EAB23A}"/>
    <cellStyle name="Comma 4 2 5 2 7" xfId="9246" xr:uid="{E986DA16-F8B9-4BA8-B381-078BFD89455E}"/>
    <cellStyle name="Comma 4 2 5 3" xfId="1133" xr:uid="{00000000-0005-0000-0000-0000E7080000}"/>
    <cellStyle name="Comma 4 2 5 3 2" xfId="3364" xr:uid="{00000000-0005-0000-0000-0000E8080000}"/>
    <cellStyle name="Comma 4 2 5 3 2 2" xfId="7587" xr:uid="{00000000-0005-0000-0000-0000E9080000}"/>
    <cellStyle name="Comma 4 2 5 3 2 2 2" xfId="32886" xr:uid="{05496899-9576-403F-BCCA-6452F601CA36}"/>
    <cellStyle name="Comma 4 2 5 3 2 2 3" xfId="24457" xr:uid="{1D357A31-02BC-45BE-AA65-078CE8192757}"/>
    <cellStyle name="Comma 4 2 5 3 2 2 4" xfId="41314" xr:uid="{2C337E23-BCA4-4525-9493-15111B77C2D1}"/>
    <cellStyle name="Comma 4 2 5 3 2 2 5" xfId="16022" xr:uid="{9C287FA1-94CF-4231-9056-1CCC83F69B0C}"/>
    <cellStyle name="Comma 4 2 5 3 2 3" xfId="28668" xr:uid="{1DD8D902-8764-4E74-9184-E3C11CF39AEE}"/>
    <cellStyle name="Comma 4 2 5 3 2 4" xfId="20239" xr:uid="{74357C27-C2BD-4ABD-B98D-638DA41069D9}"/>
    <cellStyle name="Comma 4 2 5 3 2 5" xfId="37097" xr:uid="{FF00D023-0693-482B-B87E-8598ED270060}"/>
    <cellStyle name="Comma 4 2 5 3 2 6" xfId="11804" xr:uid="{A76EA0A1-493D-4199-9326-9AB768C9DF5A}"/>
    <cellStyle name="Comma 4 2 5 3 3" xfId="5442" xr:uid="{00000000-0005-0000-0000-0000EA080000}"/>
    <cellStyle name="Comma 4 2 5 3 3 2" xfId="30741" xr:uid="{DCE12EE0-E604-4201-A43B-A7F1BA5CB0DD}"/>
    <cellStyle name="Comma 4 2 5 3 3 3" xfId="22312" xr:uid="{5A9A31A4-D19E-460B-AE02-DF8C046628E3}"/>
    <cellStyle name="Comma 4 2 5 3 3 4" xfId="39169" xr:uid="{AC126F13-3888-4FAC-85E1-CBE61FD11E5A}"/>
    <cellStyle name="Comma 4 2 5 3 3 5" xfId="13877" xr:uid="{A23B0F77-7B68-4815-AF50-50671DFE1790}"/>
    <cellStyle name="Comma 4 2 5 3 4" xfId="26523" xr:uid="{74AF2FFC-DA29-450E-903F-2AF95D19F961}"/>
    <cellStyle name="Comma 4 2 5 3 5" xfId="18094" xr:uid="{6D866198-8CC3-4806-A5FE-B6AF6257D896}"/>
    <cellStyle name="Comma 4 2 5 3 6" xfId="34952" xr:uid="{8EC6A92A-22E0-4AA9-A850-40C3776F3CB7}"/>
    <cellStyle name="Comma 4 2 5 3 7" xfId="9659" xr:uid="{5672EB5D-3E85-4F3B-A544-9875C3A4180F}"/>
    <cellStyle name="Comma 4 2 5 4" xfId="1547" xr:uid="{00000000-0005-0000-0000-0000EB080000}"/>
    <cellStyle name="Comma 4 2 5 4 2" xfId="3777" xr:uid="{00000000-0005-0000-0000-0000EC080000}"/>
    <cellStyle name="Comma 4 2 5 4 2 2" xfId="8000" xr:uid="{00000000-0005-0000-0000-0000ED080000}"/>
    <cellStyle name="Comma 4 2 5 4 2 2 2" xfId="33299" xr:uid="{E83E6B3B-5FEF-416B-B833-CD354641721D}"/>
    <cellStyle name="Comma 4 2 5 4 2 2 3" xfId="24870" xr:uid="{DCF58662-EA2D-41A8-A16A-DCA421DC1414}"/>
    <cellStyle name="Comma 4 2 5 4 2 2 4" xfId="41727" xr:uid="{347E872A-4873-4903-8198-A4F98F07C782}"/>
    <cellStyle name="Comma 4 2 5 4 2 2 5" xfId="16435" xr:uid="{96F0DE7A-A7DC-427D-8695-65DBD7A4DA08}"/>
    <cellStyle name="Comma 4 2 5 4 2 3" xfId="29081" xr:uid="{E6234DFC-DD82-455A-B3BE-06A8EBEE4757}"/>
    <cellStyle name="Comma 4 2 5 4 2 4" xfId="20652" xr:uid="{5EAB5A4D-CA90-4B88-9A1E-06162B5319BC}"/>
    <cellStyle name="Comma 4 2 5 4 2 5" xfId="37510" xr:uid="{9AF542C2-E74D-489B-BE54-C8426C8C7A25}"/>
    <cellStyle name="Comma 4 2 5 4 2 6" xfId="12217" xr:uid="{1137C3F7-1B55-4F7B-A596-DA5CC680A51E}"/>
    <cellStyle name="Comma 4 2 5 4 3" xfId="5855" xr:uid="{00000000-0005-0000-0000-0000EE080000}"/>
    <cellStyle name="Comma 4 2 5 4 3 2" xfId="31154" xr:uid="{0F6EB4EA-5C09-4BAD-B173-A4986FA884F3}"/>
    <cellStyle name="Comma 4 2 5 4 3 3" xfId="22725" xr:uid="{246C5BBD-3A4F-4E51-A557-F5935B52CD29}"/>
    <cellStyle name="Comma 4 2 5 4 3 4" xfId="39582" xr:uid="{43AE97A7-C957-46AA-9FA6-DEB010B395AE}"/>
    <cellStyle name="Comma 4 2 5 4 3 5" xfId="14290" xr:uid="{3DFFBF13-CA1A-4A34-96A6-C1C206F2FB7A}"/>
    <cellStyle name="Comma 4 2 5 4 4" xfId="26936" xr:uid="{7EB71851-F42D-4E2C-9324-FAEB843F9A81}"/>
    <cellStyle name="Comma 4 2 5 4 5" xfId="18507" xr:uid="{8012A37D-5F14-42C2-8243-F60C40378A56}"/>
    <cellStyle name="Comma 4 2 5 4 6" xfId="35365" xr:uid="{68AD8E4D-DDF8-45FC-B605-416FA3EFA68F}"/>
    <cellStyle name="Comma 4 2 5 4 7" xfId="10072" xr:uid="{C56E452A-571C-4252-B9FB-FD5DDC2DCBA2}"/>
    <cellStyle name="Comma 4 2 5 5" xfId="1961" xr:uid="{00000000-0005-0000-0000-0000EF080000}"/>
    <cellStyle name="Comma 4 2 5 5 2" xfId="4190" xr:uid="{00000000-0005-0000-0000-0000F0080000}"/>
    <cellStyle name="Comma 4 2 5 5 2 2" xfId="8413" xr:uid="{00000000-0005-0000-0000-0000F1080000}"/>
    <cellStyle name="Comma 4 2 5 5 2 2 2" xfId="33712" xr:uid="{342D6C7E-9F50-4CB4-8358-545256BE54C7}"/>
    <cellStyle name="Comma 4 2 5 5 2 2 3" xfId="25283" xr:uid="{EA06A65A-7782-4095-BF33-2700A7DE7B38}"/>
    <cellStyle name="Comma 4 2 5 5 2 2 4" xfId="42140" xr:uid="{9C848E78-5FDC-46F9-87DC-3E8DC348CE00}"/>
    <cellStyle name="Comma 4 2 5 5 2 2 5" xfId="16848" xr:uid="{F2BAF62A-4437-4B98-A5F9-2650D892FB36}"/>
    <cellStyle name="Comma 4 2 5 5 2 3" xfId="29494" xr:uid="{A1EB620D-C419-401F-9179-CF08ADD8147F}"/>
    <cellStyle name="Comma 4 2 5 5 2 4" xfId="21065" xr:uid="{A02D92F2-C85E-4F1E-A0B9-6E8A937010BB}"/>
    <cellStyle name="Comma 4 2 5 5 2 5" xfId="37923" xr:uid="{E88CF863-67C4-4A37-9BDC-5E10290273D7}"/>
    <cellStyle name="Comma 4 2 5 5 2 6" xfId="12630" xr:uid="{2C6FD2EA-636B-4EEC-80EA-3F9961955150}"/>
    <cellStyle name="Comma 4 2 5 5 3" xfId="6268" xr:uid="{00000000-0005-0000-0000-0000F2080000}"/>
    <cellStyle name="Comma 4 2 5 5 3 2" xfId="31567" xr:uid="{11E29D47-8DA5-4B63-B3CF-40D6AAB1DA63}"/>
    <cellStyle name="Comma 4 2 5 5 3 3" xfId="23138" xr:uid="{8512DA8A-AAB0-4B16-BC46-4D90F38AB46C}"/>
    <cellStyle name="Comma 4 2 5 5 3 4" xfId="39995" xr:uid="{F49359A3-CFA5-49F9-A9D2-6025C9146C46}"/>
    <cellStyle name="Comma 4 2 5 5 3 5" xfId="14703" xr:uid="{B5838C2F-D450-42A2-8319-118AC8FB44DB}"/>
    <cellStyle name="Comma 4 2 5 5 4" xfId="27349" xr:uid="{75C18063-D9A5-4399-8A31-566B178B944B}"/>
    <cellStyle name="Comma 4 2 5 5 5" xfId="18920" xr:uid="{DCDAC768-F4F2-4608-B6FD-4BF036172FE9}"/>
    <cellStyle name="Comma 4 2 5 5 6" xfId="35778" xr:uid="{0B2F03A2-ED6D-423A-A85D-71ADB75C543B}"/>
    <cellStyle name="Comma 4 2 5 5 7" xfId="10485" xr:uid="{01468881-9FB6-4CD5-B1DB-087EBCBDFF53}"/>
    <cellStyle name="Comma 4 2 5 6" xfId="2396" xr:uid="{00000000-0005-0000-0000-0000F3080000}"/>
    <cellStyle name="Comma 4 2 5 6 2" xfId="6681" xr:uid="{00000000-0005-0000-0000-0000F4080000}"/>
    <cellStyle name="Comma 4 2 5 6 2 2" xfId="31980" xr:uid="{01CB114B-902E-4FE6-A1DB-C9D56B9D6CAF}"/>
    <cellStyle name="Comma 4 2 5 6 2 3" xfId="23551" xr:uid="{E8B34DE9-E1DE-4622-AE86-16F5C3AB5C74}"/>
    <cellStyle name="Comma 4 2 5 6 2 4" xfId="40408" xr:uid="{C0A7CA70-679E-43B9-85FB-634B37EE1232}"/>
    <cellStyle name="Comma 4 2 5 6 2 5" xfId="15116" xr:uid="{48C01BE5-0F3F-4982-849C-80F8C0A300A3}"/>
    <cellStyle name="Comma 4 2 5 6 3" xfId="27762" xr:uid="{8483AEDA-4EFE-4AFD-B565-AF59AD94A99B}"/>
    <cellStyle name="Comma 4 2 5 6 4" xfId="19333" xr:uid="{978C1E10-CC89-4BF4-924D-7D1CE1796ADD}"/>
    <cellStyle name="Comma 4 2 5 6 5" xfId="36191" xr:uid="{A95723C2-8083-415E-9D4B-637A2A3B4270}"/>
    <cellStyle name="Comma 4 2 5 6 6" xfId="10898" xr:uid="{A3A6BF20-7367-44F7-827F-08FE89649653}"/>
    <cellStyle name="Comma 4 2 5 7" xfId="2367" xr:uid="{00000000-0005-0000-0000-0000F5080000}"/>
    <cellStyle name="Comma 4 2 5 8" xfId="2774" xr:uid="{00000000-0005-0000-0000-0000F6080000}"/>
    <cellStyle name="Comma 4 2 5 8 2" xfId="6998" xr:uid="{00000000-0005-0000-0000-0000F7080000}"/>
    <cellStyle name="Comma 4 2 5 8 2 2" xfId="32297" xr:uid="{9E6E0998-76B4-4A31-94CB-0A88863CF1E1}"/>
    <cellStyle name="Comma 4 2 5 8 2 3" xfId="23868" xr:uid="{057F5F75-69E2-49DA-97F5-AB464C2FE19D}"/>
    <cellStyle name="Comma 4 2 5 8 2 4" xfId="40725" xr:uid="{68FC8511-00DB-49AE-8624-14DB4182923F}"/>
    <cellStyle name="Comma 4 2 5 8 2 5" xfId="15433" xr:uid="{968B716A-D5E0-44B4-AEBE-D8F776C992CF}"/>
    <cellStyle name="Comma 4 2 5 8 3" xfId="28079" xr:uid="{CB91D7B9-79AF-4E65-9E1F-643C63086CA2}"/>
    <cellStyle name="Comma 4 2 5 8 4" xfId="19650" xr:uid="{D40AC731-1412-48F6-8430-724640484333}"/>
    <cellStyle name="Comma 4 2 5 8 5" xfId="36508" xr:uid="{FFAB50F8-35EA-444C-A4A7-B96B84D9B50C}"/>
    <cellStyle name="Comma 4 2 5 8 6" xfId="11215" xr:uid="{AAFEE62F-3CE6-4856-BDC7-524675BF13E5}"/>
    <cellStyle name="Comma 4 2 5 9" xfId="4615" xr:uid="{00000000-0005-0000-0000-0000F8080000}"/>
    <cellStyle name="Comma 4 2 5 9 2" xfId="29914" xr:uid="{4A383174-969F-479E-89F0-EC3A52D00D41}"/>
    <cellStyle name="Comma 4 2 5 9 3" xfId="21485" xr:uid="{A12935E0-A0D6-4FEE-803D-FEEF479566D1}"/>
    <cellStyle name="Comma 4 2 5 9 4" xfId="38342" xr:uid="{73BAB1FB-0154-4B19-A7FF-CB1DC541E3D1}"/>
    <cellStyle name="Comma 4 2 5 9 5" xfId="13050" xr:uid="{5A2D1A2C-4B48-48E8-ABB9-543E45C9B391}"/>
    <cellStyle name="Comma 4 2 6" xfId="143" xr:uid="{00000000-0005-0000-0000-0000F9080000}"/>
    <cellStyle name="Comma 4 2 6 10" xfId="25697" xr:uid="{18F889D8-9DE9-432F-9A44-DD680F6FC32A}"/>
    <cellStyle name="Comma 4 2 6 11" xfId="17268" xr:uid="{FC57B8B8-873B-4AC1-9689-402916064F20}"/>
    <cellStyle name="Comma 4 2 6 12" xfId="34126" xr:uid="{E52D5BBA-F512-47C8-9F9D-BEBDA09CC1FB}"/>
    <cellStyle name="Comma 4 2 6 13" xfId="8833" xr:uid="{0DEA8D62-43D6-44A8-A54E-F11332800AC9}"/>
    <cellStyle name="Comma 4 2 6 2" xfId="681" xr:uid="{00000000-0005-0000-0000-0000FA080000}"/>
    <cellStyle name="Comma 4 2 6 2 2" xfId="2952" xr:uid="{00000000-0005-0000-0000-0000FB080000}"/>
    <cellStyle name="Comma 4 2 6 2 2 2" xfId="7175" xr:uid="{00000000-0005-0000-0000-0000FC080000}"/>
    <cellStyle name="Comma 4 2 6 2 2 2 2" xfId="32474" xr:uid="{39C8ED46-B268-42C5-90BD-2B9BF18F32A7}"/>
    <cellStyle name="Comma 4 2 6 2 2 2 3" xfId="24045" xr:uid="{E213DA90-1F29-4212-A789-3F64B2ECEDD3}"/>
    <cellStyle name="Comma 4 2 6 2 2 2 4" xfId="40902" xr:uid="{70B92DB2-D0B4-4089-B00D-89E02F8AE582}"/>
    <cellStyle name="Comma 4 2 6 2 2 2 5" xfId="15610" xr:uid="{748E9F0C-3967-47FE-A279-F8079358D7B8}"/>
    <cellStyle name="Comma 4 2 6 2 2 3" xfId="28256" xr:uid="{672C8556-EA7F-41B4-9CDA-E242EE4B1AD3}"/>
    <cellStyle name="Comma 4 2 6 2 2 4" xfId="19827" xr:uid="{5EF23562-F3EA-4C57-8EFB-B2BE8D1EBBD9}"/>
    <cellStyle name="Comma 4 2 6 2 2 5" xfId="36685" xr:uid="{286FE1B9-2A59-4EFE-A71F-8976FEC7617A}"/>
    <cellStyle name="Comma 4 2 6 2 2 6" xfId="11392" xr:uid="{091E607C-3A27-41EB-A8AE-DC453A698625}"/>
    <cellStyle name="Comma 4 2 6 2 3" xfId="5030" xr:uid="{00000000-0005-0000-0000-0000FD080000}"/>
    <cellStyle name="Comma 4 2 6 2 3 2" xfId="30329" xr:uid="{4D5FB6BF-043E-4C71-A1AB-383031187F2A}"/>
    <cellStyle name="Comma 4 2 6 2 3 3" xfId="21900" xr:uid="{DE082722-C8A4-4671-85E7-3D03BE9B6B03}"/>
    <cellStyle name="Comma 4 2 6 2 3 4" xfId="38757" xr:uid="{C794B583-6964-4C58-B9B3-B9C562804CE0}"/>
    <cellStyle name="Comma 4 2 6 2 3 5" xfId="13465" xr:uid="{400DC12B-742D-41E8-84E4-359399072504}"/>
    <cellStyle name="Comma 4 2 6 2 4" xfId="26111" xr:uid="{0FBD24C1-F15B-43D2-8BE4-E4EAABB36052}"/>
    <cellStyle name="Comma 4 2 6 2 5" xfId="17682" xr:uid="{3E4B1BC5-76BA-4345-9463-314FCC83A691}"/>
    <cellStyle name="Comma 4 2 6 2 6" xfId="34540" xr:uid="{EFB68269-A1A8-4490-BF5D-3997DADBBE44}"/>
    <cellStyle name="Comma 4 2 6 2 7" xfId="9247" xr:uid="{E2931EEA-7274-41A1-ACAC-339301C1463C}"/>
    <cellStyle name="Comma 4 2 6 3" xfId="1134" xr:uid="{00000000-0005-0000-0000-0000FE080000}"/>
    <cellStyle name="Comma 4 2 6 3 2" xfId="3365" xr:uid="{00000000-0005-0000-0000-0000FF080000}"/>
    <cellStyle name="Comma 4 2 6 3 2 2" xfId="7588" xr:uid="{00000000-0005-0000-0000-000000090000}"/>
    <cellStyle name="Comma 4 2 6 3 2 2 2" xfId="32887" xr:uid="{DCA98909-644E-40F7-8437-17A6B7E984FD}"/>
    <cellStyle name="Comma 4 2 6 3 2 2 3" xfId="24458" xr:uid="{3F31FD7C-5FD4-4BEC-B622-B9551CA067C3}"/>
    <cellStyle name="Comma 4 2 6 3 2 2 4" xfId="41315" xr:uid="{47DAAB6F-ED4F-4F3B-ABD1-C65A196EF00E}"/>
    <cellStyle name="Comma 4 2 6 3 2 2 5" xfId="16023" xr:uid="{0F99C131-C090-417E-9ECF-BB4429806158}"/>
    <cellStyle name="Comma 4 2 6 3 2 3" xfId="28669" xr:uid="{8E3E5F44-0A1C-4107-A3A9-E453F6A8CB30}"/>
    <cellStyle name="Comma 4 2 6 3 2 4" xfId="20240" xr:uid="{1D3A5831-2160-4DD3-8774-67D6544547E7}"/>
    <cellStyle name="Comma 4 2 6 3 2 5" xfId="37098" xr:uid="{B93A1BDE-B3BC-402C-BBE8-BAC7FA8BBDFB}"/>
    <cellStyle name="Comma 4 2 6 3 2 6" xfId="11805" xr:uid="{2F6D83F8-7B07-40AA-A056-15D9A373DD49}"/>
    <cellStyle name="Comma 4 2 6 3 3" xfId="5443" xr:uid="{00000000-0005-0000-0000-000001090000}"/>
    <cellStyle name="Comma 4 2 6 3 3 2" xfId="30742" xr:uid="{1992B77A-C14D-468C-93C8-07601FE95270}"/>
    <cellStyle name="Comma 4 2 6 3 3 3" xfId="22313" xr:uid="{DFC2C251-7CCC-4200-B55E-A16AF1FD5B88}"/>
    <cellStyle name="Comma 4 2 6 3 3 4" xfId="39170" xr:uid="{F8975D21-2CB5-464D-83C3-52B8833B2987}"/>
    <cellStyle name="Comma 4 2 6 3 3 5" xfId="13878" xr:uid="{5E583D38-27E0-4978-9C06-8A88C0D562BC}"/>
    <cellStyle name="Comma 4 2 6 3 4" xfId="26524" xr:uid="{1D6C2E2C-D9A6-47D2-91D3-BC270A1949F9}"/>
    <cellStyle name="Comma 4 2 6 3 5" xfId="18095" xr:uid="{AD411226-0A4E-4300-AA8C-D405A57351B7}"/>
    <cellStyle name="Comma 4 2 6 3 6" xfId="34953" xr:uid="{97B62342-D2C4-4A7D-B726-4E2BE270A129}"/>
    <cellStyle name="Comma 4 2 6 3 7" xfId="9660" xr:uid="{8025831E-5AA7-4F68-BC87-FE1FF9C6F26E}"/>
    <cellStyle name="Comma 4 2 6 4" xfId="1548" xr:uid="{00000000-0005-0000-0000-000002090000}"/>
    <cellStyle name="Comma 4 2 6 4 2" xfId="3778" xr:uid="{00000000-0005-0000-0000-000003090000}"/>
    <cellStyle name="Comma 4 2 6 4 2 2" xfId="8001" xr:uid="{00000000-0005-0000-0000-000004090000}"/>
    <cellStyle name="Comma 4 2 6 4 2 2 2" xfId="33300" xr:uid="{ABD70AF0-974E-471D-8ACE-2995A91E26A4}"/>
    <cellStyle name="Comma 4 2 6 4 2 2 3" xfId="24871" xr:uid="{07C1BFAE-54EF-4E4F-8861-A62CABD7CA16}"/>
    <cellStyle name="Comma 4 2 6 4 2 2 4" xfId="41728" xr:uid="{604D57BB-7817-454E-9AAA-01EAD09C0F32}"/>
    <cellStyle name="Comma 4 2 6 4 2 2 5" xfId="16436" xr:uid="{498427E8-B725-4D49-9ED9-22CF543AFC9D}"/>
    <cellStyle name="Comma 4 2 6 4 2 3" xfId="29082" xr:uid="{A1F3008E-2B47-4884-90F7-1C7BB4E150D2}"/>
    <cellStyle name="Comma 4 2 6 4 2 4" xfId="20653" xr:uid="{F4EA55C4-9286-45C5-830A-E03956EDED81}"/>
    <cellStyle name="Comma 4 2 6 4 2 5" xfId="37511" xr:uid="{FA57E836-0AE8-475C-8579-A63CE6882B11}"/>
    <cellStyle name="Comma 4 2 6 4 2 6" xfId="12218" xr:uid="{FF9EBF97-A42C-4243-A82C-DB954FD5A500}"/>
    <cellStyle name="Comma 4 2 6 4 3" xfId="5856" xr:uid="{00000000-0005-0000-0000-000005090000}"/>
    <cellStyle name="Comma 4 2 6 4 3 2" xfId="31155" xr:uid="{DD22CA10-894F-43C5-9F2F-5039D45D6FDB}"/>
    <cellStyle name="Comma 4 2 6 4 3 3" xfId="22726" xr:uid="{FB849ACF-AE0E-4E23-A34F-0195E16B0BAF}"/>
    <cellStyle name="Comma 4 2 6 4 3 4" xfId="39583" xr:uid="{1E14FB91-D19E-4D38-8E47-5124FD4E346C}"/>
    <cellStyle name="Comma 4 2 6 4 3 5" xfId="14291" xr:uid="{09666CFE-52B1-4DDE-8FA8-ABF4A28EA9FF}"/>
    <cellStyle name="Comma 4 2 6 4 4" xfId="26937" xr:uid="{C83F4F74-8799-4DF0-A58D-31003DC05538}"/>
    <cellStyle name="Comma 4 2 6 4 5" xfId="18508" xr:uid="{2B32B428-4A7D-4013-8CE9-525CEAF13988}"/>
    <cellStyle name="Comma 4 2 6 4 6" xfId="35366" xr:uid="{215C5A02-6B1B-4A39-87C0-892CBCEC223D}"/>
    <cellStyle name="Comma 4 2 6 4 7" xfId="10073" xr:uid="{45DB468A-76C0-480D-B513-F27091AB6EA0}"/>
    <cellStyle name="Comma 4 2 6 5" xfId="1962" xr:uid="{00000000-0005-0000-0000-000006090000}"/>
    <cellStyle name="Comma 4 2 6 5 2" xfId="4191" xr:uid="{00000000-0005-0000-0000-000007090000}"/>
    <cellStyle name="Comma 4 2 6 5 2 2" xfId="8414" xr:uid="{00000000-0005-0000-0000-000008090000}"/>
    <cellStyle name="Comma 4 2 6 5 2 2 2" xfId="33713" xr:uid="{91981596-385E-4998-B4B5-B57EC70C73C2}"/>
    <cellStyle name="Comma 4 2 6 5 2 2 3" xfId="25284" xr:uid="{F43799B6-76A1-4260-BE50-4EB5F9085ADA}"/>
    <cellStyle name="Comma 4 2 6 5 2 2 4" xfId="42141" xr:uid="{834A86BA-F3BB-4FEA-9FDB-021D036297CC}"/>
    <cellStyle name="Comma 4 2 6 5 2 2 5" xfId="16849" xr:uid="{1D10893D-C89A-496B-9D60-DAC63924731D}"/>
    <cellStyle name="Comma 4 2 6 5 2 3" xfId="29495" xr:uid="{53FACEEA-A0AE-4318-A19E-D3BC8F4794FD}"/>
    <cellStyle name="Comma 4 2 6 5 2 4" xfId="21066" xr:uid="{18C70280-258F-4FF5-A5B4-2C5A298A8F23}"/>
    <cellStyle name="Comma 4 2 6 5 2 5" xfId="37924" xr:uid="{0BD36D1D-73A3-47DD-BEBD-2056A1649371}"/>
    <cellStyle name="Comma 4 2 6 5 2 6" xfId="12631" xr:uid="{2841D069-36B3-4E2C-B623-54F72296EF28}"/>
    <cellStyle name="Comma 4 2 6 5 3" xfId="6269" xr:uid="{00000000-0005-0000-0000-000009090000}"/>
    <cellStyle name="Comma 4 2 6 5 3 2" xfId="31568" xr:uid="{C940BABC-A0B1-40E0-B230-CAF793D04758}"/>
    <cellStyle name="Comma 4 2 6 5 3 3" xfId="23139" xr:uid="{8E5CFE6F-39F9-4B43-9C23-8CF9FD01C459}"/>
    <cellStyle name="Comma 4 2 6 5 3 4" xfId="39996" xr:uid="{F76AE5D2-CDED-4DC0-B68B-52B0517546B5}"/>
    <cellStyle name="Comma 4 2 6 5 3 5" xfId="14704" xr:uid="{101D0DAE-719F-4933-9BDD-08C8FC22F45F}"/>
    <cellStyle name="Comma 4 2 6 5 4" xfId="27350" xr:uid="{A0292519-F398-4244-BBEB-F24046175D36}"/>
    <cellStyle name="Comma 4 2 6 5 5" xfId="18921" xr:uid="{47EE61D9-E802-4579-B1B0-6E1CC3DE1CDA}"/>
    <cellStyle name="Comma 4 2 6 5 6" xfId="35779" xr:uid="{BCA2CE64-D68C-49CF-8CA6-ED1EB2D46A90}"/>
    <cellStyle name="Comma 4 2 6 5 7" xfId="10486" xr:uid="{18C638B6-1651-4597-85BB-7024FD797EE1}"/>
    <cellStyle name="Comma 4 2 6 6" xfId="2397" xr:uid="{00000000-0005-0000-0000-00000A090000}"/>
    <cellStyle name="Comma 4 2 6 6 2" xfId="6682" xr:uid="{00000000-0005-0000-0000-00000B090000}"/>
    <cellStyle name="Comma 4 2 6 6 2 2" xfId="31981" xr:uid="{02F01EAA-4190-4146-A200-D06D8FE4146E}"/>
    <cellStyle name="Comma 4 2 6 6 2 3" xfId="23552" xr:uid="{ED9887FC-81F5-48D7-9C47-D5F05A6B0BA7}"/>
    <cellStyle name="Comma 4 2 6 6 2 4" xfId="40409" xr:uid="{1F3B6C8F-0115-46A2-9C8A-9C27DEA4D33D}"/>
    <cellStyle name="Comma 4 2 6 6 2 5" xfId="15117" xr:uid="{1987AD84-EB96-4777-AF7B-44F8ED56621B}"/>
    <cellStyle name="Comma 4 2 6 6 3" xfId="27763" xr:uid="{1C9A7DF5-0245-4578-9147-01376FACFEE2}"/>
    <cellStyle name="Comma 4 2 6 6 4" xfId="19334" xr:uid="{FFDE8113-DE28-4EC5-A8BA-F02655D910AE}"/>
    <cellStyle name="Comma 4 2 6 6 5" xfId="36192" xr:uid="{23023C02-6295-426C-BBC6-7DF90E72623F}"/>
    <cellStyle name="Comma 4 2 6 6 6" xfId="10899" xr:uid="{6B8BCF64-C7AA-47D5-80F9-1BDAFCFDD9DB}"/>
    <cellStyle name="Comma 4 2 6 7" xfId="2366" xr:uid="{00000000-0005-0000-0000-00000C090000}"/>
    <cellStyle name="Comma 4 2 6 8" xfId="2775" xr:uid="{00000000-0005-0000-0000-00000D090000}"/>
    <cellStyle name="Comma 4 2 6 8 2" xfId="6999" xr:uid="{00000000-0005-0000-0000-00000E090000}"/>
    <cellStyle name="Comma 4 2 6 8 2 2" xfId="32298" xr:uid="{BC85149F-43A2-49E9-B709-C97F5E1B0ED3}"/>
    <cellStyle name="Comma 4 2 6 8 2 3" xfId="23869" xr:uid="{6C2E16E7-1711-4951-B3EE-0D9616190DA7}"/>
    <cellStyle name="Comma 4 2 6 8 2 4" xfId="40726" xr:uid="{2FEEB139-AE63-4AE5-B83E-FA465D83E96B}"/>
    <cellStyle name="Comma 4 2 6 8 2 5" xfId="15434" xr:uid="{4A9537EF-1D10-4BA0-90BB-B5CECEB933E0}"/>
    <cellStyle name="Comma 4 2 6 8 3" xfId="28080" xr:uid="{36C16FD6-2610-4E25-B066-1CB76512346A}"/>
    <cellStyle name="Comma 4 2 6 8 4" xfId="19651" xr:uid="{7E311BD8-8A45-4687-89A1-62E875734639}"/>
    <cellStyle name="Comma 4 2 6 8 5" xfId="36509" xr:uid="{58179A10-D3BB-49C3-A34C-B87C071983F3}"/>
    <cellStyle name="Comma 4 2 6 8 6" xfId="11216" xr:uid="{0C7DA122-4D91-4396-B684-5DE25C230D58}"/>
    <cellStyle name="Comma 4 2 6 9" xfId="4616" xr:uid="{00000000-0005-0000-0000-00000F090000}"/>
    <cellStyle name="Comma 4 2 6 9 2" xfId="29915" xr:uid="{771C69C4-8956-40D5-AA88-76D3784552F6}"/>
    <cellStyle name="Comma 4 2 6 9 3" xfId="21486" xr:uid="{0E631981-9229-4A05-9E5E-5118545D1F3B}"/>
    <cellStyle name="Comma 4 2 6 9 4" xfId="38343" xr:uid="{E9B3272C-6CFE-4067-A5ED-BBFA6F0986E8}"/>
    <cellStyle name="Comma 4 2 6 9 5" xfId="13051" xr:uid="{FABA07C7-006C-464E-8904-B719430860AB}"/>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32299" xr:uid="{76A6CE9E-E343-45D8-81FD-5F0F354D4960}"/>
    <cellStyle name="Comma 4 3 2 10 2 3" xfId="23870" xr:uid="{CCC85C04-1372-454E-836E-7EEE7D4FBC3D}"/>
    <cellStyle name="Comma 4 3 2 10 2 4" xfId="40727" xr:uid="{F616E757-63DB-4FCB-8A5D-0E82A7302B47}"/>
    <cellStyle name="Comma 4 3 2 10 2 5" xfId="15435" xr:uid="{F685EE67-6941-4E13-9AA9-443675AD1599}"/>
    <cellStyle name="Comma 4 3 2 10 3" xfId="28081" xr:uid="{49A15C6A-EC51-43BA-9F0D-80E79BA20E47}"/>
    <cellStyle name="Comma 4 3 2 10 4" xfId="19652" xr:uid="{A30863C3-6BB4-40B4-9675-7CDEEA33AFD4}"/>
    <cellStyle name="Comma 4 3 2 10 5" xfId="36510" xr:uid="{10187A1A-4141-454B-A18D-D9CEB0D2A443}"/>
    <cellStyle name="Comma 4 3 2 10 6" xfId="11217" xr:uid="{737DF74F-DB83-410A-A93A-ED504362A718}"/>
    <cellStyle name="Comma 4 3 2 11" xfId="4617" xr:uid="{00000000-0005-0000-0000-000014090000}"/>
    <cellStyle name="Comma 4 3 2 11 2" xfId="29916" xr:uid="{BC0BA673-F4CA-4498-9982-4688305D271B}"/>
    <cellStyle name="Comma 4 3 2 11 3" xfId="21487" xr:uid="{87C15520-DED2-42E2-81AD-FFA11588C863}"/>
    <cellStyle name="Comma 4 3 2 11 4" xfId="38344" xr:uid="{21539DAD-D4DA-4D5E-9A9C-1D2F02D67840}"/>
    <cellStyle name="Comma 4 3 2 11 5" xfId="13052" xr:uid="{D5A8EF65-9A95-41BB-A29F-3112A05F4DE2}"/>
    <cellStyle name="Comma 4 3 2 12" xfId="25698" xr:uid="{FBE8E0D3-9F9C-4B61-8AC2-FEB3BF6BA2D4}"/>
    <cellStyle name="Comma 4 3 2 13" xfId="17269" xr:uid="{601B8D34-4C1B-4788-BC65-3A79D401405F}"/>
    <cellStyle name="Comma 4 3 2 14" xfId="34127" xr:uid="{DE436F5F-731F-494B-AD42-3D7204C30500}"/>
    <cellStyle name="Comma 4 3 2 15" xfId="8834" xr:uid="{3429278D-76EC-45A9-B407-F93368BD4C73}"/>
    <cellStyle name="Comma 4 3 2 2" xfId="146" xr:uid="{00000000-0005-0000-0000-000015090000}"/>
    <cellStyle name="Comma 4 3 2 2 10" xfId="4618" xr:uid="{00000000-0005-0000-0000-000016090000}"/>
    <cellStyle name="Comma 4 3 2 2 10 2" xfId="29917" xr:uid="{68413A01-3A84-4BFB-8E9C-5840A021F2BF}"/>
    <cellStyle name="Comma 4 3 2 2 10 3" xfId="21488" xr:uid="{E882CDBC-A398-4941-8594-8DC930D07E0A}"/>
    <cellStyle name="Comma 4 3 2 2 10 4" xfId="38345" xr:uid="{E6828EB6-64A3-497E-BB0E-5E1E98FF04D1}"/>
    <cellStyle name="Comma 4 3 2 2 10 5" xfId="13053" xr:uid="{F34F85F4-C42C-41C3-AF78-C3ADC689B291}"/>
    <cellStyle name="Comma 4 3 2 2 11" xfId="25699" xr:uid="{EE2D9614-DED5-472D-A6F8-2992C926E280}"/>
    <cellStyle name="Comma 4 3 2 2 12" xfId="17270" xr:uid="{4B59C994-1CC2-4F87-B6E9-0CBAAF60A8B4}"/>
    <cellStyle name="Comma 4 3 2 2 13" xfId="34128" xr:uid="{25C50077-6CFC-44AF-8939-A3EA5C17EE43}"/>
    <cellStyle name="Comma 4 3 2 2 14" xfId="8835" xr:uid="{A234027C-A636-4D2F-8737-BA164F9D54AB}"/>
    <cellStyle name="Comma 4 3 2 2 2" xfId="147" xr:uid="{00000000-0005-0000-0000-000017090000}"/>
    <cellStyle name="Comma 4 3 2 2 2 10" xfId="25700" xr:uid="{0A9C9394-9AB3-46FA-B47B-8E94C2EC552B}"/>
    <cellStyle name="Comma 4 3 2 2 2 11" xfId="17271" xr:uid="{AFE34C69-19F3-4FC6-B1D6-4504BCBF37E6}"/>
    <cellStyle name="Comma 4 3 2 2 2 12" xfId="34129" xr:uid="{4941BD2D-11A2-4B16-8B4F-FE6FE521A2D9}"/>
    <cellStyle name="Comma 4 3 2 2 2 13" xfId="8836" xr:uid="{1070A33C-ED81-44E0-9ED8-BC0457F85900}"/>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32477" xr:uid="{209A81E8-EAC7-4264-8ADB-81CF169F5234}"/>
    <cellStyle name="Comma 4 3 2 2 2 2 2 2 3" xfId="24048" xr:uid="{63585659-2E29-472E-A760-928351CE4DF2}"/>
    <cellStyle name="Comma 4 3 2 2 2 2 2 2 4" xfId="40905" xr:uid="{00373FC9-C03E-4A26-A069-4B52139EB73E}"/>
    <cellStyle name="Comma 4 3 2 2 2 2 2 2 5" xfId="15613" xr:uid="{FA723A44-B758-4C94-8E1B-DF70264FB345}"/>
    <cellStyle name="Comma 4 3 2 2 2 2 2 3" xfId="28259" xr:uid="{F9393B30-29F7-4D10-A587-2225E7BBDA8A}"/>
    <cellStyle name="Comma 4 3 2 2 2 2 2 4" xfId="19830" xr:uid="{D73D733B-FBE6-4DF0-8116-A1B0C2F7DBEE}"/>
    <cellStyle name="Comma 4 3 2 2 2 2 2 5" xfId="36688" xr:uid="{DAB5DBAE-7293-44E7-B7FF-29BFF82D7B32}"/>
    <cellStyle name="Comma 4 3 2 2 2 2 2 6" xfId="11395" xr:uid="{86AFA55A-2252-4910-A438-FD4A2F20F91D}"/>
    <cellStyle name="Comma 4 3 2 2 2 2 3" xfId="5033" xr:uid="{00000000-0005-0000-0000-00001B090000}"/>
    <cellStyle name="Comma 4 3 2 2 2 2 3 2" xfId="30332" xr:uid="{0FACCB81-7C21-4750-8C22-A5B24C059408}"/>
    <cellStyle name="Comma 4 3 2 2 2 2 3 3" xfId="21903" xr:uid="{D3F7704E-BDCC-4005-AFD0-38A71D40C5BC}"/>
    <cellStyle name="Comma 4 3 2 2 2 2 3 4" xfId="38760" xr:uid="{FC176544-0B4B-430F-AB50-AAF5A09D4413}"/>
    <cellStyle name="Comma 4 3 2 2 2 2 3 5" xfId="13468" xr:uid="{4090FF94-54D7-4EC3-BB52-A2F4C234332A}"/>
    <cellStyle name="Comma 4 3 2 2 2 2 4" xfId="26114" xr:uid="{C9A9E7DA-BD60-4328-9DA1-F94F8DC610F7}"/>
    <cellStyle name="Comma 4 3 2 2 2 2 5" xfId="17685" xr:uid="{FE449987-9D17-4ACE-BA12-5D513C3FF5D8}"/>
    <cellStyle name="Comma 4 3 2 2 2 2 6" xfId="34543" xr:uid="{1496A395-3350-40FB-8D15-AB52C70D66D3}"/>
    <cellStyle name="Comma 4 3 2 2 2 2 7" xfId="9250" xr:uid="{47E7A33C-0B7F-4D00-A4DD-AE119AE4DF2F}"/>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32890" xr:uid="{DD720891-42FA-42E0-986B-BCA4C739D127}"/>
    <cellStyle name="Comma 4 3 2 2 2 3 2 2 3" xfId="24461" xr:uid="{44A20863-7FC0-4C6F-A045-0936117C3A20}"/>
    <cellStyle name="Comma 4 3 2 2 2 3 2 2 4" xfId="41318" xr:uid="{4D6087FB-6F22-4692-A54D-2A214B26FC18}"/>
    <cellStyle name="Comma 4 3 2 2 2 3 2 2 5" xfId="16026" xr:uid="{C396546A-273C-4006-A6D8-9442DFEF658E}"/>
    <cellStyle name="Comma 4 3 2 2 2 3 2 3" xfId="28672" xr:uid="{5CB07363-6100-4F5B-9908-38D757B14BC9}"/>
    <cellStyle name="Comma 4 3 2 2 2 3 2 4" xfId="20243" xr:uid="{35101D89-0972-4116-A7E3-67FB1A651678}"/>
    <cellStyle name="Comma 4 3 2 2 2 3 2 5" xfId="37101" xr:uid="{C649D038-9705-4111-84DE-13EB392B6719}"/>
    <cellStyle name="Comma 4 3 2 2 2 3 2 6" xfId="11808" xr:uid="{6730758F-4B7B-4E2F-8356-70C9508CC73B}"/>
    <cellStyle name="Comma 4 3 2 2 2 3 3" xfId="5446" xr:uid="{00000000-0005-0000-0000-00001F090000}"/>
    <cellStyle name="Comma 4 3 2 2 2 3 3 2" xfId="30745" xr:uid="{DA78EED2-194E-4CC6-82C1-4BEA16986857}"/>
    <cellStyle name="Comma 4 3 2 2 2 3 3 3" xfId="22316" xr:uid="{8EDDEA62-026C-43A8-8D28-70C7BE77EFF2}"/>
    <cellStyle name="Comma 4 3 2 2 2 3 3 4" xfId="39173" xr:uid="{88194651-062C-4D27-A5E3-DFE070451A5B}"/>
    <cellStyle name="Comma 4 3 2 2 2 3 3 5" xfId="13881" xr:uid="{8A518D58-D38D-4489-91AA-51FB30C06C40}"/>
    <cellStyle name="Comma 4 3 2 2 2 3 4" xfId="26527" xr:uid="{5FA0C7F1-235C-46F2-8067-C3F269B78223}"/>
    <cellStyle name="Comma 4 3 2 2 2 3 5" xfId="18098" xr:uid="{4CD81F4A-E824-42C3-ACFA-710E51B029F8}"/>
    <cellStyle name="Comma 4 3 2 2 2 3 6" xfId="34956" xr:uid="{D3AB0C1C-5707-4D4E-ACD8-5B60C96339AE}"/>
    <cellStyle name="Comma 4 3 2 2 2 3 7" xfId="9663" xr:uid="{D1DC7A21-0ADB-48D6-A2A6-7047F0AFB244}"/>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33303" xr:uid="{5275F147-16B7-4281-8474-1BD4D4EB45D1}"/>
    <cellStyle name="Comma 4 3 2 2 2 4 2 2 3" xfId="24874" xr:uid="{A1C7D688-4130-4D5E-AC29-409CC56DEB20}"/>
    <cellStyle name="Comma 4 3 2 2 2 4 2 2 4" xfId="41731" xr:uid="{B1C06261-D336-42FD-A893-155B784C3EB5}"/>
    <cellStyle name="Comma 4 3 2 2 2 4 2 2 5" xfId="16439" xr:uid="{30107963-9152-46A5-BDE8-C192939C2AA1}"/>
    <cellStyle name="Comma 4 3 2 2 2 4 2 3" xfId="29085" xr:uid="{99472A9B-EF5B-4B48-9568-68AC2389234B}"/>
    <cellStyle name="Comma 4 3 2 2 2 4 2 4" xfId="20656" xr:uid="{8BDB0393-98E6-4FF9-A8A1-6BB2A15F87F5}"/>
    <cellStyle name="Comma 4 3 2 2 2 4 2 5" xfId="37514" xr:uid="{51F7A06E-A0EA-455A-9AA5-D846006D073A}"/>
    <cellStyle name="Comma 4 3 2 2 2 4 2 6" xfId="12221" xr:uid="{A3D400AD-5C72-415B-978E-E53559780F1D}"/>
    <cellStyle name="Comma 4 3 2 2 2 4 3" xfId="5859" xr:uid="{00000000-0005-0000-0000-000023090000}"/>
    <cellStyle name="Comma 4 3 2 2 2 4 3 2" xfId="31158" xr:uid="{DAA5B8C6-E4C3-4274-9ABC-A9D7E8EC443B}"/>
    <cellStyle name="Comma 4 3 2 2 2 4 3 3" xfId="22729" xr:uid="{12ADAD56-7312-4E61-9480-56E3AE17E265}"/>
    <cellStyle name="Comma 4 3 2 2 2 4 3 4" xfId="39586" xr:uid="{87411A50-9E51-4134-AAA8-26743E976178}"/>
    <cellStyle name="Comma 4 3 2 2 2 4 3 5" xfId="14294" xr:uid="{5BE78A05-8F6B-4E6E-A613-B7D247B2B192}"/>
    <cellStyle name="Comma 4 3 2 2 2 4 4" xfId="26940" xr:uid="{7EA52CBA-5485-482E-8396-9354A3DB933C}"/>
    <cellStyle name="Comma 4 3 2 2 2 4 5" xfId="18511" xr:uid="{2BA2EED0-90C5-41F9-A769-ECF2C3F41FDA}"/>
    <cellStyle name="Comma 4 3 2 2 2 4 6" xfId="35369" xr:uid="{0850A6D1-65C5-4C08-A676-A6A358888617}"/>
    <cellStyle name="Comma 4 3 2 2 2 4 7" xfId="10076" xr:uid="{7E8E4384-3304-4CEF-9EDA-E0254ADD8E99}"/>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33716" xr:uid="{A14B66F3-B75A-46AF-A810-D479A83F45C3}"/>
    <cellStyle name="Comma 4 3 2 2 2 5 2 2 3" xfId="25287" xr:uid="{1411493C-7474-4F99-AA4E-34EB7D220D6D}"/>
    <cellStyle name="Comma 4 3 2 2 2 5 2 2 4" xfId="42144" xr:uid="{EAA6050C-287A-499B-BFA6-7BF010D69D6E}"/>
    <cellStyle name="Comma 4 3 2 2 2 5 2 2 5" xfId="16852" xr:uid="{1B9A9E80-BCA2-4B7E-92B7-A1C54D26B3E2}"/>
    <cellStyle name="Comma 4 3 2 2 2 5 2 3" xfId="29498" xr:uid="{C18FD8DC-4952-4255-83CA-F0A590B4B15E}"/>
    <cellStyle name="Comma 4 3 2 2 2 5 2 4" xfId="21069" xr:uid="{DE59B013-2E6E-4C46-B0DC-D801A3DEC721}"/>
    <cellStyle name="Comma 4 3 2 2 2 5 2 5" xfId="37927" xr:uid="{026F3275-C2F2-44F6-B535-D5BA395B29D0}"/>
    <cellStyle name="Comma 4 3 2 2 2 5 2 6" xfId="12634" xr:uid="{88876972-25AD-4229-8360-0ED875731E5E}"/>
    <cellStyle name="Comma 4 3 2 2 2 5 3" xfId="6272" xr:uid="{00000000-0005-0000-0000-000027090000}"/>
    <cellStyle name="Comma 4 3 2 2 2 5 3 2" xfId="31571" xr:uid="{AE9F3AE1-FE4E-447B-B81D-8CA865D25620}"/>
    <cellStyle name="Comma 4 3 2 2 2 5 3 3" xfId="23142" xr:uid="{9AD5BB45-711A-41CF-B3A5-711267DFA38B}"/>
    <cellStyle name="Comma 4 3 2 2 2 5 3 4" xfId="39999" xr:uid="{E5E377D3-2E1A-4A88-B9C4-EFD35F4A487C}"/>
    <cellStyle name="Comma 4 3 2 2 2 5 3 5" xfId="14707" xr:uid="{417BB0F5-804A-4CD4-A56F-07A9FFA38417}"/>
    <cellStyle name="Comma 4 3 2 2 2 5 4" xfId="27353" xr:uid="{6B595A16-0DCC-4935-B4C4-11217F58FEF7}"/>
    <cellStyle name="Comma 4 3 2 2 2 5 5" xfId="18924" xr:uid="{070EEBE1-4A27-4760-9D57-DBC022597EF0}"/>
    <cellStyle name="Comma 4 3 2 2 2 5 6" xfId="35782" xr:uid="{E5FA57B1-C760-44EF-8920-D26B467F638A}"/>
    <cellStyle name="Comma 4 3 2 2 2 5 7" xfId="10489" xr:uid="{5F4F5AF3-4F15-4030-B88D-237AF5A0E539}"/>
    <cellStyle name="Comma 4 3 2 2 2 6" xfId="2400" xr:uid="{00000000-0005-0000-0000-000028090000}"/>
    <cellStyle name="Comma 4 3 2 2 2 6 2" xfId="6685" xr:uid="{00000000-0005-0000-0000-000029090000}"/>
    <cellStyle name="Comma 4 3 2 2 2 6 2 2" xfId="31984" xr:uid="{96F837C3-08A2-4A95-92D1-088577D5FFD4}"/>
    <cellStyle name="Comma 4 3 2 2 2 6 2 3" xfId="23555" xr:uid="{71ED190E-66E6-4852-875D-B0C30A9D2CAB}"/>
    <cellStyle name="Comma 4 3 2 2 2 6 2 4" xfId="40412" xr:uid="{E5EF8FD0-0CCD-4596-ACEF-425B33AC0A7D}"/>
    <cellStyle name="Comma 4 3 2 2 2 6 2 5" xfId="15120" xr:uid="{9984CC4B-2801-476C-9B0E-797F6457F1AF}"/>
    <cellStyle name="Comma 4 3 2 2 2 6 3" xfId="27766" xr:uid="{1792CC94-72C4-4EA6-847A-AE71C60CEEAE}"/>
    <cellStyle name="Comma 4 3 2 2 2 6 4" xfId="19337" xr:uid="{4BDCFA38-48A1-401F-A775-41640FE7C401}"/>
    <cellStyle name="Comma 4 3 2 2 2 6 5" xfId="36195" xr:uid="{C2AB534F-E9A4-4AF2-8D39-1E2BD7FD555B}"/>
    <cellStyle name="Comma 4 3 2 2 2 6 6" xfId="10902" xr:uid="{8536F192-FB9E-4FD1-8C55-5C47B10B5E72}"/>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32301" xr:uid="{E9F0D237-AA4A-4394-AB4C-FBCD41B1424B}"/>
    <cellStyle name="Comma 4 3 2 2 2 8 2 3" xfId="23872" xr:uid="{31B2D4DC-4AD5-4BE0-B6DE-EA6F2331AD6C}"/>
    <cellStyle name="Comma 4 3 2 2 2 8 2 4" xfId="40729" xr:uid="{FB547676-F6C3-4984-B0C5-47595BA36146}"/>
    <cellStyle name="Comma 4 3 2 2 2 8 2 5" xfId="15437" xr:uid="{9F3FCFB8-CF97-416C-922C-56A6E70F91CE}"/>
    <cellStyle name="Comma 4 3 2 2 2 8 3" xfId="28083" xr:uid="{8B9C04DC-D829-41F8-85AB-D32E6282E218}"/>
    <cellStyle name="Comma 4 3 2 2 2 8 4" xfId="19654" xr:uid="{6BC295E8-4DA0-4958-A711-D9710822959B}"/>
    <cellStyle name="Comma 4 3 2 2 2 8 5" xfId="36512" xr:uid="{D54B1493-7B65-4244-A75A-50C7C8EB7795}"/>
    <cellStyle name="Comma 4 3 2 2 2 8 6" xfId="11219" xr:uid="{6D103827-584A-4B68-907A-1BFF924F4A14}"/>
    <cellStyle name="Comma 4 3 2 2 2 9" xfId="4619" xr:uid="{00000000-0005-0000-0000-00002D090000}"/>
    <cellStyle name="Comma 4 3 2 2 2 9 2" xfId="29918" xr:uid="{E271F58B-1A71-4A67-9D36-40E8DCA9D917}"/>
    <cellStyle name="Comma 4 3 2 2 2 9 3" xfId="21489" xr:uid="{72C15555-C0EA-49BC-A295-03DCE66B8E6A}"/>
    <cellStyle name="Comma 4 3 2 2 2 9 4" xfId="38346" xr:uid="{D04B9E27-4DCB-4291-92DD-774CCE367355}"/>
    <cellStyle name="Comma 4 3 2 2 2 9 5" xfId="13054" xr:uid="{CD2A714E-903D-461F-ACA7-3847A7E116B2}"/>
    <cellStyle name="Comma 4 3 2 2 3" xfId="683" xr:uid="{00000000-0005-0000-0000-00002E090000}"/>
    <cellStyle name="Comma 4 3 2 2 3 2" xfId="2954" xr:uid="{00000000-0005-0000-0000-00002F090000}"/>
    <cellStyle name="Comma 4 3 2 2 3 2 2" xfId="7177" xr:uid="{00000000-0005-0000-0000-000030090000}"/>
    <cellStyle name="Comma 4 3 2 2 3 2 2 2" xfId="32476" xr:uid="{AD73A45A-78C9-4D94-9B22-877B6DC7EB45}"/>
    <cellStyle name="Comma 4 3 2 2 3 2 2 3" xfId="24047" xr:uid="{6D409006-71CC-405D-8FB0-2A54842E51EB}"/>
    <cellStyle name="Comma 4 3 2 2 3 2 2 4" xfId="40904" xr:uid="{341C1765-731A-4E40-ADDF-458CEAC10895}"/>
    <cellStyle name="Comma 4 3 2 2 3 2 2 5" xfId="15612" xr:uid="{7CCB1F2B-EAF6-4510-8896-3B41BB385C46}"/>
    <cellStyle name="Comma 4 3 2 2 3 2 3" xfId="28258" xr:uid="{7E7FC8B9-BA08-4E2B-9D84-F45575578B8B}"/>
    <cellStyle name="Comma 4 3 2 2 3 2 4" xfId="19829" xr:uid="{68612191-49F1-4CD4-B58D-5D87B70BE354}"/>
    <cellStyle name="Comma 4 3 2 2 3 2 5" xfId="36687" xr:uid="{24DBC581-7811-432D-BBDB-92ECFB5C8DFC}"/>
    <cellStyle name="Comma 4 3 2 2 3 2 6" xfId="11394" xr:uid="{DA062DDB-556D-4A93-B393-D383F9BE9BC1}"/>
    <cellStyle name="Comma 4 3 2 2 3 3" xfId="5032" xr:uid="{00000000-0005-0000-0000-000031090000}"/>
    <cellStyle name="Comma 4 3 2 2 3 3 2" xfId="30331" xr:uid="{29B4D4FF-1C3D-4564-A728-D55DBB38977D}"/>
    <cellStyle name="Comma 4 3 2 2 3 3 3" xfId="21902" xr:uid="{1680732F-CBB1-478A-AEC4-185D0CE5D313}"/>
    <cellStyle name="Comma 4 3 2 2 3 3 4" xfId="38759" xr:uid="{75C0B951-5C4C-4A12-B679-6CEDF89BD287}"/>
    <cellStyle name="Comma 4 3 2 2 3 3 5" xfId="13467" xr:uid="{6B110499-550F-49A1-AF83-27BA086922C3}"/>
    <cellStyle name="Comma 4 3 2 2 3 4" xfId="26113" xr:uid="{F0B8ABA2-E2D3-4AA8-98EB-CC14296F8DA0}"/>
    <cellStyle name="Comma 4 3 2 2 3 5" xfId="17684" xr:uid="{146DA174-989A-409C-AD11-F9269A3875A0}"/>
    <cellStyle name="Comma 4 3 2 2 3 6" xfId="34542" xr:uid="{A93204D3-4517-460E-8F51-4C34698B7ACF}"/>
    <cellStyle name="Comma 4 3 2 2 3 7" xfId="9249" xr:uid="{B3202F8D-F950-4FAE-B0A9-734E3354A593}"/>
    <cellStyle name="Comma 4 3 2 2 4" xfId="1136" xr:uid="{00000000-0005-0000-0000-000032090000}"/>
    <cellStyle name="Comma 4 3 2 2 4 2" xfId="3367" xr:uid="{00000000-0005-0000-0000-000033090000}"/>
    <cellStyle name="Comma 4 3 2 2 4 2 2" xfId="7590" xr:uid="{00000000-0005-0000-0000-000034090000}"/>
    <cellStyle name="Comma 4 3 2 2 4 2 2 2" xfId="32889" xr:uid="{A4CFCB10-0A49-4EAF-BDDC-56432B1C98FF}"/>
    <cellStyle name="Comma 4 3 2 2 4 2 2 3" xfId="24460" xr:uid="{E9131427-3A13-4473-95C9-7F46605B3238}"/>
    <cellStyle name="Comma 4 3 2 2 4 2 2 4" xfId="41317" xr:uid="{BB339259-898E-449F-8E01-B99A5B1BD2F2}"/>
    <cellStyle name="Comma 4 3 2 2 4 2 2 5" xfId="16025" xr:uid="{BD3F384D-4EF3-4C68-8ADC-01814D4E3D85}"/>
    <cellStyle name="Comma 4 3 2 2 4 2 3" xfId="28671" xr:uid="{E5C519AD-18B6-4DA2-A5CB-38D0FA989482}"/>
    <cellStyle name="Comma 4 3 2 2 4 2 4" xfId="20242" xr:uid="{57AF67FF-20AB-4ACE-BBD1-02A6388ED357}"/>
    <cellStyle name="Comma 4 3 2 2 4 2 5" xfId="37100" xr:uid="{3F0DB0E4-8296-499C-92ED-CF9D583EBCFF}"/>
    <cellStyle name="Comma 4 3 2 2 4 2 6" xfId="11807" xr:uid="{721B4EDB-4A9D-405C-8510-FE5DF33E1400}"/>
    <cellStyle name="Comma 4 3 2 2 4 3" xfId="5445" xr:uid="{00000000-0005-0000-0000-000035090000}"/>
    <cellStyle name="Comma 4 3 2 2 4 3 2" xfId="30744" xr:uid="{75507CAF-5CE6-4B0E-A1A2-36E227CD781E}"/>
    <cellStyle name="Comma 4 3 2 2 4 3 3" xfId="22315" xr:uid="{EF6A4EAB-349E-42BD-9A01-C4A5016FB0C9}"/>
    <cellStyle name="Comma 4 3 2 2 4 3 4" xfId="39172" xr:uid="{8B6311C0-094A-448C-95C8-9D8743333A8E}"/>
    <cellStyle name="Comma 4 3 2 2 4 3 5" xfId="13880" xr:uid="{05462048-7305-4A13-9469-79B47A9BC6B6}"/>
    <cellStyle name="Comma 4 3 2 2 4 4" xfId="26526" xr:uid="{E36B38AE-C91D-4042-9DE7-57F42C33027A}"/>
    <cellStyle name="Comma 4 3 2 2 4 5" xfId="18097" xr:uid="{7C624F82-EE48-470B-9574-D3F3AD1EFE06}"/>
    <cellStyle name="Comma 4 3 2 2 4 6" xfId="34955" xr:uid="{BC736D69-9AB5-45B4-85C7-9C99A1404906}"/>
    <cellStyle name="Comma 4 3 2 2 4 7" xfId="9662" xr:uid="{65F2F43F-3899-4D60-8F6E-C61161B7F6B9}"/>
    <cellStyle name="Comma 4 3 2 2 5" xfId="1550" xr:uid="{00000000-0005-0000-0000-000036090000}"/>
    <cellStyle name="Comma 4 3 2 2 5 2" xfId="3780" xr:uid="{00000000-0005-0000-0000-000037090000}"/>
    <cellStyle name="Comma 4 3 2 2 5 2 2" xfId="8003" xr:uid="{00000000-0005-0000-0000-000038090000}"/>
    <cellStyle name="Comma 4 3 2 2 5 2 2 2" xfId="33302" xr:uid="{F0CEAA41-B125-4B0E-984F-1D2A18FD5A63}"/>
    <cellStyle name="Comma 4 3 2 2 5 2 2 3" xfId="24873" xr:uid="{38C7E9B6-AA23-4262-8A4E-983E98A8FEC7}"/>
    <cellStyle name="Comma 4 3 2 2 5 2 2 4" xfId="41730" xr:uid="{F6B37792-6106-4B94-A6D8-06E67EF03504}"/>
    <cellStyle name="Comma 4 3 2 2 5 2 2 5" xfId="16438" xr:uid="{4AC9D4CB-0E3A-4661-BC1C-3C3E1ED957AA}"/>
    <cellStyle name="Comma 4 3 2 2 5 2 3" xfId="29084" xr:uid="{DC011C20-85FD-4DB9-BD6F-667B22DAC469}"/>
    <cellStyle name="Comma 4 3 2 2 5 2 4" xfId="20655" xr:uid="{EABD1474-819F-4490-82D0-7A73F76758AE}"/>
    <cellStyle name="Comma 4 3 2 2 5 2 5" xfId="37513" xr:uid="{A386EB6E-40AA-4843-983F-68BF5C58BDC7}"/>
    <cellStyle name="Comma 4 3 2 2 5 2 6" xfId="12220" xr:uid="{1DCC3892-FD9A-4B29-A715-E08AE2C5138A}"/>
    <cellStyle name="Comma 4 3 2 2 5 3" xfId="5858" xr:uid="{00000000-0005-0000-0000-000039090000}"/>
    <cellStyle name="Comma 4 3 2 2 5 3 2" xfId="31157" xr:uid="{49ADB16A-1A5A-4758-AB20-F0A587783B4F}"/>
    <cellStyle name="Comma 4 3 2 2 5 3 3" xfId="22728" xr:uid="{2244F847-ABFB-4CB8-A895-9EA9C67CCFC0}"/>
    <cellStyle name="Comma 4 3 2 2 5 3 4" xfId="39585" xr:uid="{C719EE61-9F1C-4758-9494-293B52AC7BC4}"/>
    <cellStyle name="Comma 4 3 2 2 5 3 5" xfId="14293" xr:uid="{7B7010B2-DF65-47A5-AD8F-F06B75E49D54}"/>
    <cellStyle name="Comma 4 3 2 2 5 4" xfId="26939" xr:uid="{96DE09E1-3D3B-47EF-AA8A-459D951AD674}"/>
    <cellStyle name="Comma 4 3 2 2 5 5" xfId="18510" xr:uid="{30784609-3C2C-43FA-A421-09FE48389503}"/>
    <cellStyle name="Comma 4 3 2 2 5 6" xfId="35368" xr:uid="{AE7C2101-7EF4-4FBE-88B5-D364A3AB81AB}"/>
    <cellStyle name="Comma 4 3 2 2 5 7" xfId="10075" xr:uid="{37C2B91D-4E4D-4727-B1F4-C00535D5BBA7}"/>
    <cellStyle name="Comma 4 3 2 2 6" xfId="1964" xr:uid="{00000000-0005-0000-0000-00003A090000}"/>
    <cellStyle name="Comma 4 3 2 2 6 2" xfId="4193" xr:uid="{00000000-0005-0000-0000-00003B090000}"/>
    <cellStyle name="Comma 4 3 2 2 6 2 2" xfId="8416" xr:uid="{00000000-0005-0000-0000-00003C090000}"/>
    <cellStyle name="Comma 4 3 2 2 6 2 2 2" xfId="33715" xr:uid="{B91A5DF4-7E76-4F19-B671-6080C9126B0C}"/>
    <cellStyle name="Comma 4 3 2 2 6 2 2 3" xfId="25286" xr:uid="{3DC160C3-997D-431D-B7D9-9020F5FF3758}"/>
    <cellStyle name="Comma 4 3 2 2 6 2 2 4" xfId="42143" xr:uid="{0CAEB6E4-036B-45BB-A673-845A3D45E772}"/>
    <cellStyle name="Comma 4 3 2 2 6 2 2 5" xfId="16851" xr:uid="{6733BDF1-084D-46BB-A3F0-577BBFB4CA06}"/>
    <cellStyle name="Comma 4 3 2 2 6 2 3" xfId="29497" xr:uid="{FCF7E120-1ECD-4A9A-A327-66CE2027B836}"/>
    <cellStyle name="Comma 4 3 2 2 6 2 4" xfId="21068" xr:uid="{53E36733-DA93-44F5-8A6C-1C992F04C113}"/>
    <cellStyle name="Comma 4 3 2 2 6 2 5" xfId="37926" xr:uid="{75E2EF50-13AA-4B7E-A4D9-982B484D71A8}"/>
    <cellStyle name="Comma 4 3 2 2 6 2 6" xfId="12633" xr:uid="{894FB19C-DE82-4F0A-B176-2B5BCEFA4B14}"/>
    <cellStyle name="Comma 4 3 2 2 6 3" xfId="6271" xr:uid="{00000000-0005-0000-0000-00003D090000}"/>
    <cellStyle name="Comma 4 3 2 2 6 3 2" xfId="31570" xr:uid="{0E5598A5-74AF-44D6-A519-F4941288A604}"/>
    <cellStyle name="Comma 4 3 2 2 6 3 3" xfId="23141" xr:uid="{9DFDA55D-3E6A-402D-8E4D-F4AC9A18A348}"/>
    <cellStyle name="Comma 4 3 2 2 6 3 4" xfId="39998" xr:uid="{1C1EDF10-B4B2-41F7-9FD9-88BA553CF67D}"/>
    <cellStyle name="Comma 4 3 2 2 6 3 5" xfId="14706" xr:uid="{9F08C041-67DF-4073-BBEA-48A9A3C229AE}"/>
    <cellStyle name="Comma 4 3 2 2 6 4" xfId="27352" xr:uid="{48EA81F1-CB79-455E-9546-82B771B50094}"/>
    <cellStyle name="Comma 4 3 2 2 6 5" xfId="18923" xr:uid="{C3F89A11-1B95-489A-AB69-9B86306C6FB9}"/>
    <cellStyle name="Comma 4 3 2 2 6 6" xfId="35781" xr:uid="{94D93B2E-CF6C-45EE-872E-D15E53C23DD7}"/>
    <cellStyle name="Comma 4 3 2 2 6 7" xfId="10488" xr:uid="{618E8BBC-FCF7-444D-A3B5-C892F6861BF1}"/>
    <cellStyle name="Comma 4 3 2 2 7" xfId="2399" xr:uid="{00000000-0005-0000-0000-00003E090000}"/>
    <cellStyle name="Comma 4 3 2 2 7 2" xfId="6684" xr:uid="{00000000-0005-0000-0000-00003F090000}"/>
    <cellStyle name="Comma 4 3 2 2 7 2 2" xfId="31983" xr:uid="{607D1CF0-6588-401C-8933-EEBEB72EBBCA}"/>
    <cellStyle name="Comma 4 3 2 2 7 2 3" xfId="23554" xr:uid="{7B03F5A7-1CFD-45FC-8542-EB99590A5B5C}"/>
    <cellStyle name="Comma 4 3 2 2 7 2 4" xfId="40411" xr:uid="{839DC2DB-1982-4F30-A90B-913D9E8CB72B}"/>
    <cellStyle name="Comma 4 3 2 2 7 2 5" xfId="15119" xr:uid="{1F7F20BD-A6D1-4B33-898E-84C05149D222}"/>
    <cellStyle name="Comma 4 3 2 2 7 3" xfId="27765" xr:uid="{9D43C93C-524D-4346-8AD4-909927863B72}"/>
    <cellStyle name="Comma 4 3 2 2 7 4" xfId="19336" xr:uid="{9B53888D-37D4-4FCC-B6DC-CDA8FDE1A267}"/>
    <cellStyle name="Comma 4 3 2 2 7 5" xfId="36194" xr:uid="{2AF6289F-EFFA-4FA2-9D41-D729A2433B73}"/>
    <cellStyle name="Comma 4 3 2 2 7 6" xfId="10901" xr:uid="{534A7CAE-759C-413D-AC51-36A5CE40017D}"/>
    <cellStyle name="Comma 4 3 2 2 8" xfId="2364" xr:uid="{00000000-0005-0000-0000-000040090000}"/>
    <cellStyle name="Comma 4 3 2 2 9" xfId="2777" xr:uid="{00000000-0005-0000-0000-000041090000}"/>
    <cellStyle name="Comma 4 3 2 2 9 2" xfId="7001" xr:uid="{00000000-0005-0000-0000-000042090000}"/>
    <cellStyle name="Comma 4 3 2 2 9 2 2" xfId="32300" xr:uid="{671FD0DF-8784-4558-9538-8D1FA59AFC88}"/>
    <cellStyle name="Comma 4 3 2 2 9 2 3" xfId="23871" xr:uid="{9139C885-DAEB-481B-8DEB-013D66315AC3}"/>
    <cellStyle name="Comma 4 3 2 2 9 2 4" xfId="40728" xr:uid="{9A06EB94-C1F5-42B1-AE96-A4F409EC5972}"/>
    <cellStyle name="Comma 4 3 2 2 9 2 5" xfId="15436" xr:uid="{C7712DF9-5B04-4303-B8B2-DBA1A1692804}"/>
    <cellStyle name="Comma 4 3 2 2 9 3" xfId="28082" xr:uid="{2DF70E26-4F1B-43CC-A45E-CE333989ECA7}"/>
    <cellStyle name="Comma 4 3 2 2 9 4" xfId="19653" xr:uid="{44F8B3AF-45A6-4BBA-A3E8-DBA8F0EC9650}"/>
    <cellStyle name="Comma 4 3 2 2 9 5" xfId="36511" xr:uid="{2E109D48-B56D-4232-AFC3-9E6D4A62AE3C}"/>
    <cellStyle name="Comma 4 3 2 2 9 6" xfId="11218" xr:uid="{2C83A7AA-7C46-48A5-A4E9-43797F56CA1B}"/>
    <cellStyle name="Comma 4 3 2 3" xfId="148" xr:uid="{00000000-0005-0000-0000-000043090000}"/>
    <cellStyle name="Comma 4 3 2 3 10" xfId="25701" xr:uid="{EB05776C-CF2C-4153-99DD-53020A883AC9}"/>
    <cellStyle name="Comma 4 3 2 3 11" xfId="17272" xr:uid="{3F470605-18F6-4E4F-8B15-A7BC5F8FB4EF}"/>
    <cellStyle name="Comma 4 3 2 3 12" xfId="34130" xr:uid="{9FE6F7A4-0AC3-45DB-AD34-43DE60A5C43C}"/>
    <cellStyle name="Comma 4 3 2 3 13" xfId="8837" xr:uid="{2AF591DC-EEB1-4BCC-A00D-72B32086529B}"/>
    <cellStyle name="Comma 4 3 2 3 2" xfId="685" xr:uid="{00000000-0005-0000-0000-000044090000}"/>
    <cellStyle name="Comma 4 3 2 3 2 2" xfId="2956" xr:uid="{00000000-0005-0000-0000-000045090000}"/>
    <cellStyle name="Comma 4 3 2 3 2 2 2" xfId="7179" xr:uid="{00000000-0005-0000-0000-000046090000}"/>
    <cellStyle name="Comma 4 3 2 3 2 2 2 2" xfId="32478" xr:uid="{1CC058C6-120F-4874-8113-A03E68AE8AFC}"/>
    <cellStyle name="Comma 4 3 2 3 2 2 2 3" xfId="24049" xr:uid="{B696F8CE-5F6C-4F2C-92B3-DBFB92A6AAFF}"/>
    <cellStyle name="Comma 4 3 2 3 2 2 2 4" xfId="40906" xr:uid="{8F35FA95-A1A7-443C-AFA9-83BE1BFF3D17}"/>
    <cellStyle name="Comma 4 3 2 3 2 2 2 5" xfId="15614" xr:uid="{6078FA16-70F3-4010-B935-B9DE24F9BCF6}"/>
    <cellStyle name="Comma 4 3 2 3 2 2 3" xfId="28260" xr:uid="{8CD9A178-1CA5-4FD4-AAE8-962CFE0140F9}"/>
    <cellStyle name="Comma 4 3 2 3 2 2 4" xfId="19831" xr:uid="{BA412D1E-8FDE-4972-9C4C-775753DC1B3B}"/>
    <cellStyle name="Comma 4 3 2 3 2 2 5" xfId="36689" xr:uid="{50EEF282-CFDE-4D1C-B0B0-42FF9A28C0BB}"/>
    <cellStyle name="Comma 4 3 2 3 2 2 6" xfId="11396" xr:uid="{0AAEA320-E132-4C85-84DF-A334BD25B700}"/>
    <cellStyle name="Comma 4 3 2 3 2 3" xfId="5034" xr:uid="{00000000-0005-0000-0000-000047090000}"/>
    <cellStyle name="Comma 4 3 2 3 2 3 2" xfId="30333" xr:uid="{7970C1F4-A9ED-4687-961E-85AEFF19C0F2}"/>
    <cellStyle name="Comma 4 3 2 3 2 3 3" xfId="21904" xr:uid="{297D6ECF-9F06-4057-A1A9-EFF6FE4CC706}"/>
    <cellStyle name="Comma 4 3 2 3 2 3 4" xfId="38761" xr:uid="{E9798E0E-E45F-4595-BC43-AC2968EC80F3}"/>
    <cellStyle name="Comma 4 3 2 3 2 3 5" xfId="13469" xr:uid="{AEC5F2DB-F129-4E14-A178-F16E12897789}"/>
    <cellStyle name="Comma 4 3 2 3 2 4" xfId="26115" xr:uid="{E961A50D-F818-4381-8D6C-4FF7A1082801}"/>
    <cellStyle name="Comma 4 3 2 3 2 5" xfId="17686" xr:uid="{B896CA93-60EC-4ACD-A24F-CB58D1F89C4A}"/>
    <cellStyle name="Comma 4 3 2 3 2 6" xfId="34544" xr:uid="{13A2D26E-5E4F-4151-85EB-40D426ACAAB2}"/>
    <cellStyle name="Comma 4 3 2 3 2 7" xfId="9251" xr:uid="{A9D240C1-5E54-414A-B653-E0A53BE9E970}"/>
    <cellStyle name="Comma 4 3 2 3 3" xfId="1138" xr:uid="{00000000-0005-0000-0000-000048090000}"/>
    <cellStyle name="Comma 4 3 2 3 3 2" xfId="3369" xr:uid="{00000000-0005-0000-0000-000049090000}"/>
    <cellStyle name="Comma 4 3 2 3 3 2 2" xfId="7592" xr:uid="{00000000-0005-0000-0000-00004A090000}"/>
    <cellStyle name="Comma 4 3 2 3 3 2 2 2" xfId="32891" xr:uid="{64322239-97A5-4EC0-896B-0BFA50783CC1}"/>
    <cellStyle name="Comma 4 3 2 3 3 2 2 3" xfId="24462" xr:uid="{147938BE-D29B-4DF7-A2CF-ACD47BF0C078}"/>
    <cellStyle name="Comma 4 3 2 3 3 2 2 4" xfId="41319" xr:uid="{B427C9D1-2897-4CF6-8702-D17780D8CC6A}"/>
    <cellStyle name="Comma 4 3 2 3 3 2 2 5" xfId="16027" xr:uid="{5720A548-05E1-457C-AF21-01A71FE90AC8}"/>
    <cellStyle name="Comma 4 3 2 3 3 2 3" xfId="28673" xr:uid="{2AC0538B-8187-4B22-844F-C4FB1EEAADEF}"/>
    <cellStyle name="Comma 4 3 2 3 3 2 4" xfId="20244" xr:uid="{70ACF7A7-D8CF-4A8C-B0E0-0805BCF7AE10}"/>
    <cellStyle name="Comma 4 3 2 3 3 2 5" xfId="37102" xr:uid="{636685D9-F1A4-436D-A1CC-C0FCBDC624BF}"/>
    <cellStyle name="Comma 4 3 2 3 3 2 6" xfId="11809" xr:uid="{4915646C-D2ED-4B57-967F-6E82CE44C613}"/>
    <cellStyle name="Comma 4 3 2 3 3 3" xfId="5447" xr:uid="{00000000-0005-0000-0000-00004B090000}"/>
    <cellStyle name="Comma 4 3 2 3 3 3 2" xfId="30746" xr:uid="{984644D8-41EA-452B-BC45-009EB61DCF31}"/>
    <cellStyle name="Comma 4 3 2 3 3 3 3" xfId="22317" xr:uid="{3EB6950E-DF04-46C6-8F7A-F9CCE5D9C047}"/>
    <cellStyle name="Comma 4 3 2 3 3 3 4" xfId="39174" xr:uid="{D3170036-4C2A-47C7-8989-F4DD2C0DF1B1}"/>
    <cellStyle name="Comma 4 3 2 3 3 3 5" xfId="13882" xr:uid="{C0B3469C-7D53-4EE7-98D3-0F3BFDF63009}"/>
    <cellStyle name="Comma 4 3 2 3 3 4" xfId="26528" xr:uid="{659C07CF-7F15-43A5-8536-6DD0FF0D13D6}"/>
    <cellStyle name="Comma 4 3 2 3 3 5" xfId="18099" xr:uid="{E557AB1F-9DA3-421A-8FC9-2DA06D3A977E}"/>
    <cellStyle name="Comma 4 3 2 3 3 6" xfId="34957" xr:uid="{4584934D-D2FD-4806-BC0A-6432C51AC22A}"/>
    <cellStyle name="Comma 4 3 2 3 3 7" xfId="9664" xr:uid="{B30687F7-A3BA-487A-A9B1-96C0A8F7F735}"/>
    <cellStyle name="Comma 4 3 2 3 4" xfId="1552" xr:uid="{00000000-0005-0000-0000-00004C090000}"/>
    <cellStyle name="Comma 4 3 2 3 4 2" xfId="3782" xr:uid="{00000000-0005-0000-0000-00004D090000}"/>
    <cellStyle name="Comma 4 3 2 3 4 2 2" xfId="8005" xr:uid="{00000000-0005-0000-0000-00004E090000}"/>
    <cellStyle name="Comma 4 3 2 3 4 2 2 2" xfId="33304" xr:uid="{E4E45517-4C60-40D4-8834-09E832279BC8}"/>
    <cellStyle name="Comma 4 3 2 3 4 2 2 3" xfId="24875" xr:uid="{D937E692-3CC9-4641-A8C6-6FB1DADAE080}"/>
    <cellStyle name="Comma 4 3 2 3 4 2 2 4" xfId="41732" xr:uid="{C08A4E63-994E-43F9-8950-AD91E763B89F}"/>
    <cellStyle name="Comma 4 3 2 3 4 2 2 5" xfId="16440" xr:uid="{36B2E75B-B4E6-4AE5-91DA-04D574039DF2}"/>
    <cellStyle name="Comma 4 3 2 3 4 2 3" xfId="29086" xr:uid="{A80C409C-F5BE-4560-A186-435924182035}"/>
    <cellStyle name="Comma 4 3 2 3 4 2 4" xfId="20657" xr:uid="{5E8BFE24-22E7-43F1-9245-6278BDE3D575}"/>
    <cellStyle name="Comma 4 3 2 3 4 2 5" xfId="37515" xr:uid="{41901A36-96E4-4B0B-9902-AE4355B092C7}"/>
    <cellStyle name="Comma 4 3 2 3 4 2 6" xfId="12222" xr:uid="{F730241C-4414-4D76-B9F5-F8EBB11C7A8F}"/>
    <cellStyle name="Comma 4 3 2 3 4 3" xfId="5860" xr:uid="{00000000-0005-0000-0000-00004F090000}"/>
    <cellStyle name="Comma 4 3 2 3 4 3 2" xfId="31159" xr:uid="{905852E9-9DDA-4F60-9321-448A90559D05}"/>
    <cellStyle name="Comma 4 3 2 3 4 3 3" xfId="22730" xr:uid="{8D328211-7AA8-4AD7-AAE4-AEF082518B97}"/>
    <cellStyle name="Comma 4 3 2 3 4 3 4" xfId="39587" xr:uid="{DE72ADF8-D5AE-4CB2-9E4D-C28FC6121B6F}"/>
    <cellStyle name="Comma 4 3 2 3 4 3 5" xfId="14295" xr:uid="{9F4A4BC1-D5F7-4D60-ABB8-5B369FB4848E}"/>
    <cellStyle name="Comma 4 3 2 3 4 4" xfId="26941" xr:uid="{B7A9A5BE-EB52-4F08-B041-BD9E65E0A79A}"/>
    <cellStyle name="Comma 4 3 2 3 4 5" xfId="18512" xr:uid="{D33C34BB-7F16-4C39-BC5F-A27940F9FF01}"/>
    <cellStyle name="Comma 4 3 2 3 4 6" xfId="35370" xr:uid="{F875135E-F4F0-4FCD-BF64-5B641B8B9CF5}"/>
    <cellStyle name="Comma 4 3 2 3 4 7" xfId="10077" xr:uid="{964D5A4A-BD48-45F8-B731-55E59B07837F}"/>
    <cellStyle name="Comma 4 3 2 3 5" xfId="1966" xr:uid="{00000000-0005-0000-0000-000050090000}"/>
    <cellStyle name="Comma 4 3 2 3 5 2" xfId="4195" xr:uid="{00000000-0005-0000-0000-000051090000}"/>
    <cellStyle name="Comma 4 3 2 3 5 2 2" xfId="8418" xr:uid="{00000000-0005-0000-0000-000052090000}"/>
    <cellStyle name="Comma 4 3 2 3 5 2 2 2" xfId="33717" xr:uid="{67A6CEE5-0F25-43B6-B1ED-60BF5663A5AD}"/>
    <cellStyle name="Comma 4 3 2 3 5 2 2 3" xfId="25288" xr:uid="{BB125B0F-9D2B-4F49-9547-84AEE43B5276}"/>
    <cellStyle name="Comma 4 3 2 3 5 2 2 4" xfId="42145" xr:uid="{EF153335-DE15-4BF8-8EC6-74742C72A92B}"/>
    <cellStyle name="Comma 4 3 2 3 5 2 2 5" xfId="16853" xr:uid="{1869E13D-1F22-40D7-A341-E7A71623B7C3}"/>
    <cellStyle name="Comma 4 3 2 3 5 2 3" xfId="29499" xr:uid="{A88087A5-398C-4688-9E45-BC18732FCFB0}"/>
    <cellStyle name="Comma 4 3 2 3 5 2 4" xfId="21070" xr:uid="{7B12EE71-4E93-4DDE-8DC6-CCF61432C313}"/>
    <cellStyle name="Comma 4 3 2 3 5 2 5" xfId="37928" xr:uid="{88D28423-9547-4E6B-A4A0-634F1A033B6D}"/>
    <cellStyle name="Comma 4 3 2 3 5 2 6" xfId="12635" xr:uid="{8B33E869-5B6F-4928-9888-1EA0AB454707}"/>
    <cellStyle name="Comma 4 3 2 3 5 3" xfId="6273" xr:uid="{00000000-0005-0000-0000-000053090000}"/>
    <cellStyle name="Comma 4 3 2 3 5 3 2" xfId="31572" xr:uid="{E732F557-685D-4E37-8978-508B91A8BFC7}"/>
    <cellStyle name="Comma 4 3 2 3 5 3 3" xfId="23143" xr:uid="{83AFFCA4-8423-4F41-B2FA-84005357857B}"/>
    <cellStyle name="Comma 4 3 2 3 5 3 4" xfId="40000" xr:uid="{820AE220-6A4E-48A0-81B9-66AC12CE299E}"/>
    <cellStyle name="Comma 4 3 2 3 5 3 5" xfId="14708" xr:uid="{FC1512C8-0215-4C31-89D1-CB43C391E541}"/>
    <cellStyle name="Comma 4 3 2 3 5 4" xfId="27354" xr:uid="{94C1B0CC-E28E-4361-9E0A-EA42EC4323DA}"/>
    <cellStyle name="Comma 4 3 2 3 5 5" xfId="18925" xr:uid="{6F4EE26F-2EEE-4785-A59C-1F77CBFF43DB}"/>
    <cellStyle name="Comma 4 3 2 3 5 6" xfId="35783" xr:uid="{FCC89591-B290-4FDA-AB45-A0E9C7223200}"/>
    <cellStyle name="Comma 4 3 2 3 5 7" xfId="10490" xr:uid="{80C97104-4C23-48C4-B5DA-1B5D88D51E0A}"/>
    <cellStyle name="Comma 4 3 2 3 6" xfId="2401" xr:uid="{00000000-0005-0000-0000-000054090000}"/>
    <cellStyle name="Comma 4 3 2 3 6 2" xfId="6686" xr:uid="{00000000-0005-0000-0000-000055090000}"/>
    <cellStyle name="Comma 4 3 2 3 6 2 2" xfId="31985" xr:uid="{FCB9E3EB-02D1-478E-B06E-631CAC8F19DA}"/>
    <cellStyle name="Comma 4 3 2 3 6 2 3" xfId="23556" xr:uid="{BDD6D1DB-8564-4D59-A656-2C350A7D2E96}"/>
    <cellStyle name="Comma 4 3 2 3 6 2 4" xfId="40413" xr:uid="{FB30EBDA-F04C-4B38-9415-D667160E3A94}"/>
    <cellStyle name="Comma 4 3 2 3 6 2 5" xfId="15121" xr:uid="{E545B0D4-80BE-4948-912B-A70C81AA7986}"/>
    <cellStyle name="Comma 4 3 2 3 6 3" xfId="27767" xr:uid="{6D21B1F9-635D-424E-8580-3142098361A3}"/>
    <cellStyle name="Comma 4 3 2 3 6 4" xfId="19338" xr:uid="{9059829D-0223-4B4F-9D6A-2CAC9704CBB1}"/>
    <cellStyle name="Comma 4 3 2 3 6 5" xfId="36196" xr:uid="{38D42F7C-9BD6-48A3-AF70-C114A2190185}"/>
    <cellStyle name="Comma 4 3 2 3 6 6" xfId="10903" xr:uid="{67745DA0-6924-4C6F-A657-16D975920E06}"/>
    <cellStyle name="Comma 4 3 2 3 7" xfId="2362" xr:uid="{00000000-0005-0000-0000-000056090000}"/>
    <cellStyle name="Comma 4 3 2 3 8" xfId="2779" xr:uid="{00000000-0005-0000-0000-000057090000}"/>
    <cellStyle name="Comma 4 3 2 3 8 2" xfId="7003" xr:uid="{00000000-0005-0000-0000-000058090000}"/>
    <cellStyle name="Comma 4 3 2 3 8 2 2" xfId="32302" xr:uid="{C9C2C74C-4479-4A9B-8A53-CDF4BC1EFD11}"/>
    <cellStyle name="Comma 4 3 2 3 8 2 3" xfId="23873" xr:uid="{C279D560-17A6-4772-9109-A8C82C29657C}"/>
    <cellStyle name="Comma 4 3 2 3 8 2 4" xfId="40730" xr:uid="{5A1C853C-CBC6-4360-8D32-F8D609B97583}"/>
    <cellStyle name="Comma 4 3 2 3 8 2 5" xfId="15438" xr:uid="{D389BC38-FE30-49DB-A88E-E589F75F856C}"/>
    <cellStyle name="Comma 4 3 2 3 8 3" xfId="28084" xr:uid="{A0BBC0C2-36F8-45BD-B051-2C78C7236AA9}"/>
    <cellStyle name="Comma 4 3 2 3 8 4" xfId="19655" xr:uid="{24B48DCB-A22C-43FD-8F43-9684B24C2804}"/>
    <cellStyle name="Comma 4 3 2 3 8 5" xfId="36513" xr:uid="{75F74AA0-96A6-4E84-BCA5-73763ACAD2EC}"/>
    <cellStyle name="Comma 4 3 2 3 8 6" xfId="11220" xr:uid="{3DB8E1C6-26D2-4D4E-8FE8-56B5CE417129}"/>
    <cellStyle name="Comma 4 3 2 3 9" xfId="4620" xr:uid="{00000000-0005-0000-0000-000059090000}"/>
    <cellStyle name="Comma 4 3 2 3 9 2" xfId="29919" xr:uid="{A0EAB322-1751-4BC9-A90B-19C476044A57}"/>
    <cellStyle name="Comma 4 3 2 3 9 3" xfId="21490" xr:uid="{B01493F9-84C2-4D14-ABF3-A0C0233F6078}"/>
    <cellStyle name="Comma 4 3 2 3 9 4" xfId="38347" xr:uid="{F533F4D6-3F0E-4714-BC78-546D20A11F2A}"/>
    <cellStyle name="Comma 4 3 2 3 9 5" xfId="13055" xr:uid="{5AEC2572-F812-40C8-A2DA-EB3B9148237C}"/>
    <cellStyle name="Comma 4 3 2 4" xfId="682" xr:uid="{00000000-0005-0000-0000-00005A090000}"/>
    <cellStyle name="Comma 4 3 2 4 2" xfId="2953" xr:uid="{00000000-0005-0000-0000-00005B090000}"/>
    <cellStyle name="Comma 4 3 2 4 2 2" xfId="7176" xr:uid="{00000000-0005-0000-0000-00005C090000}"/>
    <cellStyle name="Comma 4 3 2 4 2 2 2" xfId="32475" xr:uid="{34E0C90A-27B2-40F7-B0DD-7E92A121E890}"/>
    <cellStyle name="Comma 4 3 2 4 2 2 3" xfId="24046" xr:uid="{48533F0E-6002-4A5B-8064-2C641F92A727}"/>
    <cellStyle name="Comma 4 3 2 4 2 2 4" xfId="40903" xr:uid="{A82D8F86-D82B-4521-807A-DFD0B8B9E3EB}"/>
    <cellStyle name="Comma 4 3 2 4 2 2 5" xfId="15611" xr:uid="{D3C88372-D8B8-49EF-99AC-215C3A6021EB}"/>
    <cellStyle name="Comma 4 3 2 4 2 3" xfId="28257" xr:uid="{93B6AC71-375C-4433-8191-8029A67F2BCE}"/>
    <cellStyle name="Comma 4 3 2 4 2 4" xfId="19828" xr:uid="{9AE43489-8219-4DA6-B66E-12DEC1196E2D}"/>
    <cellStyle name="Comma 4 3 2 4 2 5" xfId="36686" xr:uid="{F69DEDAD-EFF7-45CC-947C-6673EB4E2DBB}"/>
    <cellStyle name="Comma 4 3 2 4 2 6" xfId="11393" xr:uid="{4899A091-E965-468C-A064-1E6B0600A141}"/>
    <cellStyle name="Comma 4 3 2 4 3" xfId="5031" xr:uid="{00000000-0005-0000-0000-00005D090000}"/>
    <cellStyle name="Comma 4 3 2 4 3 2" xfId="30330" xr:uid="{7AE2EF69-AF41-4DA4-9611-951996AC2B88}"/>
    <cellStyle name="Comma 4 3 2 4 3 3" xfId="21901" xr:uid="{B1F33143-C7A9-4666-AAA6-96447C07265E}"/>
    <cellStyle name="Comma 4 3 2 4 3 4" xfId="38758" xr:uid="{958FA900-1FAC-445A-8984-9C20A887E11C}"/>
    <cellStyle name="Comma 4 3 2 4 3 5" xfId="13466" xr:uid="{C4FA9B21-2DB2-41D7-A4A1-970ECCB38E1A}"/>
    <cellStyle name="Comma 4 3 2 4 4" xfId="26112" xr:uid="{FC78706B-097C-4D86-B3AA-70C6DF2CE026}"/>
    <cellStyle name="Comma 4 3 2 4 5" xfId="17683" xr:uid="{344FDA73-FA23-488B-B4F2-883739B61EE6}"/>
    <cellStyle name="Comma 4 3 2 4 6" xfId="34541" xr:uid="{1B29A1BF-4C87-40DB-8215-5BA1B41D243B}"/>
    <cellStyle name="Comma 4 3 2 4 7" xfId="9248" xr:uid="{1CE1012D-7B3E-4CBD-909F-BC6EBCC4C097}"/>
    <cellStyle name="Comma 4 3 2 5" xfId="1135" xr:uid="{00000000-0005-0000-0000-00005E090000}"/>
    <cellStyle name="Comma 4 3 2 5 2" xfId="3366" xr:uid="{00000000-0005-0000-0000-00005F090000}"/>
    <cellStyle name="Comma 4 3 2 5 2 2" xfId="7589" xr:uid="{00000000-0005-0000-0000-000060090000}"/>
    <cellStyle name="Comma 4 3 2 5 2 2 2" xfId="32888" xr:uid="{5E7C43F8-8CCA-4BB3-8D29-010F4258744D}"/>
    <cellStyle name="Comma 4 3 2 5 2 2 3" xfId="24459" xr:uid="{9A348742-5B21-4877-82FB-031750CB5E43}"/>
    <cellStyle name="Comma 4 3 2 5 2 2 4" xfId="41316" xr:uid="{9F1C0E5B-1928-47D7-9414-2C83BE77597E}"/>
    <cellStyle name="Comma 4 3 2 5 2 2 5" xfId="16024" xr:uid="{63A38CA2-06DA-447E-A6C2-C4F5C606C57A}"/>
    <cellStyle name="Comma 4 3 2 5 2 3" xfId="28670" xr:uid="{1A8A9CAC-A913-4D5E-A314-261C51BA17B0}"/>
    <cellStyle name="Comma 4 3 2 5 2 4" xfId="20241" xr:uid="{463A03C2-3259-4B11-BB10-44B60C95C4F7}"/>
    <cellStyle name="Comma 4 3 2 5 2 5" xfId="37099" xr:uid="{C38F1B34-B4C2-43EA-905D-C564B3E0C22A}"/>
    <cellStyle name="Comma 4 3 2 5 2 6" xfId="11806" xr:uid="{08134692-B27E-4145-B743-6FAD0123C5D3}"/>
    <cellStyle name="Comma 4 3 2 5 3" xfId="5444" xr:uid="{00000000-0005-0000-0000-000061090000}"/>
    <cellStyle name="Comma 4 3 2 5 3 2" xfId="30743" xr:uid="{4FDE3C84-3FCD-46B4-B0A9-BF59AC4740EB}"/>
    <cellStyle name="Comma 4 3 2 5 3 3" xfId="22314" xr:uid="{B6FA8BDA-1651-49A8-9E64-64043262CC05}"/>
    <cellStyle name="Comma 4 3 2 5 3 4" xfId="39171" xr:uid="{610F7E25-6877-433D-842E-8DF09CEC7626}"/>
    <cellStyle name="Comma 4 3 2 5 3 5" xfId="13879" xr:uid="{FAC309C9-F2AA-4CE6-977D-4DDA6BBDD6CC}"/>
    <cellStyle name="Comma 4 3 2 5 4" xfId="26525" xr:uid="{66455444-F0AB-4E73-AA2A-3194531DCBE5}"/>
    <cellStyle name="Comma 4 3 2 5 5" xfId="18096" xr:uid="{DCCA40C6-4454-4031-A51D-C189B22B1AA3}"/>
    <cellStyle name="Comma 4 3 2 5 6" xfId="34954" xr:uid="{CC828244-FD08-4854-9EF9-2BB8443027FA}"/>
    <cellStyle name="Comma 4 3 2 5 7" xfId="9661" xr:uid="{423A7EB7-E38D-47A3-90FD-AD2E9116AA34}"/>
    <cellStyle name="Comma 4 3 2 6" xfId="1549" xr:uid="{00000000-0005-0000-0000-000062090000}"/>
    <cellStyle name="Comma 4 3 2 6 2" xfId="3779" xr:uid="{00000000-0005-0000-0000-000063090000}"/>
    <cellStyle name="Comma 4 3 2 6 2 2" xfId="8002" xr:uid="{00000000-0005-0000-0000-000064090000}"/>
    <cellStyle name="Comma 4 3 2 6 2 2 2" xfId="33301" xr:uid="{0C7660DD-55EC-4123-AABF-6788D66A8828}"/>
    <cellStyle name="Comma 4 3 2 6 2 2 3" xfId="24872" xr:uid="{CD9042DF-246F-400A-9A84-3D39F5B6E147}"/>
    <cellStyle name="Comma 4 3 2 6 2 2 4" xfId="41729" xr:uid="{1AD457F1-50BF-4E0C-8106-F406A4894AEE}"/>
    <cellStyle name="Comma 4 3 2 6 2 2 5" xfId="16437" xr:uid="{BD75BE09-248E-4FA9-A2CA-7375F5798903}"/>
    <cellStyle name="Comma 4 3 2 6 2 3" xfId="29083" xr:uid="{DC98DAB1-8A7C-4B68-B3BB-7C43A6B1EDBC}"/>
    <cellStyle name="Comma 4 3 2 6 2 4" xfId="20654" xr:uid="{2A4ECFDE-6C55-4871-A909-6405DB1AB70C}"/>
    <cellStyle name="Comma 4 3 2 6 2 5" xfId="37512" xr:uid="{F0D6EE45-D485-4283-9EF7-5D183401FAD1}"/>
    <cellStyle name="Comma 4 3 2 6 2 6" xfId="12219" xr:uid="{20200AC8-99D6-4406-9C6D-58C859BD7B80}"/>
    <cellStyle name="Comma 4 3 2 6 3" xfId="5857" xr:uid="{00000000-0005-0000-0000-000065090000}"/>
    <cellStyle name="Comma 4 3 2 6 3 2" xfId="31156" xr:uid="{CF1C6DFA-C850-488F-8167-C189135CF0C9}"/>
    <cellStyle name="Comma 4 3 2 6 3 3" xfId="22727" xr:uid="{C0D7CBB4-F867-4812-9795-479C8045AA94}"/>
    <cellStyle name="Comma 4 3 2 6 3 4" xfId="39584" xr:uid="{B774B1CB-149D-46D4-B694-89DC8A79117B}"/>
    <cellStyle name="Comma 4 3 2 6 3 5" xfId="14292" xr:uid="{EF625E16-5A6F-4203-99A6-ADAEF8374873}"/>
    <cellStyle name="Comma 4 3 2 6 4" xfId="26938" xr:uid="{43C05C48-8DE2-4A7D-97AD-9D84D4EA59D5}"/>
    <cellStyle name="Comma 4 3 2 6 5" xfId="18509" xr:uid="{0286385D-3176-41C3-84CB-38EC355BD188}"/>
    <cellStyle name="Comma 4 3 2 6 6" xfId="35367" xr:uid="{CE76812E-6918-4BC7-AC53-723783B378EA}"/>
    <cellStyle name="Comma 4 3 2 6 7" xfId="10074" xr:uid="{724AE1C7-2FD8-4EB5-94E0-C0B0D0C6D9FA}"/>
    <cellStyle name="Comma 4 3 2 7" xfId="1963" xr:uid="{00000000-0005-0000-0000-000066090000}"/>
    <cellStyle name="Comma 4 3 2 7 2" xfId="4192" xr:uid="{00000000-0005-0000-0000-000067090000}"/>
    <cellStyle name="Comma 4 3 2 7 2 2" xfId="8415" xr:uid="{00000000-0005-0000-0000-000068090000}"/>
    <cellStyle name="Comma 4 3 2 7 2 2 2" xfId="33714" xr:uid="{2F1C6A8E-D218-496B-B2F9-A136DB8E0E98}"/>
    <cellStyle name="Comma 4 3 2 7 2 2 3" xfId="25285" xr:uid="{1BF06BB8-0729-4B06-9C33-4691B8CFC816}"/>
    <cellStyle name="Comma 4 3 2 7 2 2 4" xfId="42142" xr:uid="{56481122-42AE-4E7E-AB0E-0F93169EE5F5}"/>
    <cellStyle name="Comma 4 3 2 7 2 2 5" xfId="16850" xr:uid="{935AE9A4-0E18-49F6-A832-CE50DF258CD1}"/>
    <cellStyle name="Comma 4 3 2 7 2 3" xfId="29496" xr:uid="{1129F1B1-500A-40D6-B29B-38B5A90868A7}"/>
    <cellStyle name="Comma 4 3 2 7 2 4" xfId="21067" xr:uid="{FD8BF702-DE00-4B11-ADAD-2F4D53B1FCF0}"/>
    <cellStyle name="Comma 4 3 2 7 2 5" xfId="37925" xr:uid="{B145E133-2171-4571-8B76-9EDBDFA573DE}"/>
    <cellStyle name="Comma 4 3 2 7 2 6" xfId="12632" xr:uid="{3FB513C0-E4B5-4D63-A9E2-03616DFC9236}"/>
    <cellStyle name="Comma 4 3 2 7 3" xfId="6270" xr:uid="{00000000-0005-0000-0000-000069090000}"/>
    <cellStyle name="Comma 4 3 2 7 3 2" xfId="31569" xr:uid="{5195EDE7-A8EE-4183-A0F0-8922A328C896}"/>
    <cellStyle name="Comma 4 3 2 7 3 3" xfId="23140" xr:uid="{23681286-718D-40DE-B691-A3D03A2955AF}"/>
    <cellStyle name="Comma 4 3 2 7 3 4" xfId="39997" xr:uid="{09A3FEAF-7CCB-42CF-9C15-60840C168E30}"/>
    <cellStyle name="Comma 4 3 2 7 3 5" xfId="14705" xr:uid="{59582E72-1F27-405C-BBF9-237E056233FE}"/>
    <cellStyle name="Comma 4 3 2 7 4" xfId="27351" xr:uid="{89F1A863-66D0-4DBF-AE15-CD69782AF6F5}"/>
    <cellStyle name="Comma 4 3 2 7 5" xfId="18922" xr:uid="{9FAC86B0-B52C-410A-A87F-560384A1D5FB}"/>
    <cellStyle name="Comma 4 3 2 7 6" xfId="35780" xr:uid="{697B39CF-B82C-43E0-ADBE-62BBAC54F41E}"/>
    <cellStyle name="Comma 4 3 2 7 7" xfId="10487" xr:uid="{121F890D-D8D2-4D6F-B7F5-EF7235C055D8}"/>
    <cellStyle name="Comma 4 3 2 8" xfId="2398" xr:uid="{00000000-0005-0000-0000-00006A090000}"/>
    <cellStyle name="Comma 4 3 2 8 2" xfId="6683" xr:uid="{00000000-0005-0000-0000-00006B090000}"/>
    <cellStyle name="Comma 4 3 2 8 2 2" xfId="31982" xr:uid="{DAEF3740-FB15-4B19-9057-3F62FC21DE13}"/>
    <cellStyle name="Comma 4 3 2 8 2 3" xfId="23553" xr:uid="{E1059240-5FCF-4326-9EA6-131168ADB154}"/>
    <cellStyle name="Comma 4 3 2 8 2 4" xfId="40410" xr:uid="{27045901-E16E-424F-9031-4DDB6D980E03}"/>
    <cellStyle name="Comma 4 3 2 8 2 5" xfId="15118" xr:uid="{47665A79-CBE1-4168-B87A-0399BD9802FF}"/>
    <cellStyle name="Comma 4 3 2 8 3" xfId="27764" xr:uid="{A9D4059C-A13F-4428-A405-8ADFE9D5F209}"/>
    <cellStyle name="Comma 4 3 2 8 4" xfId="19335" xr:uid="{AC27E36E-D4CB-4210-A623-DD36314FBA3C}"/>
    <cellStyle name="Comma 4 3 2 8 5" xfId="36193" xr:uid="{F474BDC7-0419-4CF5-A537-C497982E2091}"/>
    <cellStyle name="Comma 4 3 2 8 6" xfId="10900" xr:uid="{B240DE30-201A-4EC5-867B-A54707527BCC}"/>
    <cellStyle name="Comma 4 3 2 9" xfId="2365" xr:uid="{00000000-0005-0000-0000-00006C090000}"/>
    <cellStyle name="Comma 4 3 3" xfId="149" xr:uid="{00000000-0005-0000-0000-00006D090000}"/>
    <cellStyle name="Comma 4 3 3 10" xfId="4621" xr:uid="{00000000-0005-0000-0000-00006E090000}"/>
    <cellStyle name="Comma 4 3 3 10 2" xfId="29920" xr:uid="{65BC4B4D-476D-4CD8-9BBC-8E336E5D0518}"/>
    <cellStyle name="Comma 4 3 3 10 3" xfId="21491" xr:uid="{140FFF64-90E1-4DFC-B083-C8FB65282B4F}"/>
    <cellStyle name="Comma 4 3 3 10 4" xfId="38348" xr:uid="{2B579DAC-011C-4C71-86D7-60EADFFB25CA}"/>
    <cellStyle name="Comma 4 3 3 10 5" xfId="13056" xr:uid="{4EB6F673-616A-4A63-B829-9FB1D8BE2192}"/>
    <cellStyle name="Comma 4 3 3 11" xfId="25702" xr:uid="{FB3BF9AD-0D1D-4C7B-BBBF-A372F91F4424}"/>
    <cellStyle name="Comma 4 3 3 12" xfId="17273" xr:uid="{C967DEA3-CCF2-424B-8B43-91758B852C04}"/>
    <cellStyle name="Comma 4 3 3 13" xfId="34131" xr:uid="{B908C739-C1EF-4EBD-8C1F-744598F2498C}"/>
    <cellStyle name="Comma 4 3 3 14" xfId="8838" xr:uid="{41C310BC-BD20-4B0D-B695-C53B08CCC514}"/>
    <cellStyle name="Comma 4 3 3 2" xfId="150" xr:uid="{00000000-0005-0000-0000-00006F090000}"/>
    <cellStyle name="Comma 4 3 3 2 10" xfId="25703" xr:uid="{FC7F8C55-E80A-4500-AA1B-EE3B5A84196F}"/>
    <cellStyle name="Comma 4 3 3 2 11" xfId="17274" xr:uid="{009A35ED-8E4B-4F6B-B43A-1C40F5D891BC}"/>
    <cellStyle name="Comma 4 3 3 2 12" xfId="34132" xr:uid="{A61E4E94-4123-4C20-AAD3-F23DA734E8FE}"/>
    <cellStyle name="Comma 4 3 3 2 13" xfId="8839" xr:uid="{B5E143D1-AF35-4F31-887A-C68888FFE6E3}"/>
    <cellStyle name="Comma 4 3 3 2 2" xfId="687" xr:uid="{00000000-0005-0000-0000-000070090000}"/>
    <cellStyle name="Comma 4 3 3 2 2 2" xfId="2958" xr:uid="{00000000-0005-0000-0000-000071090000}"/>
    <cellStyle name="Comma 4 3 3 2 2 2 2" xfId="7181" xr:uid="{00000000-0005-0000-0000-000072090000}"/>
    <cellStyle name="Comma 4 3 3 2 2 2 2 2" xfId="32480" xr:uid="{77D11C71-0B85-4216-8BF9-CCDD26EB4218}"/>
    <cellStyle name="Comma 4 3 3 2 2 2 2 3" xfId="24051" xr:uid="{5F456DF7-628D-4306-8B07-2ED6C2B13F6B}"/>
    <cellStyle name="Comma 4 3 3 2 2 2 2 4" xfId="40908" xr:uid="{F97C96E8-6D02-4543-A90B-8F8BF06A985D}"/>
    <cellStyle name="Comma 4 3 3 2 2 2 2 5" xfId="15616" xr:uid="{0061657B-6C99-4C38-A168-3ABE415137FD}"/>
    <cellStyle name="Comma 4 3 3 2 2 2 3" xfId="28262" xr:uid="{8FE8782A-0C54-42DB-9688-546DBE435B45}"/>
    <cellStyle name="Comma 4 3 3 2 2 2 4" xfId="19833" xr:uid="{1946A1F9-E1EC-4EFB-82F9-73AC782C85AC}"/>
    <cellStyle name="Comma 4 3 3 2 2 2 5" xfId="36691" xr:uid="{B7D10D53-E123-40E4-B6B2-1DC8F209CC3E}"/>
    <cellStyle name="Comma 4 3 3 2 2 2 6" xfId="11398" xr:uid="{58C9F6E2-DB58-43F2-AFCC-7F4309A9E851}"/>
    <cellStyle name="Comma 4 3 3 2 2 3" xfId="5036" xr:uid="{00000000-0005-0000-0000-000073090000}"/>
    <cellStyle name="Comma 4 3 3 2 2 3 2" xfId="30335" xr:uid="{A1446058-EC03-4ED3-B34A-5504453188FC}"/>
    <cellStyle name="Comma 4 3 3 2 2 3 3" xfId="21906" xr:uid="{F307BD11-6FF1-4F4D-A83A-B5A8B2FA1099}"/>
    <cellStyle name="Comma 4 3 3 2 2 3 4" xfId="38763" xr:uid="{1D17C6DE-AF0F-431E-B18D-88273DFA846A}"/>
    <cellStyle name="Comma 4 3 3 2 2 3 5" xfId="13471" xr:uid="{BB7960E4-F65D-4292-B43B-B51411FC637F}"/>
    <cellStyle name="Comma 4 3 3 2 2 4" xfId="26117" xr:uid="{6EFCA40D-1290-4FAF-BE6F-F5A14D568553}"/>
    <cellStyle name="Comma 4 3 3 2 2 5" xfId="17688" xr:uid="{DE2D5D82-10A6-49AE-A339-2D7A82D7E97A}"/>
    <cellStyle name="Comma 4 3 3 2 2 6" xfId="34546" xr:uid="{20C90D28-9F6A-431A-82CD-D7013AFD6E86}"/>
    <cellStyle name="Comma 4 3 3 2 2 7" xfId="9253" xr:uid="{6B7A3625-999A-4119-9D01-C68916513B3F}"/>
    <cellStyle name="Comma 4 3 3 2 3" xfId="1140" xr:uid="{00000000-0005-0000-0000-000074090000}"/>
    <cellStyle name="Comma 4 3 3 2 3 2" xfId="3371" xr:uid="{00000000-0005-0000-0000-000075090000}"/>
    <cellStyle name="Comma 4 3 3 2 3 2 2" xfId="7594" xr:uid="{00000000-0005-0000-0000-000076090000}"/>
    <cellStyle name="Comma 4 3 3 2 3 2 2 2" xfId="32893" xr:uid="{8A4BEC90-A18D-4E88-98F8-528096F7AFF2}"/>
    <cellStyle name="Comma 4 3 3 2 3 2 2 3" xfId="24464" xr:uid="{76036DF3-296F-4097-B4AD-11F9F633D675}"/>
    <cellStyle name="Comma 4 3 3 2 3 2 2 4" xfId="41321" xr:uid="{89F06752-82B1-4CE5-986D-351959B83A78}"/>
    <cellStyle name="Comma 4 3 3 2 3 2 2 5" xfId="16029" xr:uid="{CC76DF93-555D-450B-8EE9-F85C25D247C1}"/>
    <cellStyle name="Comma 4 3 3 2 3 2 3" xfId="28675" xr:uid="{56F3711F-4C57-4051-8ED1-86536D1EAD81}"/>
    <cellStyle name="Comma 4 3 3 2 3 2 4" xfId="20246" xr:uid="{B9FD87D5-0A48-4030-96E5-1E3CA686FD72}"/>
    <cellStyle name="Comma 4 3 3 2 3 2 5" xfId="37104" xr:uid="{CA5BF0FC-C0B5-4486-9C1D-81283D145F0A}"/>
    <cellStyle name="Comma 4 3 3 2 3 2 6" xfId="11811" xr:uid="{34E7742C-33BC-4964-8831-786CA56F3725}"/>
    <cellStyle name="Comma 4 3 3 2 3 3" xfId="5449" xr:uid="{00000000-0005-0000-0000-000077090000}"/>
    <cellStyle name="Comma 4 3 3 2 3 3 2" xfId="30748" xr:uid="{BBF58BED-81C0-461F-80F7-E9F4D1EE4C4B}"/>
    <cellStyle name="Comma 4 3 3 2 3 3 3" xfId="22319" xr:uid="{A95C8148-D42A-478E-BB89-6510846C78F4}"/>
    <cellStyle name="Comma 4 3 3 2 3 3 4" xfId="39176" xr:uid="{D30E6F8E-3E28-4915-AE25-CBA76D009BEC}"/>
    <cellStyle name="Comma 4 3 3 2 3 3 5" xfId="13884" xr:uid="{D52E7BEA-5E9F-4AAA-97CA-5E575C2E93F7}"/>
    <cellStyle name="Comma 4 3 3 2 3 4" xfId="26530" xr:uid="{B0C53B5C-EA05-4364-B78B-57573E66C05A}"/>
    <cellStyle name="Comma 4 3 3 2 3 5" xfId="18101" xr:uid="{4B501EA6-B877-4ED1-BDAD-D26B6D8E7EE4}"/>
    <cellStyle name="Comma 4 3 3 2 3 6" xfId="34959" xr:uid="{D74FAFC7-0B68-4936-BC56-373829B0D40C}"/>
    <cellStyle name="Comma 4 3 3 2 3 7" xfId="9666" xr:uid="{C6E02E5D-9959-4225-B03B-AB82FD8916DB}"/>
    <cellStyle name="Comma 4 3 3 2 4" xfId="1554" xr:uid="{00000000-0005-0000-0000-000078090000}"/>
    <cellStyle name="Comma 4 3 3 2 4 2" xfId="3784" xr:uid="{00000000-0005-0000-0000-000079090000}"/>
    <cellStyle name="Comma 4 3 3 2 4 2 2" xfId="8007" xr:uid="{00000000-0005-0000-0000-00007A090000}"/>
    <cellStyle name="Comma 4 3 3 2 4 2 2 2" xfId="33306" xr:uid="{B8D78D97-2850-4123-9774-5CA52D6492EA}"/>
    <cellStyle name="Comma 4 3 3 2 4 2 2 3" xfId="24877" xr:uid="{1B34BCBB-E76F-417D-951E-482F81382F1E}"/>
    <cellStyle name="Comma 4 3 3 2 4 2 2 4" xfId="41734" xr:uid="{B8E7002C-595E-4224-A77F-6C8AE9D66F42}"/>
    <cellStyle name="Comma 4 3 3 2 4 2 2 5" xfId="16442" xr:uid="{15E65424-5ADF-4E53-A28C-0EFAEE52D4F0}"/>
    <cellStyle name="Comma 4 3 3 2 4 2 3" xfId="29088" xr:uid="{8E12B653-3FE1-4CE7-AFCD-1429E2B9306A}"/>
    <cellStyle name="Comma 4 3 3 2 4 2 4" xfId="20659" xr:uid="{8C63B029-9831-4488-BBCF-AC3E4890691F}"/>
    <cellStyle name="Comma 4 3 3 2 4 2 5" xfId="37517" xr:uid="{747FFA09-C5B1-46AF-91E8-688C2E065C52}"/>
    <cellStyle name="Comma 4 3 3 2 4 2 6" xfId="12224" xr:uid="{BADB2448-A5B8-4091-B35F-4C778C0C8964}"/>
    <cellStyle name="Comma 4 3 3 2 4 3" xfId="5862" xr:uid="{00000000-0005-0000-0000-00007B090000}"/>
    <cellStyle name="Comma 4 3 3 2 4 3 2" xfId="31161" xr:uid="{965EE1C2-6DC0-4E25-B7DC-BCE719AADFB9}"/>
    <cellStyle name="Comma 4 3 3 2 4 3 3" xfId="22732" xr:uid="{6F27CF73-B8E7-417A-93E3-B5967BDE5CED}"/>
    <cellStyle name="Comma 4 3 3 2 4 3 4" xfId="39589" xr:uid="{073766CC-664E-45C3-965F-11D95DB73E6F}"/>
    <cellStyle name="Comma 4 3 3 2 4 3 5" xfId="14297" xr:uid="{3D7EC456-92E5-4F97-9B51-CDBB245842CF}"/>
    <cellStyle name="Comma 4 3 3 2 4 4" xfId="26943" xr:uid="{19CD35C8-8C87-4A29-8E2B-3C2857F9364B}"/>
    <cellStyle name="Comma 4 3 3 2 4 5" xfId="18514" xr:uid="{3D88ED8E-D92B-4167-80F9-587AC27D1DA6}"/>
    <cellStyle name="Comma 4 3 3 2 4 6" xfId="35372" xr:uid="{A41DC1C5-4928-4F2D-958E-58D542D99732}"/>
    <cellStyle name="Comma 4 3 3 2 4 7" xfId="10079" xr:uid="{44C6B32B-2F9C-4336-8276-2EDF49D35B5C}"/>
    <cellStyle name="Comma 4 3 3 2 5" xfId="1968" xr:uid="{00000000-0005-0000-0000-00007C090000}"/>
    <cellStyle name="Comma 4 3 3 2 5 2" xfId="4197" xr:uid="{00000000-0005-0000-0000-00007D090000}"/>
    <cellStyle name="Comma 4 3 3 2 5 2 2" xfId="8420" xr:uid="{00000000-0005-0000-0000-00007E090000}"/>
    <cellStyle name="Comma 4 3 3 2 5 2 2 2" xfId="33719" xr:uid="{8E54F342-7761-4542-939B-2D9AADB5BD28}"/>
    <cellStyle name="Comma 4 3 3 2 5 2 2 3" xfId="25290" xr:uid="{EDD8B1F9-E35B-42E2-B187-27769BEA7658}"/>
    <cellStyle name="Comma 4 3 3 2 5 2 2 4" xfId="42147" xr:uid="{297980CB-A1D1-4F33-AFE1-3043E30C1526}"/>
    <cellStyle name="Comma 4 3 3 2 5 2 2 5" xfId="16855" xr:uid="{293E2DA4-5D55-41D2-8D0D-7CA19F574A61}"/>
    <cellStyle name="Comma 4 3 3 2 5 2 3" xfId="29501" xr:uid="{47D10F93-779E-497A-B33A-3C5DAFD16D62}"/>
    <cellStyle name="Comma 4 3 3 2 5 2 4" xfId="21072" xr:uid="{689EE57F-0C09-4605-B5AD-CB6DCE5E828C}"/>
    <cellStyle name="Comma 4 3 3 2 5 2 5" xfId="37930" xr:uid="{C5C750DE-0D28-428F-BDD4-D855123B13AA}"/>
    <cellStyle name="Comma 4 3 3 2 5 2 6" xfId="12637" xr:uid="{C6FA6590-7417-4489-8C06-5A7715A67091}"/>
    <cellStyle name="Comma 4 3 3 2 5 3" xfId="6275" xr:uid="{00000000-0005-0000-0000-00007F090000}"/>
    <cellStyle name="Comma 4 3 3 2 5 3 2" xfId="31574" xr:uid="{A5C37562-8594-44AD-8E64-FE0DC5BD8821}"/>
    <cellStyle name="Comma 4 3 3 2 5 3 3" xfId="23145" xr:uid="{0F39822F-C053-4AB2-A592-279DF414BC9A}"/>
    <cellStyle name="Comma 4 3 3 2 5 3 4" xfId="40002" xr:uid="{9FB19233-CEB5-403B-8A7B-BB91831E1958}"/>
    <cellStyle name="Comma 4 3 3 2 5 3 5" xfId="14710" xr:uid="{FD357FAD-F49C-4764-A564-62A9185F05C1}"/>
    <cellStyle name="Comma 4 3 3 2 5 4" xfId="27356" xr:uid="{17711D09-A3D0-43E5-951D-21CAFD363F1B}"/>
    <cellStyle name="Comma 4 3 3 2 5 5" xfId="18927" xr:uid="{4F5279F8-07DA-40E7-BA2C-65376D2D434E}"/>
    <cellStyle name="Comma 4 3 3 2 5 6" xfId="35785" xr:uid="{5EE0F048-463C-4015-A19D-DCE78D71C1A8}"/>
    <cellStyle name="Comma 4 3 3 2 5 7" xfId="10492" xr:uid="{BE2EB151-1A52-4E9C-966A-E03E0B3193A7}"/>
    <cellStyle name="Comma 4 3 3 2 6" xfId="2403" xr:uid="{00000000-0005-0000-0000-000080090000}"/>
    <cellStyle name="Comma 4 3 3 2 6 2" xfId="6688" xr:uid="{00000000-0005-0000-0000-000081090000}"/>
    <cellStyle name="Comma 4 3 3 2 6 2 2" xfId="31987" xr:uid="{858B998B-82B0-4BBE-8270-FD212325D088}"/>
    <cellStyle name="Comma 4 3 3 2 6 2 3" xfId="23558" xr:uid="{3419201A-A21B-4CAB-A80B-485AFE9D3F20}"/>
    <cellStyle name="Comma 4 3 3 2 6 2 4" xfId="40415" xr:uid="{45E53105-CE27-42F2-9878-B664033E48B7}"/>
    <cellStyle name="Comma 4 3 3 2 6 2 5" xfId="15123" xr:uid="{CD71F851-0F8D-4EF0-826A-790A642786E7}"/>
    <cellStyle name="Comma 4 3 3 2 6 3" xfId="27769" xr:uid="{351CF668-5BE8-49C0-91A4-10021023980C}"/>
    <cellStyle name="Comma 4 3 3 2 6 4" xfId="19340" xr:uid="{A3E2F0D9-B2FE-4EC0-A705-0B1D9B3B20F6}"/>
    <cellStyle name="Comma 4 3 3 2 6 5" xfId="36198" xr:uid="{DAD43C44-E971-4B88-BD45-424B48989FBE}"/>
    <cellStyle name="Comma 4 3 3 2 6 6" xfId="10905" xr:uid="{83CA7849-7723-40C8-8D02-3475786C3E30}"/>
    <cellStyle name="Comma 4 3 3 2 7" xfId="2360" xr:uid="{00000000-0005-0000-0000-000082090000}"/>
    <cellStyle name="Comma 4 3 3 2 8" xfId="2781" xr:uid="{00000000-0005-0000-0000-000083090000}"/>
    <cellStyle name="Comma 4 3 3 2 8 2" xfId="7005" xr:uid="{00000000-0005-0000-0000-000084090000}"/>
    <cellStyle name="Comma 4 3 3 2 8 2 2" xfId="32304" xr:uid="{87B825FE-E307-4AA1-A2B8-EC81DA2CB8D3}"/>
    <cellStyle name="Comma 4 3 3 2 8 2 3" xfId="23875" xr:uid="{F96B72BC-6F57-42E0-BBAF-946F83398FDB}"/>
    <cellStyle name="Comma 4 3 3 2 8 2 4" xfId="40732" xr:uid="{95B9774B-18D9-445B-9CBA-27F0CBD6DADD}"/>
    <cellStyle name="Comma 4 3 3 2 8 2 5" xfId="15440" xr:uid="{4FB3BE97-130B-4278-B347-8C99441A7354}"/>
    <cellStyle name="Comma 4 3 3 2 8 3" xfId="28086" xr:uid="{E3C6B934-5A8C-4DBD-8CFF-5825A227057B}"/>
    <cellStyle name="Comma 4 3 3 2 8 4" xfId="19657" xr:uid="{FA2817E1-58EF-40C3-BE73-793764978937}"/>
    <cellStyle name="Comma 4 3 3 2 8 5" xfId="36515" xr:uid="{4CDB4A44-2653-4D84-A53C-6931258A3EE9}"/>
    <cellStyle name="Comma 4 3 3 2 8 6" xfId="11222" xr:uid="{02799C70-8A5E-41F9-99D9-925006FB1DA5}"/>
    <cellStyle name="Comma 4 3 3 2 9" xfId="4622" xr:uid="{00000000-0005-0000-0000-000085090000}"/>
    <cellStyle name="Comma 4 3 3 2 9 2" xfId="29921" xr:uid="{B756E089-033C-46DC-8F4C-C7FEF525770D}"/>
    <cellStyle name="Comma 4 3 3 2 9 3" xfId="21492" xr:uid="{40E6A2CC-06BC-42F0-970E-0E5160BEE276}"/>
    <cellStyle name="Comma 4 3 3 2 9 4" xfId="38349" xr:uid="{DAA0FD25-7307-4F60-A25D-E9A0D2FB9383}"/>
    <cellStyle name="Comma 4 3 3 2 9 5" xfId="13057" xr:uid="{6F455C7F-485C-4219-A65C-1036DC274C3B}"/>
    <cellStyle name="Comma 4 3 3 3" xfId="686" xr:uid="{00000000-0005-0000-0000-000086090000}"/>
    <cellStyle name="Comma 4 3 3 3 2" xfId="2957" xr:uid="{00000000-0005-0000-0000-000087090000}"/>
    <cellStyle name="Comma 4 3 3 3 2 2" xfId="7180" xr:uid="{00000000-0005-0000-0000-000088090000}"/>
    <cellStyle name="Comma 4 3 3 3 2 2 2" xfId="32479" xr:uid="{8D1F2542-555B-44F3-8725-65700E9128A4}"/>
    <cellStyle name="Comma 4 3 3 3 2 2 3" xfId="24050" xr:uid="{5569F244-4ABC-493D-849E-750B7C5853FB}"/>
    <cellStyle name="Comma 4 3 3 3 2 2 4" xfId="40907" xr:uid="{9559E284-80F8-492E-9301-5F97CFBBAEC1}"/>
    <cellStyle name="Comma 4 3 3 3 2 2 5" xfId="15615" xr:uid="{B6827BDF-C57E-4B20-BAFB-C9DCAD66DE34}"/>
    <cellStyle name="Comma 4 3 3 3 2 3" xfId="28261" xr:uid="{B606708A-8B6B-4FF7-960C-C96599E9BCF2}"/>
    <cellStyle name="Comma 4 3 3 3 2 4" xfId="19832" xr:uid="{D743B55B-AABE-4037-A2C2-9DD98218F378}"/>
    <cellStyle name="Comma 4 3 3 3 2 5" xfId="36690" xr:uid="{C4AB0205-0F93-4EC4-A056-C4DE0B3DB960}"/>
    <cellStyle name="Comma 4 3 3 3 2 6" xfId="11397" xr:uid="{C54A65B1-94B5-4265-89A4-5C295107F525}"/>
    <cellStyle name="Comma 4 3 3 3 3" xfId="5035" xr:uid="{00000000-0005-0000-0000-000089090000}"/>
    <cellStyle name="Comma 4 3 3 3 3 2" xfId="30334" xr:uid="{134A5A13-FBFE-4314-8D2B-55CE94FB8BC0}"/>
    <cellStyle name="Comma 4 3 3 3 3 3" xfId="21905" xr:uid="{14E03E49-162B-47C5-A733-66F2D8DC8C82}"/>
    <cellStyle name="Comma 4 3 3 3 3 4" xfId="38762" xr:uid="{5103FC33-38E7-493F-944D-0D4E66D4A30B}"/>
    <cellStyle name="Comma 4 3 3 3 3 5" xfId="13470" xr:uid="{6E54340C-FD84-43F5-A53F-06FD8B3682EB}"/>
    <cellStyle name="Comma 4 3 3 3 4" xfId="26116" xr:uid="{50F8480A-E997-4FC9-8D7E-4412C3C9C564}"/>
    <cellStyle name="Comma 4 3 3 3 5" xfId="17687" xr:uid="{7958142B-3A91-4AAE-9F92-EA46C14EFD95}"/>
    <cellStyle name="Comma 4 3 3 3 6" xfId="34545" xr:uid="{13AAAD50-902D-4F54-B8B6-6E53332460E8}"/>
    <cellStyle name="Comma 4 3 3 3 7" xfId="9252" xr:uid="{4EA7B6E5-025B-49E2-96FD-1ADCC49E5CCE}"/>
    <cellStyle name="Comma 4 3 3 4" xfId="1139" xr:uid="{00000000-0005-0000-0000-00008A090000}"/>
    <cellStyle name="Comma 4 3 3 4 2" xfId="3370" xr:uid="{00000000-0005-0000-0000-00008B090000}"/>
    <cellStyle name="Comma 4 3 3 4 2 2" xfId="7593" xr:uid="{00000000-0005-0000-0000-00008C090000}"/>
    <cellStyle name="Comma 4 3 3 4 2 2 2" xfId="32892" xr:uid="{92814AAE-2E7C-4033-806A-271A9C04533B}"/>
    <cellStyle name="Comma 4 3 3 4 2 2 3" xfId="24463" xr:uid="{37569401-92D5-4AF6-94F8-0C4347CD6EB1}"/>
    <cellStyle name="Comma 4 3 3 4 2 2 4" xfId="41320" xr:uid="{744313D4-1704-4150-949B-756AC9298150}"/>
    <cellStyle name="Comma 4 3 3 4 2 2 5" xfId="16028" xr:uid="{9AE10A8C-38F8-477E-954D-5871657C886E}"/>
    <cellStyle name="Comma 4 3 3 4 2 3" xfId="28674" xr:uid="{B0F89340-C7F6-4D4D-B841-20CCDFDCD939}"/>
    <cellStyle name="Comma 4 3 3 4 2 4" xfId="20245" xr:uid="{1B013AF0-DB49-45DB-BCD0-2AB6419CA9B5}"/>
    <cellStyle name="Comma 4 3 3 4 2 5" xfId="37103" xr:uid="{D4A7A21B-BF66-497A-AEF0-4F598911538C}"/>
    <cellStyle name="Comma 4 3 3 4 2 6" xfId="11810" xr:uid="{7DF51436-EE39-4C16-A149-AA047296F4B9}"/>
    <cellStyle name="Comma 4 3 3 4 3" xfId="5448" xr:uid="{00000000-0005-0000-0000-00008D090000}"/>
    <cellStyle name="Comma 4 3 3 4 3 2" xfId="30747" xr:uid="{D5E1D2EE-8C81-4751-B423-F861E05E1F00}"/>
    <cellStyle name="Comma 4 3 3 4 3 3" xfId="22318" xr:uid="{31C65468-142B-4842-B4BB-350DEC105429}"/>
    <cellStyle name="Comma 4 3 3 4 3 4" xfId="39175" xr:uid="{71C87200-5BEB-452A-AC3A-2D3488DFC551}"/>
    <cellStyle name="Comma 4 3 3 4 3 5" xfId="13883" xr:uid="{EB70D998-85CD-4DFD-88F5-C3BBA85BF4CC}"/>
    <cellStyle name="Comma 4 3 3 4 4" xfId="26529" xr:uid="{8D2039D7-C837-4DB6-9CE0-076A0267D61B}"/>
    <cellStyle name="Comma 4 3 3 4 5" xfId="18100" xr:uid="{F128C748-BAA8-40F3-8C96-F49204830D04}"/>
    <cellStyle name="Comma 4 3 3 4 6" xfId="34958" xr:uid="{C5FBA8E3-B36D-41AE-ADEF-B47E1BF5494A}"/>
    <cellStyle name="Comma 4 3 3 4 7" xfId="9665" xr:uid="{5150ACA0-91A3-48DD-8601-B34631286271}"/>
    <cellStyle name="Comma 4 3 3 5" xfId="1553" xr:uid="{00000000-0005-0000-0000-00008E090000}"/>
    <cellStyle name="Comma 4 3 3 5 2" xfId="3783" xr:uid="{00000000-0005-0000-0000-00008F090000}"/>
    <cellStyle name="Comma 4 3 3 5 2 2" xfId="8006" xr:uid="{00000000-0005-0000-0000-000090090000}"/>
    <cellStyle name="Comma 4 3 3 5 2 2 2" xfId="33305" xr:uid="{71735A83-E107-49D4-8505-7A32A2BE715F}"/>
    <cellStyle name="Comma 4 3 3 5 2 2 3" xfId="24876" xr:uid="{26A6302D-A5B1-4A90-AA33-942A25E07274}"/>
    <cellStyle name="Comma 4 3 3 5 2 2 4" xfId="41733" xr:uid="{A5D69A5A-E308-46C5-9D7C-6202EC4C2AAA}"/>
    <cellStyle name="Comma 4 3 3 5 2 2 5" xfId="16441" xr:uid="{CC349E83-A0B9-403F-A01A-79630DD8C05A}"/>
    <cellStyle name="Comma 4 3 3 5 2 3" xfId="29087" xr:uid="{AD4E42D1-C7F7-4936-89E3-77A88E602A58}"/>
    <cellStyle name="Comma 4 3 3 5 2 4" xfId="20658" xr:uid="{A6F2138C-6DCC-4538-A4B6-5BBCDB07A455}"/>
    <cellStyle name="Comma 4 3 3 5 2 5" xfId="37516" xr:uid="{1C2F2AC7-B251-4E9A-8B24-CC0631B19784}"/>
    <cellStyle name="Comma 4 3 3 5 2 6" xfId="12223" xr:uid="{56448833-66AE-4779-9BEE-4E920A44D604}"/>
    <cellStyle name="Comma 4 3 3 5 3" xfId="5861" xr:uid="{00000000-0005-0000-0000-000091090000}"/>
    <cellStyle name="Comma 4 3 3 5 3 2" xfId="31160" xr:uid="{1D78B6CE-5884-4800-8FBC-ABAB78172217}"/>
    <cellStyle name="Comma 4 3 3 5 3 3" xfId="22731" xr:uid="{F53DE1FE-7B51-4475-844F-E7A02F2E80F8}"/>
    <cellStyle name="Comma 4 3 3 5 3 4" xfId="39588" xr:uid="{6AD68847-2A84-44A2-B133-3DA00285FC70}"/>
    <cellStyle name="Comma 4 3 3 5 3 5" xfId="14296" xr:uid="{8149BBF2-3690-4AE6-984F-AF5AFD597E4F}"/>
    <cellStyle name="Comma 4 3 3 5 4" xfId="26942" xr:uid="{6DA5AA55-B12D-4432-A5F1-AE197FE738EE}"/>
    <cellStyle name="Comma 4 3 3 5 5" xfId="18513" xr:uid="{02307EF7-D925-4033-B48F-4039590B82BE}"/>
    <cellStyle name="Comma 4 3 3 5 6" xfId="35371" xr:uid="{D0903C1D-6B69-4F2E-902D-233DB9C847C8}"/>
    <cellStyle name="Comma 4 3 3 5 7" xfId="10078" xr:uid="{27B1F952-0B1E-424D-BF87-1D9F7281F9D4}"/>
    <cellStyle name="Comma 4 3 3 6" xfId="1967" xr:uid="{00000000-0005-0000-0000-000092090000}"/>
    <cellStyle name="Comma 4 3 3 6 2" xfId="4196" xr:uid="{00000000-0005-0000-0000-000093090000}"/>
    <cellStyle name="Comma 4 3 3 6 2 2" xfId="8419" xr:uid="{00000000-0005-0000-0000-000094090000}"/>
    <cellStyle name="Comma 4 3 3 6 2 2 2" xfId="33718" xr:uid="{EC214ACC-CC9F-4A6B-9690-AE199174FCB3}"/>
    <cellStyle name="Comma 4 3 3 6 2 2 3" xfId="25289" xr:uid="{45FF9B38-9857-434C-AD70-715464860AA4}"/>
    <cellStyle name="Comma 4 3 3 6 2 2 4" xfId="42146" xr:uid="{7119F968-0EBC-4CB1-BB85-9DB5270B0EC7}"/>
    <cellStyle name="Comma 4 3 3 6 2 2 5" xfId="16854" xr:uid="{7C413D2D-A4A9-4B04-BCD6-822B5DFAA882}"/>
    <cellStyle name="Comma 4 3 3 6 2 3" xfId="29500" xr:uid="{D4CF2B53-A422-4553-8201-53AC5EFA7934}"/>
    <cellStyle name="Comma 4 3 3 6 2 4" xfId="21071" xr:uid="{485E9B69-C81A-4329-AA57-14769C059758}"/>
    <cellStyle name="Comma 4 3 3 6 2 5" xfId="37929" xr:uid="{92A74D34-CA28-4537-8BD4-21FDABFE0732}"/>
    <cellStyle name="Comma 4 3 3 6 2 6" xfId="12636" xr:uid="{C1EF89DB-8FFB-41F3-A33A-1E38C779823F}"/>
    <cellStyle name="Comma 4 3 3 6 3" xfId="6274" xr:uid="{00000000-0005-0000-0000-000095090000}"/>
    <cellStyle name="Comma 4 3 3 6 3 2" xfId="31573" xr:uid="{2034827F-4E4F-4BEE-8F52-1B727EB39A43}"/>
    <cellStyle name="Comma 4 3 3 6 3 3" xfId="23144" xr:uid="{C0B990FB-5834-4310-804B-EFC64A902B6B}"/>
    <cellStyle name="Comma 4 3 3 6 3 4" xfId="40001" xr:uid="{8ACA7C6A-17CF-4358-B741-33F274D44FDF}"/>
    <cellStyle name="Comma 4 3 3 6 3 5" xfId="14709" xr:uid="{C1C820F2-7EF3-49DD-9D6D-AE7B3FD3A548}"/>
    <cellStyle name="Comma 4 3 3 6 4" xfId="27355" xr:uid="{2C09EF69-A0C5-41D8-BAD7-313F953010F9}"/>
    <cellStyle name="Comma 4 3 3 6 5" xfId="18926" xr:uid="{66CB8E7D-D9F4-4BEA-B3DD-FAADA2FAF75B}"/>
    <cellStyle name="Comma 4 3 3 6 6" xfId="35784" xr:uid="{AE3D75F5-1581-4665-AED7-F99668A4F938}"/>
    <cellStyle name="Comma 4 3 3 6 7" xfId="10491" xr:uid="{8EE6A119-A1B8-4917-8180-03DBF12FB1D4}"/>
    <cellStyle name="Comma 4 3 3 7" xfId="2402" xr:uid="{00000000-0005-0000-0000-000096090000}"/>
    <cellStyle name="Comma 4 3 3 7 2" xfId="6687" xr:uid="{00000000-0005-0000-0000-000097090000}"/>
    <cellStyle name="Comma 4 3 3 7 2 2" xfId="31986" xr:uid="{E78F23FE-C373-4060-8B19-668C8DED1E83}"/>
    <cellStyle name="Comma 4 3 3 7 2 3" xfId="23557" xr:uid="{DD15E2DA-EED1-4B11-94FF-62E53DF1C86C}"/>
    <cellStyle name="Comma 4 3 3 7 2 4" xfId="40414" xr:uid="{6E5102D2-A6A1-4375-ADA9-ACD67020A7EC}"/>
    <cellStyle name="Comma 4 3 3 7 2 5" xfId="15122" xr:uid="{12AE96D5-B7A5-4750-AF18-A063ACE02DA6}"/>
    <cellStyle name="Comma 4 3 3 7 3" xfId="27768" xr:uid="{BAFFDBBB-2B2A-4441-98AF-D0F907A95C0E}"/>
    <cellStyle name="Comma 4 3 3 7 4" xfId="19339" xr:uid="{8D7FED1D-7B9B-4020-BF02-502AFD3C6466}"/>
    <cellStyle name="Comma 4 3 3 7 5" xfId="36197" xr:uid="{847D1A9C-51AA-4A82-BB09-0AC99C70968F}"/>
    <cellStyle name="Comma 4 3 3 7 6" xfId="10904" xr:uid="{1C162C86-C638-4316-BB70-39B9049457E2}"/>
    <cellStyle name="Comma 4 3 3 8" xfId="2361" xr:uid="{00000000-0005-0000-0000-000098090000}"/>
    <cellStyle name="Comma 4 3 3 9" xfId="2780" xr:uid="{00000000-0005-0000-0000-000099090000}"/>
    <cellStyle name="Comma 4 3 3 9 2" xfId="7004" xr:uid="{00000000-0005-0000-0000-00009A090000}"/>
    <cellStyle name="Comma 4 3 3 9 2 2" xfId="32303" xr:uid="{DDF0D6C4-BBBB-46FB-8F0E-E8A453549563}"/>
    <cellStyle name="Comma 4 3 3 9 2 3" xfId="23874" xr:uid="{22524B01-8BB5-4808-8AE2-769AD1F81938}"/>
    <cellStyle name="Comma 4 3 3 9 2 4" xfId="40731" xr:uid="{18E6B9A0-C448-4047-886D-1E54C9DF3EA2}"/>
    <cellStyle name="Comma 4 3 3 9 2 5" xfId="15439" xr:uid="{22BA24E9-B6A8-4A3C-87F3-427C6F3658EA}"/>
    <cellStyle name="Comma 4 3 3 9 3" xfId="28085" xr:uid="{63F6F573-9DBA-40C0-88C3-A41C5AE64224}"/>
    <cellStyle name="Comma 4 3 3 9 4" xfId="19656" xr:uid="{AE1D8EBF-78BD-48E8-9715-A62D18479C95}"/>
    <cellStyle name="Comma 4 3 3 9 5" xfId="36514" xr:uid="{4B6BB379-EEA0-4B72-BCB4-DB83BC582A24}"/>
    <cellStyle name="Comma 4 3 3 9 6" xfId="11221" xr:uid="{A103AB74-C55A-4388-AF03-10ADBA18292C}"/>
    <cellStyle name="Comma 4 3 4" xfId="151" xr:uid="{00000000-0005-0000-0000-00009B090000}"/>
    <cellStyle name="Comma 4 3 4 10" xfId="25704" xr:uid="{E0DD5F77-A114-4F85-AE8F-34C575117781}"/>
    <cellStyle name="Comma 4 3 4 11" xfId="17275" xr:uid="{9C6DCBB3-2536-4623-AC92-FE5BAE9BE476}"/>
    <cellStyle name="Comma 4 3 4 12" xfId="34133" xr:uid="{9D1D4FEF-F8F1-427F-8BE3-CD2906E9407A}"/>
    <cellStyle name="Comma 4 3 4 13" xfId="8840" xr:uid="{827ABAA9-7360-4885-8A01-F25E7E578702}"/>
    <cellStyle name="Comma 4 3 4 2" xfId="688" xr:uid="{00000000-0005-0000-0000-00009C090000}"/>
    <cellStyle name="Comma 4 3 4 2 2" xfId="2959" xr:uid="{00000000-0005-0000-0000-00009D090000}"/>
    <cellStyle name="Comma 4 3 4 2 2 2" xfId="7182" xr:uid="{00000000-0005-0000-0000-00009E090000}"/>
    <cellStyle name="Comma 4 3 4 2 2 2 2" xfId="32481" xr:uid="{269838FC-4457-48E2-96BE-A6A4BBA2A80D}"/>
    <cellStyle name="Comma 4 3 4 2 2 2 3" xfId="24052" xr:uid="{94E1D896-1359-4812-87D7-4D031920A5EE}"/>
    <cellStyle name="Comma 4 3 4 2 2 2 4" xfId="40909" xr:uid="{2FCDE3F0-B2AE-4440-99FA-C50ADEC54BA8}"/>
    <cellStyle name="Comma 4 3 4 2 2 2 5" xfId="15617" xr:uid="{D753E8A3-43EB-46BF-9093-BB8408BAA22F}"/>
    <cellStyle name="Comma 4 3 4 2 2 3" xfId="28263" xr:uid="{F9CED6AB-0ECC-4329-A9F0-9B6B819ABE88}"/>
    <cellStyle name="Comma 4 3 4 2 2 4" xfId="19834" xr:uid="{D2894AFC-35D8-4E0A-A176-8753788F89A6}"/>
    <cellStyle name="Comma 4 3 4 2 2 5" xfId="36692" xr:uid="{EDDE1E7A-9546-4780-A47D-2E656A598468}"/>
    <cellStyle name="Comma 4 3 4 2 2 6" xfId="11399" xr:uid="{034355F7-4335-42BC-82C1-35E3F18C8D98}"/>
    <cellStyle name="Comma 4 3 4 2 3" xfId="5037" xr:uid="{00000000-0005-0000-0000-00009F090000}"/>
    <cellStyle name="Comma 4 3 4 2 3 2" xfId="30336" xr:uid="{BC176ED8-873E-4ECB-BF60-EF82D63DE4A0}"/>
    <cellStyle name="Comma 4 3 4 2 3 3" xfId="21907" xr:uid="{489499E7-3D02-4307-BFB9-C62EE5F8ED07}"/>
    <cellStyle name="Comma 4 3 4 2 3 4" xfId="38764" xr:uid="{7344BEDE-BE98-4CDE-A0AC-A7DC3285A2FB}"/>
    <cellStyle name="Comma 4 3 4 2 3 5" xfId="13472" xr:uid="{BD17041A-D93D-48C7-98EB-2CC2A35E64B2}"/>
    <cellStyle name="Comma 4 3 4 2 4" xfId="26118" xr:uid="{21E14A65-147F-49DE-A2C8-634A4D08517C}"/>
    <cellStyle name="Comma 4 3 4 2 5" xfId="17689" xr:uid="{F8C229BF-1AB9-4E5F-9E88-31F5F5D376BF}"/>
    <cellStyle name="Comma 4 3 4 2 6" xfId="34547" xr:uid="{5A6D988C-2840-403D-BDB2-EBD80A967476}"/>
    <cellStyle name="Comma 4 3 4 2 7" xfId="9254" xr:uid="{A15537E6-A021-4E14-A702-BBFFD166587B}"/>
    <cellStyle name="Comma 4 3 4 3" xfId="1141" xr:uid="{00000000-0005-0000-0000-0000A0090000}"/>
    <cellStyle name="Comma 4 3 4 3 2" xfId="3372" xr:uid="{00000000-0005-0000-0000-0000A1090000}"/>
    <cellStyle name="Comma 4 3 4 3 2 2" xfId="7595" xr:uid="{00000000-0005-0000-0000-0000A2090000}"/>
    <cellStyle name="Comma 4 3 4 3 2 2 2" xfId="32894" xr:uid="{7C1E2A7F-F73C-4868-AE3A-CE1FCC4DA825}"/>
    <cellStyle name="Comma 4 3 4 3 2 2 3" xfId="24465" xr:uid="{4E0CC80C-7195-4CD5-AE53-A84EE8566529}"/>
    <cellStyle name="Comma 4 3 4 3 2 2 4" xfId="41322" xr:uid="{C5628D06-886A-4804-A958-DC4E46E09034}"/>
    <cellStyle name="Comma 4 3 4 3 2 2 5" xfId="16030" xr:uid="{17C69C21-867F-4CC2-9A41-E1BFB3D62B34}"/>
    <cellStyle name="Comma 4 3 4 3 2 3" xfId="28676" xr:uid="{C62CD9C7-42DD-44F1-BF4A-3BDD18454900}"/>
    <cellStyle name="Comma 4 3 4 3 2 4" xfId="20247" xr:uid="{AE168FAE-2772-47F3-9E78-F4BFBF00BEF1}"/>
    <cellStyle name="Comma 4 3 4 3 2 5" xfId="37105" xr:uid="{1EE2EA28-B2D5-458C-B820-E42E156F2A88}"/>
    <cellStyle name="Comma 4 3 4 3 2 6" xfId="11812" xr:uid="{655A607B-F1DB-43A5-B339-F95E5844997A}"/>
    <cellStyle name="Comma 4 3 4 3 3" xfId="5450" xr:uid="{00000000-0005-0000-0000-0000A3090000}"/>
    <cellStyle name="Comma 4 3 4 3 3 2" xfId="30749" xr:uid="{142F5C64-E1D5-4C23-BCA9-0801E5003995}"/>
    <cellStyle name="Comma 4 3 4 3 3 3" xfId="22320" xr:uid="{EDF08771-1252-466A-AE54-8D046F275843}"/>
    <cellStyle name="Comma 4 3 4 3 3 4" xfId="39177" xr:uid="{89D81D8D-5399-4EB5-9B34-70A1D501976D}"/>
    <cellStyle name="Comma 4 3 4 3 3 5" xfId="13885" xr:uid="{D5AB32AE-2996-45CC-AB46-311B043D1F97}"/>
    <cellStyle name="Comma 4 3 4 3 4" xfId="26531" xr:uid="{354F4E66-213A-40D3-881A-822472BA0B37}"/>
    <cellStyle name="Comma 4 3 4 3 5" xfId="18102" xr:uid="{5514825F-7EC5-4F99-A154-A502AF23C440}"/>
    <cellStyle name="Comma 4 3 4 3 6" xfId="34960" xr:uid="{457D1FDF-9CC7-4C21-891E-59FB9602146B}"/>
    <cellStyle name="Comma 4 3 4 3 7" xfId="9667" xr:uid="{C2136387-C87E-4444-9699-0E8952E1282B}"/>
    <cellStyle name="Comma 4 3 4 4" xfId="1555" xr:uid="{00000000-0005-0000-0000-0000A4090000}"/>
    <cellStyle name="Comma 4 3 4 4 2" xfId="3785" xr:uid="{00000000-0005-0000-0000-0000A5090000}"/>
    <cellStyle name="Comma 4 3 4 4 2 2" xfId="8008" xr:uid="{00000000-0005-0000-0000-0000A6090000}"/>
    <cellStyle name="Comma 4 3 4 4 2 2 2" xfId="33307" xr:uid="{41EB7E0E-ABDD-43F4-9C6F-63026939F0C8}"/>
    <cellStyle name="Comma 4 3 4 4 2 2 3" xfId="24878" xr:uid="{8561A31E-8788-4C1A-88F9-BD9F8D9BA097}"/>
    <cellStyle name="Comma 4 3 4 4 2 2 4" xfId="41735" xr:uid="{B1528731-5A68-4881-AA40-E0C1759CBAE8}"/>
    <cellStyle name="Comma 4 3 4 4 2 2 5" xfId="16443" xr:uid="{03F84D92-06F0-4719-AA63-35AA2B8101EE}"/>
    <cellStyle name="Comma 4 3 4 4 2 3" xfId="29089" xr:uid="{08166773-9B7B-49A8-A459-53F5667A4E61}"/>
    <cellStyle name="Comma 4 3 4 4 2 4" xfId="20660" xr:uid="{4ABFE04C-2915-413A-B956-3D23B9E20332}"/>
    <cellStyle name="Comma 4 3 4 4 2 5" xfId="37518" xr:uid="{ABA5DD18-457C-43E4-9FA2-979700964CE5}"/>
    <cellStyle name="Comma 4 3 4 4 2 6" xfId="12225" xr:uid="{5F4A1EB4-C1AD-47B2-B141-1BB8F16A5612}"/>
    <cellStyle name="Comma 4 3 4 4 3" xfId="5863" xr:uid="{00000000-0005-0000-0000-0000A7090000}"/>
    <cellStyle name="Comma 4 3 4 4 3 2" xfId="31162" xr:uid="{165BDCB8-0715-47A4-9DF4-14538405776A}"/>
    <cellStyle name="Comma 4 3 4 4 3 3" xfId="22733" xr:uid="{63B69A0B-BD78-444C-860C-B92C47C9CD4B}"/>
    <cellStyle name="Comma 4 3 4 4 3 4" xfId="39590" xr:uid="{80B37236-4CC4-458D-AD8D-70AE3E792288}"/>
    <cellStyle name="Comma 4 3 4 4 3 5" xfId="14298" xr:uid="{86CEB7A3-C66B-4CD6-AD14-FA8893843B7E}"/>
    <cellStyle name="Comma 4 3 4 4 4" xfId="26944" xr:uid="{7483BB20-0EF6-4C51-B4BB-4BECB407CAED}"/>
    <cellStyle name="Comma 4 3 4 4 5" xfId="18515" xr:uid="{6B3E0993-60F4-4D8A-ABF4-256598F0D505}"/>
    <cellStyle name="Comma 4 3 4 4 6" xfId="35373" xr:uid="{BD1B764F-583A-4034-8726-78F90EB1D46E}"/>
    <cellStyle name="Comma 4 3 4 4 7" xfId="10080" xr:uid="{17E54F9C-9CFF-40C5-BA37-08AA6983F143}"/>
    <cellStyle name="Comma 4 3 4 5" xfId="1969" xr:uid="{00000000-0005-0000-0000-0000A8090000}"/>
    <cellStyle name="Comma 4 3 4 5 2" xfId="4198" xr:uid="{00000000-0005-0000-0000-0000A9090000}"/>
    <cellStyle name="Comma 4 3 4 5 2 2" xfId="8421" xr:uid="{00000000-0005-0000-0000-0000AA090000}"/>
    <cellStyle name="Comma 4 3 4 5 2 2 2" xfId="33720" xr:uid="{673FDBFE-FBAE-4759-A726-E8E10B3A9633}"/>
    <cellStyle name="Comma 4 3 4 5 2 2 3" xfId="25291" xr:uid="{DEB1FA6F-352C-4915-A1B4-BEDC93864F1B}"/>
    <cellStyle name="Comma 4 3 4 5 2 2 4" xfId="42148" xr:uid="{D5DA5C3D-D2B0-4327-B985-EB82F0414657}"/>
    <cellStyle name="Comma 4 3 4 5 2 2 5" xfId="16856" xr:uid="{5ED67118-0D50-443C-B59C-AE80D9C2CAFB}"/>
    <cellStyle name="Comma 4 3 4 5 2 3" xfId="29502" xr:uid="{D00C7EA3-ABC3-4FAB-ABE4-1BF99F07E1B9}"/>
    <cellStyle name="Comma 4 3 4 5 2 4" xfId="21073" xr:uid="{F534B9F4-1CA8-427F-9EF5-CF90AFAF3517}"/>
    <cellStyle name="Comma 4 3 4 5 2 5" xfId="37931" xr:uid="{5CB2E284-23A2-4199-8BE6-E855009981DA}"/>
    <cellStyle name="Comma 4 3 4 5 2 6" xfId="12638" xr:uid="{D99D327B-86D4-469E-822F-091B78E591FE}"/>
    <cellStyle name="Comma 4 3 4 5 3" xfId="6276" xr:uid="{00000000-0005-0000-0000-0000AB090000}"/>
    <cellStyle name="Comma 4 3 4 5 3 2" xfId="31575" xr:uid="{3E955C72-D719-4C5B-A9B1-967E96355F6F}"/>
    <cellStyle name="Comma 4 3 4 5 3 3" xfId="23146" xr:uid="{A3F41992-A114-442B-A271-B36929EFBA1C}"/>
    <cellStyle name="Comma 4 3 4 5 3 4" xfId="40003" xr:uid="{9ECAE238-D119-49E4-B3BE-EA249E068777}"/>
    <cellStyle name="Comma 4 3 4 5 3 5" xfId="14711" xr:uid="{56193DF7-1918-48A4-A7BD-4640A3239331}"/>
    <cellStyle name="Comma 4 3 4 5 4" xfId="27357" xr:uid="{53FD00DA-1074-406F-970C-B5DDFCE8E3E7}"/>
    <cellStyle name="Comma 4 3 4 5 5" xfId="18928" xr:uid="{090664FA-3361-448C-A7B3-8171218930CD}"/>
    <cellStyle name="Comma 4 3 4 5 6" xfId="35786" xr:uid="{28EA40BC-0124-46B7-9358-5C583854E6D9}"/>
    <cellStyle name="Comma 4 3 4 5 7" xfId="10493" xr:uid="{4A9E2781-4403-4288-8997-885E3B63267F}"/>
    <cellStyle name="Comma 4 3 4 6" xfId="2404" xr:uid="{00000000-0005-0000-0000-0000AC090000}"/>
    <cellStyle name="Comma 4 3 4 6 2" xfId="6689" xr:uid="{00000000-0005-0000-0000-0000AD090000}"/>
    <cellStyle name="Comma 4 3 4 6 2 2" xfId="31988" xr:uid="{37553558-E85F-41B7-919A-04A0BEF9AF3A}"/>
    <cellStyle name="Comma 4 3 4 6 2 3" xfId="23559" xr:uid="{CC402392-28E3-4888-B176-AD19CF49257B}"/>
    <cellStyle name="Comma 4 3 4 6 2 4" xfId="40416" xr:uid="{FC224F44-D9FF-42C4-8DBE-22F0BDC8D9DD}"/>
    <cellStyle name="Comma 4 3 4 6 2 5" xfId="15124" xr:uid="{E282EEEA-5533-4BB9-AFC6-3B3018337033}"/>
    <cellStyle name="Comma 4 3 4 6 3" xfId="27770" xr:uid="{24926050-9D63-4567-ADD8-527EF4D660B0}"/>
    <cellStyle name="Comma 4 3 4 6 4" xfId="19341" xr:uid="{FD4A0D18-F91B-48BE-8F1B-8D0A4AB0FC66}"/>
    <cellStyle name="Comma 4 3 4 6 5" xfId="36199" xr:uid="{3145A95D-ABA1-43C9-84D5-881F57CD1DB4}"/>
    <cellStyle name="Comma 4 3 4 6 6" xfId="10906" xr:uid="{C1904EED-D10A-4CD0-8154-520A2915F283}"/>
    <cellStyle name="Comma 4 3 4 7" xfId="2700" xr:uid="{00000000-0005-0000-0000-0000AE090000}"/>
    <cellStyle name="Comma 4 3 4 8" xfId="2782" xr:uid="{00000000-0005-0000-0000-0000AF090000}"/>
    <cellStyle name="Comma 4 3 4 8 2" xfId="7006" xr:uid="{00000000-0005-0000-0000-0000B0090000}"/>
    <cellStyle name="Comma 4 3 4 8 2 2" xfId="32305" xr:uid="{F1BB3C7B-D84B-4630-8B9E-22FDB3307E23}"/>
    <cellStyle name="Comma 4 3 4 8 2 3" xfId="23876" xr:uid="{46EA412D-ECDA-4F38-B4EE-4E447F80F3BB}"/>
    <cellStyle name="Comma 4 3 4 8 2 4" xfId="40733" xr:uid="{B24DEF1A-9DBB-43C9-858D-CD6A93ABA9B1}"/>
    <cellStyle name="Comma 4 3 4 8 2 5" xfId="15441" xr:uid="{43DDF7BE-D821-42CA-9842-44D4AC9D32E5}"/>
    <cellStyle name="Comma 4 3 4 8 3" xfId="28087" xr:uid="{A134D23B-5CB5-405B-AE9B-1575DB4605D7}"/>
    <cellStyle name="Comma 4 3 4 8 4" xfId="19658" xr:uid="{F5F35A05-5F9D-44A4-999A-5274305C534F}"/>
    <cellStyle name="Comma 4 3 4 8 5" xfId="36516" xr:uid="{92D2C6BC-8BF7-4BC7-BC2D-314BE856FA6E}"/>
    <cellStyle name="Comma 4 3 4 8 6" xfId="11223" xr:uid="{A65DE49F-DBB7-4BD0-80DB-CB4B5B4093B4}"/>
    <cellStyle name="Comma 4 3 4 9" xfId="4623" xr:uid="{00000000-0005-0000-0000-0000B1090000}"/>
    <cellStyle name="Comma 4 3 4 9 2" xfId="29922" xr:uid="{8C4A8DAA-16F5-428E-8AE3-C3F1CA625E17}"/>
    <cellStyle name="Comma 4 3 4 9 3" xfId="21493" xr:uid="{E4B5E96D-EDC8-424A-A481-FCA1C244C620}"/>
    <cellStyle name="Comma 4 3 4 9 4" xfId="38350" xr:uid="{5CD72CAE-CDE8-40D7-A113-BF5765FD9998}"/>
    <cellStyle name="Comma 4 3 4 9 5" xfId="13058" xr:uid="{3B6D5644-79F4-4FB5-A540-0DEDB539F916}"/>
    <cellStyle name="Comma 4 3 5" xfId="152" xr:uid="{00000000-0005-0000-0000-0000B2090000}"/>
    <cellStyle name="Comma 4 3 5 10" xfId="25705" xr:uid="{CDD24AAD-8A6A-4F1D-AD80-93DEDE7A49C4}"/>
    <cellStyle name="Comma 4 3 5 11" xfId="17276" xr:uid="{B9EF4725-6222-49BC-B491-C0237E471CD3}"/>
    <cellStyle name="Comma 4 3 5 12" xfId="34134" xr:uid="{7C23497C-BB3E-4CC0-9DBC-03D3CA7DA736}"/>
    <cellStyle name="Comma 4 3 5 13" xfId="8841" xr:uid="{90804623-9524-4D17-8867-B057EBCE6B32}"/>
    <cellStyle name="Comma 4 3 5 2" xfId="689" xr:uid="{00000000-0005-0000-0000-0000B3090000}"/>
    <cellStyle name="Comma 4 3 5 2 2" xfId="2960" xr:uid="{00000000-0005-0000-0000-0000B4090000}"/>
    <cellStyle name="Comma 4 3 5 2 2 2" xfId="7183" xr:uid="{00000000-0005-0000-0000-0000B5090000}"/>
    <cellStyle name="Comma 4 3 5 2 2 2 2" xfId="32482" xr:uid="{3E3835B1-6D63-4154-810B-DE740C820B6A}"/>
    <cellStyle name="Comma 4 3 5 2 2 2 3" xfId="24053" xr:uid="{3F1E160C-0CFE-4A62-B55D-E41C61861032}"/>
    <cellStyle name="Comma 4 3 5 2 2 2 4" xfId="40910" xr:uid="{EF03B434-ED78-42F6-9C82-CB169618D8BD}"/>
    <cellStyle name="Comma 4 3 5 2 2 2 5" xfId="15618" xr:uid="{60BD8E86-3606-4738-A890-E42E66DD52FF}"/>
    <cellStyle name="Comma 4 3 5 2 2 3" xfId="28264" xr:uid="{2AE87855-E1F6-47B8-A98F-7C2CF5F2F085}"/>
    <cellStyle name="Comma 4 3 5 2 2 4" xfId="19835" xr:uid="{55A0CD6D-F35F-4346-B668-A58D43D2A925}"/>
    <cellStyle name="Comma 4 3 5 2 2 5" xfId="36693" xr:uid="{357024A7-2FDC-495F-9172-C648FFA56903}"/>
    <cellStyle name="Comma 4 3 5 2 2 6" xfId="11400" xr:uid="{532C7AE1-99D6-4E86-8481-3118699BBC8C}"/>
    <cellStyle name="Comma 4 3 5 2 3" xfId="5038" xr:uid="{00000000-0005-0000-0000-0000B6090000}"/>
    <cellStyle name="Comma 4 3 5 2 3 2" xfId="30337" xr:uid="{D98EB6F2-6A91-4F82-94F8-C8E6B230681E}"/>
    <cellStyle name="Comma 4 3 5 2 3 3" xfId="21908" xr:uid="{C8269B01-6FE2-4C45-9E89-D7C8C378806B}"/>
    <cellStyle name="Comma 4 3 5 2 3 4" xfId="38765" xr:uid="{2D9242B7-943F-4B73-AC39-D2A9C4AB2C98}"/>
    <cellStyle name="Comma 4 3 5 2 3 5" xfId="13473" xr:uid="{C56A766D-3D35-4457-A389-58C987FCD4F3}"/>
    <cellStyle name="Comma 4 3 5 2 4" xfId="26119" xr:uid="{38B51E9F-849C-4D38-9CFA-86DC33F0B8B0}"/>
    <cellStyle name="Comma 4 3 5 2 5" xfId="17690" xr:uid="{094B72DB-5BB5-4C40-814E-EA2FA39216D9}"/>
    <cellStyle name="Comma 4 3 5 2 6" xfId="34548" xr:uid="{ECEEDDC2-EC9D-4F9E-88A6-1367226946C1}"/>
    <cellStyle name="Comma 4 3 5 2 7" xfId="9255" xr:uid="{E63AD319-D5BC-4037-8AD0-114E2231AD3C}"/>
    <cellStyle name="Comma 4 3 5 3" xfId="1142" xr:uid="{00000000-0005-0000-0000-0000B7090000}"/>
    <cellStyle name="Comma 4 3 5 3 2" xfId="3373" xr:uid="{00000000-0005-0000-0000-0000B8090000}"/>
    <cellStyle name="Comma 4 3 5 3 2 2" xfId="7596" xr:uid="{00000000-0005-0000-0000-0000B9090000}"/>
    <cellStyle name="Comma 4 3 5 3 2 2 2" xfId="32895" xr:uid="{9BFCA1F4-5DB9-4EDF-9932-23CC6D46D04A}"/>
    <cellStyle name="Comma 4 3 5 3 2 2 3" xfId="24466" xr:uid="{62673F1B-D986-476C-8DB2-DE677A319B9A}"/>
    <cellStyle name="Comma 4 3 5 3 2 2 4" xfId="41323" xr:uid="{EDE49439-8FA0-4294-8B84-873579D3DB57}"/>
    <cellStyle name="Comma 4 3 5 3 2 2 5" xfId="16031" xr:uid="{A4487FE4-4A5A-43F0-95BF-041481C04B5E}"/>
    <cellStyle name="Comma 4 3 5 3 2 3" xfId="28677" xr:uid="{12892567-9D77-4828-9E72-EF7166D9FC2F}"/>
    <cellStyle name="Comma 4 3 5 3 2 4" xfId="20248" xr:uid="{A7E438C5-60D8-4417-AC17-7DFFB8259A90}"/>
    <cellStyle name="Comma 4 3 5 3 2 5" xfId="37106" xr:uid="{9E707F0D-718F-493E-A8FC-B9AA13784F04}"/>
    <cellStyle name="Comma 4 3 5 3 2 6" xfId="11813" xr:uid="{80DC58B0-64B4-436B-A9A7-8F93B97EDFDB}"/>
    <cellStyle name="Comma 4 3 5 3 3" xfId="5451" xr:uid="{00000000-0005-0000-0000-0000BA090000}"/>
    <cellStyle name="Comma 4 3 5 3 3 2" xfId="30750" xr:uid="{C42CACF0-5896-4528-9FB7-51533FBD8C16}"/>
    <cellStyle name="Comma 4 3 5 3 3 3" xfId="22321" xr:uid="{E6358659-936D-4EEE-A100-8A290637B940}"/>
    <cellStyle name="Comma 4 3 5 3 3 4" xfId="39178" xr:uid="{D689F02A-8C2C-48AD-8E04-9B8F0538E5CB}"/>
    <cellStyle name="Comma 4 3 5 3 3 5" xfId="13886" xr:uid="{603E6198-B6E8-40C4-B401-7E7621A05894}"/>
    <cellStyle name="Comma 4 3 5 3 4" xfId="26532" xr:uid="{F913A905-D86F-4945-B66A-2E417FE6E3E3}"/>
    <cellStyle name="Comma 4 3 5 3 5" xfId="18103" xr:uid="{F37DA769-F4D2-4E90-8685-EFDB522450C7}"/>
    <cellStyle name="Comma 4 3 5 3 6" xfId="34961" xr:uid="{08ED3EF6-9C85-4577-A298-77F5E588BDE7}"/>
    <cellStyle name="Comma 4 3 5 3 7" xfId="9668" xr:uid="{38A9EC02-1172-400D-A7F7-B9D8C23B96E8}"/>
    <cellStyle name="Comma 4 3 5 4" xfId="1556" xr:uid="{00000000-0005-0000-0000-0000BB090000}"/>
    <cellStyle name="Comma 4 3 5 4 2" xfId="3786" xr:uid="{00000000-0005-0000-0000-0000BC090000}"/>
    <cellStyle name="Comma 4 3 5 4 2 2" xfId="8009" xr:uid="{00000000-0005-0000-0000-0000BD090000}"/>
    <cellStyle name="Comma 4 3 5 4 2 2 2" xfId="33308" xr:uid="{A418B53F-D999-4486-A627-67CC8BC677E7}"/>
    <cellStyle name="Comma 4 3 5 4 2 2 3" xfId="24879" xr:uid="{3F9260B5-58C6-410B-ADE1-E421703AF288}"/>
    <cellStyle name="Comma 4 3 5 4 2 2 4" xfId="41736" xr:uid="{720ACFFA-E895-48E5-B55F-1CEFE3FC388E}"/>
    <cellStyle name="Comma 4 3 5 4 2 2 5" xfId="16444" xr:uid="{7D14C47E-3FCD-4F49-8D35-0959012D074F}"/>
    <cellStyle name="Comma 4 3 5 4 2 3" xfId="29090" xr:uid="{7D29CF1F-A2E6-4B47-9359-AA1340D07B3A}"/>
    <cellStyle name="Comma 4 3 5 4 2 4" xfId="20661" xr:uid="{B50A9EA9-70B8-4204-8482-4BEB498DE43A}"/>
    <cellStyle name="Comma 4 3 5 4 2 5" xfId="37519" xr:uid="{B7FBB53F-AAB3-4425-BEDC-D3BA5741F3CF}"/>
    <cellStyle name="Comma 4 3 5 4 2 6" xfId="12226" xr:uid="{CEDF9C8E-3762-40EB-8807-ABBDE438CB76}"/>
    <cellStyle name="Comma 4 3 5 4 3" xfId="5864" xr:uid="{00000000-0005-0000-0000-0000BE090000}"/>
    <cellStyle name="Comma 4 3 5 4 3 2" xfId="31163" xr:uid="{F6CD418B-E7D1-476D-B174-1C8143687BC6}"/>
    <cellStyle name="Comma 4 3 5 4 3 3" xfId="22734" xr:uid="{320F84FB-61E9-4AEC-B6AC-B3E0AC93AD02}"/>
    <cellStyle name="Comma 4 3 5 4 3 4" xfId="39591" xr:uid="{A41C9EAF-C4DE-413F-A949-D8B7376BDDDA}"/>
    <cellStyle name="Comma 4 3 5 4 3 5" xfId="14299" xr:uid="{8A11FE55-81FF-45A8-8059-38A0EF17B7A0}"/>
    <cellStyle name="Comma 4 3 5 4 4" xfId="26945" xr:uid="{A9CF6F87-984A-493C-B411-177785403A73}"/>
    <cellStyle name="Comma 4 3 5 4 5" xfId="18516" xr:uid="{39C4187E-7FFD-4EFA-AE85-31198E7DB60C}"/>
    <cellStyle name="Comma 4 3 5 4 6" xfId="35374" xr:uid="{C5A3AA6D-B966-4329-9B8B-01CAF4E22784}"/>
    <cellStyle name="Comma 4 3 5 4 7" xfId="10081" xr:uid="{E0EF694A-E75D-48D6-81EF-AE9D9B947259}"/>
    <cellStyle name="Comma 4 3 5 5" xfId="1970" xr:uid="{00000000-0005-0000-0000-0000BF090000}"/>
    <cellStyle name="Comma 4 3 5 5 2" xfId="4199" xr:uid="{00000000-0005-0000-0000-0000C0090000}"/>
    <cellStyle name="Comma 4 3 5 5 2 2" xfId="8422" xr:uid="{00000000-0005-0000-0000-0000C1090000}"/>
    <cellStyle name="Comma 4 3 5 5 2 2 2" xfId="33721" xr:uid="{5EBB45B4-545C-4F54-8C21-CE4A81C6B215}"/>
    <cellStyle name="Comma 4 3 5 5 2 2 3" xfId="25292" xr:uid="{2B851BDA-C837-4B35-AE5F-5CA233CB07A6}"/>
    <cellStyle name="Comma 4 3 5 5 2 2 4" xfId="42149" xr:uid="{7D12D028-3733-4FA8-A34C-3C7B9FF5B39B}"/>
    <cellStyle name="Comma 4 3 5 5 2 2 5" xfId="16857" xr:uid="{48C2B1E2-DDC7-4A93-8C42-57DFD63C4FFC}"/>
    <cellStyle name="Comma 4 3 5 5 2 3" xfId="29503" xr:uid="{17CF6E6A-6D86-4AD2-AC4C-2A250A5F6080}"/>
    <cellStyle name="Comma 4 3 5 5 2 4" xfId="21074" xr:uid="{8AC0E728-170A-46DC-9571-CFA495DEA534}"/>
    <cellStyle name="Comma 4 3 5 5 2 5" xfId="37932" xr:uid="{4F5FEFA6-6E7A-41B5-903F-1CDA1A47C84D}"/>
    <cellStyle name="Comma 4 3 5 5 2 6" xfId="12639" xr:uid="{1C4724AD-CCEF-411C-B65C-89CB95BB0CD6}"/>
    <cellStyle name="Comma 4 3 5 5 3" xfId="6277" xr:uid="{00000000-0005-0000-0000-0000C2090000}"/>
    <cellStyle name="Comma 4 3 5 5 3 2" xfId="31576" xr:uid="{0D306B9A-0390-40A1-8C0A-6DC5BAC74364}"/>
    <cellStyle name="Comma 4 3 5 5 3 3" xfId="23147" xr:uid="{44E2FDAC-713C-48DA-A483-09029B9E799D}"/>
    <cellStyle name="Comma 4 3 5 5 3 4" xfId="40004" xr:uid="{8F879A79-5801-4F9D-8A67-4D82D2886D65}"/>
    <cellStyle name="Comma 4 3 5 5 3 5" xfId="14712" xr:uid="{78FF76F7-73B3-419C-8829-A0761576EF01}"/>
    <cellStyle name="Comma 4 3 5 5 4" xfId="27358" xr:uid="{132F4AD2-D759-49D9-9E9F-15BC0EFD7F63}"/>
    <cellStyle name="Comma 4 3 5 5 5" xfId="18929" xr:uid="{B8962E49-3EAC-4366-BC59-AC566978BE5B}"/>
    <cellStyle name="Comma 4 3 5 5 6" xfId="35787" xr:uid="{7ECE721C-AEB2-458E-94D5-E94EC5059649}"/>
    <cellStyle name="Comma 4 3 5 5 7" xfId="10494" xr:uid="{727EFAF0-AB5D-462C-88ED-CE6F4C8DCBBA}"/>
    <cellStyle name="Comma 4 3 5 6" xfId="2405" xr:uid="{00000000-0005-0000-0000-0000C3090000}"/>
    <cellStyle name="Comma 4 3 5 6 2" xfId="6690" xr:uid="{00000000-0005-0000-0000-0000C4090000}"/>
    <cellStyle name="Comma 4 3 5 6 2 2" xfId="31989" xr:uid="{E98DACA6-48E2-49AC-BF82-EE95719D518B}"/>
    <cellStyle name="Comma 4 3 5 6 2 3" xfId="23560" xr:uid="{81E3CFCE-14DD-44CB-967C-679564E74A7C}"/>
    <cellStyle name="Comma 4 3 5 6 2 4" xfId="40417" xr:uid="{F394918A-5A8A-4CC8-8850-E049E98E63CC}"/>
    <cellStyle name="Comma 4 3 5 6 2 5" xfId="15125" xr:uid="{C2ECDAB7-2DAC-42C5-BAB9-8417DD063FF7}"/>
    <cellStyle name="Comma 4 3 5 6 3" xfId="27771" xr:uid="{F1EFAE8B-44C4-4114-A5D5-670FBE1CB2D5}"/>
    <cellStyle name="Comma 4 3 5 6 4" xfId="19342" xr:uid="{2B0DB781-1DFB-4875-9039-853DBAD7394C}"/>
    <cellStyle name="Comma 4 3 5 6 5" xfId="36200" xr:uid="{017772E5-F695-484D-913E-35D0BFE153EC}"/>
    <cellStyle name="Comma 4 3 5 6 6" xfId="10907" xr:uid="{3934D534-0575-47D3-BB96-47435B6B74E9}"/>
    <cellStyle name="Comma 4 3 5 7" xfId="2701" xr:uid="{00000000-0005-0000-0000-0000C5090000}"/>
    <cellStyle name="Comma 4 3 5 8" xfId="2783" xr:uid="{00000000-0005-0000-0000-0000C6090000}"/>
    <cellStyle name="Comma 4 3 5 8 2" xfId="7007" xr:uid="{00000000-0005-0000-0000-0000C7090000}"/>
    <cellStyle name="Comma 4 3 5 8 2 2" xfId="32306" xr:uid="{0A75A55B-FB47-48BF-90F0-C925878BAF8D}"/>
    <cellStyle name="Comma 4 3 5 8 2 3" xfId="23877" xr:uid="{38E53517-0204-4719-864C-19FFBF3ACF45}"/>
    <cellStyle name="Comma 4 3 5 8 2 4" xfId="40734" xr:uid="{754D1384-9E82-4E0B-9025-1472EB6FBFB1}"/>
    <cellStyle name="Comma 4 3 5 8 2 5" xfId="15442" xr:uid="{987B5104-BD9F-4062-B15B-68E1D83059DE}"/>
    <cellStyle name="Comma 4 3 5 8 3" xfId="28088" xr:uid="{60EC8C40-A3AD-4B8C-8D98-D75324599DD7}"/>
    <cellStyle name="Comma 4 3 5 8 4" xfId="19659" xr:uid="{E9C050EB-F97A-4499-99B2-FF4292A10377}"/>
    <cellStyle name="Comma 4 3 5 8 5" xfId="36517" xr:uid="{2B1E27E9-A86A-4568-BA76-C3525CD152C9}"/>
    <cellStyle name="Comma 4 3 5 8 6" xfId="11224" xr:uid="{CEA2BB70-47DE-4970-BFA9-DDEE9DBB1E73}"/>
    <cellStyle name="Comma 4 3 5 9" xfId="4624" xr:uid="{00000000-0005-0000-0000-0000C8090000}"/>
    <cellStyle name="Comma 4 3 5 9 2" xfId="29923" xr:uid="{6DD383DB-AE5E-4F35-989E-B7F6522220AF}"/>
    <cellStyle name="Comma 4 3 5 9 3" xfId="21494" xr:uid="{306EF536-2EE5-40F8-952E-9F9FA9275222}"/>
    <cellStyle name="Comma 4 3 5 9 4" xfId="38351" xr:uid="{52574467-A87A-46A3-81AA-38D6765099B4}"/>
    <cellStyle name="Comma 4 3 5 9 5" xfId="13059" xr:uid="{AD2D3A5E-C0C4-4473-8E5B-6EEE6BB13BEF}"/>
    <cellStyle name="Comma 4 4" xfId="153" xr:uid="{00000000-0005-0000-0000-0000C9090000}"/>
    <cellStyle name="Comma 4 4 10" xfId="2784" xr:uid="{00000000-0005-0000-0000-0000CA090000}"/>
    <cellStyle name="Comma 4 4 10 2" xfId="7008" xr:uid="{00000000-0005-0000-0000-0000CB090000}"/>
    <cellStyle name="Comma 4 4 10 2 2" xfId="32307" xr:uid="{AB79E60E-1832-4783-9668-E6B3F1FE5203}"/>
    <cellStyle name="Comma 4 4 10 2 3" xfId="23878" xr:uid="{B955327E-B790-48F0-9716-7C1FA355DE49}"/>
    <cellStyle name="Comma 4 4 10 2 4" xfId="40735" xr:uid="{0D82463E-878E-47BC-ABD0-2DAB7D65C439}"/>
    <cellStyle name="Comma 4 4 10 2 5" xfId="15443" xr:uid="{8E5695C3-F40D-4848-940A-C7CD15D0217A}"/>
    <cellStyle name="Comma 4 4 10 3" xfId="28089" xr:uid="{133EF20E-A7ED-4267-82B1-B04D9D2887F2}"/>
    <cellStyle name="Comma 4 4 10 4" xfId="19660" xr:uid="{FC46D659-8074-48AA-92A1-3C7FF36349EA}"/>
    <cellStyle name="Comma 4 4 10 5" xfId="36518" xr:uid="{9A2C73AA-4F83-4C67-8883-6470C9D134FC}"/>
    <cellStyle name="Comma 4 4 10 6" xfId="11225" xr:uid="{296DDEB9-499A-4D2B-934D-9BCA9ECF6C11}"/>
    <cellStyle name="Comma 4 4 11" xfId="4625" xr:uid="{00000000-0005-0000-0000-0000CC090000}"/>
    <cellStyle name="Comma 4 4 11 2" xfId="29924" xr:uid="{445E832B-7205-4629-8DD3-97DD7DEF5FBB}"/>
    <cellStyle name="Comma 4 4 11 3" xfId="21495" xr:uid="{96599D43-A7E6-4F49-B0C1-E990371CDD33}"/>
    <cellStyle name="Comma 4 4 11 4" xfId="38352" xr:uid="{C8FB48B3-9932-411B-8DC5-A62DFA31890C}"/>
    <cellStyle name="Comma 4 4 11 5" xfId="13060" xr:uid="{34FD8F1B-EB8F-422A-924E-578822C5D4F2}"/>
    <cellStyle name="Comma 4 4 12" xfId="25706" xr:uid="{58B78825-B0DB-4A19-83D8-C0D739CDC79A}"/>
    <cellStyle name="Comma 4 4 13" xfId="17277" xr:uid="{39DBFB52-B03E-4234-9ECA-B83923E4C813}"/>
    <cellStyle name="Comma 4 4 14" xfId="34135" xr:uid="{BD7605E7-A5CD-453D-8AF5-DAC404EC4A74}"/>
    <cellStyle name="Comma 4 4 15" xfId="8842" xr:uid="{E2A6CC3A-A03A-475E-B3F2-522BB1BECB3B}"/>
    <cellStyle name="Comma 4 4 2" xfId="154" xr:uid="{00000000-0005-0000-0000-0000CD090000}"/>
    <cellStyle name="Comma 4 4 2 10" xfId="4626" xr:uid="{00000000-0005-0000-0000-0000CE090000}"/>
    <cellStyle name="Comma 4 4 2 10 2" xfId="29925" xr:uid="{30A0AB58-FC29-4990-BDE3-48DAF35B7D7E}"/>
    <cellStyle name="Comma 4 4 2 10 3" xfId="21496" xr:uid="{B452D750-CB0D-47F1-B2F7-D1C72CCF827E}"/>
    <cellStyle name="Comma 4 4 2 10 4" xfId="38353" xr:uid="{E837A543-E545-4DE2-B9CD-17F4966F481D}"/>
    <cellStyle name="Comma 4 4 2 10 5" xfId="13061" xr:uid="{D6277501-4081-4F9F-88C5-041900ED983C}"/>
    <cellStyle name="Comma 4 4 2 11" xfId="25707" xr:uid="{48B1673C-6638-4656-A972-A9B9D2077EC9}"/>
    <cellStyle name="Comma 4 4 2 12" xfId="17278" xr:uid="{3609BE3A-61C1-4433-A9EA-3AD0B8662EF7}"/>
    <cellStyle name="Comma 4 4 2 13" xfId="34136" xr:uid="{6F8D9ED0-4E9A-45DA-BCD3-6F39A93606C4}"/>
    <cellStyle name="Comma 4 4 2 14" xfId="8843" xr:uid="{7761F143-775F-449E-8798-D136087FFDCF}"/>
    <cellStyle name="Comma 4 4 2 2" xfId="155" xr:uid="{00000000-0005-0000-0000-0000CF090000}"/>
    <cellStyle name="Comma 4 4 2 2 10" xfId="25708" xr:uid="{7546035A-B614-4E94-B72A-F3AAEF343F0E}"/>
    <cellStyle name="Comma 4 4 2 2 11" xfId="17279" xr:uid="{BCACACFB-1850-45A8-A969-52B27462B3EE}"/>
    <cellStyle name="Comma 4 4 2 2 12" xfId="34137" xr:uid="{D3480921-7A1C-4A0A-A44A-53F07E9A9D40}"/>
    <cellStyle name="Comma 4 4 2 2 13" xfId="8844" xr:uid="{F5EA4870-6147-4EA2-82CA-146D45F218A9}"/>
    <cellStyle name="Comma 4 4 2 2 2" xfId="692" xr:uid="{00000000-0005-0000-0000-0000D0090000}"/>
    <cellStyle name="Comma 4 4 2 2 2 2" xfId="2963" xr:uid="{00000000-0005-0000-0000-0000D1090000}"/>
    <cellStyle name="Comma 4 4 2 2 2 2 2" xfId="7186" xr:uid="{00000000-0005-0000-0000-0000D2090000}"/>
    <cellStyle name="Comma 4 4 2 2 2 2 2 2" xfId="32485" xr:uid="{99197F63-3246-442A-A521-1245228A0B13}"/>
    <cellStyle name="Comma 4 4 2 2 2 2 2 3" xfId="24056" xr:uid="{1994C1F5-AD35-4C15-A2CD-86A8339A2B2D}"/>
    <cellStyle name="Comma 4 4 2 2 2 2 2 4" xfId="40913" xr:uid="{70560539-D2C0-4AC4-9DE3-FAB41281B270}"/>
    <cellStyle name="Comma 4 4 2 2 2 2 2 5" xfId="15621" xr:uid="{7F611DF6-136F-4A33-9A0F-BEE56379099A}"/>
    <cellStyle name="Comma 4 4 2 2 2 2 3" xfId="28267" xr:uid="{0F76579C-C2C9-4CAA-AEC1-791DA32BC917}"/>
    <cellStyle name="Comma 4 4 2 2 2 2 4" xfId="19838" xr:uid="{423A5D10-0B78-4672-952A-91186A8DCB34}"/>
    <cellStyle name="Comma 4 4 2 2 2 2 5" xfId="36696" xr:uid="{6054BD0D-710C-4C22-8820-DC4EA401D10A}"/>
    <cellStyle name="Comma 4 4 2 2 2 2 6" xfId="11403" xr:uid="{10E3A9EE-1161-4A4C-B74E-728CB48642F3}"/>
    <cellStyle name="Comma 4 4 2 2 2 3" xfId="5041" xr:uid="{00000000-0005-0000-0000-0000D3090000}"/>
    <cellStyle name="Comma 4 4 2 2 2 3 2" xfId="30340" xr:uid="{ACA4541D-B6AD-42AF-A432-B8F4143F58E8}"/>
    <cellStyle name="Comma 4 4 2 2 2 3 3" xfId="21911" xr:uid="{3F3A1071-7018-491C-AE73-E35841B6E9C1}"/>
    <cellStyle name="Comma 4 4 2 2 2 3 4" xfId="38768" xr:uid="{FF511D35-3C4D-4AAF-B389-7989244402E1}"/>
    <cellStyle name="Comma 4 4 2 2 2 3 5" xfId="13476" xr:uid="{5346EBEF-3F4D-462F-BE22-550951855549}"/>
    <cellStyle name="Comma 4 4 2 2 2 4" xfId="26122" xr:uid="{19961F97-F714-4A62-ADFE-1313FE63578B}"/>
    <cellStyle name="Comma 4 4 2 2 2 5" xfId="17693" xr:uid="{41325099-2362-48B1-BE9F-E35FEE7257A5}"/>
    <cellStyle name="Comma 4 4 2 2 2 6" xfId="34551" xr:uid="{D6EBCA26-8BC3-49C0-B8C0-297AAE710776}"/>
    <cellStyle name="Comma 4 4 2 2 2 7" xfId="9258" xr:uid="{F76C1767-9056-4427-8CB4-0EF3AEB77122}"/>
    <cellStyle name="Comma 4 4 2 2 3" xfId="1145" xr:uid="{00000000-0005-0000-0000-0000D4090000}"/>
    <cellStyle name="Comma 4 4 2 2 3 2" xfId="3376" xr:uid="{00000000-0005-0000-0000-0000D5090000}"/>
    <cellStyle name="Comma 4 4 2 2 3 2 2" xfId="7599" xr:uid="{00000000-0005-0000-0000-0000D6090000}"/>
    <cellStyle name="Comma 4 4 2 2 3 2 2 2" xfId="32898" xr:uid="{0D4E794E-7780-4B9D-996F-9DA742AAFF71}"/>
    <cellStyle name="Comma 4 4 2 2 3 2 2 3" xfId="24469" xr:uid="{F383B108-BD45-41B8-8C73-5B48D3480413}"/>
    <cellStyle name="Comma 4 4 2 2 3 2 2 4" xfId="41326" xr:uid="{6E7ACAFB-E7A2-46C6-91FB-336965E00269}"/>
    <cellStyle name="Comma 4 4 2 2 3 2 2 5" xfId="16034" xr:uid="{24C1D88F-9FB6-4216-95F4-4BB4595313B2}"/>
    <cellStyle name="Comma 4 4 2 2 3 2 3" xfId="28680" xr:uid="{E236BBAD-3A5A-48B8-BC85-19B01FF060BE}"/>
    <cellStyle name="Comma 4 4 2 2 3 2 4" xfId="20251" xr:uid="{1D69A3E3-03E7-4CEB-A965-C1AAEA6EBB49}"/>
    <cellStyle name="Comma 4 4 2 2 3 2 5" xfId="37109" xr:uid="{D1A02361-55BA-4107-972C-805391D3B5B7}"/>
    <cellStyle name="Comma 4 4 2 2 3 2 6" xfId="11816" xr:uid="{FC7F380D-000B-4073-96B8-BAF509F75248}"/>
    <cellStyle name="Comma 4 4 2 2 3 3" xfId="5454" xr:uid="{00000000-0005-0000-0000-0000D7090000}"/>
    <cellStyle name="Comma 4 4 2 2 3 3 2" xfId="30753" xr:uid="{D1FEB9C5-91C2-49F8-BDD2-F81373F37AE5}"/>
    <cellStyle name="Comma 4 4 2 2 3 3 3" xfId="22324" xr:uid="{8574D696-DB13-4EF5-B761-F397050C644E}"/>
    <cellStyle name="Comma 4 4 2 2 3 3 4" xfId="39181" xr:uid="{A8A2E8AA-8359-4094-B408-A5AF4A8203C9}"/>
    <cellStyle name="Comma 4 4 2 2 3 3 5" xfId="13889" xr:uid="{5CCCE1A4-01ED-4831-9452-8B0574C1F237}"/>
    <cellStyle name="Comma 4 4 2 2 3 4" xfId="26535" xr:uid="{F292AED5-D9AF-4285-B4D0-5924FB61DF0B}"/>
    <cellStyle name="Comma 4 4 2 2 3 5" xfId="18106" xr:uid="{74BF118E-6B03-4261-AFCE-DCB3AF0073B4}"/>
    <cellStyle name="Comma 4 4 2 2 3 6" xfId="34964" xr:uid="{0F8BC894-4DD2-495E-AAD8-2C04AC0B2E66}"/>
    <cellStyle name="Comma 4 4 2 2 3 7" xfId="9671" xr:uid="{E54E7A86-B362-4763-A747-5FA8BCCF7B60}"/>
    <cellStyle name="Comma 4 4 2 2 4" xfId="1559" xr:uid="{00000000-0005-0000-0000-0000D8090000}"/>
    <cellStyle name="Comma 4 4 2 2 4 2" xfId="3789" xr:uid="{00000000-0005-0000-0000-0000D9090000}"/>
    <cellStyle name="Comma 4 4 2 2 4 2 2" xfId="8012" xr:uid="{00000000-0005-0000-0000-0000DA090000}"/>
    <cellStyle name="Comma 4 4 2 2 4 2 2 2" xfId="33311" xr:uid="{467D0985-84C0-4840-AE65-0ABA5D30EF6B}"/>
    <cellStyle name="Comma 4 4 2 2 4 2 2 3" xfId="24882" xr:uid="{62F48C21-96E3-4770-8A82-AD7156992D62}"/>
    <cellStyle name="Comma 4 4 2 2 4 2 2 4" xfId="41739" xr:uid="{9EA082C5-73D3-4E09-83D0-6D4C9D62F38E}"/>
    <cellStyle name="Comma 4 4 2 2 4 2 2 5" xfId="16447" xr:uid="{ABD7E08F-087F-4EF1-8D1A-F58D25795672}"/>
    <cellStyle name="Comma 4 4 2 2 4 2 3" xfId="29093" xr:uid="{6590B347-14F3-409A-8E4E-80F98CD9DCE8}"/>
    <cellStyle name="Comma 4 4 2 2 4 2 4" xfId="20664" xr:uid="{38E985D8-16ED-4E57-A10F-207960A26957}"/>
    <cellStyle name="Comma 4 4 2 2 4 2 5" xfId="37522" xr:uid="{FC4F0790-8FA1-4C42-AFD8-718ED73B7319}"/>
    <cellStyle name="Comma 4 4 2 2 4 2 6" xfId="12229" xr:uid="{E21B97DA-DE68-4756-975F-87F82615CBCF}"/>
    <cellStyle name="Comma 4 4 2 2 4 3" xfId="5867" xr:uid="{00000000-0005-0000-0000-0000DB090000}"/>
    <cellStyle name="Comma 4 4 2 2 4 3 2" xfId="31166" xr:uid="{FAF39EBB-7C6D-493D-82AA-19398790C105}"/>
    <cellStyle name="Comma 4 4 2 2 4 3 3" xfId="22737" xr:uid="{B3FA2A9E-DF4B-449F-8868-9BA2BC584C03}"/>
    <cellStyle name="Comma 4 4 2 2 4 3 4" xfId="39594" xr:uid="{29E73EE0-873B-41B8-9065-D6353A57C8CB}"/>
    <cellStyle name="Comma 4 4 2 2 4 3 5" xfId="14302" xr:uid="{62D994BF-54F9-4AAC-A0A1-D4385E66A8FF}"/>
    <cellStyle name="Comma 4 4 2 2 4 4" xfId="26948" xr:uid="{35CD5D99-9680-4B1A-9A61-367134D423FF}"/>
    <cellStyle name="Comma 4 4 2 2 4 5" xfId="18519" xr:uid="{930FD131-8F73-4D19-9DBB-4676662B8E6F}"/>
    <cellStyle name="Comma 4 4 2 2 4 6" xfId="35377" xr:uid="{080C1BF7-40B4-4823-8FEA-387EE4CA6664}"/>
    <cellStyle name="Comma 4 4 2 2 4 7" xfId="10084" xr:uid="{5F66862F-FFC5-4D66-ABB9-0EA96A61FE66}"/>
    <cellStyle name="Comma 4 4 2 2 5" xfId="1973" xr:uid="{00000000-0005-0000-0000-0000DC090000}"/>
    <cellStyle name="Comma 4 4 2 2 5 2" xfId="4202" xr:uid="{00000000-0005-0000-0000-0000DD090000}"/>
    <cellStyle name="Comma 4 4 2 2 5 2 2" xfId="8425" xr:uid="{00000000-0005-0000-0000-0000DE090000}"/>
    <cellStyle name="Comma 4 4 2 2 5 2 2 2" xfId="33724" xr:uid="{62E4DD80-8FBF-46B1-8108-2099C978418B}"/>
    <cellStyle name="Comma 4 4 2 2 5 2 2 3" xfId="25295" xr:uid="{C9B71A27-CB6D-4174-B1E9-F93D365A4C43}"/>
    <cellStyle name="Comma 4 4 2 2 5 2 2 4" xfId="42152" xr:uid="{F4FCA318-510B-4655-B268-8314C0D9C476}"/>
    <cellStyle name="Comma 4 4 2 2 5 2 2 5" xfId="16860" xr:uid="{75CB2B0B-EAEB-419F-A6C3-F6A723C59361}"/>
    <cellStyle name="Comma 4 4 2 2 5 2 3" xfId="29506" xr:uid="{CCCCBFEE-99E4-4F05-8DC3-118207AA048B}"/>
    <cellStyle name="Comma 4 4 2 2 5 2 4" xfId="21077" xr:uid="{836C6358-0E35-4C27-98F0-6C43E5911E14}"/>
    <cellStyle name="Comma 4 4 2 2 5 2 5" xfId="37935" xr:uid="{CC48E579-7BBE-468F-AC0D-D202B23720E2}"/>
    <cellStyle name="Comma 4 4 2 2 5 2 6" xfId="12642" xr:uid="{E65B6130-2891-40DD-B15A-B38541D07024}"/>
    <cellStyle name="Comma 4 4 2 2 5 3" xfId="6280" xr:uid="{00000000-0005-0000-0000-0000DF090000}"/>
    <cellStyle name="Comma 4 4 2 2 5 3 2" xfId="31579" xr:uid="{A924EC9C-6E2C-42FE-8F2E-D39173D88618}"/>
    <cellStyle name="Comma 4 4 2 2 5 3 3" xfId="23150" xr:uid="{8159F585-5DA5-4093-9ECA-8EFC3FD55B0B}"/>
    <cellStyle name="Comma 4 4 2 2 5 3 4" xfId="40007" xr:uid="{6EB7872D-CB65-4674-98D8-AE1C97067F4C}"/>
    <cellStyle name="Comma 4 4 2 2 5 3 5" xfId="14715" xr:uid="{9D016C1D-23B9-4C7C-AA4C-6EA54D5EDA2C}"/>
    <cellStyle name="Comma 4 4 2 2 5 4" xfId="27361" xr:uid="{86E478ED-B9F3-4095-9293-E35E78E85370}"/>
    <cellStyle name="Comma 4 4 2 2 5 5" xfId="18932" xr:uid="{00844832-E9E8-4BDE-AA26-648A989FBC8C}"/>
    <cellStyle name="Comma 4 4 2 2 5 6" xfId="35790" xr:uid="{CDEE767D-0A11-42FD-B233-457E12C1CC08}"/>
    <cellStyle name="Comma 4 4 2 2 5 7" xfId="10497" xr:uid="{13176B00-914A-466C-BAE8-2C947A2C7DD7}"/>
    <cellStyle name="Comma 4 4 2 2 6" xfId="2408" xr:uid="{00000000-0005-0000-0000-0000E0090000}"/>
    <cellStyle name="Comma 4 4 2 2 6 2" xfId="6693" xr:uid="{00000000-0005-0000-0000-0000E1090000}"/>
    <cellStyle name="Comma 4 4 2 2 6 2 2" xfId="31992" xr:uid="{2B3BEE4C-E159-416E-ADA5-C8CD5F95CF4E}"/>
    <cellStyle name="Comma 4 4 2 2 6 2 3" xfId="23563" xr:uid="{A0BE6A81-11FC-40EA-84AD-F3609CD646A0}"/>
    <cellStyle name="Comma 4 4 2 2 6 2 4" xfId="40420" xr:uid="{6B918F2B-47DF-4F05-9837-5F260F1D8887}"/>
    <cellStyle name="Comma 4 4 2 2 6 2 5" xfId="15128" xr:uid="{C1270348-97DE-4D27-9426-34C8CAD250BE}"/>
    <cellStyle name="Comma 4 4 2 2 6 3" xfId="27774" xr:uid="{5B72E70A-C11B-4C72-9A5E-D699CC6A1FE0}"/>
    <cellStyle name="Comma 4 4 2 2 6 4" xfId="19345" xr:uid="{4CEC9560-6D08-42BF-A83F-B5022225586D}"/>
    <cellStyle name="Comma 4 4 2 2 6 5" xfId="36203" xr:uid="{6BEA750E-F218-45EA-A796-7A81EFAB7377}"/>
    <cellStyle name="Comma 4 4 2 2 6 6" xfId="10910" xr:uid="{47194C79-C157-429A-962F-6BD9DCA76F0E}"/>
    <cellStyle name="Comma 4 4 2 2 7" xfId="2704" xr:uid="{00000000-0005-0000-0000-0000E2090000}"/>
    <cellStyle name="Comma 4 4 2 2 8" xfId="2786" xr:uid="{00000000-0005-0000-0000-0000E3090000}"/>
    <cellStyle name="Comma 4 4 2 2 8 2" xfId="7010" xr:uid="{00000000-0005-0000-0000-0000E4090000}"/>
    <cellStyle name="Comma 4 4 2 2 8 2 2" xfId="32309" xr:uid="{1F4BD82F-D18B-48A5-960F-2B98B731C649}"/>
    <cellStyle name="Comma 4 4 2 2 8 2 3" xfId="23880" xr:uid="{FBDEC2B7-9EC9-4D54-A998-C42C44C7A36A}"/>
    <cellStyle name="Comma 4 4 2 2 8 2 4" xfId="40737" xr:uid="{3FF5EF20-F1A2-453C-B15D-C365DD121B63}"/>
    <cellStyle name="Comma 4 4 2 2 8 2 5" xfId="15445" xr:uid="{4510DDF4-136C-45D1-938C-C795E99D7ABE}"/>
    <cellStyle name="Comma 4 4 2 2 8 3" xfId="28091" xr:uid="{208F1389-740B-4BA2-B5C6-43EDCB7E6FC5}"/>
    <cellStyle name="Comma 4 4 2 2 8 4" xfId="19662" xr:uid="{52A913E0-8A5B-41F3-A520-FD1E36F69829}"/>
    <cellStyle name="Comma 4 4 2 2 8 5" xfId="36520" xr:uid="{324622A6-651C-4B34-BD8C-DB391966467F}"/>
    <cellStyle name="Comma 4 4 2 2 8 6" xfId="11227" xr:uid="{68E4BCB4-AD58-4E99-B061-B0AF1EAA6677}"/>
    <cellStyle name="Comma 4 4 2 2 9" xfId="4627" xr:uid="{00000000-0005-0000-0000-0000E5090000}"/>
    <cellStyle name="Comma 4 4 2 2 9 2" xfId="29926" xr:uid="{253DC0F9-0326-4355-81BC-33A39B45E2EF}"/>
    <cellStyle name="Comma 4 4 2 2 9 3" xfId="21497" xr:uid="{12B8410E-709F-4E2E-8AD5-416E1D53DD45}"/>
    <cellStyle name="Comma 4 4 2 2 9 4" xfId="38354" xr:uid="{4408C79B-A888-40DC-9AB9-C6D79B95423B}"/>
    <cellStyle name="Comma 4 4 2 2 9 5" xfId="13062" xr:uid="{9A06C083-2DAF-4162-81CC-A10FFC2562F2}"/>
    <cellStyle name="Comma 4 4 2 3" xfId="691" xr:uid="{00000000-0005-0000-0000-0000E6090000}"/>
    <cellStyle name="Comma 4 4 2 3 2" xfId="2962" xr:uid="{00000000-0005-0000-0000-0000E7090000}"/>
    <cellStyle name="Comma 4 4 2 3 2 2" xfId="7185" xr:uid="{00000000-0005-0000-0000-0000E8090000}"/>
    <cellStyle name="Comma 4 4 2 3 2 2 2" xfId="32484" xr:uid="{4F4DA6FF-19E7-4479-9095-418E85D04325}"/>
    <cellStyle name="Comma 4 4 2 3 2 2 3" xfId="24055" xr:uid="{B9CE124B-F842-4331-8837-334473BB29BD}"/>
    <cellStyle name="Comma 4 4 2 3 2 2 4" xfId="40912" xr:uid="{31039EEF-EBBC-4DB0-A96D-1BE262CDD526}"/>
    <cellStyle name="Comma 4 4 2 3 2 2 5" xfId="15620" xr:uid="{52CC9ADB-A303-482A-9BB0-E7D266739AA2}"/>
    <cellStyle name="Comma 4 4 2 3 2 3" xfId="28266" xr:uid="{6B0246D4-D1EB-43C5-8C7F-F57CA5D03453}"/>
    <cellStyle name="Comma 4 4 2 3 2 4" xfId="19837" xr:uid="{6ECD665F-E60F-4F46-B227-42A0B8E682CC}"/>
    <cellStyle name="Comma 4 4 2 3 2 5" xfId="36695" xr:uid="{F226119E-DD3E-4855-BE0A-4809386F4544}"/>
    <cellStyle name="Comma 4 4 2 3 2 6" xfId="11402" xr:uid="{A3E3F295-E4C1-4100-A1BB-996315BCF739}"/>
    <cellStyle name="Comma 4 4 2 3 3" xfId="5040" xr:uid="{00000000-0005-0000-0000-0000E9090000}"/>
    <cellStyle name="Comma 4 4 2 3 3 2" xfId="30339" xr:uid="{05260FB0-DF5F-4BC2-9BD6-8CFBC0D23F12}"/>
    <cellStyle name="Comma 4 4 2 3 3 3" xfId="21910" xr:uid="{60CBBB31-0A16-45FF-A5B9-74E97F616FD4}"/>
    <cellStyle name="Comma 4 4 2 3 3 4" xfId="38767" xr:uid="{1E5C65AE-7067-4FCB-A631-F8FE3BDF9F8F}"/>
    <cellStyle name="Comma 4 4 2 3 3 5" xfId="13475" xr:uid="{64FD333E-F612-4E92-AEBA-A22889FFF2FF}"/>
    <cellStyle name="Comma 4 4 2 3 4" xfId="26121" xr:uid="{6EA6F7AC-10EB-4A6F-B3F3-9F6E0677DDDC}"/>
    <cellStyle name="Comma 4 4 2 3 5" xfId="17692" xr:uid="{90449AB5-3494-4B58-BCD9-1A1A19241263}"/>
    <cellStyle name="Comma 4 4 2 3 6" xfId="34550" xr:uid="{57DDFA59-DF33-493F-868D-E90CFDC9DAEA}"/>
    <cellStyle name="Comma 4 4 2 3 7" xfId="9257" xr:uid="{B1F2C59F-4EF2-4A88-AEF3-7EB15F9D3095}"/>
    <cellStyle name="Comma 4 4 2 4" xfId="1144" xr:uid="{00000000-0005-0000-0000-0000EA090000}"/>
    <cellStyle name="Comma 4 4 2 4 2" xfId="3375" xr:uid="{00000000-0005-0000-0000-0000EB090000}"/>
    <cellStyle name="Comma 4 4 2 4 2 2" xfId="7598" xr:uid="{00000000-0005-0000-0000-0000EC090000}"/>
    <cellStyle name="Comma 4 4 2 4 2 2 2" xfId="32897" xr:uid="{4F9F1799-AAF0-49FA-A535-DE4082B9915D}"/>
    <cellStyle name="Comma 4 4 2 4 2 2 3" xfId="24468" xr:uid="{C2F1BF47-0F13-402D-8F20-61956DE38199}"/>
    <cellStyle name="Comma 4 4 2 4 2 2 4" xfId="41325" xr:uid="{B7AB4834-8D5C-45C8-9845-C9B1C8D15BA8}"/>
    <cellStyle name="Comma 4 4 2 4 2 2 5" xfId="16033" xr:uid="{16B1B280-FD13-4A15-A993-1668372690B9}"/>
    <cellStyle name="Comma 4 4 2 4 2 3" xfId="28679" xr:uid="{970AE56F-4BE3-4857-A702-695B54EEC256}"/>
    <cellStyle name="Comma 4 4 2 4 2 4" xfId="20250" xr:uid="{CCAE194A-D01C-4F16-BC2F-197BCD96F073}"/>
    <cellStyle name="Comma 4 4 2 4 2 5" xfId="37108" xr:uid="{B1337A06-5F18-4318-9F04-6EAB5CB2F949}"/>
    <cellStyle name="Comma 4 4 2 4 2 6" xfId="11815" xr:uid="{D2ED238E-4E36-4C9F-87DB-C08546C7D0BD}"/>
    <cellStyle name="Comma 4 4 2 4 3" xfId="5453" xr:uid="{00000000-0005-0000-0000-0000ED090000}"/>
    <cellStyle name="Comma 4 4 2 4 3 2" xfId="30752" xr:uid="{79DD9005-DCAF-4D4A-8CCD-647BC4B09BBC}"/>
    <cellStyle name="Comma 4 4 2 4 3 3" xfId="22323" xr:uid="{1C32CDC3-63C2-4A47-AFC0-EF16A679B404}"/>
    <cellStyle name="Comma 4 4 2 4 3 4" xfId="39180" xr:uid="{54E94FED-D157-4927-A04E-8EB5DDB45859}"/>
    <cellStyle name="Comma 4 4 2 4 3 5" xfId="13888" xr:uid="{0E6278A7-3188-45A7-81B1-3DB852661ECF}"/>
    <cellStyle name="Comma 4 4 2 4 4" xfId="26534" xr:uid="{8630C116-8084-47F6-9A98-A49149DB319C}"/>
    <cellStyle name="Comma 4 4 2 4 5" xfId="18105" xr:uid="{A82FA91A-F48C-416F-8B4A-02DEA108DD63}"/>
    <cellStyle name="Comma 4 4 2 4 6" xfId="34963" xr:uid="{A38544F3-A8C5-4CA2-97E2-86D02658BBF5}"/>
    <cellStyle name="Comma 4 4 2 4 7" xfId="9670" xr:uid="{419594F2-69A8-42E3-A711-E528FECF037D}"/>
    <cellStyle name="Comma 4 4 2 5" xfId="1558" xr:uid="{00000000-0005-0000-0000-0000EE090000}"/>
    <cellStyle name="Comma 4 4 2 5 2" xfId="3788" xr:uid="{00000000-0005-0000-0000-0000EF090000}"/>
    <cellStyle name="Comma 4 4 2 5 2 2" xfId="8011" xr:uid="{00000000-0005-0000-0000-0000F0090000}"/>
    <cellStyle name="Comma 4 4 2 5 2 2 2" xfId="33310" xr:uid="{FB359524-A877-4CF0-BE41-73F6F975684E}"/>
    <cellStyle name="Comma 4 4 2 5 2 2 3" xfId="24881" xr:uid="{A6874D43-71C0-4327-9444-C31E374C0912}"/>
    <cellStyle name="Comma 4 4 2 5 2 2 4" xfId="41738" xr:uid="{16B57FB3-FA00-4E67-B994-C55A0444755D}"/>
    <cellStyle name="Comma 4 4 2 5 2 2 5" xfId="16446" xr:uid="{5AD54BAA-2DA9-49A3-88A9-4C913B68E624}"/>
    <cellStyle name="Comma 4 4 2 5 2 3" xfId="29092" xr:uid="{C911D3B0-7326-4EB8-8718-1A79F7B1C62C}"/>
    <cellStyle name="Comma 4 4 2 5 2 4" xfId="20663" xr:uid="{936E711D-60B7-4C25-BFC2-0141A98E7D33}"/>
    <cellStyle name="Comma 4 4 2 5 2 5" xfId="37521" xr:uid="{83B8EC86-FD5F-4FDF-80F2-C058B6145011}"/>
    <cellStyle name="Comma 4 4 2 5 2 6" xfId="12228" xr:uid="{49C5D672-248E-42A9-B11D-50282CC21959}"/>
    <cellStyle name="Comma 4 4 2 5 3" xfId="5866" xr:uid="{00000000-0005-0000-0000-0000F1090000}"/>
    <cellStyle name="Comma 4 4 2 5 3 2" xfId="31165" xr:uid="{4D094730-D91F-4B78-B6DA-0CF0C8881ADA}"/>
    <cellStyle name="Comma 4 4 2 5 3 3" xfId="22736" xr:uid="{A23EB626-4881-405C-85C7-DCD32E42B5FF}"/>
    <cellStyle name="Comma 4 4 2 5 3 4" xfId="39593" xr:uid="{A72710E1-884C-4951-87AC-578E6BD08B12}"/>
    <cellStyle name="Comma 4 4 2 5 3 5" xfId="14301" xr:uid="{0612515B-C460-493E-AF09-49B8E256A566}"/>
    <cellStyle name="Comma 4 4 2 5 4" xfId="26947" xr:uid="{040EC7B5-18BD-4F4E-A821-4C9D28D2B329}"/>
    <cellStyle name="Comma 4 4 2 5 5" xfId="18518" xr:uid="{F29071DC-2F4F-4496-ACD5-9DA6697925F8}"/>
    <cellStyle name="Comma 4 4 2 5 6" xfId="35376" xr:uid="{F1CC8A58-56E1-4A39-AA8A-AEC3558D72EF}"/>
    <cellStyle name="Comma 4 4 2 5 7" xfId="10083" xr:uid="{1BC4E6F3-C60B-4F68-9095-FB69454F70F9}"/>
    <cellStyle name="Comma 4 4 2 6" xfId="1972" xr:uid="{00000000-0005-0000-0000-0000F2090000}"/>
    <cellStyle name="Comma 4 4 2 6 2" xfId="4201" xr:uid="{00000000-0005-0000-0000-0000F3090000}"/>
    <cellStyle name="Comma 4 4 2 6 2 2" xfId="8424" xr:uid="{00000000-0005-0000-0000-0000F4090000}"/>
    <cellStyle name="Comma 4 4 2 6 2 2 2" xfId="33723" xr:uid="{0F98EA63-05D3-4288-869B-B239F1A8DE33}"/>
    <cellStyle name="Comma 4 4 2 6 2 2 3" xfId="25294" xr:uid="{014E7B16-829E-4970-95EA-8FBE8A034F09}"/>
    <cellStyle name="Comma 4 4 2 6 2 2 4" xfId="42151" xr:uid="{D924B9DD-E735-4A46-9F06-3CF42DDE5988}"/>
    <cellStyle name="Comma 4 4 2 6 2 2 5" xfId="16859" xr:uid="{ED735E3D-49C7-4E9B-82AF-A135A0E21B46}"/>
    <cellStyle name="Comma 4 4 2 6 2 3" xfId="29505" xr:uid="{0E3E7C2A-A79A-4034-ABAE-5D4FB78F26B1}"/>
    <cellStyle name="Comma 4 4 2 6 2 4" xfId="21076" xr:uid="{BADD0337-AE5D-4075-8CCF-B5922BDF488A}"/>
    <cellStyle name="Comma 4 4 2 6 2 5" xfId="37934" xr:uid="{6DAC231A-3131-4050-A217-76E75E133814}"/>
    <cellStyle name="Comma 4 4 2 6 2 6" xfId="12641" xr:uid="{A05B5E2F-6973-4494-B5D6-39B72D6E9371}"/>
    <cellStyle name="Comma 4 4 2 6 3" xfId="6279" xr:uid="{00000000-0005-0000-0000-0000F5090000}"/>
    <cellStyle name="Comma 4 4 2 6 3 2" xfId="31578" xr:uid="{DD139A8C-62BB-4593-86BE-E9DB6851EB2C}"/>
    <cellStyle name="Comma 4 4 2 6 3 3" xfId="23149" xr:uid="{5C08270A-B1BC-4DA4-81C3-968DE1CC7FB9}"/>
    <cellStyle name="Comma 4 4 2 6 3 4" xfId="40006" xr:uid="{7792776C-DB22-45A0-82F9-7A72B35551B1}"/>
    <cellStyle name="Comma 4 4 2 6 3 5" xfId="14714" xr:uid="{6ADA0008-F3E8-45CF-BCB2-A795B1B307D2}"/>
    <cellStyle name="Comma 4 4 2 6 4" xfId="27360" xr:uid="{1671524A-EEE3-447C-A2CA-E47C7264B983}"/>
    <cellStyle name="Comma 4 4 2 6 5" xfId="18931" xr:uid="{FD5E5F6C-6AAF-4EBE-A7FB-E62CBD8432A0}"/>
    <cellStyle name="Comma 4 4 2 6 6" xfId="35789" xr:uid="{1BD69A00-9077-458B-A730-AA3DF7CEFED1}"/>
    <cellStyle name="Comma 4 4 2 6 7" xfId="10496" xr:uid="{48FECCC7-2F70-49A6-AC74-99C0983F95DC}"/>
    <cellStyle name="Comma 4 4 2 7" xfId="2407" xr:uid="{00000000-0005-0000-0000-0000F6090000}"/>
    <cellStyle name="Comma 4 4 2 7 2" xfId="6692" xr:uid="{00000000-0005-0000-0000-0000F7090000}"/>
    <cellStyle name="Comma 4 4 2 7 2 2" xfId="31991" xr:uid="{2407FDBD-2C01-435F-887B-905E305B1379}"/>
    <cellStyle name="Comma 4 4 2 7 2 3" xfId="23562" xr:uid="{81531613-6D2C-4B12-B2C9-CADB6CC6E57B}"/>
    <cellStyle name="Comma 4 4 2 7 2 4" xfId="40419" xr:uid="{4BE50513-8448-4E27-B1D8-067BEEDC59C5}"/>
    <cellStyle name="Comma 4 4 2 7 2 5" xfId="15127" xr:uid="{E03A153C-AB8C-4B31-A09A-471C65C591DA}"/>
    <cellStyle name="Comma 4 4 2 7 3" xfId="27773" xr:uid="{73DCDCA6-C7D5-48D6-8BFC-E1702E804F62}"/>
    <cellStyle name="Comma 4 4 2 7 4" xfId="19344" xr:uid="{F840D905-098A-4D47-866D-A0E3A5AA271F}"/>
    <cellStyle name="Comma 4 4 2 7 5" xfId="36202" xr:uid="{AF5DC86C-48B3-46B6-BF89-FAE8B3227E0F}"/>
    <cellStyle name="Comma 4 4 2 7 6" xfId="10909" xr:uid="{E37C0CB5-0A51-4120-B752-7B0E015BFCB7}"/>
    <cellStyle name="Comma 4 4 2 8" xfId="2703" xr:uid="{00000000-0005-0000-0000-0000F8090000}"/>
    <cellStyle name="Comma 4 4 2 9" xfId="2785" xr:uid="{00000000-0005-0000-0000-0000F9090000}"/>
    <cellStyle name="Comma 4 4 2 9 2" xfId="7009" xr:uid="{00000000-0005-0000-0000-0000FA090000}"/>
    <cellStyle name="Comma 4 4 2 9 2 2" xfId="32308" xr:uid="{7BF39EF4-94E4-4E3C-92E4-4A03B25B10FE}"/>
    <cellStyle name="Comma 4 4 2 9 2 3" xfId="23879" xr:uid="{2316977C-8A44-4785-AF1F-D714E5AD8DF7}"/>
    <cellStyle name="Comma 4 4 2 9 2 4" xfId="40736" xr:uid="{C5211A3A-E8CD-4248-81A1-39ACF23A4429}"/>
    <cellStyle name="Comma 4 4 2 9 2 5" xfId="15444" xr:uid="{06741E94-464E-45FD-A470-23CE44C60A1A}"/>
    <cellStyle name="Comma 4 4 2 9 3" xfId="28090" xr:uid="{71EFC59E-31F9-4C32-8D72-D6A97E6817C2}"/>
    <cellStyle name="Comma 4 4 2 9 4" xfId="19661" xr:uid="{B7104A51-9281-4680-A822-A1377563E69D}"/>
    <cellStyle name="Comma 4 4 2 9 5" xfId="36519" xr:uid="{84DCC1F9-4BB5-428C-A54A-AF2447FDB822}"/>
    <cellStyle name="Comma 4 4 2 9 6" xfId="11226" xr:uid="{7A95209D-8A00-44D2-809D-B7043F4C12E4}"/>
    <cellStyle name="Comma 4 4 3" xfId="156" xr:uid="{00000000-0005-0000-0000-0000FB090000}"/>
    <cellStyle name="Comma 4 4 3 10" xfId="25709" xr:uid="{FEE158D4-3004-4613-AD8B-1A2F1CF2C35D}"/>
    <cellStyle name="Comma 4 4 3 11" xfId="17280" xr:uid="{AC2F8B00-4728-40D5-9535-2C5C9E8792C7}"/>
    <cellStyle name="Comma 4 4 3 12" xfId="34138" xr:uid="{8E657A38-F7AE-432C-A46D-2D3D6146D532}"/>
    <cellStyle name="Comma 4 4 3 13" xfId="8845" xr:uid="{47748449-53A0-443D-9F0A-9C9759959ABF}"/>
    <cellStyle name="Comma 4 4 3 2" xfId="693" xr:uid="{00000000-0005-0000-0000-0000FC090000}"/>
    <cellStyle name="Comma 4 4 3 2 2" xfId="2964" xr:uid="{00000000-0005-0000-0000-0000FD090000}"/>
    <cellStyle name="Comma 4 4 3 2 2 2" xfId="7187" xr:uid="{00000000-0005-0000-0000-0000FE090000}"/>
    <cellStyle name="Comma 4 4 3 2 2 2 2" xfId="32486" xr:uid="{23B14277-41CF-4291-A113-C7165DF89B4D}"/>
    <cellStyle name="Comma 4 4 3 2 2 2 3" xfId="24057" xr:uid="{04F516ED-D2DB-4FC7-9671-1ABFA168C8E4}"/>
    <cellStyle name="Comma 4 4 3 2 2 2 4" xfId="40914" xr:uid="{241E4C35-EEA9-475A-9137-94D23529669A}"/>
    <cellStyle name="Comma 4 4 3 2 2 2 5" xfId="15622" xr:uid="{C135D3A6-1CCE-490A-B1A3-73BBB6EC8F79}"/>
    <cellStyle name="Comma 4 4 3 2 2 3" xfId="28268" xr:uid="{EB97D7ED-F826-4220-A7C0-EB9BC4BCAE68}"/>
    <cellStyle name="Comma 4 4 3 2 2 4" xfId="19839" xr:uid="{5B668A73-4A73-47D4-922B-E12EED9F49B3}"/>
    <cellStyle name="Comma 4 4 3 2 2 5" xfId="36697" xr:uid="{5E22DDFF-A33B-4A70-90F8-0D3F68A90C5F}"/>
    <cellStyle name="Comma 4 4 3 2 2 6" xfId="11404" xr:uid="{73B7ED98-A027-4A99-818C-44D38C21A85A}"/>
    <cellStyle name="Comma 4 4 3 2 3" xfId="5042" xr:uid="{00000000-0005-0000-0000-0000FF090000}"/>
    <cellStyle name="Comma 4 4 3 2 3 2" xfId="30341" xr:uid="{0843B1B2-CD6F-465B-8CF2-CC49A298F4FE}"/>
    <cellStyle name="Comma 4 4 3 2 3 3" xfId="21912" xr:uid="{FA1E2C2E-B33E-4959-9E92-B43888FF65C1}"/>
    <cellStyle name="Comma 4 4 3 2 3 4" xfId="38769" xr:uid="{B65A54C4-2B0B-40E9-8390-800B2FD21118}"/>
    <cellStyle name="Comma 4 4 3 2 3 5" xfId="13477" xr:uid="{1A2A466B-B00A-4D32-8341-E65E24A1411C}"/>
    <cellStyle name="Comma 4 4 3 2 4" xfId="26123" xr:uid="{757AF4D9-830D-4765-A4B2-E137DDA51AC0}"/>
    <cellStyle name="Comma 4 4 3 2 5" xfId="17694" xr:uid="{422C4D3B-F2A4-444E-B7DB-D5E7120C1807}"/>
    <cellStyle name="Comma 4 4 3 2 6" xfId="34552" xr:uid="{21BAF03A-A61E-45DF-A3DC-ECAF69617752}"/>
    <cellStyle name="Comma 4 4 3 2 7" xfId="9259" xr:uid="{D63C7142-FEC5-45AC-98FD-C61824FA539F}"/>
    <cellStyle name="Comma 4 4 3 3" xfId="1146" xr:uid="{00000000-0005-0000-0000-0000000A0000}"/>
    <cellStyle name="Comma 4 4 3 3 2" xfId="3377" xr:uid="{00000000-0005-0000-0000-0000010A0000}"/>
    <cellStyle name="Comma 4 4 3 3 2 2" xfId="7600" xr:uid="{00000000-0005-0000-0000-0000020A0000}"/>
    <cellStyle name="Comma 4 4 3 3 2 2 2" xfId="32899" xr:uid="{06CE479F-B44C-4EBC-900B-182BEAC9177A}"/>
    <cellStyle name="Comma 4 4 3 3 2 2 3" xfId="24470" xr:uid="{4B67B6E6-4E5F-496A-9FA7-DEE9634FBF21}"/>
    <cellStyle name="Comma 4 4 3 3 2 2 4" xfId="41327" xr:uid="{E5FFCD7E-1054-418E-B148-157B96086704}"/>
    <cellStyle name="Comma 4 4 3 3 2 2 5" xfId="16035" xr:uid="{7726B097-5C06-407C-ACFD-02F83E9127DD}"/>
    <cellStyle name="Comma 4 4 3 3 2 3" xfId="28681" xr:uid="{CDD725BB-46D7-4DB3-9744-45D84FA0C9AC}"/>
    <cellStyle name="Comma 4 4 3 3 2 4" xfId="20252" xr:uid="{F5962A37-16CA-4497-B2C0-6E559BECCF2C}"/>
    <cellStyle name="Comma 4 4 3 3 2 5" xfId="37110" xr:uid="{03C14C74-916B-42BD-9EB9-ADB865237326}"/>
    <cellStyle name="Comma 4 4 3 3 2 6" xfId="11817" xr:uid="{86E89A42-C46B-48D3-94D4-F5CDCA3F051C}"/>
    <cellStyle name="Comma 4 4 3 3 3" xfId="5455" xr:uid="{00000000-0005-0000-0000-0000030A0000}"/>
    <cellStyle name="Comma 4 4 3 3 3 2" xfId="30754" xr:uid="{956B96A1-764C-4D26-9DA0-468EAEEF04F9}"/>
    <cellStyle name="Comma 4 4 3 3 3 3" xfId="22325" xr:uid="{9666A901-1CAD-462D-AFEF-A6692509E13A}"/>
    <cellStyle name="Comma 4 4 3 3 3 4" xfId="39182" xr:uid="{68253AF0-1D7B-40B9-A42C-DBC42ABB3BC8}"/>
    <cellStyle name="Comma 4 4 3 3 3 5" xfId="13890" xr:uid="{65DB570C-3C55-4C57-BB7C-364EA76EB8F2}"/>
    <cellStyle name="Comma 4 4 3 3 4" xfId="26536" xr:uid="{235E3C25-5D71-499C-BCBB-B44A9A4343E4}"/>
    <cellStyle name="Comma 4 4 3 3 5" xfId="18107" xr:uid="{DB89DC3F-32CF-40CB-AFF4-530EE16270C3}"/>
    <cellStyle name="Comma 4 4 3 3 6" xfId="34965" xr:uid="{B0A9117A-D720-49FB-8BAB-2AF875FA975E}"/>
    <cellStyle name="Comma 4 4 3 3 7" xfId="9672" xr:uid="{3688DDAD-8C93-4D03-B493-982BEDBE7CB5}"/>
    <cellStyle name="Comma 4 4 3 4" xfId="1560" xr:uid="{00000000-0005-0000-0000-0000040A0000}"/>
    <cellStyle name="Comma 4 4 3 4 2" xfId="3790" xr:uid="{00000000-0005-0000-0000-0000050A0000}"/>
    <cellStyle name="Comma 4 4 3 4 2 2" xfId="8013" xr:uid="{00000000-0005-0000-0000-0000060A0000}"/>
    <cellStyle name="Comma 4 4 3 4 2 2 2" xfId="33312" xr:uid="{ED4DD07A-0CA0-4B40-A53E-C39E0AC04F2C}"/>
    <cellStyle name="Comma 4 4 3 4 2 2 3" xfId="24883" xr:uid="{ABEC2BD9-6397-4B62-925F-F4CB08564D2B}"/>
    <cellStyle name="Comma 4 4 3 4 2 2 4" xfId="41740" xr:uid="{65DFB7EC-9B8E-429E-807D-37CB23BF597B}"/>
    <cellStyle name="Comma 4 4 3 4 2 2 5" xfId="16448" xr:uid="{34D3E6BF-B71A-431D-BABF-0198C433E28C}"/>
    <cellStyle name="Comma 4 4 3 4 2 3" xfId="29094" xr:uid="{36D02386-BBE1-4FC6-95B8-E63318083B6D}"/>
    <cellStyle name="Comma 4 4 3 4 2 4" xfId="20665" xr:uid="{9B6F9B16-CC11-4503-85E6-1C30A0465BF5}"/>
    <cellStyle name="Comma 4 4 3 4 2 5" xfId="37523" xr:uid="{CFADC12F-77CD-40F9-BD0B-B2EB7E744B2C}"/>
    <cellStyle name="Comma 4 4 3 4 2 6" xfId="12230" xr:uid="{3AB1CCE4-D8E0-4B05-A9A1-D571F0877163}"/>
    <cellStyle name="Comma 4 4 3 4 3" xfId="5868" xr:uid="{00000000-0005-0000-0000-0000070A0000}"/>
    <cellStyle name="Comma 4 4 3 4 3 2" xfId="31167" xr:uid="{A4512D4D-BAC8-4A94-87B9-BD464A5BAC37}"/>
    <cellStyle name="Comma 4 4 3 4 3 3" xfId="22738" xr:uid="{B1EA4B5C-24A7-4031-85CC-F8EB1DEF55C3}"/>
    <cellStyle name="Comma 4 4 3 4 3 4" xfId="39595" xr:uid="{CC265B89-B374-48BA-B730-A2C354A65A00}"/>
    <cellStyle name="Comma 4 4 3 4 3 5" xfId="14303" xr:uid="{B01C0829-0731-44B3-BC1F-54C88AFF435E}"/>
    <cellStyle name="Comma 4 4 3 4 4" xfId="26949" xr:uid="{A71FE429-BECA-4F84-8204-3B5C2C867CBC}"/>
    <cellStyle name="Comma 4 4 3 4 5" xfId="18520" xr:uid="{C264627D-6116-48C6-91A5-034E0E090C46}"/>
    <cellStyle name="Comma 4 4 3 4 6" xfId="35378" xr:uid="{DA3A0D36-998F-4812-882D-03B1E9F60D18}"/>
    <cellStyle name="Comma 4 4 3 4 7" xfId="10085" xr:uid="{BD74007C-2115-436A-83A8-EBC6A0045BC6}"/>
    <cellStyle name="Comma 4 4 3 5" xfId="1974" xr:uid="{00000000-0005-0000-0000-0000080A0000}"/>
    <cellStyle name="Comma 4 4 3 5 2" xfId="4203" xr:uid="{00000000-0005-0000-0000-0000090A0000}"/>
    <cellStyle name="Comma 4 4 3 5 2 2" xfId="8426" xr:uid="{00000000-0005-0000-0000-00000A0A0000}"/>
    <cellStyle name="Comma 4 4 3 5 2 2 2" xfId="33725" xr:uid="{BF64433F-385B-4F1E-9F40-C6D9E1D035EF}"/>
    <cellStyle name="Comma 4 4 3 5 2 2 3" xfId="25296" xr:uid="{5BAE4F94-BC65-421C-9AEA-413A5887ED00}"/>
    <cellStyle name="Comma 4 4 3 5 2 2 4" xfId="42153" xr:uid="{4E3E8619-ACC6-4479-B6C4-BC4484D44904}"/>
    <cellStyle name="Comma 4 4 3 5 2 2 5" xfId="16861" xr:uid="{4BE817F1-E284-460A-B9FC-73217DAB6D09}"/>
    <cellStyle name="Comma 4 4 3 5 2 3" xfId="29507" xr:uid="{6C624E46-03BB-4FD9-A36F-F5A53E1BD9E5}"/>
    <cellStyle name="Comma 4 4 3 5 2 4" xfId="21078" xr:uid="{74635825-ECC6-4DAE-93BE-20EB46C5B58A}"/>
    <cellStyle name="Comma 4 4 3 5 2 5" xfId="37936" xr:uid="{2F116484-AC7A-4820-A5FE-978F7F681A09}"/>
    <cellStyle name="Comma 4 4 3 5 2 6" xfId="12643" xr:uid="{50BCB7AC-85EE-4873-B2C1-9BCA2F44E2C3}"/>
    <cellStyle name="Comma 4 4 3 5 3" xfId="6281" xr:uid="{00000000-0005-0000-0000-00000B0A0000}"/>
    <cellStyle name="Comma 4 4 3 5 3 2" xfId="31580" xr:uid="{3912AACD-C731-4F57-974B-9B6CEF5F31C0}"/>
    <cellStyle name="Comma 4 4 3 5 3 3" xfId="23151" xr:uid="{8161C393-5F99-48C5-A6DA-2A59C5A95697}"/>
    <cellStyle name="Comma 4 4 3 5 3 4" xfId="40008" xr:uid="{823CF7E9-7953-417E-BE7D-8BD265BE28A9}"/>
    <cellStyle name="Comma 4 4 3 5 3 5" xfId="14716" xr:uid="{8B75BF03-EF86-462E-86D7-313AAB588AC8}"/>
    <cellStyle name="Comma 4 4 3 5 4" xfId="27362" xr:uid="{06C24193-D181-414D-A2E3-83F0AC120D2F}"/>
    <cellStyle name="Comma 4 4 3 5 5" xfId="18933" xr:uid="{8602AFCE-F6FE-4872-8531-8922A6696E06}"/>
    <cellStyle name="Comma 4 4 3 5 6" xfId="35791" xr:uid="{A3889581-29FE-40B2-8B15-45F745DAA5A8}"/>
    <cellStyle name="Comma 4 4 3 5 7" xfId="10498" xr:uid="{89B54DED-4700-468D-B713-783CFA2C7C97}"/>
    <cellStyle name="Comma 4 4 3 6" xfId="2409" xr:uid="{00000000-0005-0000-0000-00000C0A0000}"/>
    <cellStyle name="Comma 4 4 3 6 2" xfId="6694" xr:uid="{00000000-0005-0000-0000-00000D0A0000}"/>
    <cellStyle name="Comma 4 4 3 6 2 2" xfId="31993" xr:uid="{C3C1986C-5F07-4525-80FA-C2A30797558C}"/>
    <cellStyle name="Comma 4 4 3 6 2 3" xfId="23564" xr:uid="{CEB5D08D-55AF-4FDF-96B6-21699811C6AD}"/>
    <cellStyle name="Comma 4 4 3 6 2 4" xfId="40421" xr:uid="{80881CEE-EA42-4F6C-8A9B-3A0728C71387}"/>
    <cellStyle name="Comma 4 4 3 6 2 5" xfId="15129" xr:uid="{008EC76C-DE85-44F0-ACB1-3606BE0DCBC5}"/>
    <cellStyle name="Comma 4 4 3 6 3" xfId="27775" xr:uid="{FA63C42D-FBA2-43F8-B747-F55C0446ED19}"/>
    <cellStyle name="Comma 4 4 3 6 4" xfId="19346" xr:uid="{2B624E56-FE27-4FCF-91F7-A6E1D5A9E12C}"/>
    <cellStyle name="Comma 4 4 3 6 5" xfId="36204" xr:uid="{A0D53DC1-1390-46C5-97A9-4E40E565F2B3}"/>
    <cellStyle name="Comma 4 4 3 6 6" xfId="10911" xr:uid="{E4744CDE-6F81-4072-AAA0-9C16D5064360}"/>
    <cellStyle name="Comma 4 4 3 7" xfId="2705" xr:uid="{00000000-0005-0000-0000-00000E0A0000}"/>
    <cellStyle name="Comma 4 4 3 8" xfId="2787" xr:uid="{00000000-0005-0000-0000-00000F0A0000}"/>
    <cellStyle name="Comma 4 4 3 8 2" xfId="7011" xr:uid="{00000000-0005-0000-0000-0000100A0000}"/>
    <cellStyle name="Comma 4 4 3 8 2 2" xfId="32310" xr:uid="{5FD9297F-2C50-4F62-9DBE-06AB409EEB2A}"/>
    <cellStyle name="Comma 4 4 3 8 2 3" xfId="23881" xr:uid="{6F9EA0B9-0F2E-4052-930F-BD86529F93DB}"/>
    <cellStyle name="Comma 4 4 3 8 2 4" xfId="40738" xr:uid="{A4E44755-298E-4587-BB9B-976C4931AB9D}"/>
    <cellStyle name="Comma 4 4 3 8 2 5" xfId="15446" xr:uid="{1CCD718B-F477-4BA2-9557-2632E431DBFC}"/>
    <cellStyle name="Comma 4 4 3 8 3" xfId="28092" xr:uid="{EACEFAD4-8D5B-43AF-81FD-D0390D08447E}"/>
    <cellStyle name="Comma 4 4 3 8 4" xfId="19663" xr:uid="{089442E2-E492-44F1-8E07-1974340F5AFC}"/>
    <cellStyle name="Comma 4 4 3 8 5" xfId="36521" xr:uid="{64E528DB-FC2A-415E-8C14-58645F709B5A}"/>
    <cellStyle name="Comma 4 4 3 8 6" xfId="11228" xr:uid="{DF155D38-6DBB-46F4-85CE-FDF5BF35EC84}"/>
    <cellStyle name="Comma 4 4 3 9" xfId="4628" xr:uid="{00000000-0005-0000-0000-0000110A0000}"/>
    <cellStyle name="Comma 4 4 3 9 2" xfId="29927" xr:uid="{6C8F04D7-00BA-44DC-9DF9-09444D3F0659}"/>
    <cellStyle name="Comma 4 4 3 9 3" xfId="21498" xr:uid="{7048A081-1C8E-40C3-9E38-113054F6DC7E}"/>
    <cellStyle name="Comma 4 4 3 9 4" xfId="38355" xr:uid="{DC87A2BB-29A6-41F0-9112-F86E81BD32B7}"/>
    <cellStyle name="Comma 4 4 3 9 5" xfId="13063" xr:uid="{7DC30B56-310D-4087-A357-964FDBE7ABD1}"/>
    <cellStyle name="Comma 4 4 4" xfId="690" xr:uid="{00000000-0005-0000-0000-0000120A0000}"/>
    <cellStyle name="Comma 4 4 4 2" xfId="2961" xr:uid="{00000000-0005-0000-0000-0000130A0000}"/>
    <cellStyle name="Comma 4 4 4 2 2" xfId="7184" xr:uid="{00000000-0005-0000-0000-0000140A0000}"/>
    <cellStyle name="Comma 4 4 4 2 2 2" xfId="32483" xr:uid="{0D3F8EE3-7172-483B-9B04-31D0A418C571}"/>
    <cellStyle name="Comma 4 4 4 2 2 3" xfId="24054" xr:uid="{E5C9713F-5EBA-4103-8049-75DE9A3A91E6}"/>
    <cellStyle name="Comma 4 4 4 2 2 4" xfId="40911" xr:uid="{82C2A1EF-66A8-4010-A26D-B4E382A535FE}"/>
    <cellStyle name="Comma 4 4 4 2 2 5" xfId="15619" xr:uid="{4EEBF001-45EC-4F8A-8F52-DEC8913F40BE}"/>
    <cellStyle name="Comma 4 4 4 2 3" xfId="28265" xr:uid="{84D4FC77-8B8D-4B4C-A625-3B27B33E712F}"/>
    <cellStyle name="Comma 4 4 4 2 4" xfId="19836" xr:uid="{54751331-DED1-4212-8568-BB3B0E8B2324}"/>
    <cellStyle name="Comma 4 4 4 2 5" xfId="36694" xr:uid="{01D0B9F4-5D94-4A15-A0E3-B9596CDB699B}"/>
    <cellStyle name="Comma 4 4 4 2 6" xfId="11401" xr:uid="{9848049D-38A3-45D4-8BF2-9C233A719440}"/>
    <cellStyle name="Comma 4 4 4 3" xfId="5039" xr:uid="{00000000-0005-0000-0000-0000150A0000}"/>
    <cellStyle name="Comma 4 4 4 3 2" xfId="30338" xr:uid="{B7AC9F46-34A7-4483-82ED-16174990D66D}"/>
    <cellStyle name="Comma 4 4 4 3 3" xfId="21909" xr:uid="{41D2D55B-0914-4FFB-874A-32AA64DE3828}"/>
    <cellStyle name="Comma 4 4 4 3 4" xfId="38766" xr:uid="{EF096753-7DE6-48AC-90CD-F8FA81CD0725}"/>
    <cellStyle name="Comma 4 4 4 3 5" xfId="13474" xr:uid="{75A21FEE-50FE-4761-8F2C-5D1BD8560669}"/>
    <cellStyle name="Comma 4 4 4 4" xfId="26120" xr:uid="{D354037C-3D11-4B3D-92ED-8AC7CF53235A}"/>
    <cellStyle name="Comma 4 4 4 5" xfId="17691" xr:uid="{BC258998-928E-43E1-B74D-8010E1F4F2D6}"/>
    <cellStyle name="Comma 4 4 4 6" xfId="34549" xr:uid="{50FD2A1B-2900-49DB-8F8D-66322202B503}"/>
    <cellStyle name="Comma 4 4 4 7" xfId="9256" xr:uid="{26B642A6-091D-4869-9373-C09D61118011}"/>
    <cellStyle name="Comma 4 4 5" xfId="1143" xr:uid="{00000000-0005-0000-0000-0000160A0000}"/>
    <cellStyle name="Comma 4 4 5 2" xfId="3374" xr:uid="{00000000-0005-0000-0000-0000170A0000}"/>
    <cellStyle name="Comma 4 4 5 2 2" xfId="7597" xr:uid="{00000000-0005-0000-0000-0000180A0000}"/>
    <cellStyle name="Comma 4 4 5 2 2 2" xfId="32896" xr:uid="{5BC88398-85C8-4738-AEB1-6760007C6A55}"/>
    <cellStyle name="Comma 4 4 5 2 2 3" xfId="24467" xr:uid="{536CADBB-5B6A-48CF-8AD5-3AFD542E1370}"/>
    <cellStyle name="Comma 4 4 5 2 2 4" xfId="41324" xr:uid="{44088629-7137-47E3-853B-C1FF07B73F4C}"/>
    <cellStyle name="Comma 4 4 5 2 2 5" xfId="16032" xr:uid="{72F48BC8-3D75-419E-8358-BD26BD9273B7}"/>
    <cellStyle name="Comma 4 4 5 2 3" xfId="28678" xr:uid="{79CB5C4B-8314-46C4-99BC-8CC4F134257D}"/>
    <cellStyle name="Comma 4 4 5 2 4" xfId="20249" xr:uid="{D23CA2FD-B905-4F33-A4C4-93CC27E1247A}"/>
    <cellStyle name="Comma 4 4 5 2 5" xfId="37107" xr:uid="{F6E39063-8956-4DAA-983A-A014844D1268}"/>
    <cellStyle name="Comma 4 4 5 2 6" xfId="11814" xr:uid="{DC1D8C52-812E-46AD-A4E6-5BFEFB97F8AB}"/>
    <cellStyle name="Comma 4 4 5 3" xfId="5452" xr:uid="{00000000-0005-0000-0000-0000190A0000}"/>
    <cellStyle name="Comma 4 4 5 3 2" xfId="30751" xr:uid="{FC9D140E-F0DD-45A2-AD56-9E8F6CE79231}"/>
    <cellStyle name="Comma 4 4 5 3 3" xfId="22322" xr:uid="{51C762CA-4DB6-4010-AD84-E9F84E91CF72}"/>
    <cellStyle name="Comma 4 4 5 3 4" xfId="39179" xr:uid="{3A591BA0-D9AC-4661-927A-EC8B4E3888FC}"/>
    <cellStyle name="Comma 4 4 5 3 5" xfId="13887" xr:uid="{A46F6505-A25F-4ABE-B2BB-D29E64D49291}"/>
    <cellStyle name="Comma 4 4 5 4" xfId="26533" xr:uid="{DFD0CA0F-98D6-4C69-8066-5FC94D66D228}"/>
    <cellStyle name="Comma 4 4 5 5" xfId="18104" xr:uid="{2538280F-2880-4F11-9D28-04A2AB2102A6}"/>
    <cellStyle name="Comma 4 4 5 6" xfId="34962" xr:uid="{387418E3-B4FA-4F5E-A7C2-376DB9DFEE94}"/>
    <cellStyle name="Comma 4 4 5 7" xfId="9669" xr:uid="{666B2451-03F1-4172-888B-639FEC2BFD01}"/>
    <cellStyle name="Comma 4 4 6" xfId="1557" xr:uid="{00000000-0005-0000-0000-00001A0A0000}"/>
    <cellStyle name="Comma 4 4 6 2" xfId="3787" xr:uid="{00000000-0005-0000-0000-00001B0A0000}"/>
    <cellStyle name="Comma 4 4 6 2 2" xfId="8010" xr:uid="{00000000-0005-0000-0000-00001C0A0000}"/>
    <cellStyle name="Comma 4 4 6 2 2 2" xfId="33309" xr:uid="{72D86FE7-8E58-458D-93C3-60D8B2DB807D}"/>
    <cellStyle name="Comma 4 4 6 2 2 3" xfId="24880" xr:uid="{2B2DAA3A-FAAD-4D59-864F-D7706BA9BA9C}"/>
    <cellStyle name="Comma 4 4 6 2 2 4" xfId="41737" xr:uid="{CF652D0A-3D04-4E83-938F-DA6E4B1A4F3B}"/>
    <cellStyle name="Comma 4 4 6 2 2 5" xfId="16445" xr:uid="{F0E1B2F7-E454-4F80-BF5D-8ECFE2A20B78}"/>
    <cellStyle name="Comma 4 4 6 2 3" xfId="29091" xr:uid="{962D699D-02CA-40CD-881E-5298AE6942B8}"/>
    <cellStyle name="Comma 4 4 6 2 4" xfId="20662" xr:uid="{424F8B68-32AA-41C1-9A1C-A392C53C6378}"/>
    <cellStyle name="Comma 4 4 6 2 5" xfId="37520" xr:uid="{6BC72ACC-3867-4F46-B2F5-80877C865C60}"/>
    <cellStyle name="Comma 4 4 6 2 6" xfId="12227" xr:uid="{5693EBCB-C979-49C0-A4A2-251FE5D7EBD7}"/>
    <cellStyle name="Comma 4 4 6 3" xfId="5865" xr:uid="{00000000-0005-0000-0000-00001D0A0000}"/>
    <cellStyle name="Comma 4 4 6 3 2" xfId="31164" xr:uid="{CEFCA27D-C53E-410A-9E00-DAF46E9B86B0}"/>
    <cellStyle name="Comma 4 4 6 3 3" xfId="22735" xr:uid="{92DF94FF-8BDA-4B1F-A1BE-7FCFFE8A6E31}"/>
    <cellStyle name="Comma 4 4 6 3 4" xfId="39592" xr:uid="{46786011-E403-468A-A085-0602E266A49C}"/>
    <cellStyle name="Comma 4 4 6 3 5" xfId="14300" xr:uid="{141D74B5-8E9E-4A1E-A636-78C4A3C3D86F}"/>
    <cellStyle name="Comma 4 4 6 4" xfId="26946" xr:uid="{753444CE-80CF-43C7-818A-47BDF43CE985}"/>
    <cellStyle name="Comma 4 4 6 5" xfId="18517" xr:uid="{7E2668F2-9E5C-4F81-A54E-BD1A084004F4}"/>
    <cellStyle name="Comma 4 4 6 6" xfId="35375" xr:uid="{56CD1764-9118-4DAF-AB7E-F71697EC7360}"/>
    <cellStyle name="Comma 4 4 6 7" xfId="10082" xr:uid="{4B30EE4D-7FD1-4D00-9A4F-BD4DEA7BB1AF}"/>
    <cellStyle name="Comma 4 4 7" xfId="1971" xr:uid="{00000000-0005-0000-0000-00001E0A0000}"/>
    <cellStyle name="Comma 4 4 7 2" xfId="4200" xr:uid="{00000000-0005-0000-0000-00001F0A0000}"/>
    <cellStyle name="Comma 4 4 7 2 2" xfId="8423" xr:uid="{00000000-0005-0000-0000-0000200A0000}"/>
    <cellStyle name="Comma 4 4 7 2 2 2" xfId="33722" xr:uid="{D026FA3D-AD62-4D9C-A56E-961B1DC15B1C}"/>
    <cellStyle name="Comma 4 4 7 2 2 3" xfId="25293" xr:uid="{FB7D9C4D-957B-4FFC-BD09-1D2550790D6B}"/>
    <cellStyle name="Comma 4 4 7 2 2 4" xfId="42150" xr:uid="{62CA0CA4-121D-4378-861A-3C0FA41AC6A7}"/>
    <cellStyle name="Comma 4 4 7 2 2 5" xfId="16858" xr:uid="{B9FCC836-BD48-41AB-8E5E-ECF26EEA245E}"/>
    <cellStyle name="Comma 4 4 7 2 3" xfId="29504" xr:uid="{5125DCBE-6EA9-4FF5-A222-16067D87936C}"/>
    <cellStyle name="Comma 4 4 7 2 4" xfId="21075" xr:uid="{8D26F43E-0B3C-42FE-9391-637DF44D7AA2}"/>
    <cellStyle name="Comma 4 4 7 2 5" xfId="37933" xr:uid="{01C46195-A096-4B01-B50E-8388C4334343}"/>
    <cellStyle name="Comma 4 4 7 2 6" xfId="12640" xr:uid="{460AEC41-03A7-418B-8163-07E931AD2C19}"/>
    <cellStyle name="Comma 4 4 7 3" xfId="6278" xr:uid="{00000000-0005-0000-0000-0000210A0000}"/>
    <cellStyle name="Comma 4 4 7 3 2" xfId="31577" xr:uid="{236E8488-9E09-4B29-A4BE-24AA59831FE9}"/>
    <cellStyle name="Comma 4 4 7 3 3" xfId="23148" xr:uid="{A5538D43-612D-452E-8089-191B6EDE8CA6}"/>
    <cellStyle name="Comma 4 4 7 3 4" xfId="40005" xr:uid="{9579047A-9D60-44E7-8BE1-FFBFC18A5433}"/>
    <cellStyle name="Comma 4 4 7 3 5" xfId="14713" xr:uid="{6B2848E7-E00B-4B3B-9A65-DB3B6DC6D48B}"/>
    <cellStyle name="Comma 4 4 7 4" xfId="27359" xr:uid="{D3DDD2FA-579F-4944-BE88-CE5B32C95193}"/>
    <cellStyle name="Comma 4 4 7 5" xfId="18930" xr:uid="{42F19C17-1825-403C-B826-6D6ADBB0A729}"/>
    <cellStyle name="Comma 4 4 7 6" xfId="35788" xr:uid="{F8F83A79-42BD-4AAB-9C34-D90CB1C784AB}"/>
    <cellStyle name="Comma 4 4 7 7" xfId="10495" xr:uid="{976B8C37-F2CD-4066-89BA-1E4F0826855F}"/>
    <cellStyle name="Comma 4 4 8" xfId="2406" xr:uid="{00000000-0005-0000-0000-0000220A0000}"/>
    <cellStyle name="Comma 4 4 8 2" xfId="6691" xr:uid="{00000000-0005-0000-0000-0000230A0000}"/>
    <cellStyle name="Comma 4 4 8 2 2" xfId="31990" xr:uid="{FD18E06D-A48E-445F-89F3-B63204EA07C8}"/>
    <cellStyle name="Comma 4 4 8 2 3" xfId="23561" xr:uid="{73BD2435-C9AD-4106-BC4D-94FAC433D782}"/>
    <cellStyle name="Comma 4 4 8 2 4" xfId="40418" xr:uid="{87CD06A5-1F01-4E73-8287-7D2540A8A0E4}"/>
    <cellStyle name="Comma 4 4 8 2 5" xfId="15126" xr:uid="{F59FFAB8-49EB-433F-9306-4CBBC5A96DB5}"/>
    <cellStyle name="Comma 4 4 8 3" xfId="27772" xr:uid="{EC873CEF-3030-4529-BADF-B698543D0A53}"/>
    <cellStyle name="Comma 4 4 8 4" xfId="19343" xr:uid="{B4F5AB60-C400-4A7D-91A0-19CE5CE0EAA8}"/>
    <cellStyle name="Comma 4 4 8 5" xfId="36201" xr:uid="{F5711501-0981-4196-8615-978239293FA7}"/>
    <cellStyle name="Comma 4 4 8 6" xfId="10908" xr:uid="{4B755A5C-C2E7-4490-B678-ECDE170C1AB6}"/>
    <cellStyle name="Comma 4 4 9" xfId="2702" xr:uid="{00000000-0005-0000-0000-0000240A0000}"/>
    <cellStyle name="Comma 4 5" xfId="157" xr:uid="{00000000-0005-0000-0000-0000250A0000}"/>
    <cellStyle name="Comma 4 5 10" xfId="4629" xr:uid="{00000000-0005-0000-0000-0000260A0000}"/>
    <cellStyle name="Comma 4 5 10 2" xfId="29928" xr:uid="{621F3E14-6778-4C6B-9CA7-7A33ED50D2DE}"/>
    <cellStyle name="Comma 4 5 10 3" xfId="21499" xr:uid="{1C234480-1EEC-442D-B87B-0B29B7DEECE6}"/>
    <cellStyle name="Comma 4 5 10 4" xfId="38356" xr:uid="{02F400DE-74F2-4C2A-BBED-EC3DA555B6D1}"/>
    <cellStyle name="Comma 4 5 10 5" xfId="13064" xr:uid="{FB955277-9E9D-4453-91F1-3361BA145FCA}"/>
    <cellStyle name="Comma 4 5 11" xfId="25710" xr:uid="{2DF6FC73-B85D-438D-B37B-D470BB6EBFAB}"/>
    <cellStyle name="Comma 4 5 12" xfId="17281" xr:uid="{77440BB0-3A13-4577-87F3-F88231A4C637}"/>
    <cellStyle name="Comma 4 5 13" xfId="34139" xr:uid="{E1AB4A38-C467-43D8-9A0B-457716908761}"/>
    <cellStyle name="Comma 4 5 14" xfId="8846" xr:uid="{1A35538D-973A-4458-ADFD-00E2E15CC099}"/>
    <cellStyle name="Comma 4 5 2" xfId="158" xr:uid="{00000000-0005-0000-0000-0000270A0000}"/>
    <cellStyle name="Comma 4 5 2 10" xfId="25711" xr:uid="{959722B5-C3D4-4E1E-804B-27268243EA17}"/>
    <cellStyle name="Comma 4 5 2 11" xfId="17282" xr:uid="{F59E204E-0AFD-47FE-AF57-4D90CBD815D0}"/>
    <cellStyle name="Comma 4 5 2 12" xfId="34140" xr:uid="{F6D6A57B-13B8-4799-B3C1-25045C638393}"/>
    <cellStyle name="Comma 4 5 2 13" xfId="8847" xr:uid="{C552B673-A8DD-4E38-A063-5563EE19828B}"/>
    <cellStyle name="Comma 4 5 2 2" xfId="695" xr:uid="{00000000-0005-0000-0000-0000280A0000}"/>
    <cellStyle name="Comma 4 5 2 2 2" xfId="2966" xr:uid="{00000000-0005-0000-0000-0000290A0000}"/>
    <cellStyle name="Comma 4 5 2 2 2 2" xfId="7189" xr:uid="{00000000-0005-0000-0000-00002A0A0000}"/>
    <cellStyle name="Comma 4 5 2 2 2 2 2" xfId="32488" xr:uid="{90EF8BC1-1BEC-4324-BE54-C88E97146F5B}"/>
    <cellStyle name="Comma 4 5 2 2 2 2 3" xfId="24059" xr:uid="{CAEB40AE-782B-4D4C-BA50-75DB52BB8A62}"/>
    <cellStyle name="Comma 4 5 2 2 2 2 4" xfId="40916" xr:uid="{B97A8BF5-4D83-4D9A-BC51-1A7812A4DD67}"/>
    <cellStyle name="Comma 4 5 2 2 2 2 5" xfId="15624" xr:uid="{1404BD60-1B84-4338-A8A9-9845BCDCC1A1}"/>
    <cellStyle name="Comma 4 5 2 2 2 3" xfId="28270" xr:uid="{D6E947CA-4663-42F2-A560-D00E3570D195}"/>
    <cellStyle name="Comma 4 5 2 2 2 4" xfId="19841" xr:uid="{B8943E77-5E8F-4D15-8AE3-101981E79520}"/>
    <cellStyle name="Comma 4 5 2 2 2 5" xfId="36699" xr:uid="{474AB9B5-BAB2-4101-8CAA-0FF5CCE8D788}"/>
    <cellStyle name="Comma 4 5 2 2 2 6" xfId="11406" xr:uid="{10B4E11B-0C38-488E-BBB1-8A2B0C60945F}"/>
    <cellStyle name="Comma 4 5 2 2 3" xfId="5044" xr:uid="{00000000-0005-0000-0000-00002B0A0000}"/>
    <cellStyle name="Comma 4 5 2 2 3 2" xfId="30343" xr:uid="{A6C9EC3D-2974-4E00-836D-2A59CB6C4DA3}"/>
    <cellStyle name="Comma 4 5 2 2 3 3" xfId="21914" xr:uid="{5517B052-A327-4919-B024-95DA3599FE03}"/>
    <cellStyle name="Comma 4 5 2 2 3 4" xfId="38771" xr:uid="{8837FE14-D50B-4C2C-8D6A-B5673AEF0906}"/>
    <cellStyle name="Comma 4 5 2 2 3 5" xfId="13479" xr:uid="{568A7608-B25A-4AAA-B243-3CFAEA88E1F9}"/>
    <cellStyle name="Comma 4 5 2 2 4" xfId="26125" xr:uid="{7AD10472-4E17-464A-983D-B97671B0783E}"/>
    <cellStyle name="Comma 4 5 2 2 5" xfId="17696" xr:uid="{2D26A852-A58C-40E8-920B-EB2523642FED}"/>
    <cellStyle name="Comma 4 5 2 2 6" xfId="34554" xr:uid="{11FC6472-6663-4166-9FF2-36D1C7EF8B4B}"/>
    <cellStyle name="Comma 4 5 2 2 7" xfId="9261" xr:uid="{B22AADE0-BE2C-4C05-AC24-EA124897934E}"/>
    <cellStyle name="Comma 4 5 2 3" xfId="1148" xr:uid="{00000000-0005-0000-0000-00002C0A0000}"/>
    <cellStyle name="Comma 4 5 2 3 2" xfId="3379" xr:uid="{00000000-0005-0000-0000-00002D0A0000}"/>
    <cellStyle name="Comma 4 5 2 3 2 2" xfId="7602" xr:uid="{00000000-0005-0000-0000-00002E0A0000}"/>
    <cellStyle name="Comma 4 5 2 3 2 2 2" xfId="32901" xr:uid="{99AA7113-FAE9-4C89-9469-FDEE9748BF79}"/>
    <cellStyle name="Comma 4 5 2 3 2 2 3" xfId="24472" xr:uid="{5047976A-5C89-46F0-AA3C-6A3B06E7BF4D}"/>
    <cellStyle name="Comma 4 5 2 3 2 2 4" xfId="41329" xr:uid="{A061F197-EC06-4C3D-A0FE-763BE388C215}"/>
    <cellStyle name="Comma 4 5 2 3 2 2 5" xfId="16037" xr:uid="{07CF2FDA-D6F4-4A46-9EEC-09A06BA286D5}"/>
    <cellStyle name="Comma 4 5 2 3 2 3" xfId="28683" xr:uid="{C02363B3-7F94-4F8A-92BA-7473F5D6C435}"/>
    <cellStyle name="Comma 4 5 2 3 2 4" xfId="20254" xr:uid="{62DC0A81-69AD-4987-BEFE-1FC733FE085A}"/>
    <cellStyle name="Comma 4 5 2 3 2 5" xfId="37112" xr:uid="{B89AE0AE-CA5B-4784-A2E7-37269E36A33B}"/>
    <cellStyle name="Comma 4 5 2 3 2 6" xfId="11819" xr:uid="{6B800A91-E0D5-4EEC-99BB-40EBE1B14E28}"/>
    <cellStyle name="Comma 4 5 2 3 3" xfId="5457" xr:uid="{00000000-0005-0000-0000-00002F0A0000}"/>
    <cellStyle name="Comma 4 5 2 3 3 2" xfId="30756" xr:uid="{A75D0653-DA62-489B-8A7A-58B16C583969}"/>
    <cellStyle name="Comma 4 5 2 3 3 3" xfId="22327" xr:uid="{DCAFF61C-783F-4095-B4C9-C1E1C3E19A6F}"/>
    <cellStyle name="Comma 4 5 2 3 3 4" xfId="39184" xr:uid="{A8519BB0-FDC9-429D-8D6D-C432BD59430B}"/>
    <cellStyle name="Comma 4 5 2 3 3 5" xfId="13892" xr:uid="{B8DE099F-8FCA-44A2-963B-F3A2C0660FAA}"/>
    <cellStyle name="Comma 4 5 2 3 4" xfId="26538" xr:uid="{90B52965-AD48-45D2-81D0-F2442A4F1747}"/>
    <cellStyle name="Comma 4 5 2 3 5" xfId="18109" xr:uid="{5BD2C234-7112-4065-B8AF-5ED175053A51}"/>
    <cellStyle name="Comma 4 5 2 3 6" xfId="34967" xr:uid="{A48C17B1-F87B-4F10-895D-71CCF5B2169D}"/>
    <cellStyle name="Comma 4 5 2 3 7" xfId="9674" xr:uid="{D128B881-4251-4BC1-A9E4-5A6E27AC58DA}"/>
    <cellStyle name="Comma 4 5 2 4" xfId="1562" xr:uid="{00000000-0005-0000-0000-0000300A0000}"/>
    <cellStyle name="Comma 4 5 2 4 2" xfId="3792" xr:uid="{00000000-0005-0000-0000-0000310A0000}"/>
    <cellStyle name="Comma 4 5 2 4 2 2" xfId="8015" xr:uid="{00000000-0005-0000-0000-0000320A0000}"/>
    <cellStyle name="Comma 4 5 2 4 2 2 2" xfId="33314" xr:uid="{FB513C3E-E579-4219-99C1-332058043537}"/>
    <cellStyle name="Comma 4 5 2 4 2 2 3" xfId="24885" xr:uid="{E02FCA0A-8C81-4524-B949-2F9D0F669F2A}"/>
    <cellStyle name="Comma 4 5 2 4 2 2 4" xfId="41742" xr:uid="{8E061BD0-A114-44DD-A5B5-9A01114A5709}"/>
    <cellStyle name="Comma 4 5 2 4 2 2 5" xfId="16450" xr:uid="{6AAC736B-AC95-4E7E-9EA8-0243F07A0FAD}"/>
    <cellStyle name="Comma 4 5 2 4 2 3" xfId="29096" xr:uid="{40A053A9-2815-4A39-B7B0-768AA75BE4D6}"/>
    <cellStyle name="Comma 4 5 2 4 2 4" xfId="20667" xr:uid="{42877AED-9878-406D-9131-4F56D1BC1543}"/>
    <cellStyle name="Comma 4 5 2 4 2 5" xfId="37525" xr:uid="{F501C5F2-550D-42D9-BB83-A5E5753BAC8F}"/>
    <cellStyle name="Comma 4 5 2 4 2 6" xfId="12232" xr:uid="{1A7DF90A-1B38-4372-90CC-842063627CA3}"/>
    <cellStyle name="Comma 4 5 2 4 3" xfId="5870" xr:uid="{00000000-0005-0000-0000-0000330A0000}"/>
    <cellStyle name="Comma 4 5 2 4 3 2" xfId="31169" xr:uid="{53ABC91D-12C3-4DE0-BBE9-9B8D79941826}"/>
    <cellStyle name="Comma 4 5 2 4 3 3" xfId="22740" xr:uid="{25A84C73-FFE3-4708-814A-B27BC02F1C31}"/>
    <cellStyle name="Comma 4 5 2 4 3 4" xfId="39597" xr:uid="{A47616D4-95B5-4997-B86A-81EFB4877B1E}"/>
    <cellStyle name="Comma 4 5 2 4 3 5" xfId="14305" xr:uid="{9B38F20D-90C5-4CA2-BCE7-65D8769E3AB7}"/>
    <cellStyle name="Comma 4 5 2 4 4" xfId="26951" xr:uid="{3FCB4C28-1559-42E6-AB1A-282AF9657F24}"/>
    <cellStyle name="Comma 4 5 2 4 5" xfId="18522" xr:uid="{C9787D1F-9355-44C5-901B-DE01E0F8DE63}"/>
    <cellStyle name="Comma 4 5 2 4 6" xfId="35380" xr:uid="{C45851F6-B530-42F1-A8AC-4CE322B243F9}"/>
    <cellStyle name="Comma 4 5 2 4 7" xfId="10087" xr:uid="{5BC7CD76-25F4-438B-BB00-6247E5A715D6}"/>
    <cellStyle name="Comma 4 5 2 5" xfId="1976" xr:uid="{00000000-0005-0000-0000-0000340A0000}"/>
    <cellStyle name="Comma 4 5 2 5 2" xfId="4205" xr:uid="{00000000-0005-0000-0000-0000350A0000}"/>
    <cellStyle name="Comma 4 5 2 5 2 2" xfId="8428" xr:uid="{00000000-0005-0000-0000-0000360A0000}"/>
    <cellStyle name="Comma 4 5 2 5 2 2 2" xfId="33727" xr:uid="{08AD3CCB-371F-4DDB-AAC1-B1B79E600743}"/>
    <cellStyle name="Comma 4 5 2 5 2 2 3" xfId="25298" xr:uid="{636052CF-4D62-4010-A4AB-D21C1A675C1C}"/>
    <cellStyle name="Comma 4 5 2 5 2 2 4" xfId="42155" xr:uid="{26179CE3-B254-42C7-A722-D59B0BF18B32}"/>
    <cellStyle name="Comma 4 5 2 5 2 2 5" xfId="16863" xr:uid="{799EF041-B041-4535-99A1-FA5681D8A493}"/>
    <cellStyle name="Comma 4 5 2 5 2 3" xfId="29509" xr:uid="{2C0BA670-9809-40A1-ABD2-628DDD14014F}"/>
    <cellStyle name="Comma 4 5 2 5 2 4" xfId="21080" xr:uid="{C590F353-481D-417D-9C06-B4FBD167D267}"/>
    <cellStyle name="Comma 4 5 2 5 2 5" xfId="37938" xr:uid="{6EC849C0-DD0E-4B9D-A33E-1CCC8589E80F}"/>
    <cellStyle name="Comma 4 5 2 5 2 6" xfId="12645" xr:uid="{25D3753F-871F-4C8E-B2D5-7BC9DFF98843}"/>
    <cellStyle name="Comma 4 5 2 5 3" xfId="6283" xr:uid="{00000000-0005-0000-0000-0000370A0000}"/>
    <cellStyle name="Comma 4 5 2 5 3 2" xfId="31582" xr:uid="{811B841F-FC15-4023-A072-00AF2979C0B7}"/>
    <cellStyle name="Comma 4 5 2 5 3 3" xfId="23153" xr:uid="{11698F3A-0066-4049-9726-0C7BCA8E4A91}"/>
    <cellStyle name="Comma 4 5 2 5 3 4" xfId="40010" xr:uid="{B94B9F8D-1C64-445C-ABB0-EC896858F3F5}"/>
    <cellStyle name="Comma 4 5 2 5 3 5" xfId="14718" xr:uid="{64AE8EC9-5F96-45E9-8679-D4C6D9CB9A7C}"/>
    <cellStyle name="Comma 4 5 2 5 4" xfId="27364" xr:uid="{4713916E-BF9B-4D12-8E6A-EF45F5BC180D}"/>
    <cellStyle name="Comma 4 5 2 5 5" xfId="18935" xr:uid="{6F930A5D-FE63-4E11-9448-B31836D0C803}"/>
    <cellStyle name="Comma 4 5 2 5 6" xfId="35793" xr:uid="{95B06FC5-FA73-4B15-A22A-7DCACDE8C932}"/>
    <cellStyle name="Comma 4 5 2 5 7" xfId="10500" xr:uid="{0B9BAF0B-4BA5-4DDB-BB1C-B021EA81578D}"/>
    <cellStyle name="Comma 4 5 2 6" xfId="2411" xr:uid="{00000000-0005-0000-0000-0000380A0000}"/>
    <cellStyle name="Comma 4 5 2 6 2" xfId="6696" xr:uid="{00000000-0005-0000-0000-0000390A0000}"/>
    <cellStyle name="Comma 4 5 2 6 2 2" xfId="31995" xr:uid="{A9768172-88B1-4F97-801B-247E1E367647}"/>
    <cellStyle name="Comma 4 5 2 6 2 3" xfId="23566" xr:uid="{C7BBAB3A-710B-47C7-B325-07D9CBA3D1F1}"/>
    <cellStyle name="Comma 4 5 2 6 2 4" xfId="40423" xr:uid="{D63D3F44-58B7-4942-B0B3-4B86707C4D08}"/>
    <cellStyle name="Comma 4 5 2 6 2 5" xfId="15131" xr:uid="{0F1FA5DB-E89D-448A-A74A-79919CF89AC9}"/>
    <cellStyle name="Comma 4 5 2 6 3" xfId="27777" xr:uid="{52B89743-2A15-460B-9559-E3322DD01143}"/>
    <cellStyle name="Comma 4 5 2 6 4" xfId="19348" xr:uid="{C1760C13-F42C-483F-A1FD-AECD40A00A56}"/>
    <cellStyle name="Comma 4 5 2 6 5" xfId="36206" xr:uid="{03B288DE-88A3-4272-927D-C5F235F34247}"/>
    <cellStyle name="Comma 4 5 2 6 6" xfId="10913" xr:uid="{681D6613-6C0F-48B2-B4AA-F3434BE3417F}"/>
    <cellStyle name="Comma 4 5 2 7" xfId="2707" xr:uid="{00000000-0005-0000-0000-00003A0A0000}"/>
    <cellStyle name="Comma 4 5 2 8" xfId="2789" xr:uid="{00000000-0005-0000-0000-00003B0A0000}"/>
    <cellStyle name="Comma 4 5 2 8 2" xfId="7013" xr:uid="{00000000-0005-0000-0000-00003C0A0000}"/>
    <cellStyle name="Comma 4 5 2 8 2 2" xfId="32312" xr:uid="{E22EB2C0-B3FC-48BB-A6BC-8384867891B1}"/>
    <cellStyle name="Comma 4 5 2 8 2 3" xfId="23883" xr:uid="{156DC12D-CC2D-4283-938D-7E49422AE058}"/>
    <cellStyle name="Comma 4 5 2 8 2 4" xfId="40740" xr:uid="{28A57864-E114-4D56-A9D3-7BC1916D4125}"/>
    <cellStyle name="Comma 4 5 2 8 2 5" xfId="15448" xr:uid="{70533A71-5A0C-4C36-80E8-994FDF2ACC75}"/>
    <cellStyle name="Comma 4 5 2 8 3" xfId="28094" xr:uid="{48D1D61E-57FB-4294-9646-C02B7A6FB05A}"/>
    <cellStyle name="Comma 4 5 2 8 4" xfId="19665" xr:uid="{D0B1289F-892B-4D67-ACA5-27C75803DCD9}"/>
    <cellStyle name="Comma 4 5 2 8 5" xfId="36523" xr:uid="{CBB8DEF2-E9B7-4ED3-9762-FB0582B544C8}"/>
    <cellStyle name="Comma 4 5 2 8 6" xfId="11230" xr:uid="{D362071F-4B6B-4E4F-8AF3-EDBEDFB7108A}"/>
    <cellStyle name="Comma 4 5 2 9" xfId="4630" xr:uid="{00000000-0005-0000-0000-00003D0A0000}"/>
    <cellStyle name="Comma 4 5 2 9 2" xfId="29929" xr:uid="{73D07677-55A0-4A66-AA50-186A19D97938}"/>
    <cellStyle name="Comma 4 5 2 9 3" xfId="21500" xr:uid="{D15894C3-70FF-4CF3-925C-456D07CEF413}"/>
    <cellStyle name="Comma 4 5 2 9 4" xfId="38357" xr:uid="{6CD3210F-86BA-47DE-B0F9-1BF1B17FCA6D}"/>
    <cellStyle name="Comma 4 5 2 9 5" xfId="13065" xr:uid="{9C937107-C0BD-4FB2-87B4-6C0F57E8744A}"/>
    <cellStyle name="Comma 4 5 3" xfId="694" xr:uid="{00000000-0005-0000-0000-00003E0A0000}"/>
    <cellStyle name="Comma 4 5 3 2" xfId="2965" xr:uid="{00000000-0005-0000-0000-00003F0A0000}"/>
    <cellStyle name="Comma 4 5 3 2 2" xfId="7188" xr:uid="{00000000-0005-0000-0000-0000400A0000}"/>
    <cellStyle name="Comma 4 5 3 2 2 2" xfId="32487" xr:uid="{F909393E-ACD3-4E9D-9B34-D98AAA49C13B}"/>
    <cellStyle name="Comma 4 5 3 2 2 3" xfId="24058" xr:uid="{2DCD2057-AF7B-44A4-996D-C090C1B39148}"/>
    <cellStyle name="Comma 4 5 3 2 2 4" xfId="40915" xr:uid="{31C9D8F3-942E-47A0-B32A-D42ACFFB24D3}"/>
    <cellStyle name="Comma 4 5 3 2 2 5" xfId="15623" xr:uid="{60EDA01A-08E0-4AB7-BF11-625ED403352D}"/>
    <cellStyle name="Comma 4 5 3 2 3" xfId="28269" xr:uid="{873C9B0F-7232-4E7D-99C9-DF371C1F688A}"/>
    <cellStyle name="Comma 4 5 3 2 4" xfId="19840" xr:uid="{582E3CDA-6C38-4619-8F8A-59DBB8C799AF}"/>
    <cellStyle name="Comma 4 5 3 2 5" xfId="36698" xr:uid="{EC4D2475-9160-46CC-8A54-5A770BF57CED}"/>
    <cellStyle name="Comma 4 5 3 2 6" xfId="11405" xr:uid="{5469BC17-C727-41EB-BF2A-6318CB20AC86}"/>
    <cellStyle name="Comma 4 5 3 3" xfId="5043" xr:uid="{00000000-0005-0000-0000-0000410A0000}"/>
    <cellStyle name="Comma 4 5 3 3 2" xfId="30342" xr:uid="{17DAFD5B-D215-4996-B1B2-070E1C218E73}"/>
    <cellStyle name="Comma 4 5 3 3 3" xfId="21913" xr:uid="{A696352B-63BD-48D0-9E85-1F83CD70F5E0}"/>
    <cellStyle name="Comma 4 5 3 3 4" xfId="38770" xr:uid="{EA3F921E-1606-4268-96C0-B9F106FACEB4}"/>
    <cellStyle name="Comma 4 5 3 3 5" xfId="13478" xr:uid="{747DF3E6-D991-4308-B043-CC95E6EFF39B}"/>
    <cellStyle name="Comma 4 5 3 4" xfId="26124" xr:uid="{3215483F-595F-4213-8F7D-AED56220427D}"/>
    <cellStyle name="Comma 4 5 3 5" xfId="17695" xr:uid="{7DF6AE83-3DC9-4FA3-88B0-C3E16116225A}"/>
    <cellStyle name="Comma 4 5 3 6" xfId="34553" xr:uid="{AAEE80B4-80D9-47F1-BC14-6F79FD34209F}"/>
    <cellStyle name="Comma 4 5 3 7" xfId="9260" xr:uid="{F4CD895E-F21E-4486-983A-4FCFC5037168}"/>
    <cellStyle name="Comma 4 5 4" xfId="1147" xr:uid="{00000000-0005-0000-0000-0000420A0000}"/>
    <cellStyle name="Comma 4 5 4 2" xfId="3378" xr:uid="{00000000-0005-0000-0000-0000430A0000}"/>
    <cellStyle name="Comma 4 5 4 2 2" xfId="7601" xr:uid="{00000000-0005-0000-0000-0000440A0000}"/>
    <cellStyle name="Comma 4 5 4 2 2 2" xfId="32900" xr:uid="{AE61AEAB-53DC-441F-9CB5-DF4E6413271A}"/>
    <cellStyle name="Comma 4 5 4 2 2 3" xfId="24471" xr:uid="{7516926F-0421-4DE2-A3C6-6F51CE04E351}"/>
    <cellStyle name="Comma 4 5 4 2 2 4" xfId="41328" xr:uid="{39C1210D-6B92-4385-97A4-DD614850DD1D}"/>
    <cellStyle name="Comma 4 5 4 2 2 5" xfId="16036" xr:uid="{BDF9BE2B-F0D2-4CBA-88A7-D86349051705}"/>
    <cellStyle name="Comma 4 5 4 2 3" xfId="28682" xr:uid="{A18F0E34-2A00-460D-9980-2BAE380C4A1A}"/>
    <cellStyle name="Comma 4 5 4 2 4" xfId="20253" xr:uid="{CD01CAF2-97C2-42C0-B8CB-4AB1389FA1A2}"/>
    <cellStyle name="Comma 4 5 4 2 5" xfId="37111" xr:uid="{D6CFDAEE-C020-40DC-856D-EC16E548B656}"/>
    <cellStyle name="Comma 4 5 4 2 6" xfId="11818" xr:uid="{884986BF-1A05-44CF-84AD-7C3415E80C51}"/>
    <cellStyle name="Comma 4 5 4 3" xfId="5456" xr:uid="{00000000-0005-0000-0000-0000450A0000}"/>
    <cellStyle name="Comma 4 5 4 3 2" xfId="30755" xr:uid="{C58EE0F7-2CFE-452C-8FE6-799D997CB4F1}"/>
    <cellStyle name="Comma 4 5 4 3 3" xfId="22326" xr:uid="{7498F9A9-2AA8-420D-8F13-72139AD4AFEF}"/>
    <cellStyle name="Comma 4 5 4 3 4" xfId="39183" xr:uid="{D8331B11-C0DB-45C2-B576-EB52908B242D}"/>
    <cellStyle name="Comma 4 5 4 3 5" xfId="13891" xr:uid="{E5BC1C91-582B-4DCC-BD07-D816DDF060E7}"/>
    <cellStyle name="Comma 4 5 4 4" xfId="26537" xr:uid="{6D5EC1EA-AD1E-43F6-8CB6-61867607AC50}"/>
    <cellStyle name="Comma 4 5 4 5" xfId="18108" xr:uid="{6E5EF271-097D-442A-8A96-1D0B9CA9D416}"/>
    <cellStyle name="Comma 4 5 4 6" xfId="34966" xr:uid="{D174C7F3-8971-49BF-885F-B96D0D74B109}"/>
    <cellStyle name="Comma 4 5 4 7" xfId="9673" xr:uid="{31733347-0371-48A4-B9A4-B7A37ED436F1}"/>
    <cellStyle name="Comma 4 5 5" xfId="1561" xr:uid="{00000000-0005-0000-0000-0000460A0000}"/>
    <cellStyle name="Comma 4 5 5 2" xfId="3791" xr:uid="{00000000-0005-0000-0000-0000470A0000}"/>
    <cellStyle name="Comma 4 5 5 2 2" xfId="8014" xr:uid="{00000000-0005-0000-0000-0000480A0000}"/>
    <cellStyle name="Comma 4 5 5 2 2 2" xfId="33313" xr:uid="{8230BE0B-64D8-4F93-BCCC-7DEF5354D048}"/>
    <cellStyle name="Comma 4 5 5 2 2 3" xfId="24884" xr:uid="{22870A35-DE4D-4752-9F89-760D2D86A3EE}"/>
    <cellStyle name="Comma 4 5 5 2 2 4" xfId="41741" xr:uid="{EF02F6F3-F833-4130-B5C6-04E94D84076E}"/>
    <cellStyle name="Comma 4 5 5 2 2 5" xfId="16449" xr:uid="{E8068338-66E1-4412-82F0-BBAADF47F5AD}"/>
    <cellStyle name="Comma 4 5 5 2 3" xfId="29095" xr:uid="{2EE726FC-D67B-4FE8-AA57-06C7693C8521}"/>
    <cellStyle name="Comma 4 5 5 2 4" xfId="20666" xr:uid="{EB2949F0-E586-4F27-930F-654D56CD26C7}"/>
    <cellStyle name="Comma 4 5 5 2 5" xfId="37524" xr:uid="{23F0AC21-2CFB-4835-A336-A82C2259F10D}"/>
    <cellStyle name="Comma 4 5 5 2 6" xfId="12231" xr:uid="{C10B2291-006B-4217-8694-7ACFB264205A}"/>
    <cellStyle name="Comma 4 5 5 3" xfId="5869" xr:uid="{00000000-0005-0000-0000-0000490A0000}"/>
    <cellStyle name="Comma 4 5 5 3 2" xfId="31168" xr:uid="{BEDF0660-CC2E-4D76-89D5-B8848073D4F7}"/>
    <cellStyle name="Comma 4 5 5 3 3" xfId="22739" xr:uid="{2AE226C8-82E4-4AEE-9555-D811DCB5EC38}"/>
    <cellStyle name="Comma 4 5 5 3 4" xfId="39596" xr:uid="{026D7C93-85FD-4908-B0F5-C84CE214204D}"/>
    <cellStyle name="Comma 4 5 5 3 5" xfId="14304" xr:uid="{D06D23BC-8E46-4198-8544-7FF2F9761368}"/>
    <cellStyle name="Comma 4 5 5 4" xfId="26950" xr:uid="{10D47966-F31E-4DF7-9D86-7B966EC1BD3E}"/>
    <cellStyle name="Comma 4 5 5 5" xfId="18521" xr:uid="{8F20B689-80C8-48AA-A24F-8E0CE259F0CD}"/>
    <cellStyle name="Comma 4 5 5 6" xfId="35379" xr:uid="{625B6318-E8E0-4806-A996-6AE9E3BFB693}"/>
    <cellStyle name="Comma 4 5 5 7" xfId="10086" xr:uid="{8B893808-852C-4783-BDD9-1A2915305DBF}"/>
    <cellStyle name="Comma 4 5 6" xfId="1975" xr:uid="{00000000-0005-0000-0000-00004A0A0000}"/>
    <cellStyle name="Comma 4 5 6 2" xfId="4204" xr:uid="{00000000-0005-0000-0000-00004B0A0000}"/>
    <cellStyle name="Comma 4 5 6 2 2" xfId="8427" xr:uid="{00000000-0005-0000-0000-00004C0A0000}"/>
    <cellStyle name="Comma 4 5 6 2 2 2" xfId="33726" xr:uid="{BD121AB8-304E-477A-BF5B-9F5B5A76DFC8}"/>
    <cellStyle name="Comma 4 5 6 2 2 3" xfId="25297" xr:uid="{F98E39BC-0448-489A-A571-FC151E57C180}"/>
    <cellStyle name="Comma 4 5 6 2 2 4" xfId="42154" xr:uid="{E0681FD4-0303-4DB1-B56B-2C46B872E644}"/>
    <cellStyle name="Comma 4 5 6 2 2 5" xfId="16862" xr:uid="{F3E9DA14-90E0-4D66-B884-65262178C16F}"/>
    <cellStyle name="Comma 4 5 6 2 3" xfId="29508" xr:uid="{02FF00B8-AC36-4765-9F88-61EE426451BC}"/>
    <cellStyle name="Comma 4 5 6 2 4" xfId="21079" xr:uid="{52B9DDE0-3753-4F27-821E-3EBA3A1BFF6B}"/>
    <cellStyle name="Comma 4 5 6 2 5" xfId="37937" xr:uid="{625A0697-69E6-4602-9709-D96B20B7BAFD}"/>
    <cellStyle name="Comma 4 5 6 2 6" xfId="12644" xr:uid="{2E853C21-1B8E-4899-9DF4-A7DE5ED76706}"/>
    <cellStyle name="Comma 4 5 6 3" xfId="6282" xr:uid="{00000000-0005-0000-0000-00004D0A0000}"/>
    <cellStyle name="Comma 4 5 6 3 2" xfId="31581" xr:uid="{651ED8D9-7682-4D25-8BBC-E1CA212C9123}"/>
    <cellStyle name="Comma 4 5 6 3 3" xfId="23152" xr:uid="{AD925F7A-8AEC-40BB-ABF5-8C87B83C5BA3}"/>
    <cellStyle name="Comma 4 5 6 3 4" xfId="40009" xr:uid="{16122624-6236-4C6A-9632-5129B73D964B}"/>
    <cellStyle name="Comma 4 5 6 3 5" xfId="14717" xr:uid="{7D69D8B6-BB58-4FF2-86FC-95BAC2D2DDDB}"/>
    <cellStyle name="Comma 4 5 6 4" xfId="27363" xr:uid="{119963A6-D2C3-4F69-8935-D336269B2F6C}"/>
    <cellStyle name="Comma 4 5 6 5" xfId="18934" xr:uid="{90039F7B-729E-45A3-8403-AFC567BCAD30}"/>
    <cellStyle name="Comma 4 5 6 6" xfId="35792" xr:uid="{F765C8C9-3182-448A-9636-229B70C82A36}"/>
    <cellStyle name="Comma 4 5 6 7" xfId="10499" xr:uid="{93C55201-979C-4B6F-9D96-F09032D032F4}"/>
    <cellStyle name="Comma 4 5 7" xfId="2410" xr:uid="{00000000-0005-0000-0000-00004E0A0000}"/>
    <cellStyle name="Comma 4 5 7 2" xfId="6695" xr:uid="{00000000-0005-0000-0000-00004F0A0000}"/>
    <cellStyle name="Comma 4 5 7 2 2" xfId="31994" xr:uid="{930EAE09-92CA-4414-AC3C-7D94F2D25F50}"/>
    <cellStyle name="Comma 4 5 7 2 3" xfId="23565" xr:uid="{D89D1A29-91F2-4777-B196-44C39ECEAF2D}"/>
    <cellStyle name="Comma 4 5 7 2 4" xfId="40422" xr:uid="{EB5A6BC1-7D6A-4952-97F8-F7E0AD01E9A8}"/>
    <cellStyle name="Comma 4 5 7 2 5" xfId="15130" xr:uid="{97D5837D-4A09-4D87-B0E0-E7B933A197A3}"/>
    <cellStyle name="Comma 4 5 7 3" xfId="27776" xr:uid="{340E2944-3984-47B6-B9D8-F777D2075612}"/>
    <cellStyle name="Comma 4 5 7 4" xfId="19347" xr:uid="{37F3EAD2-C5F2-4130-8B89-65E89D173038}"/>
    <cellStyle name="Comma 4 5 7 5" xfId="36205" xr:uid="{6348D39D-D33D-495F-9B25-53E62D26BF81}"/>
    <cellStyle name="Comma 4 5 7 6" xfId="10912" xr:uid="{9B0A3D66-8D94-4410-BD11-B470CC514657}"/>
    <cellStyle name="Comma 4 5 8" xfId="2706" xr:uid="{00000000-0005-0000-0000-0000500A0000}"/>
    <cellStyle name="Comma 4 5 9" xfId="2788" xr:uid="{00000000-0005-0000-0000-0000510A0000}"/>
    <cellStyle name="Comma 4 5 9 2" xfId="7012" xr:uid="{00000000-0005-0000-0000-0000520A0000}"/>
    <cellStyle name="Comma 4 5 9 2 2" xfId="32311" xr:uid="{F054DEC0-1D3E-40AF-ABB2-27B7277E1E9B}"/>
    <cellStyle name="Comma 4 5 9 2 3" xfId="23882" xr:uid="{B4D380DB-C719-4DA2-818F-E22221EAE2EB}"/>
    <cellStyle name="Comma 4 5 9 2 4" xfId="40739" xr:uid="{6AC873C5-28B9-445C-91AF-6674AD2F92B6}"/>
    <cellStyle name="Comma 4 5 9 2 5" xfId="15447" xr:uid="{71995A42-DB42-494F-ABE7-C8988C5ACEA8}"/>
    <cellStyle name="Comma 4 5 9 3" xfId="28093" xr:uid="{77D53CE9-FC6B-4320-8B99-335A4F9F4F95}"/>
    <cellStyle name="Comma 4 5 9 4" xfId="19664" xr:uid="{144CF03E-DF75-4898-82BC-DDB5BA16B5C8}"/>
    <cellStyle name="Comma 4 5 9 5" xfId="36522" xr:uid="{1B3E6A38-3A40-4825-925D-90FE49D9A693}"/>
    <cellStyle name="Comma 4 5 9 6" xfId="11229" xr:uid="{AC9006BA-D957-4591-8DEB-A3A459541261}"/>
    <cellStyle name="Comma 4 6" xfId="159" xr:uid="{00000000-0005-0000-0000-0000530A0000}"/>
    <cellStyle name="Comma 4 6 10" xfId="25712" xr:uid="{D2049251-03C5-4A17-AA2F-61B979096D1F}"/>
    <cellStyle name="Comma 4 6 11" xfId="17283" xr:uid="{2858CC38-DAF3-44DA-9B5B-81A48C08825E}"/>
    <cellStyle name="Comma 4 6 12" xfId="34141" xr:uid="{1EE404F4-BD51-4871-B605-CFD553E3BFAB}"/>
    <cellStyle name="Comma 4 6 13" xfId="8848" xr:uid="{75FC5B7C-9DA6-4F4A-B95E-439C8FC95866}"/>
    <cellStyle name="Comma 4 6 2" xfId="696" xr:uid="{00000000-0005-0000-0000-0000540A0000}"/>
    <cellStyle name="Comma 4 6 2 2" xfId="2967" xr:uid="{00000000-0005-0000-0000-0000550A0000}"/>
    <cellStyle name="Comma 4 6 2 2 2" xfId="7190" xr:uid="{00000000-0005-0000-0000-0000560A0000}"/>
    <cellStyle name="Comma 4 6 2 2 2 2" xfId="32489" xr:uid="{80D07B65-F2F6-4D05-B826-F746DCDDE44E}"/>
    <cellStyle name="Comma 4 6 2 2 2 3" xfId="24060" xr:uid="{12BFEE95-C336-4B0C-AB26-62FC8192925F}"/>
    <cellStyle name="Comma 4 6 2 2 2 4" xfId="40917" xr:uid="{647C1C80-0802-4BF1-9856-8156FB5B38B9}"/>
    <cellStyle name="Comma 4 6 2 2 2 5" xfId="15625" xr:uid="{60F2607E-708E-4077-AA96-4E65B80710E7}"/>
    <cellStyle name="Comma 4 6 2 2 3" xfId="28271" xr:uid="{58198A5B-F0B7-4E9A-A109-80525C77519F}"/>
    <cellStyle name="Comma 4 6 2 2 4" xfId="19842" xr:uid="{B50C8421-FF80-41EB-B898-0A3C9BA88E80}"/>
    <cellStyle name="Comma 4 6 2 2 5" xfId="36700" xr:uid="{CD547B79-B28C-4F7D-B9A7-61044F8924BC}"/>
    <cellStyle name="Comma 4 6 2 2 6" xfId="11407" xr:uid="{35744440-E217-4CAF-932E-E8ED0FCDED63}"/>
    <cellStyle name="Comma 4 6 2 3" xfId="5045" xr:uid="{00000000-0005-0000-0000-0000570A0000}"/>
    <cellStyle name="Comma 4 6 2 3 2" xfId="30344" xr:uid="{CCD07D7B-3570-4A30-A9E9-83F0779DEC68}"/>
    <cellStyle name="Comma 4 6 2 3 3" xfId="21915" xr:uid="{84693407-2FC5-4AC2-AF6C-FB338D33A95D}"/>
    <cellStyle name="Comma 4 6 2 3 4" xfId="38772" xr:uid="{20BECA49-0453-4042-AA83-920027F94A57}"/>
    <cellStyle name="Comma 4 6 2 3 5" xfId="13480" xr:uid="{F09D7E1F-5B41-4706-9FFC-EE1ABE208145}"/>
    <cellStyle name="Comma 4 6 2 4" xfId="26126" xr:uid="{FBAB7B6E-A76D-433E-A83E-8608DACE20E3}"/>
    <cellStyle name="Comma 4 6 2 5" xfId="17697" xr:uid="{C883ACFC-3D70-42E8-A793-80985D2DA757}"/>
    <cellStyle name="Comma 4 6 2 6" xfId="34555" xr:uid="{1FE8BA0F-8845-4BBE-82E3-E5F1C1FCF7D8}"/>
    <cellStyle name="Comma 4 6 2 7" xfId="9262" xr:uid="{D39735FD-4A11-41E8-AC64-5DBEFCE14E41}"/>
    <cellStyle name="Comma 4 6 3" xfId="1149" xr:uid="{00000000-0005-0000-0000-0000580A0000}"/>
    <cellStyle name="Comma 4 6 3 2" xfId="3380" xr:uid="{00000000-0005-0000-0000-0000590A0000}"/>
    <cellStyle name="Comma 4 6 3 2 2" xfId="7603" xr:uid="{00000000-0005-0000-0000-00005A0A0000}"/>
    <cellStyle name="Comma 4 6 3 2 2 2" xfId="32902" xr:uid="{89CF4C29-CBC5-4EFA-BAFD-D7FCCD7A9318}"/>
    <cellStyle name="Comma 4 6 3 2 2 3" xfId="24473" xr:uid="{FAB6AFD8-84F2-4CC3-8342-5A6492556AA0}"/>
    <cellStyle name="Comma 4 6 3 2 2 4" xfId="41330" xr:uid="{AD118E0B-4C3C-47A0-8104-DDD6A9CB53D7}"/>
    <cellStyle name="Comma 4 6 3 2 2 5" xfId="16038" xr:uid="{47C1C58F-4333-4EC1-B7FC-47E06783E25F}"/>
    <cellStyle name="Comma 4 6 3 2 3" xfId="28684" xr:uid="{22C68213-17FC-468E-B7CB-36F45C693E44}"/>
    <cellStyle name="Comma 4 6 3 2 4" xfId="20255" xr:uid="{336CF05B-655C-497D-B4FE-DA3BE82C4FB3}"/>
    <cellStyle name="Comma 4 6 3 2 5" xfId="37113" xr:uid="{380C13A1-1DFA-4222-87FD-275EE04BC3F4}"/>
    <cellStyle name="Comma 4 6 3 2 6" xfId="11820" xr:uid="{897F5072-E83B-4808-835F-1FCE175D3AAD}"/>
    <cellStyle name="Comma 4 6 3 3" xfId="5458" xr:uid="{00000000-0005-0000-0000-00005B0A0000}"/>
    <cellStyle name="Comma 4 6 3 3 2" xfId="30757" xr:uid="{82059B0B-DD9F-4D7D-A570-A9CB566CB378}"/>
    <cellStyle name="Comma 4 6 3 3 3" xfId="22328" xr:uid="{3ADF8936-6E75-4748-AD49-C16C5AADAB24}"/>
    <cellStyle name="Comma 4 6 3 3 4" xfId="39185" xr:uid="{279D5F1E-1EC2-40E9-AC49-90A1ED2B213A}"/>
    <cellStyle name="Comma 4 6 3 3 5" xfId="13893" xr:uid="{54617848-684F-41F1-A9A5-5AC962A85809}"/>
    <cellStyle name="Comma 4 6 3 4" xfId="26539" xr:uid="{3881F52A-461B-4128-B128-6487007A1481}"/>
    <cellStyle name="Comma 4 6 3 5" xfId="18110" xr:uid="{91749045-E4EE-48A8-8FCE-6670C7F1E687}"/>
    <cellStyle name="Comma 4 6 3 6" xfId="34968" xr:uid="{EEDAF5CA-205F-4552-9DA6-C89C72C589EE}"/>
    <cellStyle name="Comma 4 6 3 7" xfId="9675" xr:uid="{18EE2334-B960-426F-B6AC-E6FEDCF12DD0}"/>
    <cellStyle name="Comma 4 6 4" xfId="1563" xr:uid="{00000000-0005-0000-0000-00005C0A0000}"/>
    <cellStyle name="Comma 4 6 4 2" xfId="3793" xr:uid="{00000000-0005-0000-0000-00005D0A0000}"/>
    <cellStyle name="Comma 4 6 4 2 2" xfId="8016" xr:uid="{00000000-0005-0000-0000-00005E0A0000}"/>
    <cellStyle name="Comma 4 6 4 2 2 2" xfId="33315" xr:uid="{7B61497A-2DFD-443B-920B-58BCF7933ADF}"/>
    <cellStyle name="Comma 4 6 4 2 2 3" xfId="24886" xr:uid="{A1D69BDB-029A-430F-AE12-CA7DC10F40D4}"/>
    <cellStyle name="Comma 4 6 4 2 2 4" xfId="41743" xr:uid="{0EA6677D-4F34-4DC2-A3E3-6994DAF6195B}"/>
    <cellStyle name="Comma 4 6 4 2 2 5" xfId="16451" xr:uid="{889CCF48-1E1A-4AEB-A620-C86806F6467B}"/>
    <cellStyle name="Comma 4 6 4 2 3" xfId="29097" xr:uid="{9A46A398-55E7-4FD0-91B2-C686A8FA3F0F}"/>
    <cellStyle name="Comma 4 6 4 2 4" xfId="20668" xr:uid="{55862D6D-D1B5-4908-8FCB-BFF8EC7CCA4D}"/>
    <cellStyle name="Comma 4 6 4 2 5" xfId="37526" xr:uid="{5D215DCE-8356-4563-A475-4DB4DD20A0AE}"/>
    <cellStyle name="Comma 4 6 4 2 6" xfId="12233" xr:uid="{70E0BC75-43EF-4B06-A527-DF08F7A7ABFD}"/>
    <cellStyle name="Comma 4 6 4 3" xfId="5871" xr:uid="{00000000-0005-0000-0000-00005F0A0000}"/>
    <cellStyle name="Comma 4 6 4 3 2" xfId="31170" xr:uid="{F14C9D84-5905-4408-A3D7-203AA3185470}"/>
    <cellStyle name="Comma 4 6 4 3 3" xfId="22741" xr:uid="{BEB580D1-DA3E-45CF-9BE4-1FADA1B52F0B}"/>
    <cellStyle name="Comma 4 6 4 3 4" xfId="39598" xr:uid="{FBCA2032-3CBE-409D-B8D6-17EBF82C08F1}"/>
    <cellStyle name="Comma 4 6 4 3 5" xfId="14306" xr:uid="{10699127-436D-4AFC-8AE4-5BB1420EA90D}"/>
    <cellStyle name="Comma 4 6 4 4" xfId="26952" xr:uid="{598214FB-81A6-451C-9F25-DFDE42FC0E71}"/>
    <cellStyle name="Comma 4 6 4 5" xfId="18523" xr:uid="{63420406-DFF7-441A-81D6-F244B7D55828}"/>
    <cellStyle name="Comma 4 6 4 6" xfId="35381" xr:uid="{515A1D16-C3AC-485F-A97E-56ADB9B2C16A}"/>
    <cellStyle name="Comma 4 6 4 7" xfId="10088" xr:uid="{42CA3D17-05DD-4A51-9319-5CF16DFC3E50}"/>
    <cellStyle name="Comma 4 6 5" xfId="1977" xr:uid="{00000000-0005-0000-0000-0000600A0000}"/>
    <cellStyle name="Comma 4 6 5 2" xfId="4206" xr:uid="{00000000-0005-0000-0000-0000610A0000}"/>
    <cellStyle name="Comma 4 6 5 2 2" xfId="8429" xr:uid="{00000000-0005-0000-0000-0000620A0000}"/>
    <cellStyle name="Comma 4 6 5 2 2 2" xfId="33728" xr:uid="{EA2EE114-7B42-4B9F-9950-388B71BAFDB6}"/>
    <cellStyle name="Comma 4 6 5 2 2 3" xfId="25299" xr:uid="{01D9CCD7-B299-411B-B4C7-4F5416899B43}"/>
    <cellStyle name="Comma 4 6 5 2 2 4" xfId="42156" xr:uid="{659F414F-1129-4986-BF32-EC1A96D51B9E}"/>
    <cellStyle name="Comma 4 6 5 2 2 5" xfId="16864" xr:uid="{D31844DC-D487-4752-BBF9-7E333BD5E071}"/>
    <cellStyle name="Comma 4 6 5 2 3" xfId="29510" xr:uid="{56DCA544-7A38-4906-B221-C06FDE518041}"/>
    <cellStyle name="Comma 4 6 5 2 4" xfId="21081" xr:uid="{85C0F2F7-25BC-41ED-A998-693CE2570197}"/>
    <cellStyle name="Comma 4 6 5 2 5" xfId="37939" xr:uid="{3D7EC7FE-BA28-4F7F-89FB-214C2C509F16}"/>
    <cellStyle name="Comma 4 6 5 2 6" xfId="12646" xr:uid="{21EE3D69-417E-4C57-BA1A-1327340276DF}"/>
    <cellStyle name="Comma 4 6 5 3" xfId="6284" xr:uid="{00000000-0005-0000-0000-0000630A0000}"/>
    <cellStyle name="Comma 4 6 5 3 2" xfId="31583" xr:uid="{60DC1636-BF57-4252-B656-2FB4D6D64466}"/>
    <cellStyle name="Comma 4 6 5 3 3" xfId="23154" xr:uid="{77C396BA-AE01-4343-A352-262678D0DF2E}"/>
    <cellStyle name="Comma 4 6 5 3 4" xfId="40011" xr:uid="{5C6EC870-F761-41C8-B5C1-638436D895C8}"/>
    <cellStyle name="Comma 4 6 5 3 5" xfId="14719" xr:uid="{FCD06A15-BA3F-4689-8A49-05B50603A494}"/>
    <cellStyle name="Comma 4 6 5 4" xfId="27365" xr:uid="{BF587E35-EB2D-47FC-9F82-235C4730A82C}"/>
    <cellStyle name="Comma 4 6 5 5" xfId="18936" xr:uid="{7184827B-0576-4EE7-B35B-CFBC0FA616EF}"/>
    <cellStyle name="Comma 4 6 5 6" xfId="35794" xr:uid="{8F1BDE3B-8B3F-4DDC-95E5-0D48CDFBDD0D}"/>
    <cellStyle name="Comma 4 6 5 7" xfId="10501" xr:uid="{AA11A601-4693-4159-A98A-02D9CBD998ED}"/>
    <cellStyle name="Comma 4 6 6" xfId="2412" xr:uid="{00000000-0005-0000-0000-0000640A0000}"/>
    <cellStyle name="Comma 4 6 6 2" xfId="6697" xr:uid="{00000000-0005-0000-0000-0000650A0000}"/>
    <cellStyle name="Comma 4 6 6 2 2" xfId="31996" xr:uid="{39454427-7940-4AD1-ACDF-B408C6C7E48F}"/>
    <cellStyle name="Comma 4 6 6 2 3" xfId="23567" xr:uid="{91447C16-5182-41BE-AF5A-39B6998267D2}"/>
    <cellStyle name="Comma 4 6 6 2 4" xfId="40424" xr:uid="{16531654-79E9-4D56-9B7C-469C944B0689}"/>
    <cellStyle name="Comma 4 6 6 2 5" xfId="15132" xr:uid="{9ABA8D95-AC7E-477B-B38C-D6A588A84D65}"/>
    <cellStyle name="Comma 4 6 6 3" xfId="27778" xr:uid="{8BC97CFC-85E5-458F-9092-8A8EEB21A692}"/>
    <cellStyle name="Comma 4 6 6 4" xfId="19349" xr:uid="{ED33B606-6690-4B83-9297-B9836C2C09B3}"/>
    <cellStyle name="Comma 4 6 6 5" xfId="36207" xr:uid="{453177B3-70D7-44A3-8A66-1F1A71F100B9}"/>
    <cellStyle name="Comma 4 6 6 6" xfId="10914" xr:uid="{E90049D7-DB15-4B0E-98DE-029A556AF1B8}"/>
    <cellStyle name="Comma 4 6 7" xfId="2708" xr:uid="{00000000-0005-0000-0000-0000660A0000}"/>
    <cellStyle name="Comma 4 6 8" xfId="2790" xr:uid="{00000000-0005-0000-0000-0000670A0000}"/>
    <cellStyle name="Comma 4 6 8 2" xfId="7014" xr:uid="{00000000-0005-0000-0000-0000680A0000}"/>
    <cellStyle name="Comma 4 6 8 2 2" xfId="32313" xr:uid="{36F051CF-12BE-4121-B69C-5FEC6E2ED62B}"/>
    <cellStyle name="Comma 4 6 8 2 3" xfId="23884" xr:uid="{6EFC703F-AFE3-47B3-AAE4-2DEB42D108ED}"/>
    <cellStyle name="Comma 4 6 8 2 4" xfId="40741" xr:uid="{1E6554FE-9135-44FD-89CE-2797B66EEC1C}"/>
    <cellStyle name="Comma 4 6 8 2 5" xfId="15449" xr:uid="{EE3E9C01-2975-4DEB-8FAE-7E939A92084F}"/>
    <cellStyle name="Comma 4 6 8 3" xfId="28095" xr:uid="{B18194F2-54EB-4D57-BC43-EA80782262A5}"/>
    <cellStyle name="Comma 4 6 8 4" xfId="19666" xr:uid="{2C982155-15A2-4BE8-ADAC-021FDB75B7FE}"/>
    <cellStyle name="Comma 4 6 8 5" xfId="36524" xr:uid="{EC74C40A-3166-458D-B5D5-854C2EB7D78E}"/>
    <cellStyle name="Comma 4 6 8 6" xfId="11231" xr:uid="{4F7D03F7-D115-4649-9EEB-5D80B21FC64D}"/>
    <cellStyle name="Comma 4 6 9" xfId="4631" xr:uid="{00000000-0005-0000-0000-0000690A0000}"/>
    <cellStyle name="Comma 4 6 9 2" xfId="29930" xr:uid="{2A8AC7DB-0634-4B9F-8343-E7431FE509A4}"/>
    <cellStyle name="Comma 4 6 9 3" xfId="21501" xr:uid="{0956072A-7296-419A-A024-2D03D92B857C}"/>
    <cellStyle name="Comma 4 6 9 4" xfId="38358" xr:uid="{F9DB9E71-B989-4324-8213-F52A1AF46D2C}"/>
    <cellStyle name="Comma 4 6 9 5" xfId="13066" xr:uid="{5DED5B8B-98C5-4748-8E09-DEF04A7133C2}"/>
    <cellStyle name="Comma 4 7" xfId="160" xr:uid="{00000000-0005-0000-0000-00006A0A0000}"/>
    <cellStyle name="Comma 4 7 10" xfId="25713" xr:uid="{F0D1C5C8-2F48-4256-9803-35DB54E92A9C}"/>
    <cellStyle name="Comma 4 7 11" xfId="17284" xr:uid="{8D3D60FA-BA9A-4AD5-BB40-7FE3A6E29C7E}"/>
    <cellStyle name="Comma 4 7 12" xfId="34142" xr:uid="{3FCA66A0-0BD0-452B-AEA9-B919F2D401E7}"/>
    <cellStyle name="Comma 4 7 13" xfId="8849" xr:uid="{2D8204AB-5031-44DA-ACDB-D59CE132E7CC}"/>
    <cellStyle name="Comma 4 7 2" xfId="697" xr:uid="{00000000-0005-0000-0000-00006B0A0000}"/>
    <cellStyle name="Comma 4 7 2 2" xfId="2968" xr:uid="{00000000-0005-0000-0000-00006C0A0000}"/>
    <cellStyle name="Comma 4 7 2 2 2" xfId="7191" xr:uid="{00000000-0005-0000-0000-00006D0A0000}"/>
    <cellStyle name="Comma 4 7 2 2 2 2" xfId="32490" xr:uid="{51C527BB-4015-4EF1-800D-5A3E8C4EF7A1}"/>
    <cellStyle name="Comma 4 7 2 2 2 3" xfId="24061" xr:uid="{B0A89323-7DFC-4FC2-ACFB-3BC749FC1030}"/>
    <cellStyle name="Comma 4 7 2 2 2 4" xfId="40918" xr:uid="{B3B582EC-B870-4E29-94F0-65A3929644F7}"/>
    <cellStyle name="Comma 4 7 2 2 2 5" xfId="15626" xr:uid="{C05312CC-CC02-4430-ADED-876A977CD550}"/>
    <cellStyle name="Comma 4 7 2 2 3" xfId="28272" xr:uid="{8032616E-0C14-4A07-B763-61B40DFA942A}"/>
    <cellStyle name="Comma 4 7 2 2 4" xfId="19843" xr:uid="{6AFA97E9-8D79-43A9-AC4F-184F6B490667}"/>
    <cellStyle name="Comma 4 7 2 2 5" xfId="36701" xr:uid="{384E1B7A-2D5A-4B63-B04F-F90686B7A729}"/>
    <cellStyle name="Comma 4 7 2 2 6" xfId="11408" xr:uid="{BA50A40C-6E79-43EB-BFDD-20BE789E0F65}"/>
    <cellStyle name="Comma 4 7 2 3" xfId="5046" xr:uid="{00000000-0005-0000-0000-00006E0A0000}"/>
    <cellStyle name="Comma 4 7 2 3 2" xfId="30345" xr:uid="{79C2E92B-11D8-4ABA-B457-DA937972A814}"/>
    <cellStyle name="Comma 4 7 2 3 3" xfId="21916" xr:uid="{D22CAD16-8B34-4998-B99E-4DC1F9803A4E}"/>
    <cellStyle name="Comma 4 7 2 3 4" xfId="38773" xr:uid="{04B4E1EC-7049-4754-87DD-9E475F08C80A}"/>
    <cellStyle name="Comma 4 7 2 3 5" xfId="13481" xr:uid="{BC7B9217-2B47-4DAE-8D28-C74A04CB7367}"/>
    <cellStyle name="Comma 4 7 2 4" xfId="26127" xr:uid="{CD5A5F30-D0A2-4A06-91F3-0D23556FCC8E}"/>
    <cellStyle name="Comma 4 7 2 5" xfId="17698" xr:uid="{5C2CD1F2-3FAA-4F81-AD34-C080F462F2AD}"/>
    <cellStyle name="Comma 4 7 2 6" xfId="34556" xr:uid="{740AE897-F128-47C9-A595-558B8DEA6C2A}"/>
    <cellStyle name="Comma 4 7 2 7" xfId="9263" xr:uid="{C6DF0BB8-CA01-42E9-88F4-0CA9DFA65694}"/>
    <cellStyle name="Comma 4 7 3" xfId="1150" xr:uid="{00000000-0005-0000-0000-00006F0A0000}"/>
    <cellStyle name="Comma 4 7 3 2" xfId="3381" xr:uid="{00000000-0005-0000-0000-0000700A0000}"/>
    <cellStyle name="Comma 4 7 3 2 2" xfId="7604" xr:uid="{00000000-0005-0000-0000-0000710A0000}"/>
    <cellStyle name="Comma 4 7 3 2 2 2" xfId="32903" xr:uid="{01066CFD-50B8-4589-8DF1-689A5372BBFD}"/>
    <cellStyle name="Comma 4 7 3 2 2 3" xfId="24474" xr:uid="{4FD61A9E-2EC4-4DB2-9168-869EB02FE4DB}"/>
    <cellStyle name="Comma 4 7 3 2 2 4" xfId="41331" xr:uid="{A34FDF79-CC2B-43DE-B9A5-8B5AA0F7F5D6}"/>
    <cellStyle name="Comma 4 7 3 2 2 5" xfId="16039" xr:uid="{DA2B92AC-692F-475C-941D-82B6272BCD1A}"/>
    <cellStyle name="Comma 4 7 3 2 3" xfId="28685" xr:uid="{D899D9F8-4EF9-420D-8417-C1535D4A72DE}"/>
    <cellStyle name="Comma 4 7 3 2 4" xfId="20256" xr:uid="{2694AB44-970D-45EE-937E-EA337ED2F1BA}"/>
    <cellStyle name="Comma 4 7 3 2 5" xfId="37114" xr:uid="{917D8982-2739-4F88-BCF9-FD5536F78D54}"/>
    <cellStyle name="Comma 4 7 3 2 6" xfId="11821" xr:uid="{D773F407-0143-4699-8FF4-814F26311063}"/>
    <cellStyle name="Comma 4 7 3 3" xfId="5459" xr:uid="{00000000-0005-0000-0000-0000720A0000}"/>
    <cellStyle name="Comma 4 7 3 3 2" xfId="30758" xr:uid="{EB79C9B0-B448-415F-B688-006BB490A389}"/>
    <cellStyle name="Comma 4 7 3 3 3" xfId="22329" xr:uid="{F3BD5BC4-AF51-4B6E-9116-ED0A6A50DF2C}"/>
    <cellStyle name="Comma 4 7 3 3 4" xfId="39186" xr:uid="{E9BE0393-9BA3-4C0B-958C-2A9D9AAE26EB}"/>
    <cellStyle name="Comma 4 7 3 3 5" xfId="13894" xr:uid="{B59E089B-1828-41C2-9E21-7108ACF4C9AB}"/>
    <cellStyle name="Comma 4 7 3 4" xfId="26540" xr:uid="{0F9A968C-3FCA-434A-BA83-77A2593AD17C}"/>
    <cellStyle name="Comma 4 7 3 5" xfId="18111" xr:uid="{8DB02441-4E65-4755-8AFE-EDD657AA0AA3}"/>
    <cellStyle name="Comma 4 7 3 6" xfId="34969" xr:uid="{6DE2D44D-445A-4E15-B382-65EE7D7BB97E}"/>
    <cellStyle name="Comma 4 7 3 7" xfId="9676" xr:uid="{C29D7BE3-2279-41DA-B418-1E7047502237}"/>
    <cellStyle name="Comma 4 7 4" xfId="1564" xr:uid="{00000000-0005-0000-0000-0000730A0000}"/>
    <cellStyle name="Comma 4 7 4 2" xfId="3794" xr:uid="{00000000-0005-0000-0000-0000740A0000}"/>
    <cellStyle name="Comma 4 7 4 2 2" xfId="8017" xr:uid="{00000000-0005-0000-0000-0000750A0000}"/>
    <cellStyle name="Comma 4 7 4 2 2 2" xfId="33316" xr:uid="{6B05C93D-1F9A-4C21-B2B3-0B136CA0FBC5}"/>
    <cellStyle name="Comma 4 7 4 2 2 3" xfId="24887" xr:uid="{C4373C1A-22DF-4911-AE49-219E15F0A73C}"/>
    <cellStyle name="Comma 4 7 4 2 2 4" xfId="41744" xr:uid="{46B7A36E-7FB3-4E1A-A4D0-A50754A329D3}"/>
    <cellStyle name="Comma 4 7 4 2 2 5" xfId="16452" xr:uid="{F46717DA-75EB-4BF9-81D5-45C1D2F046CD}"/>
    <cellStyle name="Comma 4 7 4 2 3" xfId="29098" xr:uid="{74AB0AB9-33A1-4532-BCC7-2F0661323FF7}"/>
    <cellStyle name="Comma 4 7 4 2 4" xfId="20669" xr:uid="{B9D2FA12-140A-4473-8C4C-176C7D64E54A}"/>
    <cellStyle name="Comma 4 7 4 2 5" xfId="37527" xr:uid="{8B50A49D-9CC6-4064-80FB-A87C2EE97FBB}"/>
    <cellStyle name="Comma 4 7 4 2 6" xfId="12234" xr:uid="{36114512-3FF8-4566-9B21-61B3AD77CBE8}"/>
    <cellStyle name="Comma 4 7 4 3" xfId="5872" xr:uid="{00000000-0005-0000-0000-0000760A0000}"/>
    <cellStyle name="Comma 4 7 4 3 2" xfId="31171" xr:uid="{C09B1B13-D035-4C1E-85C9-C9861F593AFF}"/>
    <cellStyle name="Comma 4 7 4 3 3" xfId="22742" xr:uid="{94CEF2CC-0321-4035-AA32-59907CBD6414}"/>
    <cellStyle name="Comma 4 7 4 3 4" xfId="39599" xr:uid="{945073CA-C496-4213-8C97-0CBA4E9E4304}"/>
    <cellStyle name="Comma 4 7 4 3 5" xfId="14307" xr:uid="{85B3273E-6527-4CEA-82C6-A3CFF01CA103}"/>
    <cellStyle name="Comma 4 7 4 4" xfId="26953" xr:uid="{E1F87771-3912-40B1-AB3A-762BAA3748CC}"/>
    <cellStyle name="Comma 4 7 4 5" xfId="18524" xr:uid="{A744BC69-E6C1-4049-A8FF-DED5B02253DE}"/>
    <cellStyle name="Comma 4 7 4 6" xfId="35382" xr:uid="{8529B061-C33F-41AD-998C-9370E3D15670}"/>
    <cellStyle name="Comma 4 7 4 7" xfId="10089" xr:uid="{452497A2-7350-4F75-B8FB-69D9C3F15008}"/>
    <cellStyle name="Comma 4 7 5" xfId="1978" xr:uid="{00000000-0005-0000-0000-0000770A0000}"/>
    <cellStyle name="Comma 4 7 5 2" xfId="4207" xr:uid="{00000000-0005-0000-0000-0000780A0000}"/>
    <cellStyle name="Comma 4 7 5 2 2" xfId="8430" xr:uid="{00000000-0005-0000-0000-0000790A0000}"/>
    <cellStyle name="Comma 4 7 5 2 2 2" xfId="33729" xr:uid="{F2FC24CC-2B4F-414D-A66E-575440C66045}"/>
    <cellStyle name="Comma 4 7 5 2 2 3" xfId="25300" xr:uid="{E6E7C667-4522-4CF3-9D1B-42ED1B6BB891}"/>
    <cellStyle name="Comma 4 7 5 2 2 4" xfId="42157" xr:uid="{1E224382-28E8-4BA7-9CF9-65C0C7448E96}"/>
    <cellStyle name="Comma 4 7 5 2 2 5" xfId="16865" xr:uid="{AE58765C-3D56-45F4-94CF-23B499B9B6C1}"/>
    <cellStyle name="Comma 4 7 5 2 3" xfId="29511" xr:uid="{D4B7C80D-29F2-4915-A9DA-48B78388B3B8}"/>
    <cellStyle name="Comma 4 7 5 2 4" xfId="21082" xr:uid="{6C07D8CD-F3F4-4441-9C73-2A71B541B78C}"/>
    <cellStyle name="Comma 4 7 5 2 5" xfId="37940" xr:uid="{FAA5E5AC-F427-4D0A-80EE-30B3D4005E86}"/>
    <cellStyle name="Comma 4 7 5 2 6" xfId="12647" xr:uid="{44284EBC-75EF-407D-BFFA-39F319E06942}"/>
    <cellStyle name="Comma 4 7 5 3" xfId="6285" xr:uid="{00000000-0005-0000-0000-00007A0A0000}"/>
    <cellStyle name="Comma 4 7 5 3 2" xfId="31584" xr:uid="{F87BA61C-FA5E-41A1-B555-71BE307B4A98}"/>
    <cellStyle name="Comma 4 7 5 3 3" xfId="23155" xr:uid="{7537BCB4-7B97-4B2F-8336-CC46C426543C}"/>
    <cellStyle name="Comma 4 7 5 3 4" xfId="40012" xr:uid="{8BE14CEC-5671-49B0-98BB-F7736AA5E2B3}"/>
    <cellStyle name="Comma 4 7 5 3 5" xfId="14720" xr:uid="{D34B045D-6DAE-4AF8-95E1-67FD94FB914E}"/>
    <cellStyle name="Comma 4 7 5 4" xfId="27366" xr:uid="{9D73C2C6-16B4-4D78-B058-2BD5D8ECD9F1}"/>
    <cellStyle name="Comma 4 7 5 5" xfId="18937" xr:uid="{F1D90707-7ADD-49C3-B6EE-0968E4B07C9C}"/>
    <cellStyle name="Comma 4 7 5 6" xfId="35795" xr:uid="{37D74DCE-6D2D-4CA8-92A1-8550695E8F06}"/>
    <cellStyle name="Comma 4 7 5 7" xfId="10502" xr:uid="{D6EBBF40-B2B4-4FD8-9BA0-91B91D74F1C1}"/>
    <cellStyle name="Comma 4 7 6" xfId="2413" xr:uid="{00000000-0005-0000-0000-00007B0A0000}"/>
    <cellStyle name="Comma 4 7 6 2" xfId="6698" xr:uid="{00000000-0005-0000-0000-00007C0A0000}"/>
    <cellStyle name="Comma 4 7 6 2 2" xfId="31997" xr:uid="{4C2A3338-8C13-4E0E-AC9C-5964FD9611CC}"/>
    <cellStyle name="Comma 4 7 6 2 3" xfId="23568" xr:uid="{438A6331-E302-47BC-83F1-9C5328303590}"/>
    <cellStyle name="Comma 4 7 6 2 4" xfId="40425" xr:uid="{0E1BCE92-EF0B-4044-8964-5C3CD0C1E3DF}"/>
    <cellStyle name="Comma 4 7 6 2 5" xfId="15133" xr:uid="{C8F4FF36-9B30-473C-AACD-E7EB5E2EDF6B}"/>
    <cellStyle name="Comma 4 7 6 3" xfId="27779" xr:uid="{E9639C15-BAD9-4605-8C12-388BE0D7C33D}"/>
    <cellStyle name="Comma 4 7 6 4" xfId="19350" xr:uid="{EEC28067-2F77-47AF-A4A9-EC20A180C335}"/>
    <cellStyle name="Comma 4 7 6 5" xfId="36208" xr:uid="{23981CF4-5EDA-45A3-9120-3142CDDFA4A5}"/>
    <cellStyle name="Comma 4 7 6 6" xfId="10915" xr:uid="{960E7F61-C4CF-469A-8277-39F62DC4ADC7}"/>
    <cellStyle name="Comma 4 7 7" xfId="2709" xr:uid="{00000000-0005-0000-0000-00007D0A0000}"/>
    <cellStyle name="Comma 4 7 8" xfId="2791" xr:uid="{00000000-0005-0000-0000-00007E0A0000}"/>
    <cellStyle name="Comma 4 7 8 2" xfId="7015" xr:uid="{00000000-0005-0000-0000-00007F0A0000}"/>
    <cellStyle name="Comma 4 7 8 2 2" xfId="32314" xr:uid="{E66DE7BC-CDCB-4B18-829C-0BD5A35592F2}"/>
    <cellStyle name="Comma 4 7 8 2 3" xfId="23885" xr:uid="{0DBCD503-1478-4C93-A156-2E148D6EB068}"/>
    <cellStyle name="Comma 4 7 8 2 4" xfId="40742" xr:uid="{393ABAEE-6581-460F-9058-9DBB5AEDA81B}"/>
    <cellStyle name="Comma 4 7 8 2 5" xfId="15450" xr:uid="{63861143-A4C9-4B48-8FA3-C9155108A672}"/>
    <cellStyle name="Comma 4 7 8 3" xfId="28096" xr:uid="{44AC1930-4796-4009-8B1B-5E41DE125C5C}"/>
    <cellStyle name="Comma 4 7 8 4" xfId="19667" xr:uid="{2171908D-6D89-482F-B741-CEEB1A798BD2}"/>
    <cellStyle name="Comma 4 7 8 5" xfId="36525" xr:uid="{7F0204F2-A802-45F7-9C2C-27D7C3DF7D97}"/>
    <cellStyle name="Comma 4 7 8 6" xfId="11232" xr:uid="{0AD26072-789B-4539-8071-732563CE179E}"/>
    <cellStyle name="Comma 4 7 9" xfId="4632" xr:uid="{00000000-0005-0000-0000-0000800A0000}"/>
    <cellStyle name="Comma 4 7 9 2" xfId="29931" xr:uid="{EE185087-6E30-4785-8CA9-223907DD6630}"/>
    <cellStyle name="Comma 4 7 9 3" xfId="21502" xr:uid="{773F3955-0197-45D7-B255-A79465A61752}"/>
    <cellStyle name="Comma 4 7 9 4" xfId="38359" xr:uid="{2FF9E75E-7C3A-4490-AB8D-0B3724740456}"/>
    <cellStyle name="Comma 4 7 9 5" xfId="13067" xr:uid="{3E416853-F5EE-4CF2-A559-CDDA7010F52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9799" xr:uid="{FDE153A5-9A21-43D7-A18B-D9DF17885338}"/>
    <cellStyle name="Comma 7 3" xfId="21370" xr:uid="{4F0A928C-28EC-4F2A-9BE2-56A6CF6E6137}"/>
    <cellStyle name="Comma 7 4" xfId="38227" xr:uid="{3E534521-1884-4317-B53E-ABD593F465B2}"/>
    <cellStyle name="Comma 7 5" xfId="12935" xr:uid="{3CD8B77C-44E8-430E-8AB1-CA1930815993}"/>
    <cellStyle name="Comma 7 6" xfId="42445" xr:uid="{1D579CD3-07E4-44E7-809B-B2F300C985BE}"/>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29802" xr:uid="{0E22E400-CC7D-4CFF-86AD-66BAF5707B38}"/>
    <cellStyle name="Currency 14 2 3" xfId="17152" xr:uid="{5923643B-AAE0-44BA-85EF-A8168F0E64F0}"/>
    <cellStyle name="Currency 14 3" xfId="8720" xr:uid="{729B09A7-2394-4D7C-912C-1471FB3455A3}"/>
    <cellStyle name="Currency 14 3 2" xfId="17155" xr:uid="{51B0B9DB-860B-41F1-A538-C7E376150475}"/>
    <cellStyle name="Currency 14 4" xfId="21373" xr:uid="{2062A634-2ACC-43A3-A070-AE5A64DE88B8}"/>
    <cellStyle name="Currency 14 5" xfId="38230" xr:uid="{CC72A30B-14AC-4C7D-8862-B24904262156}"/>
    <cellStyle name="Currency 14 6" xfId="12938" xr:uid="{02CAD1B8-9AF2-456E-9CE1-EDE6EBD94AF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32315" xr:uid="{4280FA0E-E469-4816-B6F8-13D98F062095}"/>
    <cellStyle name="Currency 3 2 2 10 2 3" xfId="23886" xr:uid="{1EE6390C-547A-4713-A8AB-FDBD57BFF208}"/>
    <cellStyle name="Currency 3 2 2 10 2 4" xfId="40743" xr:uid="{B744C1ED-700B-42C6-BD73-AE2732C6D292}"/>
    <cellStyle name="Currency 3 2 2 10 2 5" xfId="15451" xr:uid="{14882664-F437-4F1D-B90C-187F1E85F1BB}"/>
    <cellStyle name="Currency 3 2 2 10 3" xfId="28097" xr:uid="{35542274-1103-4492-8F3C-DFB276DD6198}"/>
    <cellStyle name="Currency 3 2 2 10 4" xfId="19668" xr:uid="{72C367D5-D169-48DA-B8BF-F91259D554CE}"/>
    <cellStyle name="Currency 3 2 2 10 5" xfId="36526" xr:uid="{587970CE-D5F9-417B-9999-1B749B6F0C64}"/>
    <cellStyle name="Currency 3 2 2 10 6" xfId="11233" xr:uid="{75C76B15-C360-46DD-A800-C9EFA0519CBF}"/>
    <cellStyle name="Currency 3 2 2 11" xfId="4633" xr:uid="{00000000-0005-0000-0000-0000A50A0000}"/>
    <cellStyle name="Currency 3 2 2 11 2" xfId="29932" xr:uid="{570CCF2A-D566-41D3-BB8A-777C793E79B9}"/>
    <cellStyle name="Currency 3 2 2 11 3" xfId="21503" xr:uid="{D347C37A-46EF-47F1-AF49-4FCBC8EF9EE0}"/>
    <cellStyle name="Currency 3 2 2 11 4" xfId="38360" xr:uid="{D0765A08-A13C-4D9E-964F-E30350417FCB}"/>
    <cellStyle name="Currency 3 2 2 11 5" xfId="13068" xr:uid="{42F974AD-16A2-42CE-BB44-5371DC6D465F}"/>
    <cellStyle name="Currency 3 2 2 12" xfId="25714" xr:uid="{7095D672-ABC7-428F-86A1-9B36884482D9}"/>
    <cellStyle name="Currency 3 2 2 13" xfId="17285" xr:uid="{760B203C-5EFE-47C9-95FD-2218F6543264}"/>
    <cellStyle name="Currency 3 2 2 14" xfId="34143" xr:uid="{B6407533-78A0-482F-B3D3-FC5774C42A76}"/>
    <cellStyle name="Currency 3 2 2 15" xfId="8850" xr:uid="{7DDE9DBE-F5AB-46F7-B4AB-2D9B9400740C}"/>
    <cellStyle name="Currency 3 2 2 2" xfId="179" xr:uid="{00000000-0005-0000-0000-0000A60A0000}"/>
    <cellStyle name="Currency 3 2 2 2 10" xfId="4634" xr:uid="{00000000-0005-0000-0000-0000A70A0000}"/>
    <cellStyle name="Currency 3 2 2 2 10 2" xfId="29933" xr:uid="{161D1A6C-B637-4592-A2D5-3D70662BD82D}"/>
    <cellStyle name="Currency 3 2 2 2 10 3" xfId="21504" xr:uid="{7AB3228D-4B3C-4876-B869-3274B196BE42}"/>
    <cellStyle name="Currency 3 2 2 2 10 4" xfId="38361" xr:uid="{D1C5A846-80A3-4A8A-A9E5-78764DD9C8E8}"/>
    <cellStyle name="Currency 3 2 2 2 10 5" xfId="13069" xr:uid="{883DDB6E-8D39-4757-8AC5-8DA14F9E1754}"/>
    <cellStyle name="Currency 3 2 2 2 11" xfId="25715" xr:uid="{2F5C8BA4-6491-4122-8ECC-7E3702620672}"/>
    <cellStyle name="Currency 3 2 2 2 12" xfId="17286" xr:uid="{425F3129-7710-4F6F-86C4-F1F72DD333C9}"/>
    <cellStyle name="Currency 3 2 2 2 13" xfId="34144" xr:uid="{25925867-B3FC-4357-AA79-BE8BD5B445A4}"/>
    <cellStyle name="Currency 3 2 2 2 14" xfId="8851" xr:uid="{09ECBB2E-E3E5-4BD7-96D9-9A589F36C185}"/>
    <cellStyle name="Currency 3 2 2 2 2" xfId="180" xr:uid="{00000000-0005-0000-0000-0000A80A0000}"/>
    <cellStyle name="Currency 3 2 2 2 2 10" xfId="25716" xr:uid="{B3B9F9FA-F342-4156-A149-27B0A250B04B}"/>
    <cellStyle name="Currency 3 2 2 2 2 11" xfId="17287" xr:uid="{AA48A3AE-FD9E-4BFF-AF39-070AABA09775}"/>
    <cellStyle name="Currency 3 2 2 2 2 12" xfId="34145" xr:uid="{4727F3AD-97C4-4B39-8565-7671F6AAAAC2}"/>
    <cellStyle name="Currency 3 2 2 2 2 13" xfId="8852" xr:uid="{8844F02A-6C13-45D3-B659-47E454AEE8D6}"/>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32493" xr:uid="{3A82A461-4F17-4383-B263-DA907D1E91A5}"/>
    <cellStyle name="Currency 3 2 2 2 2 2 2 2 3" xfId="24064" xr:uid="{E9C085F9-7A1C-4884-9196-36E478FF29C0}"/>
    <cellStyle name="Currency 3 2 2 2 2 2 2 2 4" xfId="40921" xr:uid="{07F33660-95B4-41E4-BFC9-2D1430703C81}"/>
    <cellStyle name="Currency 3 2 2 2 2 2 2 2 5" xfId="15629" xr:uid="{15A44AC6-4C2C-472A-B537-121015BE99EF}"/>
    <cellStyle name="Currency 3 2 2 2 2 2 2 3" xfId="28275" xr:uid="{3A9FF010-35F5-46D7-A6D0-57F6465000E5}"/>
    <cellStyle name="Currency 3 2 2 2 2 2 2 4" xfId="19846" xr:uid="{6F2441D1-32B1-4A0F-8929-2A2C80B8B9AE}"/>
    <cellStyle name="Currency 3 2 2 2 2 2 2 5" xfId="36704" xr:uid="{28456354-E7A6-4283-89E9-28F233CA09EC}"/>
    <cellStyle name="Currency 3 2 2 2 2 2 2 6" xfId="11411" xr:uid="{E873065F-1B76-4AB5-A00A-1DFA0755646F}"/>
    <cellStyle name="Currency 3 2 2 2 2 2 3" xfId="5049" xr:uid="{00000000-0005-0000-0000-0000AC0A0000}"/>
    <cellStyle name="Currency 3 2 2 2 2 2 3 2" xfId="30348" xr:uid="{0ED45E12-E741-4244-A193-8760991CABD0}"/>
    <cellStyle name="Currency 3 2 2 2 2 2 3 3" xfId="21919" xr:uid="{88CFD19A-959D-405C-B30C-A01883919E61}"/>
    <cellStyle name="Currency 3 2 2 2 2 2 3 4" xfId="38776" xr:uid="{3A4E6789-4365-4F9B-9677-9D7B29F9E721}"/>
    <cellStyle name="Currency 3 2 2 2 2 2 3 5" xfId="13484" xr:uid="{19204B47-F5CA-43D7-9BE6-D4578ACC29F2}"/>
    <cellStyle name="Currency 3 2 2 2 2 2 4" xfId="26130" xr:uid="{040CA6FD-A10D-4310-9E85-69EAF9EBA822}"/>
    <cellStyle name="Currency 3 2 2 2 2 2 5" xfId="17701" xr:uid="{13A24B80-FAAC-417C-9543-30B96802063F}"/>
    <cellStyle name="Currency 3 2 2 2 2 2 6" xfId="34559" xr:uid="{0D1F8A5E-A3C7-44A7-A83E-83EB6F10B650}"/>
    <cellStyle name="Currency 3 2 2 2 2 2 7" xfId="9266" xr:uid="{C1E1CBB3-BF1C-412B-B12C-23B49C48D72B}"/>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32906" xr:uid="{860CD4AE-EDBD-4AFC-8319-4CF40CF4F030}"/>
    <cellStyle name="Currency 3 2 2 2 2 3 2 2 3" xfId="24477" xr:uid="{9400BF75-A029-4426-BDF1-4F28F2114FEB}"/>
    <cellStyle name="Currency 3 2 2 2 2 3 2 2 4" xfId="41334" xr:uid="{1D8D8F29-B703-456C-ABA9-FB44E42A7B08}"/>
    <cellStyle name="Currency 3 2 2 2 2 3 2 2 5" xfId="16042" xr:uid="{EE7CBE8B-701E-4051-8FC1-8435098D9456}"/>
    <cellStyle name="Currency 3 2 2 2 2 3 2 3" xfId="28688" xr:uid="{0C58473F-4015-4C93-A9C6-2D5653D6C96C}"/>
    <cellStyle name="Currency 3 2 2 2 2 3 2 4" xfId="20259" xr:uid="{E7933249-D120-40B1-BC85-29C6D5916F08}"/>
    <cellStyle name="Currency 3 2 2 2 2 3 2 5" xfId="37117" xr:uid="{5833C35D-D0AC-4D08-8DAF-DC6F021332FA}"/>
    <cellStyle name="Currency 3 2 2 2 2 3 2 6" xfId="11824" xr:uid="{0D72F616-6BCB-471A-80FE-5481E1B45298}"/>
    <cellStyle name="Currency 3 2 2 2 2 3 3" xfId="5462" xr:uid="{00000000-0005-0000-0000-0000B00A0000}"/>
    <cellStyle name="Currency 3 2 2 2 2 3 3 2" xfId="30761" xr:uid="{E903F02C-9A02-41D0-BC31-3968BEA2E8C0}"/>
    <cellStyle name="Currency 3 2 2 2 2 3 3 3" xfId="22332" xr:uid="{BE288E79-3E09-44B9-B6FE-6CAF054699A7}"/>
    <cellStyle name="Currency 3 2 2 2 2 3 3 4" xfId="39189" xr:uid="{BDA420F8-FB4F-421D-8344-A341684FC321}"/>
    <cellStyle name="Currency 3 2 2 2 2 3 3 5" xfId="13897" xr:uid="{C2AADBCA-32D2-43F8-AC27-73FC81559BA0}"/>
    <cellStyle name="Currency 3 2 2 2 2 3 4" xfId="26543" xr:uid="{B695A867-3A96-43EA-85EF-5133A984C698}"/>
    <cellStyle name="Currency 3 2 2 2 2 3 5" xfId="18114" xr:uid="{B0665E89-E277-43B6-97F4-AAB07525EEFC}"/>
    <cellStyle name="Currency 3 2 2 2 2 3 6" xfId="34972" xr:uid="{BF02C054-450E-4B4F-99D1-BB3DCDA0813B}"/>
    <cellStyle name="Currency 3 2 2 2 2 3 7" xfId="9679" xr:uid="{56B2521D-1A21-4AF2-9037-FF51653A28C9}"/>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33319" xr:uid="{A470F927-A683-4C62-9C3C-AE850CF5E794}"/>
    <cellStyle name="Currency 3 2 2 2 2 4 2 2 3" xfId="24890" xr:uid="{E8EF036A-81B4-4BFA-B44F-F34C329455A8}"/>
    <cellStyle name="Currency 3 2 2 2 2 4 2 2 4" xfId="41747" xr:uid="{ABD382C1-7485-4301-896D-9149BD24B4C9}"/>
    <cellStyle name="Currency 3 2 2 2 2 4 2 2 5" xfId="16455" xr:uid="{0D4A87EB-1743-44F1-94FF-76BFE3EACD71}"/>
    <cellStyle name="Currency 3 2 2 2 2 4 2 3" xfId="29101" xr:uid="{03E6223A-C4CC-4EBE-B7EE-1BB380749C64}"/>
    <cellStyle name="Currency 3 2 2 2 2 4 2 4" xfId="20672" xr:uid="{8121901D-4077-44AB-9AAC-E2E4C61905EC}"/>
    <cellStyle name="Currency 3 2 2 2 2 4 2 5" xfId="37530" xr:uid="{6B8F0101-6506-4280-96BD-C5AE60FB50EB}"/>
    <cellStyle name="Currency 3 2 2 2 2 4 2 6" xfId="12237" xr:uid="{D71D7FB1-DEEF-4ED1-BB39-4750789CD7B4}"/>
    <cellStyle name="Currency 3 2 2 2 2 4 3" xfId="5875" xr:uid="{00000000-0005-0000-0000-0000B40A0000}"/>
    <cellStyle name="Currency 3 2 2 2 2 4 3 2" xfId="31174" xr:uid="{5AD60229-6ACD-4090-837B-00693FB115DC}"/>
    <cellStyle name="Currency 3 2 2 2 2 4 3 3" xfId="22745" xr:uid="{FBCAF6D8-A054-4818-A3F8-4E9EB4A25207}"/>
    <cellStyle name="Currency 3 2 2 2 2 4 3 4" xfId="39602" xr:uid="{D8881166-CDDF-4513-9EED-9CBA10AB4D09}"/>
    <cellStyle name="Currency 3 2 2 2 2 4 3 5" xfId="14310" xr:uid="{166F5B76-FB4B-4091-91FF-ECAA0DEE633D}"/>
    <cellStyle name="Currency 3 2 2 2 2 4 4" xfId="26956" xr:uid="{C7E58DD4-603C-43DC-AF07-B6321A41C4F5}"/>
    <cellStyle name="Currency 3 2 2 2 2 4 5" xfId="18527" xr:uid="{44330575-FE44-47A3-B130-DF5B63114A77}"/>
    <cellStyle name="Currency 3 2 2 2 2 4 6" xfId="35385" xr:uid="{68ED8EF3-2340-409C-A5B1-5C2DCD658350}"/>
    <cellStyle name="Currency 3 2 2 2 2 4 7" xfId="10092" xr:uid="{13050CC3-F526-4189-8F97-D521558FA0D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33732" xr:uid="{E0CF42A9-AC30-46E2-91B7-3AA0920007C6}"/>
    <cellStyle name="Currency 3 2 2 2 2 5 2 2 3" xfId="25303" xr:uid="{B777651B-E8E0-40A8-A1E8-1CEF4705B503}"/>
    <cellStyle name="Currency 3 2 2 2 2 5 2 2 4" xfId="42160" xr:uid="{24CE12ED-D438-4AE7-A0C0-68F3D53BA58D}"/>
    <cellStyle name="Currency 3 2 2 2 2 5 2 2 5" xfId="16868" xr:uid="{51A06E86-6142-4C33-A75D-551529D67FBC}"/>
    <cellStyle name="Currency 3 2 2 2 2 5 2 3" xfId="29514" xr:uid="{47505AE3-F599-4957-BB75-4EA7CE1F931E}"/>
    <cellStyle name="Currency 3 2 2 2 2 5 2 4" xfId="21085" xr:uid="{2D23E528-2603-40F2-AC03-DA2703B84AE1}"/>
    <cellStyle name="Currency 3 2 2 2 2 5 2 5" xfId="37943" xr:uid="{FD78B0DA-D457-487C-9DBA-0DD47689C6D7}"/>
    <cellStyle name="Currency 3 2 2 2 2 5 2 6" xfId="12650" xr:uid="{3B067313-7981-4F34-BA51-4567267AADA4}"/>
    <cellStyle name="Currency 3 2 2 2 2 5 3" xfId="6288" xr:uid="{00000000-0005-0000-0000-0000B80A0000}"/>
    <cellStyle name="Currency 3 2 2 2 2 5 3 2" xfId="31587" xr:uid="{0F548244-5E91-46A5-99A4-531C65CD444F}"/>
    <cellStyle name="Currency 3 2 2 2 2 5 3 3" xfId="23158" xr:uid="{CBF43150-51C2-47C7-A32D-C590592C42D1}"/>
    <cellStyle name="Currency 3 2 2 2 2 5 3 4" xfId="40015" xr:uid="{B6083D20-E02E-450E-B012-2D801B6206BC}"/>
    <cellStyle name="Currency 3 2 2 2 2 5 3 5" xfId="14723" xr:uid="{5A63C00C-FF7F-4F38-A376-EC702A23C3D5}"/>
    <cellStyle name="Currency 3 2 2 2 2 5 4" xfId="27369" xr:uid="{BF9F9030-B758-4B42-8143-3AD2E2AF2078}"/>
    <cellStyle name="Currency 3 2 2 2 2 5 5" xfId="18940" xr:uid="{C34A5F0B-026C-494C-8A4B-626C424D2C6F}"/>
    <cellStyle name="Currency 3 2 2 2 2 5 6" xfId="35798" xr:uid="{3F290E00-356F-4887-A6FA-B26DC8F98CBA}"/>
    <cellStyle name="Currency 3 2 2 2 2 5 7" xfId="10505" xr:uid="{B3E1F9B7-1819-46EB-AA48-6E5324433B82}"/>
    <cellStyle name="Currency 3 2 2 2 2 6" xfId="2416" xr:uid="{00000000-0005-0000-0000-0000B90A0000}"/>
    <cellStyle name="Currency 3 2 2 2 2 6 2" xfId="6701" xr:uid="{00000000-0005-0000-0000-0000BA0A0000}"/>
    <cellStyle name="Currency 3 2 2 2 2 6 2 2" xfId="32000" xr:uid="{496A7174-32E6-4648-8A06-A85FD9A63237}"/>
    <cellStyle name="Currency 3 2 2 2 2 6 2 3" xfId="23571" xr:uid="{4387BDDD-AE10-4137-9D5C-B7B0E2D38CCA}"/>
    <cellStyle name="Currency 3 2 2 2 2 6 2 4" xfId="40428" xr:uid="{A3508BE4-1CD3-455F-BA8A-8FBB6E62F67F}"/>
    <cellStyle name="Currency 3 2 2 2 2 6 2 5" xfId="15136" xr:uid="{EE18CF8E-6231-4E4F-9A26-361B5F606085}"/>
    <cellStyle name="Currency 3 2 2 2 2 6 3" xfId="27782" xr:uid="{1F510939-0444-403B-8AC0-A97FA086717A}"/>
    <cellStyle name="Currency 3 2 2 2 2 6 4" xfId="19353" xr:uid="{5E7ECE51-9709-4A32-A9D7-95ACFDCFD3C3}"/>
    <cellStyle name="Currency 3 2 2 2 2 6 5" xfId="36211" xr:uid="{84657620-8D94-42D0-B384-3CE564C040E6}"/>
    <cellStyle name="Currency 3 2 2 2 2 6 6" xfId="10918" xr:uid="{D1E5803A-59F4-4FCA-89E5-905015240F55}"/>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32317" xr:uid="{F10E41A0-8FC6-4D6C-9FE9-CD59D5AF32FC}"/>
    <cellStyle name="Currency 3 2 2 2 2 8 2 3" xfId="23888" xr:uid="{239C2CC2-5F07-4B3A-AB03-9ACB048DB5A0}"/>
    <cellStyle name="Currency 3 2 2 2 2 8 2 4" xfId="40745" xr:uid="{6C908DBB-0E36-4E52-BF86-D69F6549DB90}"/>
    <cellStyle name="Currency 3 2 2 2 2 8 2 5" xfId="15453" xr:uid="{C7EB4F51-8E52-4669-99FE-7D1FB14CD6E1}"/>
    <cellStyle name="Currency 3 2 2 2 2 8 3" xfId="28099" xr:uid="{678D74DD-E6DE-49D9-889C-D1B6F936F6EF}"/>
    <cellStyle name="Currency 3 2 2 2 2 8 4" xfId="19670" xr:uid="{8CDB75D8-4061-4213-81F0-E280D67AC0C2}"/>
    <cellStyle name="Currency 3 2 2 2 2 8 5" xfId="36528" xr:uid="{0AD2217C-DAA4-4226-AC47-8D6B4BD600E7}"/>
    <cellStyle name="Currency 3 2 2 2 2 8 6" xfId="11235" xr:uid="{4408E337-D058-4C88-ABCD-00DA3E1774B3}"/>
    <cellStyle name="Currency 3 2 2 2 2 9" xfId="4635" xr:uid="{00000000-0005-0000-0000-0000BE0A0000}"/>
    <cellStyle name="Currency 3 2 2 2 2 9 2" xfId="29934" xr:uid="{CE268204-3BDB-44C4-8BF1-F927159494FE}"/>
    <cellStyle name="Currency 3 2 2 2 2 9 3" xfId="21505" xr:uid="{99900B75-E052-477E-A815-59A5067E554D}"/>
    <cellStyle name="Currency 3 2 2 2 2 9 4" xfId="38362" xr:uid="{D313B3D4-1D65-4559-AF4A-B68B031659D6}"/>
    <cellStyle name="Currency 3 2 2 2 2 9 5" xfId="13070" xr:uid="{B11B669C-9E9F-4611-BAD1-072EF8F549B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32492" xr:uid="{0738B4E0-7163-4E24-836B-C5289C851D71}"/>
    <cellStyle name="Currency 3 2 2 2 3 2 2 3" xfId="24063" xr:uid="{FC35A5F9-B68F-4BA2-8394-5B77A75B3337}"/>
    <cellStyle name="Currency 3 2 2 2 3 2 2 4" xfId="40920" xr:uid="{4F173845-DC7B-4ADE-BAB0-05EA6FEC53B9}"/>
    <cellStyle name="Currency 3 2 2 2 3 2 2 5" xfId="15628" xr:uid="{B2EC02EF-10CE-4936-9422-7A34E0FA8403}"/>
    <cellStyle name="Currency 3 2 2 2 3 2 3" xfId="28274" xr:uid="{C3008315-D90A-458E-99DD-A968867CB2A0}"/>
    <cellStyle name="Currency 3 2 2 2 3 2 4" xfId="19845" xr:uid="{EC0ED231-662A-44EB-BA2D-EE476807C929}"/>
    <cellStyle name="Currency 3 2 2 2 3 2 5" xfId="36703" xr:uid="{A035E197-9810-4B39-A11C-8641EFFA2570}"/>
    <cellStyle name="Currency 3 2 2 2 3 2 6" xfId="11410" xr:uid="{2D011C95-B9D2-42A5-B813-E511B08D25EC}"/>
    <cellStyle name="Currency 3 2 2 2 3 3" xfId="5048" xr:uid="{00000000-0005-0000-0000-0000C20A0000}"/>
    <cellStyle name="Currency 3 2 2 2 3 3 2" xfId="30347" xr:uid="{B365E99D-DD22-42A1-806B-F1CC3A4956AF}"/>
    <cellStyle name="Currency 3 2 2 2 3 3 3" xfId="21918" xr:uid="{60FC55BD-5B40-49FA-85D9-4BE861D5E585}"/>
    <cellStyle name="Currency 3 2 2 2 3 3 4" xfId="38775" xr:uid="{B7E020DE-97E8-4B91-BD6B-75B2CAEA1248}"/>
    <cellStyle name="Currency 3 2 2 2 3 3 5" xfId="13483" xr:uid="{1D9D45FD-AFA4-428B-9426-1873FDA183EE}"/>
    <cellStyle name="Currency 3 2 2 2 3 4" xfId="26129" xr:uid="{D4B317F1-9152-474C-B593-219A8CAC45AC}"/>
    <cellStyle name="Currency 3 2 2 2 3 5" xfId="17700" xr:uid="{E1094529-776D-475A-98F6-B9851369C336}"/>
    <cellStyle name="Currency 3 2 2 2 3 6" xfId="34558" xr:uid="{12F5DFBD-A557-49D2-B79F-7D77BCC506CC}"/>
    <cellStyle name="Currency 3 2 2 2 3 7" xfId="9265" xr:uid="{7A060231-82D3-4E28-8F5C-FCCBC739EAD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32905" xr:uid="{CBD9B0EA-170B-4046-B63D-694AC8E68FC4}"/>
    <cellStyle name="Currency 3 2 2 2 4 2 2 3" xfId="24476" xr:uid="{6C1559E8-08AC-4CDF-B1EB-AEDC8247224A}"/>
    <cellStyle name="Currency 3 2 2 2 4 2 2 4" xfId="41333" xr:uid="{F39D5011-C0F3-43D0-83A7-5BD7820DBDF2}"/>
    <cellStyle name="Currency 3 2 2 2 4 2 2 5" xfId="16041" xr:uid="{935DB1A4-16F5-4B7D-853D-9B486EA21EF0}"/>
    <cellStyle name="Currency 3 2 2 2 4 2 3" xfId="28687" xr:uid="{C511D5FF-4074-47E6-B775-69C273B43592}"/>
    <cellStyle name="Currency 3 2 2 2 4 2 4" xfId="20258" xr:uid="{C0D8EE54-6740-48BC-AFB3-C472471C543A}"/>
    <cellStyle name="Currency 3 2 2 2 4 2 5" xfId="37116" xr:uid="{3AF9032C-56C7-4F7A-8FE3-CC345128BAEF}"/>
    <cellStyle name="Currency 3 2 2 2 4 2 6" xfId="11823" xr:uid="{1E317A87-BEBE-4E5B-B21F-36C26ABB5490}"/>
    <cellStyle name="Currency 3 2 2 2 4 3" xfId="5461" xr:uid="{00000000-0005-0000-0000-0000C60A0000}"/>
    <cellStyle name="Currency 3 2 2 2 4 3 2" xfId="30760" xr:uid="{305A66F1-1C98-432D-8FE9-D97536D37C70}"/>
    <cellStyle name="Currency 3 2 2 2 4 3 3" xfId="22331" xr:uid="{CDFBFBB1-9D14-4588-B33A-00E42E461F72}"/>
    <cellStyle name="Currency 3 2 2 2 4 3 4" xfId="39188" xr:uid="{2B5D8281-8B0F-4066-8401-0246941F9301}"/>
    <cellStyle name="Currency 3 2 2 2 4 3 5" xfId="13896" xr:uid="{04D9DD42-BD48-4402-9A59-F3E32C900DE8}"/>
    <cellStyle name="Currency 3 2 2 2 4 4" xfId="26542" xr:uid="{EF77BB79-DF3A-4641-99A4-47D4C96FDA3C}"/>
    <cellStyle name="Currency 3 2 2 2 4 5" xfId="18113" xr:uid="{7CFA588C-2736-4638-94BD-B8C6568E2323}"/>
    <cellStyle name="Currency 3 2 2 2 4 6" xfId="34971" xr:uid="{B5041333-4832-4957-802C-2771941F1F03}"/>
    <cellStyle name="Currency 3 2 2 2 4 7" xfId="9678" xr:uid="{10326081-3256-4BE9-9A9B-DBFF5527527A}"/>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33318" xr:uid="{5D7195D3-A3EE-49D0-A97C-756B4FEA4AAF}"/>
    <cellStyle name="Currency 3 2 2 2 5 2 2 3" xfId="24889" xr:uid="{8CCC06E3-DF99-4DB8-8BE3-5A1F3A40D88D}"/>
    <cellStyle name="Currency 3 2 2 2 5 2 2 4" xfId="41746" xr:uid="{BD68F727-B0A6-464F-9DF7-E9B139CBC872}"/>
    <cellStyle name="Currency 3 2 2 2 5 2 2 5" xfId="16454" xr:uid="{EA98FC9B-C81F-437F-96B7-22E2E8FB72B3}"/>
    <cellStyle name="Currency 3 2 2 2 5 2 3" xfId="29100" xr:uid="{E5D1CEA8-9AA8-4225-967D-768461C04517}"/>
    <cellStyle name="Currency 3 2 2 2 5 2 4" xfId="20671" xr:uid="{F2BEF3DE-8A27-4CB6-B04B-6BF120319637}"/>
    <cellStyle name="Currency 3 2 2 2 5 2 5" xfId="37529" xr:uid="{90AE75A2-A6D0-4E63-88E5-F70C4FA05EFC}"/>
    <cellStyle name="Currency 3 2 2 2 5 2 6" xfId="12236" xr:uid="{4F8C9733-7B10-4F9C-B6B9-0A59906576D2}"/>
    <cellStyle name="Currency 3 2 2 2 5 3" xfId="5874" xr:uid="{00000000-0005-0000-0000-0000CA0A0000}"/>
    <cellStyle name="Currency 3 2 2 2 5 3 2" xfId="31173" xr:uid="{24A0B11C-0DC0-45FF-A622-1A116EF11F2D}"/>
    <cellStyle name="Currency 3 2 2 2 5 3 3" xfId="22744" xr:uid="{D9639C1F-D681-426D-9EC4-BE5D667775EB}"/>
    <cellStyle name="Currency 3 2 2 2 5 3 4" xfId="39601" xr:uid="{BD818E8C-5814-47A8-91AF-5AA4B671DB2B}"/>
    <cellStyle name="Currency 3 2 2 2 5 3 5" xfId="14309" xr:uid="{9B7CE27C-2A4D-4D04-B188-1571727DED68}"/>
    <cellStyle name="Currency 3 2 2 2 5 4" xfId="26955" xr:uid="{7C4AE63A-17AD-45F4-994E-0D82C881DC97}"/>
    <cellStyle name="Currency 3 2 2 2 5 5" xfId="18526" xr:uid="{502B0763-3721-444F-B296-5BDE668D86DE}"/>
    <cellStyle name="Currency 3 2 2 2 5 6" xfId="35384" xr:uid="{9DB3FD26-82A7-4300-8217-50DC58C57912}"/>
    <cellStyle name="Currency 3 2 2 2 5 7" xfId="10091" xr:uid="{526A8201-9754-46A2-8FAF-760CC60A835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33731" xr:uid="{89280AB5-92B2-4711-BEC6-68BB30CC222D}"/>
    <cellStyle name="Currency 3 2 2 2 6 2 2 3" xfId="25302" xr:uid="{BE70C529-F7D0-41AE-A2E9-84133A74EE06}"/>
    <cellStyle name="Currency 3 2 2 2 6 2 2 4" xfId="42159" xr:uid="{8F15FF2A-B7FD-4CEC-AE91-3C13F64C86FB}"/>
    <cellStyle name="Currency 3 2 2 2 6 2 2 5" xfId="16867" xr:uid="{7DB5943A-136F-45A9-A9DF-1B73BC1C6AFB}"/>
    <cellStyle name="Currency 3 2 2 2 6 2 3" xfId="29513" xr:uid="{10CD5A8D-7E05-475F-BECE-F4F509B72480}"/>
    <cellStyle name="Currency 3 2 2 2 6 2 4" xfId="21084" xr:uid="{25A601F6-4993-493D-9DC4-995CEC27637B}"/>
    <cellStyle name="Currency 3 2 2 2 6 2 5" xfId="37942" xr:uid="{B056AED5-3EF6-49D1-91AC-D07C64FEBC20}"/>
    <cellStyle name="Currency 3 2 2 2 6 2 6" xfId="12649" xr:uid="{9811B877-E6CB-41E1-9A55-7F883F5FEC98}"/>
    <cellStyle name="Currency 3 2 2 2 6 3" xfId="6287" xr:uid="{00000000-0005-0000-0000-0000CE0A0000}"/>
    <cellStyle name="Currency 3 2 2 2 6 3 2" xfId="31586" xr:uid="{A6A57F7B-97D1-4F41-8DC1-26266DFD08D3}"/>
    <cellStyle name="Currency 3 2 2 2 6 3 3" xfId="23157" xr:uid="{9112AC81-8CFC-41E1-A589-F8ADB478F533}"/>
    <cellStyle name="Currency 3 2 2 2 6 3 4" xfId="40014" xr:uid="{F8694393-771B-4301-B5A2-6BADAA81474F}"/>
    <cellStyle name="Currency 3 2 2 2 6 3 5" xfId="14722" xr:uid="{684C4265-8E2F-4880-91D8-50D710E47F9D}"/>
    <cellStyle name="Currency 3 2 2 2 6 4" xfId="27368" xr:uid="{6FA3029C-537A-4996-B331-4A13261F7B10}"/>
    <cellStyle name="Currency 3 2 2 2 6 5" xfId="18939" xr:uid="{F759B40A-83F2-42E7-9332-2A2E52D4A838}"/>
    <cellStyle name="Currency 3 2 2 2 6 6" xfId="35797" xr:uid="{F60921F1-2D0C-40E0-84A0-4614ED58659F}"/>
    <cellStyle name="Currency 3 2 2 2 6 7" xfId="10504" xr:uid="{7BAAEAB0-ADA7-4A3E-8E31-56B4718381CA}"/>
    <cellStyle name="Currency 3 2 2 2 7" xfId="2415" xr:uid="{00000000-0005-0000-0000-0000CF0A0000}"/>
    <cellStyle name="Currency 3 2 2 2 7 2" xfId="6700" xr:uid="{00000000-0005-0000-0000-0000D00A0000}"/>
    <cellStyle name="Currency 3 2 2 2 7 2 2" xfId="31999" xr:uid="{6EEB3A0E-2C44-4F97-B3DA-ABEF76269EF9}"/>
    <cellStyle name="Currency 3 2 2 2 7 2 3" xfId="23570" xr:uid="{F60FD7BB-73B1-4EB9-BE17-B868C8D38FBE}"/>
    <cellStyle name="Currency 3 2 2 2 7 2 4" xfId="40427" xr:uid="{44476B99-EF19-46AF-9529-BAB6B6FF15A7}"/>
    <cellStyle name="Currency 3 2 2 2 7 2 5" xfId="15135" xr:uid="{D0C40280-7778-47DC-AFE6-61AC6103E974}"/>
    <cellStyle name="Currency 3 2 2 2 7 3" xfId="27781" xr:uid="{3F963F6C-3B30-4B48-8A6C-72968DD58681}"/>
    <cellStyle name="Currency 3 2 2 2 7 4" xfId="19352" xr:uid="{5EB8E8CF-1BD1-4B8D-80D0-BEE2B3073FE4}"/>
    <cellStyle name="Currency 3 2 2 2 7 5" xfId="36210" xr:uid="{3EFA6E5F-3E38-458A-9B7D-65F53C7A0308}"/>
    <cellStyle name="Currency 3 2 2 2 7 6" xfId="10917" xr:uid="{5A8164EB-4E58-40F9-A1F0-495346E7D5B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32316" xr:uid="{97D59DAD-3E61-4A38-AFBD-66C0D32CAB49}"/>
    <cellStyle name="Currency 3 2 2 2 9 2 3" xfId="23887" xr:uid="{3F7ABA4B-6BE9-4B3E-85AB-CE28801844DC}"/>
    <cellStyle name="Currency 3 2 2 2 9 2 4" xfId="40744" xr:uid="{0E238C54-7820-40F5-B8F6-C7647509FD33}"/>
    <cellStyle name="Currency 3 2 2 2 9 2 5" xfId="15452" xr:uid="{541DE39C-1F2C-4BE2-9AF3-522A3B563169}"/>
    <cellStyle name="Currency 3 2 2 2 9 3" xfId="28098" xr:uid="{B3C75025-0D73-48FF-A9E4-EF065EC1CB2C}"/>
    <cellStyle name="Currency 3 2 2 2 9 4" xfId="19669" xr:uid="{EA6B30C8-91DF-4A03-8641-FDDEB9D8A05C}"/>
    <cellStyle name="Currency 3 2 2 2 9 5" xfId="36527" xr:uid="{66BB2276-E060-40E3-A426-57E78138FF8B}"/>
    <cellStyle name="Currency 3 2 2 2 9 6" xfId="11234" xr:uid="{669F9D0B-708B-4E39-A674-C1B039B66219}"/>
    <cellStyle name="Currency 3 2 2 3" xfId="181" xr:uid="{00000000-0005-0000-0000-0000D40A0000}"/>
    <cellStyle name="Currency 3 2 2 3 10" xfId="25717" xr:uid="{5ADBE87D-0147-4A9C-862C-A24A469612F7}"/>
    <cellStyle name="Currency 3 2 2 3 11" xfId="17288" xr:uid="{03184D21-93D5-4259-8439-8942355D24A8}"/>
    <cellStyle name="Currency 3 2 2 3 12" xfId="34146" xr:uid="{5A757AD3-91C7-42DA-AA55-BC6F296A9539}"/>
    <cellStyle name="Currency 3 2 2 3 13" xfId="8853" xr:uid="{05C49DD4-E8FC-4019-A46B-6B7B9C09B641}"/>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32494" xr:uid="{24316336-86D4-4DAA-B563-DC17ABD18C04}"/>
    <cellStyle name="Currency 3 2 2 3 2 2 2 3" xfId="24065" xr:uid="{B2FAB572-8B7D-40B5-B898-886C7D92ADCA}"/>
    <cellStyle name="Currency 3 2 2 3 2 2 2 4" xfId="40922" xr:uid="{0A6BB216-A750-415C-BA7F-E6CE6F0AF335}"/>
    <cellStyle name="Currency 3 2 2 3 2 2 2 5" xfId="15630" xr:uid="{C4BB3EA7-0713-42BC-9B3D-6E2CB8D8420D}"/>
    <cellStyle name="Currency 3 2 2 3 2 2 3" xfId="28276" xr:uid="{AC3CC9B8-69ED-44BF-88DF-DD10A49CF861}"/>
    <cellStyle name="Currency 3 2 2 3 2 2 4" xfId="19847" xr:uid="{4E61A67C-EEB7-46BC-BDEE-5E3EF4157460}"/>
    <cellStyle name="Currency 3 2 2 3 2 2 5" xfId="36705" xr:uid="{7602E607-95E9-45D4-9B7F-95E41D1D7CC6}"/>
    <cellStyle name="Currency 3 2 2 3 2 2 6" xfId="11412" xr:uid="{CA45F8C0-BB73-4AE2-88AE-E4CCDCCA2551}"/>
    <cellStyle name="Currency 3 2 2 3 2 3" xfId="5050" xr:uid="{00000000-0005-0000-0000-0000D80A0000}"/>
    <cellStyle name="Currency 3 2 2 3 2 3 2" xfId="30349" xr:uid="{40CE218D-0457-453B-A5AD-D6718DB04DD2}"/>
    <cellStyle name="Currency 3 2 2 3 2 3 3" xfId="21920" xr:uid="{54F5D25E-B5AE-4775-9EA2-38F125477788}"/>
    <cellStyle name="Currency 3 2 2 3 2 3 4" xfId="38777" xr:uid="{6440BBA3-9976-44D4-A06A-FB27572EB003}"/>
    <cellStyle name="Currency 3 2 2 3 2 3 5" xfId="13485" xr:uid="{6A24CBB9-4429-4232-B20A-CEDF5BC56953}"/>
    <cellStyle name="Currency 3 2 2 3 2 4" xfId="26131" xr:uid="{843C310B-32E8-4938-9813-68314B6DBD38}"/>
    <cellStyle name="Currency 3 2 2 3 2 5" xfId="17702" xr:uid="{14F85FAF-9AD5-40CA-AFA0-BCE58DF9BDF9}"/>
    <cellStyle name="Currency 3 2 2 3 2 6" xfId="34560" xr:uid="{9D4D047C-9F82-4592-8E22-4E0B3DF80AD9}"/>
    <cellStyle name="Currency 3 2 2 3 2 7" xfId="9267" xr:uid="{23AF868B-352F-46A5-B8A0-81CABAC8ADEA}"/>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32907" xr:uid="{683336A5-C282-4502-8BEE-F8EE2319C055}"/>
    <cellStyle name="Currency 3 2 2 3 3 2 2 3" xfId="24478" xr:uid="{B2D4855E-42EE-49DC-95F2-0C26DBD9203C}"/>
    <cellStyle name="Currency 3 2 2 3 3 2 2 4" xfId="41335" xr:uid="{6CBD588A-8F5B-4C5A-8440-4DB8B83DDD78}"/>
    <cellStyle name="Currency 3 2 2 3 3 2 2 5" xfId="16043" xr:uid="{EEEE078D-1A6C-4AF2-921E-419B28B0A0B1}"/>
    <cellStyle name="Currency 3 2 2 3 3 2 3" xfId="28689" xr:uid="{759621E8-4CAA-4AFB-866F-EA372BA39FFC}"/>
    <cellStyle name="Currency 3 2 2 3 3 2 4" xfId="20260" xr:uid="{257AEDCB-FDAC-4FD8-869C-2AEC2EFC748B}"/>
    <cellStyle name="Currency 3 2 2 3 3 2 5" xfId="37118" xr:uid="{E31D4A25-5CAD-443D-8E3C-EEA95FB94EC4}"/>
    <cellStyle name="Currency 3 2 2 3 3 2 6" xfId="11825" xr:uid="{122EE65D-265A-46AD-A563-FE87BAD5E86C}"/>
    <cellStyle name="Currency 3 2 2 3 3 3" xfId="5463" xr:uid="{00000000-0005-0000-0000-0000DC0A0000}"/>
    <cellStyle name="Currency 3 2 2 3 3 3 2" xfId="30762" xr:uid="{A78866C8-64A9-4D7E-88C9-B11E367D18CA}"/>
    <cellStyle name="Currency 3 2 2 3 3 3 3" xfId="22333" xr:uid="{31CF4777-C9B3-4A49-A63E-6E9A2AF0630D}"/>
    <cellStyle name="Currency 3 2 2 3 3 3 4" xfId="39190" xr:uid="{48C2DC67-3070-4822-856D-813387A8E8F7}"/>
    <cellStyle name="Currency 3 2 2 3 3 3 5" xfId="13898" xr:uid="{0EFF7B54-D81A-4A8A-81A9-C8FA4DED3403}"/>
    <cellStyle name="Currency 3 2 2 3 3 4" xfId="26544" xr:uid="{F4F8704A-447F-4860-80E6-0C3DB37A8EE8}"/>
    <cellStyle name="Currency 3 2 2 3 3 5" xfId="18115" xr:uid="{7D1A83AA-4160-418E-BDB5-4C76945AD288}"/>
    <cellStyle name="Currency 3 2 2 3 3 6" xfId="34973" xr:uid="{F754B3AF-86E4-497D-9EC4-7ACE226A3EEB}"/>
    <cellStyle name="Currency 3 2 2 3 3 7" xfId="9680" xr:uid="{BFBE8C07-BFE8-4FB7-8D43-CD867E75C166}"/>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33320" xr:uid="{02FB3BB0-A12C-44B8-8F8F-0B6AF2943F41}"/>
    <cellStyle name="Currency 3 2 2 3 4 2 2 3" xfId="24891" xr:uid="{0A268210-0207-4106-A61D-F7792A2E6FD0}"/>
    <cellStyle name="Currency 3 2 2 3 4 2 2 4" xfId="41748" xr:uid="{0DC4B078-14BF-42D9-8A67-6CD6D63E5689}"/>
    <cellStyle name="Currency 3 2 2 3 4 2 2 5" xfId="16456" xr:uid="{78974AC3-75B6-4307-81C6-31D935F9CC8E}"/>
    <cellStyle name="Currency 3 2 2 3 4 2 3" xfId="29102" xr:uid="{D5739162-49A5-4144-8248-F7ABE81DC9B7}"/>
    <cellStyle name="Currency 3 2 2 3 4 2 4" xfId="20673" xr:uid="{58C4C1AF-0497-4EAF-A4D8-032A7392EBD2}"/>
    <cellStyle name="Currency 3 2 2 3 4 2 5" xfId="37531" xr:uid="{0EF6B48E-4AF0-4E71-B411-5F9029368AA8}"/>
    <cellStyle name="Currency 3 2 2 3 4 2 6" xfId="12238" xr:uid="{0C4BE72F-15DC-44EF-8DFB-910B3EC2A351}"/>
    <cellStyle name="Currency 3 2 2 3 4 3" xfId="5876" xr:uid="{00000000-0005-0000-0000-0000E00A0000}"/>
    <cellStyle name="Currency 3 2 2 3 4 3 2" xfId="31175" xr:uid="{C2769B93-FFA9-465F-9252-825966BAFDE7}"/>
    <cellStyle name="Currency 3 2 2 3 4 3 3" xfId="22746" xr:uid="{44B99E65-D37A-4ABD-A928-EEC851A0045F}"/>
    <cellStyle name="Currency 3 2 2 3 4 3 4" xfId="39603" xr:uid="{6E5DCCAA-5981-4C08-823A-525D01CF7BDB}"/>
    <cellStyle name="Currency 3 2 2 3 4 3 5" xfId="14311" xr:uid="{72455B18-2664-4EA7-81E3-7BF89B8B54C8}"/>
    <cellStyle name="Currency 3 2 2 3 4 4" xfId="26957" xr:uid="{7B0ADD18-6248-4BF8-937C-976DEAF5DD97}"/>
    <cellStyle name="Currency 3 2 2 3 4 5" xfId="18528" xr:uid="{9C66B6E4-2081-4E7C-916E-4B546E390A14}"/>
    <cellStyle name="Currency 3 2 2 3 4 6" xfId="35386" xr:uid="{24E0230E-DA27-4CC9-B771-A669D99046E2}"/>
    <cellStyle name="Currency 3 2 2 3 4 7" xfId="10093" xr:uid="{38A677B4-05CB-4401-AD83-ABFB87B2B4BF}"/>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33733" xr:uid="{381FE5CF-22DC-4A40-822E-940BA696CE2F}"/>
    <cellStyle name="Currency 3 2 2 3 5 2 2 3" xfId="25304" xr:uid="{444A5C07-1E83-4E00-B904-51AE7A87FDB9}"/>
    <cellStyle name="Currency 3 2 2 3 5 2 2 4" xfId="42161" xr:uid="{71FD1E03-34D0-40FF-AB22-0B42D491D16D}"/>
    <cellStyle name="Currency 3 2 2 3 5 2 2 5" xfId="16869" xr:uid="{578AD5EC-6195-41CD-AD82-1086DE567815}"/>
    <cellStyle name="Currency 3 2 2 3 5 2 3" xfId="29515" xr:uid="{3FC75BFB-D2C7-4825-BBD5-720F55F89CE0}"/>
    <cellStyle name="Currency 3 2 2 3 5 2 4" xfId="21086" xr:uid="{A4E321D6-F3F6-4A80-BC98-29EF3D860B66}"/>
    <cellStyle name="Currency 3 2 2 3 5 2 5" xfId="37944" xr:uid="{9EC50D83-7F73-4986-A339-E673FA9AA82B}"/>
    <cellStyle name="Currency 3 2 2 3 5 2 6" xfId="12651" xr:uid="{CA880E43-9A18-4B1D-897E-4B2DB1A09DF2}"/>
    <cellStyle name="Currency 3 2 2 3 5 3" xfId="6289" xr:uid="{00000000-0005-0000-0000-0000E40A0000}"/>
    <cellStyle name="Currency 3 2 2 3 5 3 2" xfId="31588" xr:uid="{0B150248-3227-438C-BF15-74F38D915094}"/>
    <cellStyle name="Currency 3 2 2 3 5 3 3" xfId="23159" xr:uid="{DC0BE6FD-9C16-4A6A-85C0-2DCD4031D85D}"/>
    <cellStyle name="Currency 3 2 2 3 5 3 4" xfId="40016" xr:uid="{E3F692C6-794E-4D48-9121-DB5DBC0752F4}"/>
    <cellStyle name="Currency 3 2 2 3 5 3 5" xfId="14724" xr:uid="{37206A83-B586-4BEE-9021-14431DF6E934}"/>
    <cellStyle name="Currency 3 2 2 3 5 4" xfId="27370" xr:uid="{B13B1D6F-2F9B-4B77-9A26-A27062731953}"/>
    <cellStyle name="Currency 3 2 2 3 5 5" xfId="18941" xr:uid="{B59175A8-BEB1-42C4-851C-D8BF6A336E64}"/>
    <cellStyle name="Currency 3 2 2 3 5 6" xfId="35799" xr:uid="{98A9AAD5-A672-49D2-A06B-42E9EBB16926}"/>
    <cellStyle name="Currency 3 2 2 3 5 7" xfId="10506" xr:uid="{31173322-18B8-40DD-BF17-5F752D2FDA19}"/>
    <cellStyle name="Currency 3 2 2 3 6" xfId="2417" xr:uid="{00000000-0005-0000-0000-0000E50A0000}"/>
    <cellStyle name="Currency 3 2 2 3 6 2" xfId="6702" xr:uid="{00000000-0005-0000-0000-0000E60A0000}"/>
    <cellStyle name="Currency 3 2 2 3 6 2 2" xfId="32001" xr:uid="{22D60787-7734-4BC0-9C48-C0CA2AF42281}"/>
    <cellStyle name="Currency 3 2 2 3 6 2 3" xfId="23572" xr:uid="{9BD6F944-0185-4558-AC6B-9C240DDD44A5}"/>
    <cellStyle name="Currency 3 2 2 3 6 2 4" xfId="40429" xr:uid="{98F1A955-602D-4023-92E4-7C559AE047AA}"/>
    <cellStyle name="Currency 3 2 2 3 6 2 5" xfId="15137" xr:uid="{4A3B2F70-1D8D-4595-AFAA-0FADB3740DD9}"/>
    <cellStyle name="Currency 3 2 2 3 6 3" xfId="27783" xr:uid="{9255A285-4EAA-4CDA-AE03-79B8393B22A9}"/>
    <cellStyle name="Currency 3 2 2 3 6 4" xfId="19354" xr:uid="{E9E9C5E5-1A89-4190-A982-54077634C426}"/>
    <cellStyle name="Currency 3 2 2 3 6 5" xfId="36212" xr:uid="{00954C0C-8CE5-4B6D-9973-A25E802E9C00}"/>
    <cellStyle name="Currency 3 2 2 3 6 6" xfId="10919" xr:uid="{F1C3B991-5E3D-43B8-B5C7-74F4976DACE0}"/>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32318" xr:uid="{6E802F77-D919-4FB6-9402-90793034BD03}"/>
    <cellStyle name="Currency 3 2 2 3 8 2 3" xfId="23889" xr:uid="{6A2AEE9B-F0C6-41F1-B001-1A68E70F59F4}"/>
    <cellStyle name="Currency 3 2 2 3 8 2 4" xfId="40746" xr:uid="{B8C108A6-4FC1-4749-A306-440B25BC5C16}"/>
    <cellStyle name="Currency 3 2 2 3 8 2 5" xfId="15454" xr:uid="{DBDCB719-D027-4375-BD9D-7C3E33679CBD}"/>
    <cellStyle name="Currency 3 2 2 3 8 3" xfId="28100" xr:uid="{30F1047B-1BD6-43E3-A895-62F54BDA762E}"/>
    <cellStyle name="Currency 3 2 2 3 8 4" xfId="19671" xr:uid="{E60322F9-C94B-43FF-A6C7-19754082D233}"/>
    <cellStyle name="Currency 3 2 2 3 8 5" xfId="36529" xr:uid="{7B0A8770-FD28-40A2-9632-7FC7B18590BC}"/>
    <cellStyle name="Currency 3 2 2 3 8 6" xfId="11236" xr:uid="{03D842E2-4E82-4A55-A2DF-2153686CAE21}"/>
    <cellStyle name="Currency 3 2 2 3 9" xfId="4636" xr:uid="{00000000-0005-0000-0000-0000EA0A0000}"/>
    <cellStyle name="Currency 3 2 2 3 9 2" xfId="29935" xr:uid="{2361B43B-3EB8-4F4F-8A2F-DBADBC4EFD84}"/>
    <cellStyle name="Currency 3 2 2 3 9 3" xfId="21506" xr:uid="{1CAECE97-41BB-489D-94CF-D7A173A20B66}"/>
    <cellStyle name="Currency 3 2 2 3 9 4" xfId="38363" xr:uid="{AAB9B578-7EF1-4F6C-9C58-B47BF4CD8A2F}"/>
    <cellStyle name="Currency 3 2 2 3 9 5" xfId="13071" xr:uid="{1469CDFD-D494-4710-88A4-B461DEC928CA}"/>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32491" xr:uid="{CA09B208-F3B3-4C57-B9F3-2236D0E40E33}"/>
    <cellStyle name="Currency 3 2 2 4 2 2 3" xfId="24062" xr:uid="{4008BAF5-E90D-42D1-835B-E1A23C39F228}"/>
    <cellStyle name="Currency 3 2 2 4 2 2 4" xfId="40919" xr:uid="{5C2032D3-D08A-4F56-89D1-C0917D517AD0}"/>
    <cellStyle name="Currency 3 2 2 4 2 2 5" xfId="15627" xr:uid="{B986485B-AD58-4E0E-B118-079E7662D3E7}"/>
    <cellStyle name="Currency 3 2 2 4 2 3" xfId="28273" xr:uid="{6827DCA6-9F42-4521-8AFE-412D125BA7F8}"/>
    <cellStyle name="Currency 3 2 2 4 2 4" xfId="19844" xr:uid="{D7BADB65-27E4-4BC6-B532-5A932D9CCE0E}"/>
    <cellStyle name="Currency 3 2 2 4 2 5" xfId="36702" xr:uid="{775CAC13-0F3C-42A1-B098-8305871043FA}"/>
    <cellStyle name="Currency 3 2 2 4 2 6" xfId="11409" xr:uid="{4774C645-EF27-48D6-BAF6-7B9EAB31E6A3}"/>
    <cellStyle name="Currency 3 2 2 4 3" xfId="5047" xr:uid="{00000000-0005-0000-0000-0000EE0A0000}"/>
    <cellStyle name="Currency 3 2 2 4 3 2" xfId="30346" xr:uid="{0DAE0492-7D77-42B8-8BA9-FB2EB1EFC3AF}"/>
    <cellStyle name="Currency 3 2 2 4 3 3" xfId="21917" xr:uid="{1E34185C-0066-4E95-905E-5A90AB6F7F57}"/>
    <cellStyle name="Currency 3 2 2 4 3 4" xfId="38774" xr:uid="{51BF563D-826F-46FD-AEBB-A87D158F184D}"/>
    <cellStyle name="Currency 3 2 2 4 3 5" xfId="13482" xr:uid="{4A8E2C31-D9A4-4EA2-9E5E-C69E2E23B9DC}"/>
    <cellStyle name="Currency 3 2 2 4 4" xfId="26128" xr:uid="{4014EE57-E891-49BB-B58F-C5F113B2CFD1}"/>
    <cellStyle name="Currency 3 2 2 4 5" xfId="17699" xr:uid="{005FC82A-3873-49CD-A2C0-5693F34AD3A1}"/>
    <cellStyle name="Currency 3 2 2 4 6" xfId="34557" xr:uid="{8338C6B2-46F3-4EC7-BD0C-909BE9C0B8D7}"/>
    <cellStyle name="Currency 3 2 2 4 7" xfId="9264" xr:uid="{443C8755-D0DA-4D1B-AE0E-6AB130B7140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32904" xr:uid="{716FF528-BEB2-46C9-8537-1BEE3A2FB8BD}"/>
    <cellStyle name="Currency 3 2 2 5 2 2 3" xfId="24475" xr:uid="{8C4CFDA4-BA5D-4514-AF77-DFBC096632A1}"/>
    <cellStyle name="Currency 3 2 2 5 2 2 4" xfId="41332" xr:uid="{C6270689-F36D-4EBD-8D0F-5F91C57095FF}"/>
    <cellStyle name="Currency 3 2 2 5 2 2 5" xfId="16040" xr:uid="{9C74CDE9-8DBD-4BCE-B29A-FFBD73C9E2CD}"/>
    <cellStyle name="Currency 3 2 2 5 2 3" xfId="28686" xr:uid="{0209A64F-5363-4512-8439-164198BA53F1}"/>
    <cellStyle name="Currency 3 2 2 5 2 4" xfId="20257" xr:uid="{785BC68E-C8AF-4A25-80EE-E2219B20C62A}"/>
    <cellStyle name="Currency 3 2 2 5 2 5" xfId="37115" xr:uid="{3FCB2AA9-8B87-4544-9C33-2C4784750956}"/>
    <cellStyle name="Currency 3 2 2 5 2 6" xfId="11822" xr:uid="{BD4A57F5-6753-4534-B7AF-B02F93C7C8EC}"/>
    <cellStyle name="Currency 3 2 2 5 3" xfId="5460" xr:uid="{00000000-0005-0000-0000-0000F20A0000}"/>
    <cellStyle name="Currency 3 2 2 5 3 2" xfId="30759" xr:uid="{537B5CF9-5026-477A-A87E-6C2B994DD43B}"/>
    <cellStyle name="Currency 3 2 2 5 3 3" xfId="22330" xr:uid="{77B3B727-4D18-4782-A300-7D140627762D}"/>
    <cellStyle name="Currency 3 2 2 5 3 4" xfId="39187" xr:uid="{02D740D2-0439-4451-B32F-177656A0BC31}"/>
    <cellStyle name="Currency 3 2 2 5 3 5" xfId="13895" xr:uid="{DFDA7B15-6238-4646-86A8-3FB41CA08F33}"/>
    <cellStyle name="Currency 3 2 2 5 4" xfId="26541" xr:uid="{49DE28AE-3D3E-4CD8-9753-2AD8D64FFAF2}"/>
    <cellStyle name="Currency 3 2 2 5 5" xfId="18112" xr:uid="{C64F782E-6F90-4989-893A-0EDFA4410D24}"/>
    <cellStyle name="Currency 3 2 2 5 6" xfId="34970" xr:uid="{DF5AAAB3-00B9-497A-B623-569EB8564A28}"/>
    <cellStyle name="Currency 3 2 2 5 7" xfId="9677" xr:uid="{9F01B3D2-8013-4B0B-A738-F3D04B97495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33317" xr:uid="{1946048A-A905-4ED1-A7FA-410C1BADF16A}"/>
    <cellStyle name="Currency 3 2 2 6 2 2 3" xfId="24888" xr:uid="{7AAE547E-3A6C-417A-BC3D-F4987B1E7990}"/>
    <cellStyle name="Currency 3 2 2 6 2 2 4" xfId="41745" xr:uid="{3886EAD5-6496-4A6A-A278-F01F516FF67E}"/>
    <cellStyle name="Currency 3 2 2 6 2 2 5" xfId="16453" xr:uid="{A810F723-04FF-4F4C-8255-FCF4086BD9ED}"/>
    <cellStyle name="Currency 3 2 2 6 2 3" xfId="29099" xr:uid="{18CBDAC7-6CF0-428A-9E2B-874A323891C4}"/>
    <cellStyle name="Currency 3 2 2 6 2 4" xfId="20670" xr:uid="{1F4806B4-0CBB-4A18-8E16-C9B5D1676ABC}"/>
    <cellStyle name="Currency 3 2 2 6 2 5" xfId="37528" xr:uid="{4C3192F9-110A-47E3-869D-B82FBFBEC594}"/>
    <cellStyle name="Currency 3 2 2 6 2 6" xfId="12235" xr:uid="{531D592A-B8E0-4288-94CD-62D568DD787D}"/>
    <cellStyle name="Currency 3 2 2 6 3" xfId="5873" xr:uid="{00000000-0005-0000-0000-0000F60A0000}"/>
    <cellStyle name="Currency 3 2 2 6 3 2" xfId="31172" xr:uid="{36201137-09D7-4DF4-A03C-E17B8F1A64F5}"/>
    <cellStyle name="Currency 3 2 2 6 3 3" xfId="22743" xr:uid="{E4A21591-88FF-424C-84BC-263297B29F99}"/>
    <cellStyle name="Currency 3 2 2 6 3 4" xfId="39600" xr:uid="{CFFFA0A0-8A95-420A-99CF-0022CB5B92B6}"/>
    <cellStyle name="Currency 3 2 2 6 3 5" xfId="14308" xr:uid="{7DD393FC-541A-4649-8AC3-CCADC777D304}"/>
    <cellStyle name="Currency 3 2 2 6 4" xfId="26954" xr:uid="{6C2E6494-0F2F-421C-8B1A-1BE1F289B91A}"/>
    <cellStyle name="Currency 3 2 2 6 5" xfId="18525" xr:uid="{FD5AC572-A9A8-4ABC-A76F-22A1E9DAA203}"/>
    <cellStyle name="Currency 3 2 2 6 6" xfId="35383" xr:uid="{255EFDB4-CD33-41E1-B23C-23971D8969CB}"/>
    <cellStyle name="Currency 3 2 2 6 7" xfId="10090" xr:uid="{9F249D49-A648-40CE-8020-4BEC3D4177F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33730" xr:uid="{62F2B169-6F94-4108-8A18-8400889055FF}"/>
    <cellStyle name="Currency 3 2 2 7 2 2 3" xfId="25301" xr:uid="{1EFE7774-119E-4223-80AA-17780E35A063}"/>
    <cellStyle name="Currency 3 2 2 7 2 2 4" xfId="42158" xr:uid="{B7E33CAA-800F-4D38-81A6-852BC19410AC}"/>
    <cellStyle name="Currency 3 2 2 7 2 2 5" xfId="16866" xr:uid="{80857B86-4CCB-48C8-AD55-5B6047913243}"/>
    <cellStyle name="Currency 3 2 2 7 2 3" xfId="29512" xr:uid="{B7819CE2-B6C8-4557-A1F4-BE0D9AEDFA57}"/>
    <cellStyle name="Currency 3 2 2 7 2 4" xfId="21083" xr:uid="{73D167A7-74F7-43A9-88A7-714E85084074}"/>
    <cellStyle name="Currency 3 2 2 7 2 5" xfId="37941" xr:uid="{1BDCEC04-71E2-489A-A288-2B7EBDE1F596}"/>
    <cellStyle name="Currency 3 2 2 7 2 6" xfId="12648" xr:uid="{E7CBD764-DB8F-4518-B1B4-D10EA8CBA854}"/>
    <cellStyle name="Currency 3 2 2 7 3" xfId="6286" xr:uid="{00000000-0005-0000-0000-0000FA0A0000}"/>
    <cellStyle name="Currency 3 2 2 7 3 2" xfId="31585" xr:uid="{D3122DEB-E3A5-4450-8EBF-AEADC4B5D7C3}"/>
    <cellStyle name="Currency 3 2 2 7 3 3" xfId="23156" xr:uid="{64944A77-80A2-4F28-9ECC-6F5790B6F155}"/>
    <cellStyle name="Currency 3 2 2 7 3 4" xfId="40013" xr:uid="{87EB6150-7DAF-4632-AD15-CCC0F236D4F4}"/>
    <cellStyle name="Currency 3 2 2 7 3 5" xfId="14721" xr:uid="{BEB96577-4224-4EF5-B64F-300431836DB7}"/>
    <cellStyle name="Currency 3 2 2 7 4" xfId="27367" xr:uid="{4BB75A59-8A6B-4043-8C80-119367ADA274}"/>
    <cellStyle name="Currency 3 2 2 7 5" xfId="18938" xr:uid="{F0EDB20B-0D65-4174-BE7A-28451ECFF16C}"/>
    <cellStyle name="Currency 3 2 2 7 6" xfId="35796" xr:uid="{983B507D-3FB4-4CAC-87D8-7F026A66FB8C}"/>
    <cellStyle name="Currency 3 2 2 7 7" xfId="10503" xr:uid="{816EA8F4-F6EE-4BDE-9164-28489FE82BEC}"/>
    <cellStyle name="Currency 3 2 2 8" xfId="2414" xr:uid="{00000000-0005-0000-0000-0000FB0A0000}"/>
    <cellStyle name="Currency 3 2 2 8 2" xfId="6699" xr:uid="{00000000-0005-0000-0000-0000FC0A0000}"/>
    <cellStyle name="Currency 3 2 2 8 2 2" xfId="31998" xr:uid="{02F62527-7812-469D-A060-170F0DA0595B}"/>
    <cellStyle name="Currency 3 2 2 8 2 3" xfId="23569" xr:uid="{CC03187F-106C-4763-B9C6-27B51DE16D29}"/>
    <cellStyle name="Currency 3 2 2 8 2 4" xfId="40426" xr:uid="{7DA1C6D9-C0F0-4982-B897-9C259A1A81B6}"/>
    <cellStyle name="Currency 3 2 2 8 2 5" xfId="15134" xr:uid="{5B13F116-A5F8-490B-B3D8-FFC386E413BA}"/>
    <cellStyle name="Currency 3 2 2 8 3" xfId="27780" xr:uid="{29E6498E-C53E-4D3F-B656-4B5FD6851BFA}"/>
    <cellStyle name="Currency 3 2 2 8 4" xfId="19351" xr:uid="{7F4D29A3-3A5B-449A-90A9-8EDEC62D9330}"/>
    <cellStyle name="Currency 3 2 2 8 5" xfId="36209" xr:uid="{70D7A4AA-E584-4D05-8ED9-0B866D1A79D9}"/>
    <cellStyle name="Currency 3 2 2 8 6" xfId="10916" xr:uid="{1DCDE934-5E72-405C-946F-736D52E526E0}"/>
    <cellStyle name="Currency 3 2 2 9" xfId="2711" xr:uid="{00000000-0005-0000-0000-0000FD0A0000}"/>
    <cellStyle name="Currency 3 2 3" xfId="182" xr:uid="{00000000-0005-0000-0000-0000FE0A0000}"/>
    <cellStyle name="Currency 3 2 3 10" xfId="4637" xr:uid="{00000000-0005-0000-0000-0000FF0A0000}"/>
    <cellStyle name="Currency 3 2 3 10 2" xfId="29936" xr:uid="{5CC78BBE-3B1A-4B96-8A54-D1068F3043A5}"/>
    <cellStyle name="Currency 3 2 3 10 3" xfId="21507" xr:uid="{3D9A9665-C300-4DF8-932C-AA45EF7EC5F1}"/>
    <cellStyle name="Currency 3 2 3 10 4" xfId="38364" xr:uid="{BF4B182E-7935-403B-8A5B-79515D766D3D}"/>
    <cellStyle name="Currency 3 2 3 10 5" xfId="13072" xr:uid="{1D6FFBFB-02B2-442C-AD62-8E84BAB3FC49}"/>
    <cellStyle name="Currency 3 2 3 11" xfId="25718" xr:uid="{0A1DD75F-6273-4AA6-B69B-38A0F21925B7}"/>
    <cellStyle name="Currency 3 2 3 12" xfId="17289" xr:uid="{E68D1757-A01D-4E06-AE45-0D1FBABF8AEA}"/>
    <cellStyle name="Currency 3 2 3 13" xfId="34147" xr:uid="{AD541F89-5390-429C-A251-064B339A3C5D}"/>
    <cellStyle name="Currency 3 2 3 14" xfId="8854" xr:uid="{F699FE60-277F-4E08-AF7F-E83BC7C0BC76}"/>
    <cellStyle name="Currency 3 2 3 2" xfId="183" xr:uid="{00000000-0005-0000-0000-0000000B0000}"/>
    <cellStyle name="Currency 3 2 3 2 10" xfId="25719" xr:uid="{053163D0-3726-4579-806C-A14001439558}"/>
    <cellStyle name="Currency 3 2 3 2 11" xfId="17290" xr:uid="{18A97D8C-B535-4BB3-B835-AC76B7136427}"/>
    <cellStyle name="Currency 3 2 3 2 12" xfId="34148" xr:uid="{B13DCF84-DE4C-4106-B9F7-B89EA346206F}"/>
    <cellStyle name="Currency 3 2 3 2 13" xfId="8855" xr:uid="{BAD303C1-3F5F-4E2A-B854-A154C89305E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32496" xr:uid="{A01B6FFD-7BBE-4226-9E84-9E3203FD4608}"/>
    <cellStyle name="Currency 3 2 3 2 2 2 2 3" xfId="24067" xr:uid="{38CFC45F-9D7D-42A7-9C21-0451978576AF}"/>
    <cellStyle name="Currency 3 2 3 2 2 2 2 4" xfId="40924" xr:uid="{34FA064A-F591-45EE-8696-F9D3C1607DDA}"/>
    <cellStyle name="Currency 3 2 3 2 2 2 2 5" xfId="15632" xr:uid="{6FA99C51-D6BC-4205-B695-A5FC2438EEB5}"/>
    <cellStyle name="Currency 3 2 3 2 2 2 3" xfId="28278" xr:uid="{763EEE86-2C66-45A7-94C2-AD1191EAA70D}"/>
    <cellStyle name="Currency 3 2 3 2 2 2 4" xfId="19849" xr:uid="{0E8C5BB8-D74A-4849-B9A2-F48D04BEB695}"/>
    <cellStyle name="Currency 3 2 3 2 2 2 5" xfId="36707" xr:uid="{53DF78D7-E947-4DE2-A8BF-93D0E114B4D9}"/>
    <cellStyle name="Currency 3 2 3 2 2 2 6" xfId="11414" xr:uid="{396972A6-A4F1-49FA-95F2-7809651AAD03}"/>
    <cellStyle name="Currency 3 2 3 2 2 3" xfId="5052" xr:uid="{00000000-0005-0000-0000-0000040B0000}"/>
    <cellStyle name="Currency 3 2 3 2 2 3 2" xfId="30351" xr:uid="{2B5B975C-7640-4E2D-A00F-AE17DE1C8094}"/>
    <cellStyle name="Currency 3 2 3 2 2 3 3" xfId="21922" xr:uid="{B89216F8-C1A8-44F3-AC00-10347D91B3D4}"/>
    <cellStyle name="Currency 3 2 3 2 2 3 4" xfId="38779" xr:uid="{8B1E7970-7300-4A33-99FB-DA5FF6B6993A}"/>
    <cellStyle name="Currency 3 2 3 2 2 3 5" xfId="13487" xr:uid="{7B36E08C-8B54-431C-A567-85470662084D}"/>
    <cellStyle name="Currency 3 2 3 2 2 4" xfId="26133" xr:uid="{1FF29F3A-3205-4E3E-892C-D56041144FB6}"/>
    <cellStyle name="Currency 3 2 3 2 2 5" xfId="17704" xr:uid="{0D2AEFAF-F338-4AC5-8AB5-07DEC1408E50}"/>
    <cellStyle name="Currency 3 2 3 2 2 6" xfId="34562" xr:uid="{B69CB5C5-86DB-4DC1-AFCA-07A9071E97D4}"/>
    <cellStyle name="Currency 3 2 3 2 2 7" xfId="9269" xr:uid="{66DCF91C-C45B-436B-8DFA-E45CBA45636D}"/>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32909" xr:uid="{91E6A029-7C32-4A59-B1C9-D649477D1412}"/>
    <cellStyle name="Currency 3 2 3 2 3 2 2 3" xfId="24480" xr:uid="{AD17BA00-4426-43B5-A046-56CCD0735C64}"/>
    <cellStyle name="Currency 3 2 3 2 3 2 2 4" xfId="41337" xr:uid="{01A5F156-9D34-4512-86A1-F7F02114CB36}"/>
    <cellStyle name="Currency 3 2 3 2 3 2 2 5" xfId="16045" xr:uid="{F80EFF48-E179-4B1C-8A6E-FD1880A34E84}"/>
    <cellStyle name="Currency 3 2 3 2 3 2 3" xfId="28691" xr:uid="{5E6AED66-D739-45B8-BB7D-4A7280F6BE2D}"/>
    <cellStyle name="Currency 3 2 3 2 3 2 4" xfId="20262" xr:uid="{193B7C87-13D8-4DBD-B918-DE8E7D414729}"/>
    <cellStyle name="Currency 3 2 3 2 3 2 5" xfId="37120" xr:uid="{35F47AE4-A955-4E18-B932-FDBE374BE99D}"/>
    <cellStyle name="Currency 3 2 3 2 3 2 6" xfId="11827" xr:uid="{3C76309E-8952-40EF-B572-CF6E1374B0B8}"/>
    <cellStyle name="Currency 3 2 3 2 3 3" xfId="5465" xr:uid="{00000000-0005-0000-0000-0000080B0000}"/>
    <cellStyle name="Currency 3 2 3 2 3 3 2" xfId="30764" xr:uid="{0BC4BD33-DF90-492C-8067-EC3DA785DA12}"/>
    <cellStyle name="Currency 3 2 3 2 3 3 3" xfId="22335" xr:uid="{C6E2631A-52B0-4EF1-8305-1B79E03DDE2D}"/>
    <cellStyle name="Currency 3 2 3 2 3 3 4" xfId="39192" xr:uid="{95B6BCF7-4C6F-48E8-8860-1CF5C1ABE4A7}"/>
    <cellStyle name="Currency 3 2 3 2 3 3 5" xfId="13900" xr:uid="{9100395C-F286-476B-A673-50A5B745368C}"/>
    <cellStyle name="Currency 3 2 3 2 3 4" xfId="26546" xr:uid="{BE2AB61B-0BD2-436C-99B6-F150AF53C155}"/>
    <cellStyle name="Currency 3 2 3 2 3 5" xfId="18117" xr:uid="{1717A294-B259-45ED-B272-BBEC25496DBD}"/>
    <cellStyle name="Currency 3 2 3 2 3 6" xfId="34975" xr:uid="{508AD88C-C0D2-45C0-9331-CB8FE4E0240F}"/>
    <cellStyle name="Currency 3 2 3 2 3 7" xfId="9682" xr:uid="{37AD73A4-8C54-4D52-BA05-AED24EF25ECA}"/>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33322" xr:uid="{916B9CE9-BCB0-46F0-B4F8-1DE51F0B61B6}"/>
    <cellStyle name="Currency 3 2 3 2 4 2 2 3" xfId="24893" xr:uid="{21551F94-7902-4465-A067-BFFC31E0C7B1}"/>
    <cellStyle name="Currency 3 2 3 2 4 2 2 4" xfId="41750" xr:uid="{1FD8F454-5B87-4D0D-AEA8-C845980447EB}"/>
    <cellStyle name="Currency 3 2 3 2 4 2 2 5" xfId="16458" xr:uid="{92BF8F98-8F44-4C91-B0F2-54D364827A0E}"/>
    <cellStyle name="Currency 3 2 3 2 4 2 3" xfId="29104" xr:uid="{F3788F71-3313-43E8-BC3F-E015A2A01129}"/>
    <cellStyle name="Currency 3 2 3 2 4 2 4" xfId="20675" xr:uid="{938DAC5F-0C38-44B8-946A-4482F7C86326}"/>
    <cellStyle name="Currency 3 2 3 2 4 2 5" xfId="37533" xr:uid="{A890483D-4718-491E-94AA-B11BD58DD6A2}"/>
    <cellStyle name="Currency 3 2 3 2 4 2 6" xfId="12240" xr:uid="{3CC8906E-3033-4A92-8829-64630342841A}"/>
    <cellStyle name="Currency 3 2 3 2 4 3" xfId="5878" xr:uid="{00000000-0005-0000-0000-00000C0B0000}"/>
    <cellStyle name="Currency 3 2 3 2 4 3 2" xfId="31177" xr:uid="{EA47B86A-3501-49C2-B0BF-86D20C7D6176}"/>
    <cellStyle name="Currency 3 2 3 2 4 3 3" xfId="22748" xr:uid="{67DF3429-F4EB-4937-B640-2EFEC4A3C4A3}"/>
    <cellStyle name="Currency 3 2 3 2 4 3 4" xfId="39605" xr:uid="{DE2824A3-5E79-4417-A794-B7B14C92ED99}"/>
    <cellStyle name="Currency 3 2 3 2 4 3 5" xfId="14313" xr:uid="{14EB2227-7F52-413D-AD4B-445CE50C8C5A}"/>
    <cellStyle name="Currency 3 2 3 2 4 4" xfId="26959" xr:uid="{85E191B6-5DE8-49D1-A171-3FD25376CA7E}"/>
    <cellStyle name="Currency 3 2 3 2 4 5" xfId="18530" xr:uid="{971C0473-39C8-4A9B-8538-ED9425D316B8}"/>
    <cellStyle name="Currency 3 2 3 2 4 6" xfId="35388" xr:uid="{45E07340-C4A4-4C05-9103-42EDD57AB991}"/>
    <cellStyle name="Currency 3 2 3 2 4 7" xfId="10095" xr:uid="{7AEE9E7D-ACD5-4D54-8DB4-FD6AC0CF7228}"/>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33735" xr:uid="{0510B396-5157-4AD1-9959-2FBE2DF847E7}"/>
    <cellStyle name="Currency 3 2 3 2 5 2 2 3" xfId="25306" xr:uid="{59EBA0D9-F8A8-4EC7-A213-B1674F58CED3}"/>
    <cellStyle name="Currency 3 2 3 2 5 2 2 4" xfId="42163" xr:uid="{2801FFDC-DFDB-4EBD-A260-9B6CFB345E88}"/>
    <cellStyle name="Currency 3 2 3 2 5 2 2 5" xfId="16871" xr:uid="{DFA33242-B33E-44F9-B838-6B156E2BFF7F}"/>
    <cellStyle name="Currency 3 2 3 2 5 2 3" xfId="29517" xr:uid="{C44E5CDB-00CF-4787-AC35-F0B48CEF28AB}"/>
    <cellStyle name="Currency 3 2 3 2 5 2 4" xfId="21088" xr:uid="{CC58B9A5-398D-4A7C-B7F7-332863C93761}"/>
    <cellStyle name="Currency 3 2 3 2 5 2 5" xfId="37946" xr:uid="{F490EBFB-B9E3-41D9-8284-72860BE0CE91}"/>
    <cellStyle name="Currency 3 2 3 2 5 2 6" xfId="12653" xr:uid="{FF8EFBE6-18EB-46F7-988F-F22E7E43EA7D}"/>
    <cellStyle name="Currency 3 2 3 2 5 3" xfId="6291" xr:uid="{00000000-0005-0000-0000-0000100B0000}"/>
    <cellStyle name="Currency 3 2 3 2 5 3 2" xfId="31590" xr:uid="{C42364C7-D8A1-4225-B128-ACF6D73B89E5}"/>
    <cellStyle name="Currency 3 2 3 2 5 3 3" xfId="23161" xr:uid="{DCF020EF-E5B6-4AAB-8ED8-EC2BB764C973}"/>
    <cellStyle name="Currency 3 2 3 2 5 3 4" xfId="40018" xr:uid="{562C8441-ED5B-4801-B4CC-AA8ABC05D813}"/>
    <cellStyle name="Currency 3 2 3 2 5 3 5" xfId="14726" xr:uid="{7AD64989-9B20-4E1C-A78E-3063B998570E}"/>
    <cellStyle name="Currency 3 2 3 2 5 4" xfId="27372" xr:uid="{4477ED95-F28B-48D1-8C94-7988C91D7E73}"/>
    <cellStyle name="Currency 3 2 3 2 5 5" xfId="18943" xr:uid="{1901F037-166E-4B70-BC1E-FAD6860FF5EF}"/>
    <cellStyle name="Currency 3 2 3 2 5 6" xfId="35801" xr:uid="{F0DED7CC-1C96-4E33-8B88-6C459C4AFB3A}"/>
    <cellStyle name="Currency 3 2 3 2 5 7" xfId="10508" xr:uid="{A46046D2-E74B-4E6D-BB88-4D62039BDB7F}"/>
    <cellStyle name="Currency 3 2 3 2 6" xfId="2419" xr:uid="{00000000-0005-0000-0000-0000110B0000}"/>
    <cellStyle name="Currency 3 2 3 2 6 2" xfId="6704" xr:uid="{00000000-0005-0000-0000-0000120B0000}"/>
    <cellStyle name="Currency 3 2 3 2 6 2 2" xfId="32003" xr:uid="{74E809DC-C1F9-4B63-A33F-F140690A3313}"/>
    <cellStyle name="Currency 3 2 3 2 6 2 3" xfId="23574" xr:uid="{666727C7-CF3D-48EB-8DC5-197656A34F43}"/>
    <cellStyle name="Currency 3 2 3 2 6 2 4" xfId="40431" xr:uid="{27E0837D-DCDF-4F3C-AC07-2DB33789C054}"/>
    <cellStyle name="Currency 3 2 3 2 6 2 5" xfId="15139" xr:uid="{0283884D-E79A-4835-9BEE-3A9A657C101F}"/>
    <cellStyle name="Currency 3 2 3 2 6 3" xfId="27785" xr:uid="{D5798E0B-034A-4DCA-B026-27FEC7839699}"/>
    <cellStyle name="Currency 3 2 3 2 6 4" xfId="19356" xr:uid="{E4E1BCE0-1245-4EC9-BCC4-7FA6F8C7F112}"/>
    <cellStyle name="Currency 3 2 3 2 6 5" xfId="36214" xr:uid="{607C3D07-67D8-43B2-B0A9-C1336C2E5205}"/>
    <cellStyle name="Currency 3 2 3 2 6 6" xfId="10921" xr:uid="{C757B00F-8F36-4B6B-8EE8-24A311B4F0C3}"/>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32320" xr:uid="{54F0D54A-1EBE-4EDB-8E41-9B582EB74A31}"/>
    <cellStyle name="Currency 3 2 3 2 8 2 3" xfId="23891" xr:uid="{8B789334-DA82-4361-B763-9ECD17FFE39A}"/>
    <cellStyle name="Currency 3 2 3 2 8 2 4" xfId="40748" xr:uid="{C046151B-7A8E-4CA4-9EBA-CFED9E431878}"/>
    <cellStyle name="Currency 3 2 3 2 8 2 5" xfId="15456" xr:uid="{17A933F8-A11E-41D4-996E-B6B75DE96D67}"/>
    <cellStyle name="Currency 3 2 3 2 8 3" xfId="28102" xr:uid="{094B2819-64E4-4A83-8965-54076DFC303E}"/>
    <cellStyle name="Currency 3 2 3 2 8 4" xfId="19673" xr:uid="{E40161A2-B323-48E7-A1E1-8E9FF2E0FB72}"/>
    <cellStyle name="Currency 3 2 3 2 8 5" xfId="36531" xr:uid="{1CB313BC-3C54-4C7D-A78B-05807033E89E}"/>
    <cellStyle name="Currency 3 2 3 2 8 6" xfId="11238" xr:uid="{C879E1B0-57DA-46AB-AEA9-2FC99D9D0426}"/>
    <cellStyle name="Currency 3 2 3 2 9" xfId="4638" xr:uid="{00000000-0005-0000-0000-0000160B0000}"/>
    <cellStyle name="Currency 3 2 3 2 9 2" xfId="29937" xr:uid="{2659B93D-6AB5-4B0B-8DC7-AA491BCC41B9}"/>
    <cellStyle name="Currency 3 2 3 2 9 3" xfId="21508" xr:uid="{1E441538-4A97-40F3-BFED-9B57897597F5}"/>
    <cellStyle name="Currency 3 2 3 2 9 4" xfId="38365" xr:uid="{AF376DC1-8B7B-438E-8966-51596A55CD2C}"/>
    <cellStyle name="Currency 3 2 3 2 9 5" xfId="13073" xr:uid="{1CD5A68A-AEF2-4735-9031-12A5B853D751}"/>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32495" xr:uid="{A13CE4A6-1C2D-4F3C-A5C2-FA5986B645EA}"/>
    <cellStyle name="Currency 3 2 3 3 2 2 3" xfId="24066" xr:uid="{E9B152DF-BE38-49D5-A603-2C87DA45871A}"/>
    <cellStyle name="Currency 3 2 3 3 2 2 4" xfId="40923" xr:uid="{834C28DD-7508-44AC-9903-94CE4C77680B}"/>
    <cellStyle name="Currency 3 2 3 3 2 2 5" xfId="15631" xr:uid="{7B7A31A3-50BE-4CD3-9C73-6D586B9BC25E}"/>
    <cellStyle name="Currency 3 2 3 3 2 3" xfId="28277" xr:uid="{5F6D4D1E-0AAD-43A1-8AC3-AABE3A47B3B7}"/>
    <cellStyle name="Currency 3 2 3 3 2 4" xfId="19848" xr:uid="{3BCE4550-32AC-4E88-9D8D-A4593E4A60D5}"/>
    <cellStyle name="Currency 3 2 3 3 2 5" xfId="36706" xr:uid="{92012C0C-366A-4F83-B621-9AB03CECBB1F}"/>
    <cellStyle name="Currency 3 2 3 3 2 6" xfId="11413" xr:uid="{9F94B9F6-B1FB-4169-879B-F43F18508EF4}"/>
    <cellStyle name="Currency 3 2 3 3 3" xfId="5051" xr:uid="{00000000-0005-0000-0000-00001A0B0000}"/>
    <cellStyle name="Currency 3 2 3 3 3 2" xfId="30350" xr:uid="{2D44E478-9123-41DC-AF1A-726DFEACFF5D}"/>
    <cellStyle name="Currency 3 2 3 3 3 3" xfId="21921" xr:uid="{97743F6C-7647-41E3-BA1C-C53F88A9E7CD}"/>
    <cellStyle name="Currency 3 2 3 3 3 4" xfId="38778" xr:uid="{3B81874E-7F05-4976-BADB-1AD4A31B4E74}"/>
    <cellStyle name="Currency 3 2 3 3 3 5" xfId="13486" xr:uid="{E1081C59-36E8-415F-83E5-5F44503F3A75}"/>
    <cellStyle name="Currency 3 2 3 3 4" xfId="26132" xr:uid="{8BBC29A8-C463-4939-9B24-2A0A1948E76F}"/>
    <cellStyle name="Currency 3 2 3 3 5" xfId="17703" xr:uid="{45D534D1-1B24-48AB-BA4A-B48EAA37AE20}"/>
    <cellStyle name="Currency 3 2 3 3 6" xfId="34561" xr:uid="{67F501AD-1061-4530-A097-C9A0863A460C}"/>
    <cellStyle name="Currency 3 2 3 3 7" xfId="9268" xr:uid="{4F12E64A-7E2B-4971-B18C-59BD611A1FE1}"/>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32908" xr:uid="{DF3D0009-443B-4146-AF64-DBE72C4EC57A}"/>
    <cellStyle name="Currency 3 2 3 4 2 2 3" xfId="24479" xr:uid="{3EC07A11-80F5-4D09-9DC9-B51F31D5E955}"/>
    <cellStyle name="Currency 3 2 3 4 2 2 4" xfId="41336" xr:uid="{CD6E7AE6-35BB-4D8E-9800-A2820008DF9D}"/>
    <cellStyle name="Currency 3 2 3 4 2 2 5" xfId="16044" xr:uid="{E4CC7B21-BFD7-43C7-B908-8562A42BA99B}"/>
    <cellStyle name="Currency 3 2 3 4 2 3" xfId="28690" xr:uid="{4A5C2998-96BB-419B-BB97-3207A8C936FC}"/>
    <cellStyle name="Currency 3 2 3 4 2 4" xfId="20261" xr:uid="{06A49838-4941-4C61-B71F-DBC3BED88138}"/>
    <cellStyle name="Currency 3 2 3 4 2 5" xfId="37119" xr:uid="{D38FC030-5C83-43DA-93F9-423596A6D476}"/>
    <cellStyle name="Currency 3 2 3 4 2 6" xfId="11826" xr:uid="{A98CC5E4-2F82-47A5-B430-90E42DB86FC5}"/>
    <cellStyle name="Currency 3 2 3 4 3" xfId="5464" xr:uid="{00000000-0005-0000-0000-00001E0B0000}"/>
    <cellStyle name="Currency 3 2 3 4 3 2" xfId="30763" xr:uid="{9359B269-57F0-4C3F-B67C-A17E47192EE2}"/>
    <cellStyle name="Currency 3 2 3 4 3 3" xfId="22334" xr:uid="{01C6D1BE-E532-4059-BEEC-27EFF7782B6E}"/>
    <cellStyle name="Currency 3 2 3 4 3 4" xfId="39191" xr:uid="{AB9E7D83-096A-4FDD-8440-3CB57C6333B6}"/>
    <cellStyle name="Currency 3 2 3 4 3 5" xfId="13899" xr:uid="{0B5286DF-E26C-44E3-AE46-2AA18FB46AF1}"/>
    <cellStyle name="Currency 3 2 3 4 4" xfId="26545" xr:uid="{BDF69CDF-9C12-4933-BB6D-E26743C416B4}"/>
    <cellStyle name="Currency 3 2 3 4 5" xfId="18116" xr:uid="{2002C57B-6A0E-43C3-BF94-CC45DBA1C341}"/>
    <cellStyle name="Currency 3 2 3 4 6" xfId="34974" xr:uid="{40E2FA1C-B3B7-4F27-A5D4-FBC99F7DDE32}"/>
    <cellStyle name="Currency 3 2 3 4 7" xfId="9681" xr:uid="{60AD5698-F7A9-4939-AD74-AC242D47A56C}"/>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33321" xr:uid="{8DF4A69F-821F-402C-A96F-D9226D31F59A}"/>
    <cellStyle name="Currency 3 2 3 5 2 2 3" xfId="24892" xr:uid="{C9342D34-10AA-4A0B-B667-BD414E0AA1FB}"/>
    <cellStyle name="Currency 3 2 3 5 2 2 4" xfId="41749" xr:uid="{41F92B4D-6EFE-4825-9FB2-334941E0EBF2}"/>
    <cellStyle name="Currency 3 2 3 5 2 2 5" xfId="16457" xr:uid="{AAA864E5-E2AC-4ED0-9866-EE2AD6245D31}"/>
    <cellStyle name="Currency 3 2 3 5 2 3" xfId="29103" xr:uid="{96D7B8BE-4C2B-4C22-9EB3-4F8659E82517}"/>
    <cellStyle name="Currency 3 2 3 5 2 4" xfId="20674" xr:uid="{F3D2801E-389F-4E23-9510-317E080DB729}"/>
    <cellStyle name="Currency 3 2 3 5 2 5" xfId="37532" xr:uid="{18C87CC7-A03A-406E-A7F9-C164F0E57EBE}"/>
    <cellStyle name="Currency 3 2 3 5 2 6" xfId="12239" xr:uid="{9C4071F9-4183-451D-AADE-54268A0253D1}"/>
    <cellStyle name="Currency 3 2 3 5 3" xfId="5877" xr:uid="{00000000-0005-0000-0000-0000220B0000}"/>
    <cellStyle name="Currency 3 2 3 5 3 2" xfId="31176" xr:uid="{5319B8D0-3485-4CE0-9843-6726EA8A622C}"/>
    <cellStyle name="Currency 3 2 3 5 3 3" xfId="22747" xr:uid="{C35234C0-17C4-4A1C-A69A-B4CD1BFF9402}"/>
    <cellStyle name="Currency 3 2 3 5 3 4" xfId="39604" xr:uid="{D37988F1-952D-42E1-845F-B69CE1651459}"/>
    <cellStyle name="Currency 3 2 3 5 3 5" xfId="14312" xr:uid="{7F8687AC-B3C9-4CF4-881C-9CE5D265ED30}"/>
    <cellStyle name="Currency 3 2 3 5 4" xfId="26958" xr:uid="{FFA96CE4-8E7D-4910-8835-ED21ABCEA4D2}"/>
    <cellStyle name="Currency 3 2 3 5 5" xfId="18529" xr:uid="{0B748718-8EDF-4D03-A8C8-5A53F394ECCD}"/>
    <cellStyle name="Currency 3 2 3 5 6" xfId="35387" xr:uid="{462BBFAD-A17F-4B7C-9D64-D1DAEC023F98}"/>
    <cellStyle name="Currency 3 2 3 5 7" xfId="10094" xr:uid="{7E4BFDCB-973B-45E8-A34F-1DA7B87D4197}"/>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33734" xr:uid="{B412F9D4-FA88-43A0-8496-78273DBF166B}"/>
    <cellStyle name="Currency 3 2 3 6 2 2 3" xfId="25305" xr:uid="{F0C90C9B-0ACA-453B-8130-331E950497C6}"/>
    <cellStyle name="Currency 3 2 3 6 2 2 4" xfId="42162" xr:uid="{9935DCFB-FE65-4295-9BF5-7AE7A6993A90}"/>
    <cellStyle name="Currency 3 2 3 6 2 2 5" xfId="16870" xr:uid="{4DF0AE70-D203-4EBB-95EB-989D1862E48A}"/>
    <cellStyle name="Currency 3 2 3 6 2 3" xfId="29516" xr:uid="{03524204-F353-49B0-BEEE-0D420BCD7257}"/>
    <cellStyle name="Currency 3 2 3 6 2 4" xfId="21087" xr:uid="{BB6FF743-2395-45D8-BDD1-AA64F31EFE63}"/>
    <cellStyle name="Currency 3 2 3 6 2 5" xfId="37945" xr:uid="{5AD4149D-F1B0-4A75-8BB9-CAD7FD4FC024}"/>
    <cellStyle name="Currency 3 2 3 6 2 6" xfId="12652" xr:uid="{F3B2FD63-4566-45D6-94F0-84BBD9E6BE86}"/>
    <cellStyle name="Currency 3 2 3 6 3" xfId="6290" xr:uid="{00000000-0005-0000-0000-0000260B0000}"/>
    <cellStyle name="Currency 3 2 3 6 3 2" xfId="31589" xr:uid="{50DAB32B-A2E4-454E-9297-41685A505803}"/>
    <cellStyle name="Currency 3 2 3 6 3 3" xfId="23160" xr:uid="{91C6C0EB-4BD4-41FB-80DD-B4FFADEF5EF2}"/>
    <cellStyle name="Currency 3 2 3 6 3 4" xfId="40017" xr:uid="{22594DB2-94F3-48A3-8537-95D7CC9D4A05}"/>
    <cellStyle name="Currency 3 2 3 6 3 5" xfId="14725" xr:uid="{B6D4D7A2-58F4-4F99-8245-903C65592A43}"/>
    <cellStyle name="Currency 3 2 3 6 4" xfId="27371" xr:uid="{72A95D88-08E1-4C99-A404-FA3DBD5B2635}"/>
    <cellStyle name="Currency 3 2 3 6 5" xfId="18942" xr:uid="{C8A2CEEE-2230-441F-A922-C981E8C5115D}"/>
    <cellStyle name="Currency 3 2 3 6 6" xfId="35800" xr:uid="{7D467FAB-62CB-48CF-9845-F9678E7FC266}"/>
    <cellStyle name="Currency 3 2 3 6 7" xfId="10507" xr:uid="{B2E04F9D-D426-41A6-9A92-8CB1064B6048}"/>
    <cellStyle name="Currency 3 2 3 7" xfId="2418" xr:uid="{00000000-0005-0000-0000-0000270B0000}"/>
    <cellStyle name="Currency 3 2 3 7 2" xfId="6703" xr:uid="{00000000-0005-0000-0000-0000280B0000}"/>
    <cellStyle name="Currency 3 2 3 7 2 2" xfId="32002" xr:uid="{C5FEDA05-2280-45F9-9431-84F432C03CC9}"/>
    <cellStyle name="Currency 3 2 3 7 2 3" xfId="23573" xr:uid="{DCFA7BB3-A72D-4568-AAF9-0F627B2AC576}"/>
    <cellStyle name="Currency 3 2 3 7 2 4" xfId="40430" xr:uid="{035C2168-41BE-4E32-9A28-00D2613D5EE2}"/>
    <cellStyle name="Currency 3 2 3 7 2 5" xfId="15138" xr:uid="{6E909838-289A-42A8-99BD-9CEA7B6F2407}"/>
    <cellStyle name="Currency 3 2 3 7 3" xfId="27784" xr:uid="{3C92D501-6B55-42E7-9511-D196E79DD856}"/>
    <cellStyle name="Currency 3 2 3 7 4" xfId="19355" xr:uid="{981B1D47-AEAF-4E5D-914A-7E00348E50E4}"/>
    <cellStyle name="Currency 3 2 3 7 5" xfId="36213" xr:uid="{C637A9A1-6755-404A-A80B-AD2228DBA5A2}"/>
    <cellStyle name="Currency 3 2 3 7 6" xfId="10920" xr:uid="{69D8A1D6-C3AB-4235-B419-E912D64F0D3A}"/>
    <cellStyle name="Currency 3 2 3 8" xfId="2715" xr:uid="{00000000-0005-0000-0000-0000290B0000}"/>
    <cellStyle name="Currency 3 2 3 9" xfId="2796" xr:uid="{00000000-0005-0000-0000-00002A0B0000}"/>
    <cellStyle name="Currency 3 2 3 9 2" xfId="7020" xr:uid="{00000000-0005-0000-0000-00002B0B0000}"/>
    <cellStyle name="Currency 3 2 3 9 2 2" xfId="32319" xr:uid="{E58A0646-EC2E-4431-9B77-32AEDA0B1D79}"/>
    <cellStyle name="Currency 3 2 3 9 2 3" xfId="23890" xr:uid="{2B3F6867-19FF-4DA0-90A8-049497D91E88}"/>
    <cellStyle name="Currency 3 2 3 9 2 4" xfId="40747" xr:uid="{75BBB0A0-1EEE-4FA7-8478-6600BDB20D56}"/>
    <cellStyle name="Currency 3 2 3 9 2 5" xfId="15455" xr:uid="{168B8B60-AA04-4A7D-94F9-A15D25555F4B}"/>
    <cellStyle name="Currency 3 2 3 9 3" xfId="28101" xr:uid="{230ECD85-2627-45B9-B702-0259BBA860F7}"/>
    <cellStyle name="Currency 3 2 3 9 4" xfId="19672" xr:uid="{1BB3358A-DE8C-40D9-8BAC-670E7CD0DF6E}"/>
    <cellStyle name="Currency 3 2 3 9 5" xfId="36530" xr:uid="{DB35C89F-6705-49B0-AE57-C0D726FB668A}"/>
    <cellStyle name="Currency 3 2 3 9 6" xfId="11237" xr:uid="{F0017B39-AC1A-493F-880F-957C8013C51C}"/>
    <cellStyle name="Currency 3 2 4" xfId="184" xr:uid="{00000000-0005-0000-0000-00002C0B0000}"/>
    <cellStyle name="Currency 3 2 4 10" xfId="25720" xr:uid="{8A809685-BD33-484B-9A50-275C36C62424}"/>
    <cellStyle name="Currency 3 2 4 11" xfId="17291" xr:uid="{930A34DC-EADC-42B9-934A-9531862A3FBD}"/>
    <cellStyle name="Currency 3 2 4 12" xfId="34149" xr:uid="{769BBAE6-F0D0-475F-929E-E1D120FED2A1}"/>
    <cellStyle name="Currency 3 2 4 13" xfId="8856" xr:uid="{D58F12FB-1AE2-43F5-8C0D-99578A1C88D1}"/>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32497" xr:uid="{99618646-CDA4-436C-8D10-FDDA223A5083}"/>
    <cellStyle name="Currency 3 2 4 2 2 2 3" xfId="24068" xr:uid="{09710B7E-839C-44AB-B76D-EF1626C33BBB}"/>
    <cellStyle name="Currency 3 2 4 2 2 2 4" xfId="40925" xr:uid="{1ED6E1AD-68C5-4232-89CD-DD7AF15F3789}"/>
    <cellStyle name="Currency 3 2 4 2 2 2 5" xfId="15633" xr:uid="{5A3DC267-85C0-4D93-A871-4F32C717497E}"/>
    <cellStyle name="Currency 3 2 4 2 2 3" xfId="28279" xr:uid="{9EA14C4B-BF1D-4F10-B0A2-AFBDEFE8790E}"/>
    <cellStyle name="Currency 3 2 4 2 2 4" xfId="19850" xr:uid="{6777F410-69F8-4717-BF4B-E8372B241BC5}"/>
    <cellStyle name="Currency 3 2 4 2 2 5" xfId="36708" xr:uid="{CC75EDEA-2996-4BB7-B019-5DE1A68A3169}"/>
    <cellStyle name="Currency 3 2 4 2 2 6" xfId="11415" xr:uid="{3865487A-3470-4492-9329-F14205D792E4}"/>
    <cellStyle name="Currency 3 2 4 2 3" xfId="5053" xr:uid="{00000000-0005-0000-0000-0000300B0000}"/>
    <cellStyle name="Currency 3 2 4 2 3 2" xfId="30352" xr:uid="{CDCF2748-AD1F-4777-B527-824A82689FD3}"/>
    <cellStyle name="Currency 3 2 4 2 3 3" xfId="21923" xr:uid="{AB599415-FE4C-4BC4-BB09-9A1B40799A4F}"/>
    <cellStyle name="Currency 3 2 4 2 3 4" xfId="38780" xr:uid="{411F5CE9-9384-4107-9C34-F5E5941A35BD}"/>
    <cellStyle name="Currency 3 2 4 2 3 5" xfId="13488" xr:uid="{1F59A6AE-7659-42F6-8316-05EDC8F4D628}"/>
    <cellStyle name="Currency 3 2 4 2 4" xfId="26134" xr:uid="{BD588795-8A60-48F1-B08F-5198E18D15E9}"/>
    <cellStyle name="Currency 3 2 4 2 5" xfId="17705" xr:uid="{CD49B2A1-9F5A-4243-B569-CDBAF1EA36DB}"/>
    <cellStyle name="Currency 3 2 4 2 6" xfId="34563" xr:uid="{4D9A0D04-F17D-45C3-97FC-A5258D2F6670}"/>
    <cellStyle name="Currency 3 2 4 2 7" xfId="9270" xr:uid="{D5096552-A650-4C47-9EE4-0B7A9B7BA45E}"/>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32910" xr:uid="{E2E3DEF2-F135-4088-96BF-8EDC99F50F49}"/>
    <cellStyle name="Currency 3 2 4 3 2 2 3" xfId="24481" xr:uid="{9072BB63-7EAF-46E2-A1EB-CD83A29D8765}"/>
    <cellStyle name="Currency 3 2 4 3 2 2 4" xfId="41338" xr:uid="{AA395FB2-EE99-4CE7-B629-43AA548B3325}"/>
    <cellStyle name="Currency 3 2 4 3 2 2 5" xfId="16046" xr:uid="{34F53041-6B24-43FB-BF28-49D0DBF4B232}"/>
    <cellStyle name="Currency 3 2 4 3 2 3" xfId="28692" xr:uid="{F2FEF8BE-51E4-4310-BE30-51FAC024E4F8}"/>
    <cellStyle name="Currency 3 2 4 3 2 4" xfId="20263" xr:uid="{D3F4B0EA-C6A7-4141-A25A-A9ECD6BCBA14}"/>
    <cellStyle name="Currency 3 2 4 3 2 5" xfId="37121" xr:uid="{A5E3B761-EE1F-4991-9674-5C51F3FD8754}"/>
    <cellStyle name="Currency 3 2 4 3 2 6" xfId="11828" xr:uid="{461642A7-E06B-478A-B5A8-6FCF04CDCF9D}"/>
    <cellStyle name="Currency 3 2 4 3 3" xfId="5466" xr:uid="{00000000-0005-0000-0000-0000340B0000}"/>
    <cellStyle name="Currency 3 2 4 3 3 2" xfId="30765" xr:uid="{7FE7AEFD-47C8-4372-AAED-D38501EFCC1A}"/>
    <cellStyle name="Currency 3 2 4 3 3 3" xfId="22336" xr:uid="{751271D6-8B88-41EE-8E4B-55FA0B9655D7}"/>
    <cellStyle name="Currency 3 2 4 3 3 4" xfId="39193" xr:uid="{8838F9EE-099C-4591-B72B-2F9E9FF8A3C9}"/>
    <cellStyle name="Currency 3 2 4 3 3 5" xfId="13901" xr:uid="{BE4DF425-CAF1-4958-BBE6-CEF7CA2591A1}"/>
    <cellStyle name="Currency 3 2 4 3 4" xfId="26547" xr:uid="{CC325E24-9F37-489D-9EED-8C2D303B89EC}"/>
    <cellStyle name="Currency 3 2 4 3 5" xfId="18118" xr:uid="{8BED4CE1-0712-4487-BB41-CE58FA81E750}"/>
    <cellStyle name="Currency 3 2 4 3 6" xfId="34976" xr:uid="{65096480-F896-4BFD-8E75-81DFFF5D6AD6}"/>
    <cellStyle name="Currency 3 2 4 3 7" xfId="9683" xr:uid="{D66CC138-8863-4930-9E8F-AEF02832B3F4}"/>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33323" xr:uid="{39A255FF-F37D-4C81-9019-B3407DC2B3C0}"/>
    <cellStyle name="Currency 3 2 4 4 2 2 3" xfId="24894" xr:uid="{C9D90AB5-8812-43F2-BA5E-247043790A8E}"/>
    <cellStyle name="Currency 3 2 4 4 2 2 4" xfId="41751" xr:uid="{1F124EC3-9F8C-434F-8D73-E49E9011017D}"/>
    <cellStyle name="Currency 3 2 4 4 2 2 5" xfId="16459" xr:uid="{5019FEEF-FA6D-48FE-B7E7-0EADE9B6CEAF}"/>
    <cellStyle name="Currency 3 2 4 4 2 3" xfId="29105" xr:uid="{DE58A7EF-DA01-4876-8393-E97100A1EB30}"/>
    <cellStyle name="Currency 3 2 4 4 2 4" xfId="20676" xr:uid="{734938F0-1294-4E7D-B3F6-C32BC07F0893}"/>
    <cellStyle name="Currency 3 2 4 4 2 5" xfId="37534" xr:uid="{D695A146-5344-457F-8850-2C6A61A2CCA1}"/>
    <cellStyle name="Currency 3 2 4 4 2 6" xfId="12241" xr:uid="{F75E4E03-151B-4116-97BE-1A0C8C1250F2}"/>
    <cellStyle name="Currency 3 2 4 4 3" xfId="5879" xr:uid="{00000000-0005-0000-0000-0000380B0000}"/>
    <cellStyle name="Currency 3 2 4 4 3 2" xfId="31178" xr:uid="{2F200FD7-EBD2-4FF9-BB93-15131130EC0F}"/>
    <cellStyle name="Currency 3 2 4 4 3 3" xfId="22749" xr:uid="{0DCE2621-61BF-4F0C-8E7E-47ABAC45CEE4}"/>
    <cellStyle name="Currency 3 2 4 4 3 4" xfId="39606" xr:uid="{3F59185B-FEF9-4835-BE55-7C27B1ABDA1C}"/>
    <cellStyle name="Currency 3 2 4 4 3 5" xfId="14314" xr:uid="{B6A92857-AE10-4FB0-8E1A-5B0EA9D819A7}"/>
    <cellStyle name="Currency 3 2 4 4 4" xfId="26960" xr:uid="{9C69B4BB-FF33-47A1-9616-A605C4EAA823}"/>
    <cellStyle name="Currency 3 2 4 4 5" xfId="18531" xr:uid="{1579F126-8096-4922-931E-21C2F395B306}"/>
    <cellStyle name="Currency 3 2 4 4 6" xfId="35389" xr:uid="{A716D0CF-A3AC-49F7-A793-8F8E362932EE}"/>
    <cellStyle name="Currency 3 2 4 4 7" xfId="10096" xr:uid="{3572E6FF-2AF7-426F-88DA-403AF468E9ED}"/>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33736" xr:uid="{E8914B12-19A6-41AF-A0C1-ACB5A777B7C9}"/>
    <cellStyle name="Currency 3 2 4 5 2 2 3" xfId="25307" xr:uid="{F4C764E6-C79B-4845-9F78-959D32098489}"/>
    <cellStyle name="Currency 3 2 4 5 2 2 4" xfId="42164" xr:uid="{2C22E07D-9501-47AF-97C8-7C131DE1B299}"/>
    <cellStyle name="Currency 3 2 4 5 2 2 5" xfId="16872" xr:uid="{7CFE2D2C-A8E2-4440-889D-78DDEEC7056C}"/>
    <cellStyle name="Currency 3 2 4 5 2 3" xfId="29518" xr:uid="{0DEB732C-3984-4075-9732-65213BDE2745}"/>
    <cellStyle name="Currency 3 2 4 5 2 4" xfId="21089" xr:uid="{8B1BE36A-04FD-4C83-983F-063EEF02F49A}"/>
    <cellStyle name="Currency 3 2 4 5 2 5" xfId="37947" xr:uid="{46653CAA-7D6A-416B-9E22-9EFC86F9988B}"/>
    <cellStyle name="Currency 3 2 4 5 2 6" xfId="12654" xr:uid="{FD34409C-D0E8-4B76-B272-D9228E79F853}"/>
    <cellStyle name="Currency 3 2 4 5 3" xfId="6292" xr:uid="{00000000-0005-0000-0000-00003C0B0000}"/>
    <cellStyle name="Currency 3 2 4 5 3 2" xfId="31591" xr:uid="{CC34B7CE-3A88-40C1-9D1B-E1DFDBFE8818}"/>
    <cellStyle name="Currency 3 2 4 5 3 3" xfId="23162" xr:uid="{C0188075-B47E-4FD3-84DB-1901F80FAD78}"/>
    <cellStyle name="Currency 3 2 4 5 3 4" xfId="40019" xr:uid="{47E21DE5-F9B4-4C22-AE85-8ECFFC8E70B8}"/>
    <cellStyle name="Currency 3 2 4 5 3 5" xfId="14727" xr:uid="{F2F574D9-816F-4D21-A2EB-224A79A9DDD6}"/>
    <cellStyle name="Currency 3 2 4 5 4" xfId="27373" xr:uid="{7F620019-D626-415D-AAEA-4F965550D58C}"/>
    <cellStyle name="Currency 3 2 4 5 5" xfId="18944" xr:uid="{692C8ABD-430C-4B2A-8CF0-6A38BABB31D9}"/>
    <cellStyle name="Currency 3 2 4 5 6" xfId="35802" xr:uid="{B569CA56-74F0-4BF3-9F58-1829A733CCFF}"/>
    <cellStyle name="Currency 3 2 4 5 7" xfId="10509" xr:uid="{BCBFDFDF-43E8-4D4F-B9F6-0EA5D21A91A5}"/>
    <cellStyle name="Currency 3 2 4 6" xfId="2420" xr:uid="{00000000-0005-0000-0000-00003D0B0000}"/>
    <cellStyle name="Currency 3 2 4 6 2" xfId="6705" xr:uid="{00000000-0005-0000-0000-00003E0B0000}"/>
    <cellStyle name="Currency 3 2 4 6 2 2" xfId="32004" xr:uid="{AF66A033-7F91-44E7-A5E4-D89054EE514B}"/>
    <cellStyle name="Currency 3 2 4 6 2 3" xfId="23575" xr:uid="{1C7196E2-4D9A-4CE9-840A-DA86D4BD47CB}"/>
    <cellStyle name="Currency 3 2 4 6 2 4" xfId="40432" xr:uid="{92702EC1-FA99-45AC-84D5-A07E82C392FF}"/>
    <cellStyle name="Currency 3 2 4 6 2 5" xfId="15140" xr:uid="{9FB26542-08D9-4FA5-B008-4E37532BA6A3}"/>
    <cellStyle name="Currency 3 2 4 6 3" xfId="27786" xr:uid="{4710E45B-39E0-4CD5-A07B-B075246E1CD2}"/>
    <cellStyle name="Currency 3 2 4 6 4" xfId="19357" xr:uid="{F25919C4-147F-4099-AA9F-E9EA679F5DCA}"/>
    <cellStyle name="Currency 3 2 4 6 5" xfId="36215" xr:uid="{B2775421-82C6-487A-802C-22379EC21F41}"/>
    <cellStyle name="Currency 3 2 4 6 6" xfId="10922" xr:uid="{4CF76B62-25D0-4ADE-AEF8-A9F68EE0C90D}"/>
    <cellStyle name="Currency 3 2 4 7" xfId="2717" xr:uid="{00000000-0005-0000-0000-00003F0B0000}"/>
    <cellStyle name="Currency 3 2 4 8" xfId="2798" xr:uid="{00000000-0005-0000-0000-0000400B0000}"/>
    <cellStyle name="Currency 3 2 4 8 2" xfId="7022" xr:uid="{00000000-0005-0000-0000-0000410B0000}"/>
    <cellStyle name="Currency 3 2 4 8 2 2" xfId="32321" xr:uid="{C0D350AC-6643-4198-8739-1FDA1438C042}"/>
    <cellStyle name="Currency 3 2 4 8 2 3" xfId="23892" xr:uid="{49CC409C-24D2-4A13-8D5F-E9C040DF8450}"/>
    <cellStyle name="Currency 3 2 4 8 2 4" xfId="40749" xr:uid="{76BAE247-72E7-4817-A1C8-E7CBD3302E2A}"/>
    <cellStyle name="Currency 3 2 4 8 2 5" xfId="15457" xr:uid="{6515E9BC-0128-4BB9-A8A9-2C3A67C16A0A}"/>
    <cellStyle name="Currency 3 2 4 8 3" xfId="28103" xr:uid="{954EF64B-DD65-41C5-86CC-3FE569C721F3}"/>
    <cellStyle name="Currency 3 2 4 8 4" xfId="19674" xr:uid="{EECBE011-802C-4B6D-8013-DAA2F114CBFA}"/>
    <cellStyle name="Currency 3 2 4 8 5" xfId="36532" xr:uid="{CDEA5FED-EE0C-4F56-BF27-9D34B1525459}"/>
    <cellStyle name="Currency 3 2 4 8 6" xfId="11239" xr:uid="{AEDA2131-EFF8-4C9F-96A8-C622DE96587E}"/>
    <cellStyle name="Currency 3 2 4 9" xfId="4639" xr:uid="{00000000-0005-0000-0000-0000420B0000}"/>
    <cellStyle name="Currency 3 2 4 9 2" xfId="29938" xr:uid="{6B539F7F-DF77-4F43-BBFF-EDA232C56398}"/>
    <cellStyle name="Currency 3 2 4 9 3" xfId="21509" xr:uid="{2549AD55-670B-44A7-8488-9A40A6C599E5}"/>
    <cellStyle name="Currency 3 2 4 9 4" xfId="38366" xr:uid="{F7484EB9-8EBC-41B9-BC6C-6B74A5D65DDA}"/>
    <cellStyle name="Currency 3 2 4 9 5" xfId="13074" xr:uid="{C288F97E-4091-46FB-BE3F-D315C54A37E4}"/>
    <cellStyle name="Currency 3 2 5" xfId="185" xr:uid="{00000000-0005-0000-0000-0000430B0000}"/>
    <cellStyle name="Currency 3 2 5 10" xfId="25721" xr:uid="{FBCF7206-43A4-469A-BAF4-B171A8D5A7C0}"/>
    <cellStyle name="Currency 3 2 5 11" xfId="17292" xr:uid="{E5D04FF1-0167-4BEC-85D8-66DFEDF6D4BA}"/>
    <cellStyle name="Currency 3 2 5 12" xfId="34150" xr:uid="{0A06DD21-726D-428A-B277-C1FA83F95F0F}"/>
    <cellStyle name="Currency 3 2 5 13" xfId="8857" xr:uid="{07B6667C-173C-4E26-BAE4-B78584D92912}"/>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32498" xr:uid="{F75EF6A4-AA26-439E-915A-BDF2A6F9209D}"/>
    <cellStyle name="Currency 3 2 5 2 2 2 3" xfId="24069" xr:uid="{44D1281B-8709-48C2-908C-E2AE90A4E91E}"/>
    <cellStyle name="Currency 3 2 5 2 2 2 4" xfId="40926" xr:uid="{0F2B17A6-D73A-4B59-A65A-EF0AA2B33003}"/>
    <cellStyle name="Currency 3 2 5 2 2 2 5" xfId="15634" xr:uid="{40820167-4174-4843-BF5C-8864BF5DAFAA}"/>
    <cellStyle name="Currency 3 2 5 2 2 3" xfId="28280" xr:uid="{E0A6F002-9BE1-4034-A113-A12700782DD9}"/>
    <cellStyle name="Currency 3 2 5 2 2 4" xfId="19851" xr:uid="{4B9BEB69-8592-4D40-B08D-DC925051D928}"/>
    <cellStyle name="Currency 3 2 5 2 2 5" xfId="36709" xr:uid="{1F7CF4E3-04FA-46C2-BE0E-D109BD393FE0}"/>
    <cellStyle name="Currency 3 2 5 2 2 6" xfId="11416" xr:uid="{FE6E7FEE-B970-48D4-B0F2-A5139DADE13D}"/>
    <cellStyle name="Currency 3 2 5 2 3" xfId="5054" xr:uid="{00000000-0005-0000-0000-0000470B0000}"/>
    <cellStyle name="Currency 3 2 5 2 3 2" xfId="30353" xr:uid="{6DD3AF82-BE91-42E7-A057-9259FB1CE404}"/>
    <cellStyle name="Currency 3 2 5 2 3 3" xfId="21924" xr:uid="{819E86B0-3366-4A37-867D-BEDC7D412251}"/>
    <cellStyle name="Currency 3 2 5 2 3 4" xfId="38781" xr:uid="{6182375E-B421-4E05-86BE-5A3ABF80D4FE}"/>
    <cellStyle name="Currency 3 2 5 2 3 5" xfId="13489" xr:uid="{B93E0C0E-7D64-44C3-A1E5-7C09E3B3DE6F}"/>
    <cellStyle name="Currency 3 2 5 2 4" xfId="26135" xr:uid="{BEC46FD9-ED36-4C72-B412-301DE31FCCF6}"/>
    <cellStyle name="Currency 3 2 5 2 5" xfId="17706" xr:uid="{D18B73D9-D791-4F45-8D59-E467779C2A29}"/>
    <cellStyle name="Currency 3 2 5 2 6" xfId="34564" xr:uid="{A5437226-866D-4E21-9BDD-ED7274D4B7FB}"/>
    <cellStyle name="Currency 3 2 5 2 7" xfId="9271" xr:uid="{A08459F8-65DE-45A9-8577-B35CD288A93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32911" xr:uid="{1BAC0B05-CDF9-48F2-B280-C8BCBBBC938C}"/>
    <cellStyle name="Currency 3 2 5 3 2 2 3" xfId="24482" xr:uid="{E58A7E99-5B9A-4C48-AF3C-1BA9E5E59374}"/>
    <cellStyle name="Currency 3 2 5 3 2 2 4" xfId="41339" xr:uid="{7DD0DDE6-0292-46F9-8021-AA79A0B5C9D6}"/>
    <cellStyle name="Currency 3 2 5 3 2 2 5" xfId="16047" xr:uid="{10D85BC8-ED45-4352-AA76-B97D5590D4DD}"/>
    <cellStyle name="Currency 3 2 5 3 2 3" xfId="28693" xr:uid="{1559ECF9-0BC0-4779-A10C-3C1796621B4D}"/>
    <cellStyle name="Currency 3 2 5 3 2 4" xfId="20264" xr:uid="{50F5B02B-55A0-410E-903F-BD454CF57CED}"/>
    <cellStyle name="Currency 3 2 5 3 2 5" xfId="37122" xr:uid="{2055AE92-BC8B-474A-BEE6-686CB767E06B}"/>
    <cellStyle name="Currency 3 2 5 3 2 6" xfId="11829" xr:uid="{8FBE6F8C-7F93-4422-BD75-C78A99BF2880}"/>
    <cellStyle name="Currency 3 2 5 3 3" xfId="5467" xr:uid="{00000000-0005-0000-0000-00004B0B0000}"/>
    <cellStyle name="Currency 3 2 5 3 3 2" xfId="30766" xr:uid="{2F2B14E0-0567-4DA7-892A-F41FF1E8D651}"/>
    <cellStyle name="Currency 3 2 5 3 3 3" xfId="22337" xr:uid="{11BDE151-ABA3-4952-A27A-0777C5FFEE97}"/>
    <cellStyle name="Currency 3 2 5 3 3 4" xfId="39194" xr:uid="{6633D2A3-E4E4-4E3E-B9F7-E234A67F48E5}"/>
    <cellStyle name="Currency 3 2 5 3 3 5" xfId="13902" xr:uid="{9E5FD7E7-6D29-4587-B7FE-344F08A74669}"/>
    <cellStyle name="Currency 3 2 5 3 4" xfId="26548" xr:uid="{72E4DE35-D94D-4FF1-ACA0-E754250CD607}"/>
    <cellStyle name="Currency 3 2 5 3 5" xfId="18119" xr:uid="{50F3FCB4-C785-407A-8BB2-1B20B4FE9CAD}"/>
    <cellStyle name="Currency 3 2 5 3 6" xfId="34977" xr:uid="{616053A8-43D0-4752-872A-D73BFF070B65}"/>
    <cellStyle name="Currency 3 2 5 3 7" xfId="9684" xr:uid="{8CA9D2E7-CA60-45FE-88C4-096E7DE4A2F7}"/>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33324" xr:uid="{73714435-F1FE-495D-816B-47F31A19DA5A}"/>
    <cellStyle name="Currency 3 2 5 4 2 2 3" xfId="24895" xr:uid="{57D407D0-C603-4AC7-A9A5-18362BC35594}"/>
    <cellStyle name="Currency 3 2 5 4 2 2 4" xfId="41752" xr:uid="{C54F459D-CC26-46B5-8232-FEC19FEA295B}"/>
    <cellStyle name="Currency 3 2 5 4 2 2 5" xfId="16460" xr:uid="{DCD5B770-2D10-4AA7-B859-02A6F1DE3419}"/>
    <cellStyle name="Currency 3 2 5 4 2 3" xfId="29106" xr:uid="{0F461B99-E2C0-4A39-A6BA-1632EA7191BE}"/>
    <cellStyle name="Currency 3 2 5 4 2 4" xfId="20677" xr:uid="{62A647C7-A36D-4E70-9935-81A2B4071723}"/>
    <cellStyle name="Currency 3 2 5 4 2 5" xfId="37535" xr:uid="{DE4C3265-FC63-46AC-89BA-B3D7181BF682}"/>
    <cellStyle name="Currency 3 2 5 4 2 6" xfId="12242" xr:uid="{C2885FD1-C349-41CB-830B-E9AB8A4FC8F5}"/>
    <cellStyle name="Currency 3 2 5 4 3" xfId="5880" xr:uid="{00000000-0005-0000-0000-00004F0B0000}"/>
    <cellStyle name="Currency 3 2 5 4 3 2" xfId="31179" xr:uid="{251E4120-D1F4-4100-BA83-7F86214A2A77}"/>
    <cellStyle name="Currency 3 2 5 4 3 3" xfId="22750" xr:uid="{9AB921E3-3ABC-4A7F-A892-A1E7BB1D2515}"/>
    <cellStyle name="Currency 3 2 5 4 3 4" xfId="39607" xr:uid="{03F29E5C-370A-472D-A2BE-96C1DE0F95FF}"/>
    <cellStyle name="Currency 3 2 5 4 3 5" xfId="14315" xr:uid="{EDFF6DBC-B867-47A4-81CD-37E51D3A10CF}"/>
    <cellStyle name="Currency 3 2 5 4 4" xfId="26961" xr:uid="{BE8EFB69-90E0-4C60-B3CB-9BA22A568279}"/>
    <cellStyle name="Currency 3 2 5 4 5" xfId="18532" xr:uid="{2EB964D0-09DE-4B2E-8E20-55AB8C582363}"/>
    <cellStyle name="Currency 3 2 5 4 6" xfId="35390" xr:uid="{03098D1E-7EB6-4F6F-9AF2-BB111120A0EC}"/>
    <cellStyle name="Currency 3 2 5 4 7" xfId="10097" xr:uid="{5F49D2C2-93D0-4296-A7FD-A7BA780B6623}"/>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33737" xr:uid="{DCCB9D28-150C-467B-9288-C7E77C8BBD9C}"/>
    <cellStyle name="Currency 3 2 5 5 2 2 3" xfId="25308" xr:uid="{37228FFC-E7F4-418B-A34C-52401BD885DC}"/>
    <cellStyle name="Currency 3 2 5 5 2 2 4" xfId="42165" xr:uid="{53C830A4-5252-4048-9026-706E2AB57A3F}"/>
    <cellStyle name="Currency 3 2 5 5 2 2 5" xfId="16873" xr:uid="{5204F8D5-3EF6-41C9-BD38-4A373A1EE638}"/>
    <cellStyle name="Currency 3 2 5 5 2 3" xfId="29519" xr:uid="{9533F5FA-8938-4B1C-A0F2-AA93F170663E}"/>
    <cellStyle name="Currency 3 2 5 5 2 4" xfId="21090" xr:uid="{048521CA-D7BE-438C-8129-053F739C1375}"/>
    <cellStyle name="Currency 3 2 5 5 2 5" xfId="37948" xr:uid="{E8EBFD01-62EB-4D93-9EFF-8E2CDDDA334D}"/>
    <cellStyle name="Currency 3 2 5 5 2 6" xfId="12655" xr:uid="{FAFF4C19-DA97-45E7-8226-144DEF54EEC9}"/>
    <cellStyle name="Currency 3 2 5 5 3" xfId="6293" xr:uid="{00000000-0005-0000-0000-0000530B0000}"/>
    <cellStyle name="Currency 3 2 5 5 3 2" xfId="31592" xr:uid="{095215A9-111D-46FC-9D83-6E072DD031A1}"/>
    <cellStyle name="Currency 3 2 5 5 3 3" xfId="23163" xr:uid="{C2D4DFEB-03EA-44CA-9D94-DF8F1B27D94B}"/>
    <cellStyle name="Currency 3 2 5 5 3 4" xfId="40020" xr:uid="{0D5CF4DA-8B9A-457C-8398-6BCA5B20F3B3}"/>
    <cellStyle name="Currency 3 2 5 5 3 5" xfId="14728" xr:uid="{F5F84B79-F395-445A-8473-5D215D58C07F}"/>
    <cellStyle name="Currency 3 2 5 5 4" xfId="27374" xr:uid="{178CE34C-7D49-4127-AC17-071988EB757F}"/>
    <cellStyle name="Currency 3 2 5 5 5" xfId="18945" xr:uid="{0C15A163-DBC4-4BC2-BBF0-82B5FFEA124B}"/>
    <cellStyle name="Currency 3 2 5 5 6" xfId="35803" xr:uid="{F720E955-0686-49A6-A7D7-A59E0625B9DA}"/>
    <cellStyle name="Currency 3 2 5 5 7" xfId="10510" xr:uid="{7521F11B-F4CF-40F4-ABF1-1129C2B12365}"/>
    <cellStyle name="Currency 3 2 5 6" xfId="2421" xr:uid="{00000000-0005-0000-0000-0000540B0000}"/>
    <cellStyle name="Currency 3 2 5 6 2" xfId="6706" xr:uid="{00000000-0005-0000-0000-0000550B0000}"/>
    <cellStyle name="Currency 3 2 5 6 2 2" xfId="32005" xr:uid="{29098881-7A98-4B5F-BD94-52E1337C94EC}"/>
    <cellStyle name="Currency 3 2 5 6 2 3" xfId="23576" xr:uid="{1423502C-B6CB-4A43-AEAB-5B0907258229}"/>
    <cellStyle name="Currency 3 2 5 6 2 4" xfId="40433" xr:uid="{2FB645BC-C842-41DB-8D5E-D73468C9D16A}"/>
    <cellStyle name="Currency 3 2 5 6 2 5" xfId="15141" xr:uid="{56429A55-EA06-4909-9A59-9248E7687291}"/>
    <cellStyle name="Currency 3 2 5 6 3" xfId="27787" xr:uid="{D7513E76-3240-4B73-B1AD-EF2366978782}"/>
    <cellStyle name="Currency 3 2 5 6 4" xfId="19358" xr:uid="{636EBB3A-43C4-417C-B2D6-F33328CC40BD}"/>
    <cellStyle name="Currency 3 2 5 6 5" xfId="36216" xr:uid="{0C28C685-7859-4869-9F9E-34C3CA0F9253}"/>
    <cellStyle name="Currency 3 2 5 6 6" xfId="10923" xr:uid="{0B3E7A91-0E5C-4A6F-B57C-79FF3D97C103}"/>
    <cellStyle name="Currency 3 2 5 7" xfId="2718" xr:uid="{00000000-0005-0000-0000-0000560B0000}"/>
    <cellStyle name="Currency 3 2 5 8" xfId="2799" xr:uid="{00000000-0005-0000-0000-0000570B0000}"/>
    <cellStyle name="Currency 3 2 5 8 2" xfId="7023" xr:uid="{00000000-0005-0000-0000-0000580B0000}"/>
    <cellStyle name="Currency 3 2 5 8 2 2" xfId="32322" xr:uid="{FB57E133-815C-4EE1-B9D4-80FE169000F8}"/>
    <cellStyle name="Currency 3 2 5 8 2 3" xfId="23893" xr:uid="{6CBC1242-4CFA-4D76-836A-F74EFCC305D2}"/>
    <cellStyle name="Currency 3 2 5 8 2 4" xfId="40750" xr:uid="{F0A10010-85BC-4609-B622-C250516B4D37}"/>
    <cellStyle name="Currency 3 2 5 8 2 5" xfId="15458" xr:uid="{2B8FAA1D-BFD4-4D91-8400-54E4B7F304AA}"/>
    <cellStyle name="Currency 3 2 5 8 3" xfId="28104" xr:uid="{23CC413A-AB4E-4E44-96D2-31F6CB2AEA1F}"/>
    <cellStyle name="Currency 3 2 5 8 4" xfId="19675" xr:uid="{DAA554E8-C97F-41BC-A674-D3730C3F0A54}"/>
    <cellStyle name="Currency 3 2 5 8 5" xfId="36533" xr:uid="{F47B8E9C-0601-442F-A01F-B5E269629C38}"/>
    <cellStyle name="Currency 3 2 5 8 6" xfId="11240" xr:uid="{7BBB34F9-B0C6-49D6-96CE-7B56AC0EF310}"/>
    <cellStyle name="Currency 3 2 5 9" xfId="4640" xr:uid="{00000000-0005-0000-0000-0000590B0000}"/>
    <cellStyle name="Currency 3 2 5 9 2" xfId="29939" xr:uid="{19D36532-A614-4807-8740-7070662D4CEA}"/>
    <cellStyle name="Currency 3 2 5 9 3" xfId="21510" xr:uid="{14C10178-F95D-4E2A-A47C-A345BCD8B861}"/>
    <cellStyle name="Currency 3 2 5 9 4" xfId="38367" xr:uid="{1F71AC3A-73A2-4FA3-8A95-36E335053A30}"/>
    <cellStyle name="Currency 3 2 5 9 5" xfId="13075" xr:uid="{67FFD45C-133D-4085-B269-A3CB959609B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32323" xr:uid="{B114DE68-A6BD-4516-B229-156191969E68}"/>
    <cellStyle name="Currency 5 2 2 2 10 2 3" xfId="23894" xr:uid="{EC798669-0618-4742-B4AD-CCBB1293C96A}"/>
    <cellStyle name="Currency 5 2 2 2 10 2 4" xfId="40751" xr:uid="{98A61B23-6B87-47AE-B3BF-07265F168666}"/>
    <cellStyle name="Currency 5 2 2 2 10 2 5" xfId="15459" xr:uid="{13DE188A-5A49-43C3-A3EB-9CDFB9D1EA6E}"/>
    <cellStyle name="Currency 5 2 2 2 10 3" xfId="28105" xr:uid="{E52C18A8-2879-4615-9BCC-15A115ECA05F}"/>
    <cellStyle name="Currency 5 2 2 2 10 4" xfId="19676" xr:uid="{F45ED554-5B3F-4884-B854-5707528FE4F1}"/>
    <cellStyle name="Currency 5 2 2 2 10 5" xfId="36534" xr:uid="{0B42DD3A-63AA-4AEC-B263-02E0934AFA3E}"/>
    <cellStyle name="Currency 5 2 2 2 10 6" xfId="11241" xr:uid="{5460174B-4CDA-4E00-90F1-73101EA6E791}"/>
    <cellStyle name="Currency 5 2 2 2 11" xfId="4641" xr:uid="{00000000-0005-0000-0000-00006C0B0000}"/>
    <cellStyle name="Currency 5 2 2 2 11 2" xfId="29940" xr:uid="{12AFD0EB-5F0A-4FAE-A343-BD3C92340348}"/>
    <cellStyle name="Currency 5 2 2 2 11 3" xfId="21511" xr:uid="{849849EB-29A1-4257-8A3B-E57F6F9D1844}"/>
    <cellStyle name="Currency 5 2 2 2 11 4" xfId="38368" xr:uid="{DCFCE09F-7ACF-4C08-9C31-7BD2BA6D97A3}"/>
    <cellStyle name="Currency 5 2 2 2 11 5" xfId="13076" xr:uid="{FEE47431-2A8C-4E33-8E5C-FD4B1CCF76C4}"/>
    <cellStyle name="Currency 5 2 2 2 12" xfId="25722" xr:uid="{88C6DB7E-F60D-471D-BF42-41D9804BDADF}"/>
    <cellStyle name="Currency 5 2 2 2 13" xfId="17293" xr:uid="{FBC5C383-7691-468F-AE83-ED4916A95FDF}"/>
    <cellStyle name="Currency 5 2 2 2 14" xfId="34151" xr:uid="{253F60E7-6827-44B4-AE21-E7FF266492C1}"/>
    <cellStyle name="Currency 5 2 2 2 15" xfId="8858" xr:uid="{BAA9D95C-551C-4B13-9AA9-CA722604611A}"/>
    <cellStyle name="Currency 5 2 2 2 2" xfId="197" xr:uid="{00000000-0005-0000-0000-00006D0B0000}"/>
    <cellStyle name="Currency 5 2 2 2 2 10" xfId="4642" xr:uid="{00000000-0005-0000-0000-00006E0B0000}"/>
    <cellStyle name="Currency 5 2 2 2 2 10 2" xfId="29941" xr:uid="{F8C01163-7923-4DED-8E8C-24FC36DBB6FE}"/>
    <cellStyle name="Currency 5 2 2 2 2 10 3" xfId="21512" xr:uid="{CC23253B-B87D-4A8B-8319-F59C30D37F06}"/>
    <cellStyle name="Currency 5 2 2 2 2 10 4" xfId="38369" xr:uid="{3BC3E855-02D2-4C99-929E-FD1F792C7E4E}"/>
    <cellStyle name="Currency 5 2 2 2 2 10 5" xfId="13077" xr:uid="{D75E9CED-0837-4A91-ACE3-E8FAFD4E9C36}"/>
    <cellStyle name="Currency 5 2 2 2 2 11" xfId="25723" xr:uid="{773FD3CA-EEBE-4A13-A033-6AF1A0568F9F}"/>
    <cellStyle name="Currency 5 2 2 2 2 12" xfId="17294" xr:uid="{115823E7-7075-4E35-B94E-B066F21E6A0B}"/>
    <cellStyle name="Currency 5 2 2 2 2 13" xfId="34152" xr:uid="{89F4AE65-A960-4D1F-B65D-22E4BF859D3E}"/>
    <cellStyle name="Currency 5 2 2 2 2 14" xfId="8859" xr:uid="{3EE60B92-703C-4F9A-BC69-1C2341556D09}"/>
    <cellStyle name="Currency 5 2 2 2 2 2" xfId="198" xr:uid="{00000000-0005-0000-0000-00006F0B0000}"/>
    <cellStyle name="Currency 5 2 2 2 2 2 10" xfId="25724" xr:uid="{98B4074D-6469-4D02-BA78-8DAD5E6BC063}"/>
    <cellStyle name="Currency 5 2 2 2 2 2 11" xfId="17295" xr:uid="{DF6747C0-BD6B-4C31-9787-08BA8B158735}"/>
    <cellStyle name="Currency 5 2 2 2 2 2 12" xfId="34153" xr:uid="{EB79D201-C118-4913-9F6F-261BBC849E59}"/>
    <cellStyle name="Currency 5 2 2 2 2 2 13" xfId="8860" xr:uid="{540F5BE0-15B4-41BF-B9E1-36793C4E107C}"/>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32501" xr:uid="{E126AC59-D22E-4C0A-9B75-9A403201A4C5}"/>
    <cellStyle name="Currency 5 2 2 2 2 2 2 2 2 3" xfId="24072" xr:uid="{AD58FFC6-AC37-4D2E-92A4-105AC9A907D7}"/>
    <cellStyle name="Currency 5 2 2 2 2 2 2 2 2 4" xfId="40929" xr:uid="{702B4915-11B6-473A-AB06-E166106520BA}"/>
    <cellStyle name="Currency 5 2 2 2 2 2 2 2 2 5" xfId="15637" xr:uid="{0C443A60-E6FF-4848-B69E-7DA3B4B1C908}"/>
    <cellStyle name="Currency 5 2 2 2 2 2 2 2 3" xfId="28283" xr:uid="{54467451-E76D-419E-B0D7-B0CFD71AB5D4}"/>
    <cellStyle name="Currency 5 2 2 2 2 2 2 2 4" xfId="19854" xr:uid="{DEED969F-69AD-42CD-A86E-C5CCD5AA7CA5}"/>
    <cellStyle name="Currency 5 2 2 2 2 2 2 2 5" xfId="36712" xr:uid="{6FBAC1A4-91D5-4269-A372-642148FD7B31}"/>
    <cellStyle name="Currency 5 2 2 2 2 2 2 2 6" xfId="11419" xr:uid="{4788BD65-4091-4AE1-AE5F-F38E52203065}"/>
    <cellStyle name="Currency 5 2 2 2 2 2 2 3" xfId="5057" xr:uid="{00000000-0005-0000-0000-0000730B0000}"/>
    <cellStyle name="Currency 5 2 2 2 2 2 2 3 2" xfId="30356" xr:uid="{C071E9F5-F19E-455D-81AB-DD4613DC9791}"/>
    <cellStyle name="Currency 5 2 2 2 2 2 2 3 3" xfId="21927" xr:uid="{1BFAD2AD-AC51-4AAE-8996-E84801D6131C}"/>
    <cellStyle name="Currency 5 2 2 2 2 2 2 3 4" xfId="38784" xr:uid="{E83464B6-5400-4922-8D66-8C95980EB8A8}"/>
    <cellStyle name="Currency 5 2 2 2 2 2 2 3 5" xfId="13492" xr:uid="{BDE434E4-BEFD-4B7D-A403-AEDF6A971CDC}"/>
    <cellStyle name="Currency 5 2 2 2 2 2 2 4" xfId="26138" xr:uid="{09A8D888-000F-4BAA-8037-624644E6562F}"/>
    <cellStyle name="Currency 5 2 2 2 2 2 2 5" xfId="17709" xr:uid="{7E6AA384-3B9E-4B8F-B085-7283D3007823}"/>
    <cellStyle name="Currency 5 2 2 2 2 2 2 6" xfId="34567" xr:uid="{BAE0B9D7-1470-4039-890E-D98923E12F36}"/>
    <cellStyle name="Currency 5 2 2 2 2 2 2 7" xfId="9274" xr:uid="{61E1374B-0D9F-4777-B375-B5EED463BBC9}"/>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32914" xr:uid="{BFB02C26-D49E-4AE5-85BB-A6F499CC5F2E}"/>
    <cellStyle name="Currency 5 2 2 2 2 2 3 2 2 3" xfId="24485" xr:uid="{A92EC017-773A-4306-99FE-A07366069DB1}"/>
    <cellStyle name="Currency 5 2 2 2 2 2 3 2 2 4" xfId="41342" xr:uid="{7EE1AB1D-CDA9-4E05-B9DB-D4C370756949}"/>
    <cellStyle name="Currency 5 2 2 2 2 2 3 2 2 5" xfId="16050" xr:uid="{7C082382-69CE-4C69-BDE4-1CDCBA5FA2A5}"/>
    <cellStyle name="Currency 5 2 2 2 2 2 3 2 3" xfId="28696" xr:uid="{64B82B97-9DC0-47D2-93D5-777BC0BB551E}"/>
    <cellStyle name="Currency 5 2 2 2 2 2 3 2 4" xfId="20267" xr:uid="{4F0C0497-37BD-4C38-B640-83F24159CAAE}"/>
    <cellStyle name="Currency 5 2 2 2 2 2 3 2 5" xfId="37125" xr:uid="{42FE4E5E-FC98-494E-80F4-BFB6449454CA}"/>
    <cellStyle name="Currency 5 2 2 2 2 2 3 2 6" xfId="11832" xr:uid="{A7490A5A-7079-4EC0-B0A9-D03E4F81B0F6}"/>
    <cellStyle name="Currency 5 2 2 2 2 2 3 3" xfId="5470" xr:uid="{00000000-0005-0000-0000-0000770B0000}"/>
    <cellStyle name="Currency 5 2 2 2 2 2 3 3 2" xfId="30769" xr:uid="{7E05AFEA-A1F6-442E-B7EF-CC2FFB46FDBC}"/>
    <cellStyle name="Currency 5 2 2 2 2 2 3 3 3" xfId="22340" xr:uid="{EA379422-AB48-4B47-9F2E-205D7B02F1CE}"/>
    <cellStyle name="Currency 5 2 2 2 2 2 3 3 4" xfId="39197" xr:uid="{7F84C25E-49F5-4A7A-8C3E-A69649396198}"/>
    <cellStyle name="Currency 5 2 2 2 2 2 3 3 5" xfId="13905" xr:uid="{333747DC-4ABF-48A9-8FA9-12445345EC49}"/>
    <cellStyle name="Currency 5 2 2 2 2 2 3 4" xfId="26551" xr:uid="{D34114D3-D875-465F-AA11-83EFBC65DDDD}"/>
    <cellStyle name="Currency 5 2 2 2 2 2 3 5" xfId="18122" xr:uid="{645AB7C7-430B-4785-92FB-FA1AC16259E7}"/>
    <cellStyle name="Currency 5 2 2 2 2 2 3 6" xfId="34980" xr:uid="{D1D3CF09-C872-40DD-8835-D40682850EC3}"/>
    <cellStyle name="Currency 5 2 2 2 2 2 3 7" xfId="9687" xr:uid="{742B197F-FC70-4D2C-B9D9-DCB280B06BA3}"/>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33327" xr:uid="{BF10EDFB-A942-4B75-9120-F6D54FE31D69}"/>
    <cellStyle name="Currency 5 2 2 2 2 2 4 2 2 3" xfId="24898" xr:uid="{727466A8-11D7-4C76-8A3C-14B48C325F67}"/>
    <cellStyle name="Currency 5 2 2 2 2 2 4 2 2 4" xfId="41755" xr:uid="{3BD3BAFF-3B47-4975-A2FD-CF7FB47AD2C7}"/>
    <cellStyle name="Currency 5 2 2 2 2 2 4 2 2 5" xfId="16463" xr:uid="{F5DDEDAC-2778-4D2C-8060-C9B6C847D173}"/>
    <cellStyle name="Currency 5 2 2 2 2 2 4 2 3" xfId="29109" xr:uid="{82D8AA5B-B9E1-4D5C-9973-0B51BEAC89D8}"/>
    <cellStyle name="Currency 5 2 2 2 2 2 4 2 4" xfId="20680" xr:uid="{8F750115-35BF-4F03-B35C-90789413C002}"/>
    <cellStyle name="Currency 5 2 2 2 2 2 4 2 5" xfId="37538" xr:uid="{A9F33FA4-6606-4A24-91F8-03CCCED1552E}"/>
    <cellStyle name="Currency 5 2 2 2 2 2 4 2 6" xfId="12245" xr:uid="{C66B4B9F-15DF-4554-9219-CD84A041D728}"/>
    <cellStyle name="Currency 5 2 2 2 2 2 4 3" xfId="5883" xr:uid="{00000000-0005-0000-0000-00007B0B0000}"/>
    <cellStyle name="Currency 5 2 2 2 2 2 4 3 2" xfId="31182" xr:uid="{CE48DCAB-6492-4585-B9E9-1ADCDD9BBDE3}"/>
    <cellStyle name="Currency 5 2 2 2 2 2 4 3 3" xfId="22753" xr:uid="{0B3E68DE-8FF9-4B4A-916C-A0C6A781CFA4}"/>
    <cellStyle name="Currency 5 2 2 2 2 2 4 3 4" xfId="39610" xr:uid="{6D840EC1-1A50-4021-8887-1D5278D879F1}"/>
    <cellStyle name="Currency 5 2 2 2 2 2 4 3 5" xfId="14318" xr:uid="{EFBAC5E7-EDE1-4542-93BE-144D6713412E}"/>
    <cellStyle name="Currency 5 2 2 2 2 2 4 4" xfId="26964" xr:uid="{30FC1C05-61B0-4C12-A469-F83081C6647D}"/>
    <cellStyle name="Currency 5 2 2 2 2 2 4 5" xfId="18535" xr:uid="{095CB7A9-DDD7-4C7C-88A9-6490B2260490}"/>
    <cellStyle name="Currency 5 2 2 2 2 2 4 6" xfId="35393" xr:uid="{E767AC54-5C48-4C05-8505-AEA9160227CA}"/>
    <cellStyle name="Currency 5 2 2 2 2 2 4 7" xfId="10100" xr:uid="{8B4245C0-B904-4D68-87EA-940A8F5B65D7}"/>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33740" xr:uid="{3BE7D6CB-C838-477D-99FB-D29819025B0F}"/>
    <cellStyle name="Currency 5 2 2 2 2 2 5 2 2 3" xfId="25311" xr:uid="{59A3BA3D-8955-4FE3-98CF-CDEE5E916250}"/>
    <cellStyle name="Currency 5 2 2 2 2 2 5 2 2 4" xfId="42168" xr:uid="{F5BAE7D3-55D2-4B25-8BBF-3D59D1E00D2F}"/>
    <cellStyle name="Currency 5 2 2 2 2 2 5 2 2 5" xfId="16876" xr:uid="{E8AEEA2F-AC5E-4699-AA41-9DE066C6FE5E}"/>
    <cellStyle name="Currency 5 2 2 2 2 2 5 2 3" xfId="29522" xr:uid="{619B736B-AB8C-4009-A68A-6D2505B1C62C}"/>
    <cellStyle name="Currency 5 2 2 2 2 2 5 2 4" xfId="21093" xr:uid="{8B5D27FA-70AE-40E5-A49C-153D46F41E93}"/>
    <cellStyle name="Currency 5 2 2 2 2 2 5 2 5" xfId="37951" xr:uid="{C310171A-8DE2-4EF1-A4FE-FEB01B53E4F6}"/>
    <cellStyle name="Currency 5 2 2 2 2 2 5 2 6" xfId="12658" xr:uid="{5ECDAB72-F213-4293-BD22-AF26EDF982A2}"/>
    <cellStyle name="Currency 5 2 2 2 2 2 5 3" xfId="6296" xr:uid="{00000000-0005-0000-0000-00007F0B0000}"/>
    <cellStyle name="Currency 5 2 2 2 2 2 5 3 2" xfId="31595" xr:uid="{A448AA1C-8B3D-493F-9661-1334C8F2B7C1}"/>
    <cellStyle name="Currency 5 2 2 2 2 2 5 3 3" xfId="23166" xr:uid="{5CDAFE69-DBBC-4364-9B2D-590C908D78E1}"/>
    <cellStyle name="Currency 5 2 2 2 2 2 5 3 4" xfId="40023" xr:uid="{60CA516D-1990-4F16-904E-21C45CE615F5}"/>
    <cellStyle name="Currency 5 2 2 2 2 2 5 3 5" xfId="14731" xr:uid="{2F079E22-1037-4BA1-9B88-6966FC250373}"/>
    <cellStyle name="Currency 5 2 2 2 2 2 5 4" xfId="27377" xr:uid="{C32E0BC8-205D-4799-9C0C-7E751AF8C86F}"/>
    <cellStyle name="Currency 5 2 2 2 2 2 5 5" xfId="18948" xr:uid="{6811DAC3-D3B1-42B6-86EE-04E94F52538F}"/>
    <cellStyle name="Currency 5 2 2 2 2 2 5 6" xfId="35806" xr:uid="{9DABBFC2-A71C-4E98-8499-E029054173BE}"/>
    <cellStyle name="Currency 5 2 2 2 2 2 5 7" xfId="10513" xr:uid="{765B25CB-C1EA-4381-8ABB-98526C5CA953}"/>
    <cellStyle name="Currency 5 2 2 2 2 2 6" xfId="2424" xr:uid="{00000000-0005-0000-0000-0000800B0000}"/>
    <cellStyle name="Currency 5 2 2 2 2 2 6 2" xfId="6709" xr:uid="{00000000-0005-0000-0000-0000810B0000}"/>
    <cellStyle name="Currency 5 2 2 2 2 2 6 2 2" xfId="32008" xr:uid="{573330C7-5771-499A-B3CB-2289A0C1A574}"/>
    <cellStyle name="Currency 5 2 2 2 2 2 6 2 3" xfId="23579" xr:uid="{68F8E395-0429-46EF-9A3E-9E2F6B2DE603}"/>
    <cellStyle name="Currency 5 2 2 2 2 2 6 2 4" xfId="40436" xr:uid="{D827D76B-F88C-4762-8D33-BC1484AD7AF4}"/>
    <cellStyle name="Currency 5 2 2 2 2 2 6 2 5" xfId="15144" xr:uid="{4AC1FBC6-8E10-48B9-ADA2-1C8F7B45F66E}"/>
    <cellStyle name="Currency 5 2 2 2 2 2 6 3" xfId="27790" xr:uid="{8AE0B0F1-1E24-4036-A468-32D855EE0E3D}"/>
    <cellStyle name="Currency 5 2 2 2 2 2 6 4" xfId="19361" xr:uid="{9D4EB0E6-993A-4C30-B8EA-8C55E8C43D27}"/>
    <cellStyle name="Currency 5 2 2 2 2 2 6 5" xfId="36219" xr:uid="{7D4AC07E-F3A5-4144-9418-17310119FB3E}"/>
    <cellStyle name="Currency 5 2 2 2 2 2 6 6" xfId="10926" xr:uid="{C8727CC9-018A-41A2-9D0D-E63E39B88DA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32325" xr:uid="{50FA907A-0C2B-4517-B414-8A9C5BBB7638}"/>
    <cellStyle name="Currency 5 2 2 2 2 2 8 2 3" xfId="23896" xr:uid="{804F9410-C0C0-44AF-AAD9-963B5F6248E2}"/>
    <cellStyle name="Currency 5 2 2 2 2 2 8 2 4" xfId="40753" xr:uid="{E420C00E-74CD-4BC8-87F7-15E683E870F0}"/>
    <cellStyle name="Currency 5 2 2 2 2 2 8 2 5" xfId="15461" xr:uid="{52775530-4615-4F28-AD1E-02E063A6E8A5}"/>
    <cellStyle name="Currency 5 2 2 2 2 2 8 3" xfId="28107" xr:uid="{4912C45D-2B6C-4692-9194-17D5774E89BA}"/>
    <cellStyle name="Currency 5 2 2 2 2 2 8 4" xfId="19678" xr:uid="{B9C8ED29-089C-473E-ABC3-5606730B78ED}"/>
    <cellStyle name="Currency 5 2 2 2 2 2 8 5" xfId="36536" xr:uid="{9BE8EA72-83C9-44B0-A11F-83183036D170}"/>
    <cellStyle name="Currency 5 2 2 2 2 2 8 6" xfId="11243" xr:uid="{98524581-413E-42D5-A838-E1B3CA5BA265}"/>
    <cellStyle name="Currency 5 2 2 2 2 2 9" xfId="4643" xr:uid="{00000000-0005-0000-0000-0000850B0000}"/>
    <cellStyle name="Currency 5 2 2 2 2 2 9 2" xfId="29942" xr:uid="{31C128AC-8341-484B-97AF-5F7EDE5CEC7D}"/>
    <cellStyle name="Currency 5 2 2 2 2 2 9 3" xfId="21513" xr:uid="{CD0A93E9-4AA8-40E6-B588-9E9441D9FC02}"/>
    <cellStyle name="Currency 5 2 2 2 2 2 9 4" xfId="38370" xr:uid="{5D42B5C7-8D0C-4F14-8FCB-B0BFB1027241}"/>
    <cellStyle name="Currency 5 2 2 2 2 2 9 5" xfId="13078" xr:uid="{E508531F-BD7A-4C70-ADC9-C1374A2A61AD}"/>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32500" xr:uid="{CB5AB9EE-22F6-489A-9B6A-649C11A1C41A}"/>
    <cellStyle name="Currency 5 2 2 2 2 3 2 2 3" xfId="24071" xr:uid="{554AFC12-787D-4BF3-A135-198F4883ED5D}"/>
    <cellStyle name="Currency 5 2 2 2 2 3 2 2 4" xfId="40928" xr:uid="{B921143E-D103-47C7-8592-934D363EB844}"/>
    <cellStyle name="Currency 5 2 2 2 2 3 2 2 5" xfId="15636" xr:uid="{908D2DCC-D4C6-4E60-8B28-79B97E3C87A1}"/>
    <cellStyle name="Currency 5 2 2 2 2 3 2 3" xfId="28282" xr:uid="{54E05209-08EA-4A69-B6D6-F090C08806FA}"/>
    <cellStyle name="Currency 5 2 2 2 2 3 2 4" xfId="19853" xr:uid="{F76CE90B-1C1C-473A-977D-6FECD4A14536}"/>
    <cellStyle name="Currency 5 2 2 2 2 3 2 5" xfId="36711" xr:uid="{93A1B9D7-4DAA-4C08-B8FA-BEF94B8E5B70}"/>
    <cellStyle name="Currency 5 2 2 2 2 3 2 6" xfId="11418" xr:uid="{5541535B-536A-46F8-BB40-60FF883F1A16}"/>
    <cellStyle name="Currency 5 2 2 2 2 3 3" xfId="5056" xr:uid="{00000000-0005-0000-0000-0000890B0000}"/>
    <cellStyle name="Currency 5 2 2 2 2 3 3 2" xfId="30355" xr:uid="{35FCD53B-7E1D-4AD5-A5A5-6DE878223E21}"/>
    <cellStyle name="Currency 5 2 2 2 2 3 3 3" xfId="21926" xr:uid="{9A097609-CAE1-4C5B-8394-03B63ACFA4BE}"/>
    <cellStyle name="Currency 5 2 2 2 2 3 3 4" xfId="38783" xr:uid="{BD1C09BB-30E5-4D14-9DE5-36C89C314BA3}"/>
    <cellStyle name="Currency 5 2 2 2 2 3 3 5" xfId="13491" xr:uid="{4F553E76-1ED7-4109-9B11-DA06B40E4DAA}"/>
    <cellStyle name="Currency 5 2 2 2 2 3 4" xfId="26137" xr:uid="{53E306F5-F37E-473A-BE6F-719C2A60606C}"/>
    <cellStyle name="Currency 5 2 2 2 2 3 5" xfId="17708" xr:uid="{D6A4195A-02FD-4713-A1D5-982377EA14A9}"/>
    <cellStyle name="Currency 5 2 2 2 2 3 6" xfId="34566" xr:uid="{152F14D7-F7B4-44FE-9207-29EB0CD324AC}"/>
    <cellStyle name="Currency 5 2 2 2 2 3 7" xfId="9273" xr:uid="{49C43630-2B94-4985-AEB1-A60295628E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32913" xr:uid="{58941B0A-77DD-43CD-A034-3895211A342F}"/>
    <cellStyle name="Currency 5 2 2 2 2 4 2 2 3" xfId="24484" xr:uid="{6C551A5B-509E-485D-BEBE-B4CD083F1E38}"/>
    <cellStyle name="Currency 5 2 2 2 2 4 2 2 4" xfId="41341" xr:uid="{813A12AE-B5F1-4CEB-BB94-D915E05E0D22}"/>
    <cellStyle name="Currency 5 2 2 2 2 4 2 2 5" xfId="16049" xr:uid="{F3BADE44-960A-4E1A-ACAE-5D0BF35E7AAD}"/>
    <cellStyle name="Currency 5 2 2 2 2 4 2 3" xfId="28695" xr:uid="{931D5BFA-B942-48C3-8C90-EF855F778892}"/>
    <cellStyle name="Currency 5 2 2 2 2 4 2 4" xfId="20266" xr:uid="{42AD5283-745B-411B-A087-787D4312ABDA}"/>
    <cellStyle name="Currency 5 2 2 2 2 4 2 5" xfId="37124" xr:uid="{363DFCAC-80EB-43CB-B0B1-2853D0955720}"/>
    <cellStyle name="Currency 5 2 2 2 2 4 2 6" xfId="11831" xr:uid="{2E07AD26-666E-4319-A75D-6DF7B97DD635}"/>
    <cellStyle name="Currency 5 2 2 2 2 4 3" xfId="5469" xr:uid="{00000000-0005-0000-0000-00008D0B0000}"/>
    <cellStyle name="Currency 5 2 2 2 2 4 3 2" xfId="30768" xr:uid="{03964075-13A5-4FA8-9F9D-2AD83AA9548F}"/>
    <cellStyle name="Currency 5 2 2 2 2 4 3 3" xfId="22339" xr:uid="{9239075B-9E61-4D84-9E68-48F7B31BE628}"/>
    <cellStyle name="Currency 5 2 2 2 2 4 3 4" xfId="39196" xr:uid="{995CE17B-9D0D-44EF-BA91-4B4952EB2F43}"/>
    <cellStyle name="Currency 5 2 2 2 2 4 3 5" xfId="13904" xr:uid="{D43D72D0-D1CD-4D5C-9053-1F09FCC88238}"/>
    <cellStyle name="Currency 5 2 2 2 2 4 4" xfId="26550" xr:uid="{734047D8-FAD9-4CBA-83F3-865FF7213833}"/>
    <cellStyle name="Currency 5 2 2 2 2 4 5" xfId="18121" xr:uid="{7366D90F-E5E3-4D41-9071-F0A70767D4BD}"/>
    <cellStyle name="Currency 5 2 2 2 2 4 6" xfId="34979" xr:uid="{66BBCB6E-AB78-4C2F-B10E-94FF22D733A6}"/>
    <cellStyle name="Currency 5 2 2 2 2 4 7" xfId="9686" xr:uid="{C47AA354-2256-4A55-9DD6-60AABE7C01C1}"/>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33326" xr:uid="{052B6811-F3B2-4937-A1AF-21C81D1E03D0}"/>
    <cellStyle name="Currency 5 2 2 2 2 5 2 2 3" xfId="24897" xr:uid="{3FD2982D-2E1C-4EE3-8891-CE981BAA9C54}"/>
    <cellStyle name="Currency 5 2 2 2 2 5 2 2 4" xfId="41754" xr:uid="{6600B117-CE19-41D1-A4A3-91A364A208E4}"/>
    <cellStyle name="Currency 5 2 2 2 2 5 2 2 5" xfId="16462" xr:uid="{5E5CA2C8-8CEE-4B88-86F5-FE58DC69297D}"/>
    <cellStyle name="Currency 5 2 2 2 2 5 2 3" xfId="29108" xr:uid="{31711B31-D873-4018-988E-1EDEA8B44A28}"/>
    <cellStyle name="Currency 5 2 2 2 2 5 2 4" xfId="20679" xr:uid="{3FB8373F-B08E-4D90-8E58-99C4415F024E}"/>
    <cellStyle name="Currency 5 2 2 2 2 5 2 5" xfId="37537" xr:uid="{6629B4E1-52EC-4E74-BF79-2004A4B80CF9}"/>
    <cellStyle name="Currency 5 2 2 2 2 5 2 6" xfId="12244" xr:uid="{A374EC47-BBFC-44E5-B649-FC5DE68F4E65}"/>
    <cellStyle name="Currency 5 2 2 2 2 5 3" xfId="5882" xr:uid="{00000000-0005-0000-0000-0000910B0000}"/>
    <cellStyle name="Currency 5 2 2 2 2 5 3 2" xfId="31181" xr:uid="{A5587C40-61BA-4B6D-AB4B-7AF469F78600}"/>
    <cellStyle name="Currency 5 2 2 2 2 5 3 3" xfId="22752" xr:uid="{2A12719A-40F2-4BCE-A6E1-84EAB0FD9427}"/>
    <cellStyle name="Currency 5 2 2 2 2 5 3 4" xfId="39609" xr:uid="{DD6D34F2-87C7-407E-A07A-EC3C7D019CB9}"/>
    <cellStyle name="Currency 5 2 2 2 2 5 3 5" xfId="14317" xr:uid="{4DAE700D-2B2F-4ED3-9FC4-FF7E7090087C}"/>
    <cellStyle name="Currency 5 2 2 2 2 5 4" xfId="26963" xr:uid="{46BA3DDE-56A7-41A5-9F44-BC0F160420E5}"/>
    <cellStyle name="Currency 5 2 2 2 2 5 5" xfId="18534" xr:uid="{D2C7B827-8A59-43E6-883B-93DA7DD88C65}"/>
    <cellStyle name="Currency 5 2 2 2 2 5 6" xfId="35392" xr:uid="{4883B58C-D9CD-4F61-B64F-AA8E802520CF}"/>
    <cellStyle name="Currency 5 2 2 2 2 5 7" xfId="10099" xr:uid="{ABE5623D-BED0-4B00-82B7-342D66F4CB4E}"/>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33739" xr:uid="{902FEC50-C8A9-413E-9C02-093BB02856C9}"/>
    <cellStyle name="Currency 5 2 2 2 2 6 2 2 3" xfId="25310" xr:uid="{762FFBAE-91B8-46F2-83D2-EBDC8CCDA922}"/>
    <cellStyle name="Currency 5 2 2 2 2 6 2 2 4" xfId="42167" xr:uid="{134A6A50-3253-44B7-AFF8-BA00036707ED}"/>
    <cellStyle name="Currency 5 2 2 2 2 6 2 2 5" xfId="16875" xr:uid="{9A14F8A2-CD2C-4664-9A9B-959A34CF7FAE}"/>
    <cellStyle name="Currency 5 2 2 2 2 6 2 3" xfId="29521" xr:uid="{581E40FE-235C-495B-9711-62EEA8B3DA52}"/>
    <cellStyle name="Currency 5 2 2 2 2 6 2 4" xfId="21092" xr:uid="{92A6F9CF-EADF-4F4D-9244-8D474C6BD649}"/>
    <cellStyle name="Currency 5 2 2 2 2 6 2 5" xfId="37950" xr:uid="{6383138E-7D63-4B28-AA01-EC61617AA567}"/>
    <cellStyle name="Currency 5 2 2 2 2 6 2 6" xfId="12657" xr:uid="{26B9FDAC-5DB5-4854-8995-5CF3BAD5A75A}"/>
    <cellStyle name="Currency 5 2 2 2 2 6 3" xfId="6295" xr:uid="{00000000-0005-0000-0000-0000950B0000}"/>
    <cellStyle name="Currency 5 2 2 2 2 6 3 2" xfId="31594" xr:uid="{DE91388D-8906-4886-A6CE-D967C1803872}"/>
    <cellStyle name="Currency 5 2 2 2 2 6 3 3" xfId="23165" xr:uid="{28EE5A66-5891-4EAC-A2C8-3DDA8129278B}"/>
    <cellStyle name="Currency 5 2 2 2 2 6 3 4" xfId="40022" xr:uid="{DA500BB7-00E8-4991-94E8-8F80FD3B6614}"/>
    <cellStyle name="Currency 5 2 2 2 2 6 3 5" xfId="14730" xr:uid="{AB74650C-2210-4024-A2B1-9376C4AA586D}"/>
    <cellStyle name="Currency 5 2 2 2 2 6 4" xfId="27376" xr:uid="{78691EA0-0D9E-4FBB-A6D1-37DB2BE41B04}"/>
    <cellStyle name="Currency 5 2 2 2 2 6 5" xfId="18947" xr:uid="{68FB201A-4441-4940-BCE0-34E4D1EFFC4A}"/>
    <cellStyle name="Currency 5 2 2 2 2 6 6" xfId="35805" xr:uid="{68B9DEEF-2FF2-4AD1-9767-CF0758D7D40A}"/>
    <cellStyle name="Currency 5 2 2 2 2 6 7" xfId="10512" xr:uid="{ACE124D8-ECDC-4CB0-BC9C-A46E9B6AC28C}"/>
    <cellStyle name="Currency 5 2 2 2 2 7" xfId="2423" xr:uid="{00000000-0005-0000-0000-0000960B0000}"/>
    <cellStyle name="Currency 5 2 2 2 2 7 2" xfId="6708" xr:uid="{00000000-0005-0000-0000-0000970B0000}"/>
    <cellStyle name="Currency 5 2 2 2 2 7 2 2" xfId="32007" xr:uid="{CC3747B4-6E06-4C49-BB40-11F285ED7AA3}"/>
    <cellStyle name="Currency 5 2 2 2 2 7 2 3" xfId="23578" xr:uid="{4EF24B29-3D0E-4661-BDF1-505F9113C263}"/>
    <cellStyle name="Currency 5 2 2 2 2 7 2 4" xfId="40435" xr:uid="{7520013E-6A1D-4D62-86B7-FB418323DA35}"/>
    <cellStyle name="Currency 5 2 2 2 2 7 2 5" xfId="15143" xr:uid="{20BA4C1B-6240-4F8D-BADF-6AB7841E6DA6}"/>
    <cellStyle name="Currency 5 2 2 2 2 7 3" xfId="27789" xr:uid="{7063595D-C56A-4A85-B668-7811B06B91F2}"/>
    <cellStyle name="Currency 5 2 2 2 2 7 4" xfId="19360" xr:uid="{4749DA70-C8F1-4787-89CB-BE701A023A1E}"/>
    <cellStyle name="Currency 5 2 2 2 2 7 5" xfId="36218" xr:uid="{8FAE3C1A-BA91-4A98-99F6-A5DC3F51F072}"/>
    <cellStyle name="Currency 5 2 2 2 2 7 6" xfId="10925" xr:uid="{8F893AEC-08F9-4EAB-9AD5-2A8592C98287}"/>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32324" xr:uid="{39C1F091-742E-4411-9978-CEA5B24575B1}"/>
    <cellStyle name="Currency 5 2 2 2 2 9 2 3" xfId="23895" xr:uid="{E3596119-28CE-4554-805E-BA35A71ECE92}"/>
    <cellStyle name="Currency 5 2 2 2 2 9 2 4" xfId="40752" xr:uid="{F14E4037-6725-4B4A-A230-91B349F4BDD4}"/>
    <cellStyle name="Currency 5 2 2 2 2 9 2 5" xfId="15460" xr:uid="{7B0164E7-F4EB-4A4E-B097-DC6688728131}"/>
    <cellStyle name="Currency 5 2 2 2 2 9 3" xfId="28106" xr:uid="{06A05A8A-7B87-4F1D-A4F4-E82907AFF584}"/>
    <cellStyle name="Currency 5 2 2 2 2 9 4" xfId="19677" xr:uid="{BBFBDA51-6E89-4B29-8BDC-AF6B95326192}"/>
    <cellStyle name="Currency 5 2 2 2 2 9 5" xfId="36535" xr:uid="{14AA0D62-D7F7-498E-8A1D-48EC0E2E5A00}"/>
    <cellStyle name="Currency 5 2 2 2 2 9 6" xfId="11242" xr:uid="{01830AC2-91A3-4D45-83B6-B31A85E3A0E9}"/>
    <cellStyle name="Currency 5 2 2 2 3" xfId="199" xr:uid="{00000000-0005-0000-0000-00009B0B0000}"/>
    <cellStyle name="Currency 5 2 2 2 3 10" xfId="25725" xr:uid="{6478EB88-5038-4BB9-8F27-204B51A6CAE7}"/>
    <cellStyle name="Currency 5 2 2 2 3 11" xfId="17296" xr:uid="{7A9E0D31-DA92-4186-A986-2F23C6FA1639}"/>
    <cellStyle name="Currency 5 2 2 2 3 12" xfId="34154" xr:uid="{FE792074-4AA6-44FE-803C-9E702214B500}"/>
    <cellStyle name="Currency 5 2 2 2 3 13" xfId="8861" xr:uid="{3C84165D-36DF-43FC-B389-1D988EF840EF}"/>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32502" xr:uid="{804CA46C-9FCE-4F49-B9DC-D7574E4656B2}"/>
    <cellStyle name="Currency 5 2 2 2 3 2 2 2 3" xfId="24073" xr:uid="{B58879AC-CDB6-4B82-B272-85B0AF0CEC8B}"/>
    <cellStyle name="Currency 5 2 2 2 3 2 2 2 4" xfId="40930" xr:uid="{151A5575-8BE8-46B1-8DA1-D38950BEE185}"/>
    <cellStyle name="Currency 5 2 2 2 3 2 2 2 5" xfId="15638" xr:uid="{237B29EF-1FAE-40AF-B2E2-F5C8A7F68300}"/>
    <cellStyle name="Currency 5 2 2 2 3 2 2 3" xfId="28284" xr:uid="{F93510C3-640F-4F96-B124-8885C7E79074}"/>
    <cellStyle name="Currency 5 2 2 2 3 2 2 4" xfId="19855" xr:uid="{AD885973-CFE3-40D6-8A58-109A9F259BF2}"/>
    <cellStyle name="Currency 5 2 2 2 3 2 2 5" xfId="36713" xr:uid="{9A4C995C-2859-470C-B638-7AB417FD53C7}"/>
    <cellStyle name="Currency 5 2 2 2 3 2 2 6" xfId="11420" xr:uid="{AC61F7FC-F514-4CA5-9763-2528616B714B}"/>
    <cellStyle name="Currency 5 2 2 2 3 2 3" xfId="5058" xr:uid="{00000000-0005-0000-0000-00009F0B0000}"/>
    <cellStyle name="Currency 5 2 2 2 3 2 3 2" xfId="30357" xr:uid="{C5AD56DD-5F44-40FA-B53B-F9F371EF97D8}"/>
    <cellStyle name="Currency 5 2 2 2 3 2 3 3" xfId="21928" xr:uid="{E161DA6A-3BAE-44AD-A47E-4C7E8853E4D2}"/>
    <cellStyle name="Currency 5 2 2 2 3 2 3 4" xfId="38785" xr:uid="{6B81A0B3-05F8-4AA3-90A8-94F82A689226}"/>
    <cellStyle name="Currency 5 2 2 2 3 2 3 5" xfId="13493" xr:uid="{5C9B4EC4-3E77-4522-9119-581458EF2B9F}"/>
    <cellStyle name="Currency 5 2 2 2 3 2 4" xfId="26139" xr:uid="{75655D1C-3C11-45DE-B8D2-4D7B12BB4944}"/>
    <cellStyle name="Currency 5 2 2 2 3 2 5" xfId="17710" xr:uid="{2F2A82E0-DFD7-4C30-A63E-9A1757164766}"/>
    <cellStyle name="Currency 5 2 2 2 3 2 6" xfId="34568" xr:uid="{3390615D-2118-418A-8379-1FE62C45B702}"/>
    <cellStyle name="Currency 5 2 2 2 3 2 7" xfId="9275" xr:uid="{4274CEAF-C1F4-4C7F-8A18-6C7495432E3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32915" xr:uid="{77CB2A99-29CB-47A7-84CB-9F8FB1C2BF3E}"/>
    <cellStyle name="Currency 5 2 2 2 3 3 2 2 3" xfId="24486" xr:uid="{E28A16FA-4CD8-46BC-926E-95C46C463F49}"/>
    <cellStyle name="Currency 5 2 2 2 3 3 2 2 4" xfId="41343" xr:uid="{91BF5F1F-69CC-47E5-8DCF-835F28FB5F92}"/>
    <cellStyle name="Currency 5 2 2 2 3 3 2 2 5" xfId="16051" xr:uid="{78DB4E51-F396-4190-861E-3137BCE83E02}"/>
    <cellStyle name="Currency 5 2 2 2 3 3 2 3" xfId="28697" xr:uid="{93687399-BD7C-464F-B1E2-4865EEED1F54}"/>
    <cellStyle name="Currency 5 2 2 2 3 3 2 4" xfId="20268" xr:uid="{4FA1CDF9-9E0F-416A-BAC5-B7335A5C5C5A}"/>
    <cellStyle name="Currency 5 2 2 2 3 3 2 5" xfId="37126" xr:uid="{69DEAD18-900F-4650-AC19-6CB3A99CD56B}"/>
    <cellStyle name="Currency 5 2 2 2 3 3 2 6" xfId="11833" xr:uid="{9F20CD2D-73A5-4A46-8B6F-5ED27F08B70E}"/>
    <cellStyle name="Currency 5 2 2 2 3 3 3" xfId="5471" xr:uid="{00000000-0005-0000-0000-0000A30B0000}"/>
    <cellStyle name="Currency 5 2 2 2 3 3 3 2" xfId="30770" xr:uid="{8786FC1B-ECF1-4327-A7AB-8E4D8669598C}"/>
    <cellStyle name="Currency 5 2 2 2 3 3 3 3" xfId="22341" xr:uid="{3FBAD79D-CC99-4398-9A4E-66F6D84CE593}"/>
    <cellStyle name="Currency 5 2 2 2 3 3 3 4" xfId="39198" xr:uid="{F2153A3A-96F4-44DE-914E-D96B2E25823E}"/>
    <cellStyle name="Currency 5 2 2 2 3 3 3 5" xfId="13906" xr:uid="{F3C8E52A-2349-49FC-90DD-964ABB4500F2}"/>
    <cellStyle name="Currency 5 2 2 2 3 3 4" xfId="26552" xr:uid="{AA93E498-72D2-4A46-A912-5D1E8E9B8797}"/>
    <cellStyle name="Currency 5 2 2 2 3 3 5" xfId="18123" xr:uid="{951EEBC1-60F0-4E20-AB7C-9E0C67FA92C8}"/>
    <cellStyle name="Currency 5 2 2 2 3 3 6" xfId="34981" xr:uid="{49527D59-AB20-4315-9408-733CC5ED8178}"/>
    <cellStyle name="Currency 5 2 2 2 3 3 7" xfId="9688" xr:uid="{32E7A0D7-C1B5-4264-B1A1-5BEA67CA1906}"/>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33328" xr:uid="{F16EF035-E5BD-417A-8668-2BD4A6E000A6}"/>
    <cellStyle name="Currency 5 2 2 2 3 4 2 2 3" xfId="24899" xr:uid="{0BB50985-3A08-4D55-A10C-BDDF38ACBC89}"/>
    <cellStyle name="Currency 5 2 2 2 3 4 2 2 4" xfId="41756" xr:uid="{B6466FCF-B17C-4A18-BD2F-36454C7EBC49}"/>
    <cellStyle name="Currency 5 2 2 2 3 4 2 2 5" xfId="16464" xr:uid="{358125FA-C1CD-4F26-BE0E-16736ED6D889}"/>
    <cellStyle name="Currency 5 2 2 2 3 4 2 3" xfId="29110" xr:uid="{5896EC4F-2059-499F-BAD7-F3FFA89D28DA}"/>
    <cellStyle name="Currency 5 2 2 2 3 4 2 4" xfId="20681" xr:uid="{21053D8B-82E3-498C-85B5-D662D10F559D}"/>
    <cellStyle name="Currency 5 2 2 2 3 4 2 5" xfId="37539" xr:uid="{6C4B6F2A-74F0-4E9B-A763-8C8922903FC0}"/>
    <cellStyle name="Currency 5 2 2 2 3 4 2 6" xfId="12246" xr:uid="{BAED98D8-AD4C-41CB-9ABD-805D9FB3AE93}"/>
    <cellStyle name="Currency 5 2 2 2 3 4 3" xfId="5884" xr:uid="{00000000-0005-0000-0000-0000A70B0000}"/>
    <cellStyle name="Currency 5 2 2 2 3 4 3 2" xfId="31183" xr:uid="{E6C2DFF2-7606-464E-9D06-576C080AD4AC}"/>
    <cellStyle name="Currency 5 2 2 2 3 4 3 3" xfId="22754" xr:uid="{F44DF8EC-B47B-4DD6-BD1D-D3EAACDECB4C}"/>
    <cellStyle name="Currency 5 2 2 2 3 4 3 4" xfId="39611" xr:uid="{833F1AF1-6A12-45DC-8561-D1CEDB778EE8}"/>
    <cellStyle name="Currency 5 2 2 2 3 4 3 5" xfId="14319" xr:uid="{0BD5504A-5966-435A-8918-4A06F3F11E0B}"/>
    <cellStyle name="Currency 5 2 2 2 3 4 4" xfId="26965" xr:uid="{09CCE51E-C8CB-4AB7-9221-69B7F15CCE40}"/>
    <cellStyle name="Currency 5 2 2 2 3 4 5" xfId="18536" xr:uid="{ED9154D8-BC71-40C5-94D6-7F699D9FFC8E}"/>
    <cellStyle name="Currency 5 2 2 2 3 4 6" xfId="35394" xr:uid="{20339086-66C9-40B9-9E95-E4D9031EB919}"/>
    <cellStyle name="Currency 5 2 2 2 3 4 7" xfId="10101" xr:uid="{B4C64468-BC74-4232-99EA-395EB82AD007}"/>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33741" xr:uid="{B7446C7D-81AE-48BF-83F5-A8120C89D0BC}"/>
    <cellStyle name="Currency 5 2 2 2 3 5 2 2 3" xfId="25312" xr:uid="{F743A4A5-5F51-441C-82AA-6851FF1FB68A}"/>
    <cellStyle name="Currency 5 2 2 2 3 5 2 2 4" xfId="42169" xr:uid="{1D5B5443-3410-4404-9863-F6FAF576E5BD}"/>
    <cellStyle name="Currency 5 2 2 2 3 5 2 2 5" xfId="16877" xr:uid="{8E9ADDB1-5306-4166-B153-2698A2F43820}"/>
    <cellStyle name="Currency 5 2 2 2 3 5 2 3" xfId="29523" xr:uid="{0C7DCEC9-966C-4E37-9CCA-3086C634CD72}"/>
    <cellStyle name="Currency 5 2 2 2 3 5 2 4" xfId="21094" xr:uid="{BDC868CE-6488-4AB1-AA19-C9A4113B3D4B}"/>
    <cellStyle name="Currency 5 2 2 2 3 5 2 5" xfId="37952" xr:uid="{A2A0E3EA-6ABA-49F8-A488-62AAC1CC4E3E}"/>
    <cellStyle name="Currency 5 2 2 2 3 5 2 6" xfId="12659" xr:uid="{F69A7F65-F308-4F31-BA8E-FA2C171F893C}"/>
    <cellStyle name="Currency 5 2 2 2 3 5 3" xfId="6297" xr:uid="{00000000-0005-0000-0000-0000AB0B0000}"/>
    <cellStyle name="Currency 5 2 2 2 3 5 3 2" xfId="31596" xr:uid="{D1D7D3DF-CCD7-4CC9-8774-B98475693C19}"/>
    <cellStyle name="Currency 5 2 2 2 3 5 3 3" xfId="23167" xr:uid="{092CE16F-E8E8-43B1-B168-C56EED21203D}"/>
    <cellStyle name="Currency 5 2 2 2 3 5 3 4" xfId="40024" xr:uid="{1ABCFE3C-E5DF-4363-A6C9-AACEF682CAC5}"/>
    <cellStyle name="Currency 5 2 2 2 3 5 3 5" xfId="14732" xr:uid="{8FA47FD6-8E3F-4BB8-BCDE-AC587B310717}"/>
    <cellStyle name="Currency 5 2 2 2 3 5 4" xfId="27378" xr:uid="{921B5BE2-4623-4FBB-B6E4-222BFBED9105}"/>
    <cellStyle name="Currency 5 2 2 2 3 5 5" xfId="18949" xr:uid="{C48797F1-0BD9-4697-898C-0A78B1677A0C}"/>
    <cellStyle name="Currency 5 2 2 2 3 5 6" xfId="35807" xr:uid="{D082B5FB-68DC-4888-9C89-46CCB31D669B}"/>
    <cellStyle name="Currency 5 2 2 2 3 5 7" xfId="10514" xr:uid="{3A00EA1A-9F25-49B2-9990-3CBBADFF4319}"/>
    <cellStyle name="Currency 5 2 2 2 3 6" xfId="2425" xr:uid="{00000000-0005-0000-0000-0000AC0B0000}"/>
    <cellStyle name="Currency 5 2 2 2 3 6 2" xfId="6710" xr:uid="{00000000-0005-0000-0000-0000AD0B0000}"/>
    <cellStyle name="Currency 5 2 2 2 3 6 2 2" xfId="32009" xr:uid="{08FED8F6-B35E-4967-98A4-E41FEB1B1BD9}"/>
    <cellStyle name="Currency 5 2 2 2 3 6 2 3" xfId="23580" xr:uid="{5A2C97DC-1C11-48F2-B1CB-D69F58E6B66C}"/>
    <cellStyle name="Currency 5 2 2 2 3 6 2 4" xfId="40437" xr:uid="{FAC01738-A17A-4490-B3E0-F8E8F0256136}"/>
    <cellStyle name="Currency 5 2 2 2 3 6 2 5" xfId="15145" xr:uid="{D05BFF8E-2D6D-4BE3-B861-14E7C14ABC61}"/>
    <cellStyle name="Currency 5 2 2 2 3 6 3" xfId="27791" xr:uid="{5C090892-9329-428B-AE1A-C5033E78F2AF}"/>
    <cellStyle name="Currency 5 2 2 2 3 6 4" xfId="19362" xr:uid="{86822226-3306-40A2-95C6-D6E7569E90D0}"/>
    <cellStyle name="Currency 5 2 2 2 3 6 5" xfId="36220" xr:uid="{9CAAFF7E-6457-4688-ABE2-D37083C2F20C}"/>
    <cellStyle name="Currency 5 2 2 2 3 6 6" xfId="10927" xr:uid="{AC8C3243-3FA4-4056-9C33-1A98DD2C9F2F}"/>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32326" xr:uid="{0B8AAA8C-4973-4CC8-AE31-6007B197DC2E}"/>
    <cellStyle name="Currency 5 2 2 2 3 8 2 3" xfId="23897" xr:uid="{0779FD4B-3B6C-434D-8070-EF3D244462A6}"/>
    <cellStyle name="Currency 5 2 2 2 3 8 2 4" xfId="40754" xr:uid="{19014EA6-27E1-4A19-B7F7-0359318EB92C}"/>
    <cellStyle name="Currency 5 2 2 2 3 8 2 5" xfId="15462" xr:uid="{FA8B5AD1-A132-4105-95B5-E0D5FFD5F162}"/>
    <cellStyle name="Currency 5 2 2 2 3 8 3" xfId="28108" xr:uid="{700D3BB4-75FE-42BD-BC53-050A639B5A5A}"/>
    <cellStyle name="Currency 5 2 2 2 3 8 4" xfId="19679" xr:uid="{BA3E7062-4129-449A-8243-FFEBACFCE708}"/>
    <cellStyle name="Currency 5 2 2 2 3 8 5" xfId="36537" xr:uid="{CAAEACE9-90E6-42A0-803E-66E0AF70BC24}"/>
    <cellStyle name="Currency 5 2 2 2 3 8 6" xfId="11244" xr:uid="{AECAA33B-B121-41C1-9B92-D5CD5F7426A3}"/>
    <cellStyle name="Currency 5 2 2 2 3 9" xfId="4644" xr:uid="{00000000-0005-0000-0000-0000B10B0000}"/>
    <cellStyle name="Currency 5 2 2 2 3 9 2" xfId="29943" xr:uid="{AED346DF-7D51-4F67-AEC0-F342D3ADF9ED}"/>
    <cellStyle name="Currency 5 2 2 2 3 9 3" xfId="21514" xr:uid="{16D40F24-A3ED-4D6D-90A2-4EF402FBA2F7}"/>
    <cellStyle name="Currency 5 2 2 2 3 9 4" xfId="38371" xr:uid="{E07DCE3F-8BF9-4ACA-9498-8C75C3EBE223}"/>
    <cellStyle name="Currency 5 2 2 2 3 9 5" xfId="13079" xr:uid="{5419678E-7909-48E5-997C-40C2EF8EC3AE}"/>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32499" xr:uid="{91C784C8-F51D-4230-A9F4-1475BACFD6FE}"/>
    <cellStyle name="Currency 5 2 2 2 4 2 2 3" xfId="24070" xr:uid="{D28506B0-B533-4DD5-B7C9-D9C8709391F3}"/>
    <cellStyle name="Currency 5 2 2 2 4 2 2 4" xfId="40927" xr:uid="{8F0125ED-EA65-436E-B49A-4C0F0655F7EE}"/>
    <cellStyle name="Currency 5 2 2 2 4 2 2 5" xfId="15635" xr:uid="{C3542846-B55E-44D8-8524-CA766D5086D1}"/>
    <cellStyle name="Currency 5 2 2 2 4 2 3" xfId="28281" xr:uid="{D1C96998-EFF2-4808-8A0F-6D0B0EF2B418}"/>
    <cellStyle name="Currency 5 2 2 2 4 2 4" xfId="19852" xr:uid="{ABCAF359-82EA-44DD-80E9-A26B7059BCC6}"/>
    <cellStyle name="Currency 5 2 2 2 4 2 5" xfId="36710" xr:uid="{FD443DCE-A752-449D-AC68-25353614DB96}"/>
    <cellStyle name="Currency 5 2 2 2 4 2 6" xfId="11417" xr:uid="{BE79B619-F0C7-45F5-820D-A0154E74C413}"/>
    <cellStyle name="Currency 5 2 2 2 4 3" xfId="5055" xr:uid="{00000000-0005-0000-0000-0000B50B0000}"/>
    <cellStyle name="Currency 5 2 2 2 4 3 2" xfId="30354" xr:uid="{B89F9A3F-5528-476A-B132-9B618FE504DA}"/>
    <cellStyle name="Currency 5 2 2 2 4 3 3" xfId="21925" xr:uid="{C4809C41-5E9F-4262-9803-D3A7523E2CF0}"/>
    <cellStyle name="Currency 5 2 2 2 4 3 4" xfId="38782" xr:uid="{80BB5C7C-534A-463B-8CCE-6A7876EAAA94}"/>
    <cellStyle name="Currency 5 2 2 2 4 3 5" xfId="13490" xr:uid="{15D00D52-9754-469D-A946-45B7F2D5D0AA}"/>
    <cellStyle name="Currency 5 2 2 2 4 4" xfId="26136" xr:uid="{D05C2826-36F6-4E87-9863-805B05C2D69F}"/>
    <cellStyle name="Currency 5 2 2 2 4 5" xfId="17707" xr:uid="{D2CAA541-62DE-4E71-84D6-25CC1315959D}"/>
    <cellStyle name="Currency 5 2 2 2 4 6" xfId="34565" xr:uid="{72ED55FD-573B-449F-AA82-CC126A6FDA3D}"/>
    <cellStyle name="Currency 5 2 2 2 4 7" xfId="9272" xr:uid="{BD47CB33-CAB4-49C7-92D6-2CC421BEAAB7}"/>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32912" xr:uid="{D56E8833-FB8A-4C3C-BCAB-45DF2484FCC7}"/>
    <cellStyle name="Currency 5 2 2 2 5 2 2 3" xfId="24483" xr:uid="{DD591761-E268-45C3-8572-BA1E67D2D418}"/>
    <cellStyle name="Currency 5 2 2 2 5 2 2 4" xfId="41340" xr:uid="{5D119AB1-5CF0-4F10-8D53-7F2D24F70263}"/>
    <cellStyle name="Currency 5 2 2 2 5 2 2 5" xfId="16048" xr:uid="{DF2070B2-A472-4009-948C-2FCDA304F009}"/>
    <cellStyle name="Currency 5 2 2 2 5 2 3" xfId="28694" xr:uid="{821B7D97-FFB6-4A6C-9C03-190086862805}"/>
    <cellStyle name="Currency 5 2 2 2 5 2 4" xfId="20265" xr:uid="{5EAD71A2-7907-43D1-9314-CD6D90927F2D}"/>
    <cellStyle name="Currency 5 2 2 2 5 2 5" xfId="37123" xr:uid="{7395A426-F886-483F-859F-C6EDDD989769}"/>
    <cellStyle name="Currency 5 2 2 2 5 2 6" xfId="11830" xr:uid="{213ABB6D-01A5-49FF-8B11-A9622D6F1E13}"/>
    <cellStyle name="Currency 5 2 2 2 5 3" xfId="5468" xr:uid="{00000000-0005-0000-0000-0000B90B0000}"/>
    <cellStyle name="Currency 5 2 2 2 5 3 2" xfId="30767" xr:uid="{A9682C34-E2A1-4A66-8008-B69753134469}"/>
    <cellStyle name="Currency 5 2 2 2 5 3 3" xfId="22338" xr:uid="{EE2FFF23-04AB-4FA9-B73A-C0DC663DC268}"/>
    <cellStyle name="Currency 5 2 2 2 5 3 4" xfId="39195" xr:uid="{A761D2DF-62BF-4180-8E4B-D1801FC08ED6}"/>
    <cellStyle name="Currency 5 2 2 2 5 3 5" xfId="13903" xr:uid="{154EF3B1-3087-442B-BFF9-59D223C159AF}"/>
    <cellStyle name="Currency 5 2 2 2 5 4" xfId="26549" xr:uid="{92780616-C210-46BC-8D29-EBB93FAA2E12}"/>
    <cellStyle name="Currency 5 2 2 2 5 5" xfId="18120" xr:uid="{F490F9D1-0208-452F-8443-2DE1E713398A}"/>
    <cellStyle name="Currency 5 2 2 2 5 6" xfId="34978" xr:uid="{89D93F0F-89AE-44A8-92A1-189E631B3BFC}"/>
    <cellStyle name="Currency 5 2 2 2 5 7" xfId="9685" xr:uid="{CE66106D-860F-458C-B6F5-BFE632374A27}"/>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33325" xr:uid="{A09A69B1-FDE4-4F0E-A578-09C312FD7A1C}"/>
    <cellStyle name="Currency 5 2 2 2 6 2 2 3" xfId="24896" xr:uid="{633D354F-CC9E-4182-A5C4-43C3AB57B976}"/>
    <cellStyle name="Currency 5 2 2 2 6 2 2 4" xfId="41753" xr:uid="{6979E423-2AF4-44E7-9FDB-94AEB906E8B9}"/>
    <cellStyle name="Currency 5 2 2 2 6 2 2 5" xfId="16461" xr:uid="{333CF720-2949-424D-902E-24A20185975B}"/>
    <cellStyle name="Currency 5 2 2 2 6 2 3" xfId="29107" xr:uid="{98BC2BDC-2F24-4CD4-BEE3-20CE83C50FB5}"/>
    <cellStyle name="Currency 5 2 2 2 6 2 4" xfId="20678" xr:uid="{AB12A8C0-018D-4E4B-876E-EA5362473BEF}"/>
    <cellStyle name="Currency 5 2 2 2 6 2 5" xfId="37536" xr:uid="{D7919F11-67A6-4EC7-BEE5-5EBDF0043303}"/>
    <cellStyle name="Currency 5 2 2 2 6 2 6" xfId="12243" xr:uid="{E427F1CF-A628-4F68-9417-9B46EE50D586}"/>
    <cellStyle name="Currency 5 2 2 2 6 3" xfId="5881" xr:uid="{00000000-0005-0000-0000-0000BD0B0000}"/>
    <cellStyle name="Currency 5 2 2 2 6 3 2" xfId="31180" xr:uid="{781C9D93-7775-4403-B02A-86629AE5B7D9}"/>
    <cellStyle name="Currency 5 2 2 2 6 3 3" xfId="22751" xr:uid="{87150927-5108-49BA-BC40-747CB1EB2B43}"/>
    <cellStyle name="Currency 5 2 2 2 6 3 4" xfId="39608" xr:uid="{BCD2F450-4212-4741-8183-519D394EFCCC}"/>
    <cellStyle name="Currency 5 2 2 2 6 3 5" xfId="14316" xr:uid="{896B1631-AD0F-4D46-80F4-B1BF7C8693B6}"/>
    <cellStyle name="Currency 5 2 2 2 6 4" xfId="26962" xr:uid="{547824BA-6B76-406F-B097-18C7532E3192}"/>
    <cellStyle name="Currency 5 2 2 2 6 5" xfId="18533" xr:uid="{EC22E322-A42C-4AD1-A22F-E173212DFC52}"/>
    <cellStyle name="Currency 5 2 2 2 6 6" xfId="35391" xr:uid="{1443BA65-2F56-436F-8AE8-8E427DCF4F33}"/>
    <cellStyle name="Currency 5 2 2 2 6 7" xfId="10098" xr:uid="{8D1FBD4B-6073-43E6-A76B-7C62678897B6}"/>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33738" xr:uid="{71087E92-5F05-407E-B472-6D6ACE16A584}"/>
    <cellStyle name="Currency 5 2 2 2 7 2 2 3" xfId="25309" xr:uid="{EA455EC8-DF03-48BD-8A7F-A7E2E8A3F00A}"/>
    <cellStyle name="Currency 5 2 2 2 7 2 2 4" xfId="42166" xr:uid="{7C35B471-EB6B-4492-B9BC-D3E6BFE3DBBF}"/>
    <cellStyle name="Currency 5 2 2 2 7 2 2 5" xfId="16874" xr:uid="{B2AB3511-0C2B-4553-9CBB-F62CAE87414F}"/>
    <cellStyle name="Currency 5 2 2 2 7 2 3" xfId="29520" xr:uid="{834611D2-5840-4B67-BE2C-CDE1A52AFEDA}"/>
    <cellStyle name="Currency 5 2 2 2 7 2 4" xfId="21091" xr:uid="{CC133989-95C1-48AB-AD28-B73A85D8E98C}"/>
    <cellStyle name="Currency 5 2 2 2 7 2 5" xfId="37949" xr:uid="{35380CDA-750D-4A2D-BE1E-DE15DFDD7F41}"/>
    <cellStyle name="Currency 5 2 2 2 7 2 6" xfId="12656" xr:uid="{2E92E9A7-0EAF-49F1-B16F-91745B730100}"/>
    <cellStyle name="Currency 5 2 2 2 7 3" xfId="6294" xr:uid="{00000000-0005-0000-0000-0000C10B0000}"/>
    <cellStyle name="Currency 5 2 2 2 7 3 2" xfId="31593" xr:uid="{6B02B003-1838-4798-8540-4C65A4971CA3}"/>
    <cellStyle name="Currency 5 2 2 2 7 3 3" xfId="23164" xr:uid="{2B3F5008-2484-467A-B1C0-0D3393AA3733}"/>
    <cellStyle name="Currency 5 2 2 2 7 3 4" xfId="40021" xr:uid="{AEAD7BBA-D06E-45CD-8183-99BD88BC6DEF}"/>
    <cellStyle name="Currency 5 2 2 2 7 3 5" xfId="14729" xr:uid="{60A72C51-3511-424F-8871-98D756EB1B37}"/>
    <cellStyle name="Currency 5 2 2 2 7 4" xfId="27375" xr:uid="{C29EA320-DC83-4B72-A425-3CEB8E184066}"/>
    <cellStyle name="Currency 5 2 2 2 7 5" xfId="18946" xr:uid="{15746D22-33F6-4C40-B76C-D0482BD82874}"/>
    <cellStyle name="Currency 5 2 2 2 7 6" xfId="35804" xr:uid="{9E77B728-DAF1-4C89-9300-BAEECE743BC8}"/>
    <cellStyle name="Currency 5 2 2 2 7 7" xfId="10511" xr:uid="{A78206ED-4E15-41EC-95AE-6085B0786A6F}"/>
    <cellStyle name="Currency 5 2 2 2 8" xfId="2422" xr:uid="{00000000-0005-0000-0000-0000C20B0000}"/>
    <cellStyle name="Currency 5 2 2 2 8 2" xfId="6707" xr:uid="{00000000-0005-0000-0000-0000C30B0000}"/>
    <cellStyle name="Currency 5 2 2 2 8 2 2" xfId="32006" xr:uid="{56E0DF7C-7F19-4487-B1AD-D5649C3D20CA}"/>
    <cellStyle name="Currency 5 2 2 2 8 2 3" xfId="23577" xr:uid="{7AFC1A3F-6512-4DF7-BDED-5912A90E0771}"/>
    <cellStyle name="Currency 5 2 2 2 8 2 4" xfId="40434" xr:uid="{BE9C794C-D01D-4A76-976D-E43BAEEDC8A8}"/>
    <cellStyle name="Currency 5 2 2 2 8 2 5" xfId="15142" xr:uid="{AAFF69B2-CD5C-41B9-A18F-6E3E4DAA20E8}"/>
    <cellStyle name="Currency 5 2 2 2 8 3" xfId="27788" xr:uid="{91F4FBF1-E5A8-4C36-BFA5-71D6FAE8687B}"/>
    <cellStyle name="Currency 5 2 2 2 8 4" xfId="19359" xr:uid="{4C9176EC-00E5-4EBA-8A0E-B57BAE99369D}"/>
    <cellStyle name="Currency 5 2 2 2 8 5" xfId="36217" xr:uid="{68B273DD-046F-46BB-B303-46BA860B4973}"/>
    <cellStyle name="Currency 5 2 2 2 8 6" xfId="10924" xr:uid="{D4F70DAF-5EE5-4546-AC7F-72A81F510987}"/>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9944" xr:uid="{A167A57B-B06A-433A-ACD5-50D41646370E}"/>
    <cellStyle name="Currency 5 2 2 3 10 3" xfId="21515" xr:uid="{AA962FE5-16B1-46B6-808A-09D133391C74}"/>
    <cellStyle name="Currency 5 2 2 3 10 4" xfId="38372" xr:uid="{1786F8D8-CA55-43E7-84CE-2E7F51CF1FBC}"/>
    <cellStyle name="Currency 5 2 2 3 10 5" xfId="13080" xr:uid="{98238F1E-A937-4873-8A81-2E9B7460A9B0}"/>
    <cellStyle name="Currency 5 2 2 3 11" xfId="25726" xr:uid="{4F6B78A9-CF4A-487D-BF6E-568DF8FEB9DF}"/>
    <cellStyle name="Currency 5 2 2 3 12" xfId="17297" xr:uid="{E257C650-3977-40C5-9209-3D0DE3791828}"/>
    <cellStyle name="Currency 5 2 2 3 13" xfId="34155" xr:uid="{DD038419-6A42-4A1A-B9D3-BC8A55DE6C58}"/>
    <cellStyle name="Currency 5 2 2 3 14" xfId="8862" xr:uid="{2047179E-F99D-48A2-98A3-D314D557D88C}"/>
    <cellStyle name="Currency 5 2 2 3 2" xfId="201" xr:uid="{00000000-0005-0000-0000-0000C70B0000}"/>
    <cellStyle name="Currency 5 2 2 3 2 10" xfId="25727" xr:uid="{1C714B9C-61C3-4824-9963-9D09EF26AC4D}"/>
    <cellStyle name="Currency 5 2 2 3 2 11" xfId="17298" xr:uid="{7F729BA9-A0EA-4872-B804-63BB227B8C46}"/>
    <cellStyle name="Currency 5 2 2 3 2 12" xfId="34156" xr:uid="{AA42FF44-FC5E-4870-B987-19BAC6A7DF6F}"/>
    <cellStyle name="Currency 5 2 2 3 2 13" xfId="8863" xr:uid="{83D1E23F-562E-43B6-94DF-114267BE83E8}"/>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32504" xr:uid="{ECC45E9E-E154-4A61-9B6F-F2CD553FF1F4}"/>
    <cellStyle name="Currency 5 2 2 3 2 2 2 2 3" xfId="24075" xr:uid="{0BD14F08-6006-4989-B3F0-6231B1B30289}"/>
    <cellStyle name="Currency 5 2 2 3 2 2 2 2 4" xfId="40932" xr:uid="{1D8A6AA4-710C-49E4-8A0E-CED052A8FA1E}"/>
    <cellStyle name="Currency 5 2 2 3 2 2 2 2 5" xfId="15640" xr:uid="{13C9E08B-58E7-46DC-937B-16233ABA6C6B}"/>
    <cellStyle name="Currency 5 2 2 3 2 2 2 3" xfId="28286" xr:uid="{8B122B9C-B7ED-4AA6-B49D-7643580144CA}"/>
    <cellStyle name="Currency 5 2 2 3 2 2 2 4" xfId="19857" xr:uid="{4391E41C-CB4C-4678-81F6-112FA52FFDC1}"/>
    <cellStyle name="Currency 5 2 2 3 2 2 2 5" xfId="36715" xr:uid="{7641E060-897A-4731-A112-2EFA0144A722}"/>
    <cellStyle name="Currency 5 2 2 3 2 2 2 6" xfId="11422" xr:uid="{21DD64F2-246F-46CC-BFC9-4055CE47AB4C}"/>
    <cellStyle name="Currency 5 2 2 3 2 2 3" xfId="5060" xr:uid="{00000000-0005-0000-0000-0000CB0B0000}"/>
    <cellStyle name="Currency 5 2 2 3 2 2 3 2" xfId="30359" xr:uid="{C61E0497-351C-4220-888B-DAD931520111}"/>
    <cellStyle name="Currency 5 2 2 3 2 2 3 3" xfId="21930" xr:uid="{9E639A74-7AB6-428C-90CB-3457A78C3D01}"/>
    <cellStyle name="Currency 5 2 2 3 2 2 3 4" xfId="38787" xr:uid="{BC0DA9A2-3814-4C85-95D4-3C8571B8BDF0}"/>
    <cellStyle name="Currency 5 2 2 3 2 2 3 5" xfId="13495" xr:uid="{50258341-AA8A-4603-890B-B403989E4036}"/>
    <cellStyle name="Currency 5 2 2 3 2 2 4" xfId="26141" xr:uid="{0112D273-CA37-4761-943A-DBD201029A2B}"/>
    <cellStyle name="Currency 5 2 2 3 2 2 5" xfId="17712" xr:uid="{3DDAE635-6CB9-4129-B63F-3DDA2FC9E3CE}"/>
    <cellStyle name="Currency 5 2 2 3 2 2 6" xfId="34570" xr:uid="{55BF6CE3-C260-4801-A615-59706B7ABE13}"/>
    <cellStyle name="Currency 5 2 2 3 2 2 7" xfId="9277" xr:uid="{C64AD539-9268-4901-9EA2-F0F110BA1EBD}"/>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32917" xr:uid="{A54C4691-C7B8-46E1-997D-728EF45E7960}"/>
    <cellStyle name="Currency 5 2 2 3 2 3 2 2 3" xfId="24488" xr:uid="{13BB29D4-4AA5-4D94-B7FA-382334D54D92}"/>
    <cellStyle name="Currency 5 2 2 3 2 3 2 2 4" xfId="41345" xr:uid="{994F2F7E-24F7-4B11-8396-01D8DCAEEC00}"/>
    <cellStyle name="Currency 5 2 2 3 2 3 2 2 5" xfId="16053" xr:uid="{40D3E847-17D1-4031-9EB5-4A14DE6637E8}"/>
    <cellStyle name="Currency 5 2 2 3 2 3 2 3" xfId="28699" xr:uid="{F27B1B50-3299-40C7-AE26-7E514695539C}"/>
    <cellStyle name="Currency 5 2 2 3 2 3 2 4" xfId="20270" xr:uid="{2DDF42AD-E445-4B8D-B0C1-5F5D39531448}"/>
    <cellStyle name="Currency 5 2 2 3 2 3 2 5" xfId="37128" xr:uid="{FDEEC7FC-B1BD-4C6D-9925-501E66286314}"/>
    <cellStyle name="Currency 5 2 2 3 2 3 2 6" xfId="11835" xr:uid="{C2343EF7-5946-4A8A-9439-B1C39BB0C7C9}"/>
    <cellStyle name="Currency 5 2 2 3 2 3 3" xfId="5473" xr:uid="{00000000-0005-0000-0000-0000CF0B0000}"/>
    <cellStyle name="Currency 5 2 2 3 2 3 3 2" xfId="30772" xr:uid="{5679E573-73F9-4622-846A-FE6EA329D4A3}"/>
    <cellStyle name="Currency 5 2 2 3 2 3 3 3" xfId="22343" xr:uid="{7C0989C1-3ADC-48EE-99F2-74D2FDE9405A}"/>
    <cellStyle name="Currency 5 2 2 3 2 3 3 4" xfId="39200" xr:uid="{4B81DA75-F55C-4B46-9816-AC524E70C90D}"/>
    <cellStyle name="Currency 5 2 2 3 2 3 3 5" xfId="13908" xr:uid="{9FB29212-7451-4D2D-9CF1-6C649ADE958F}"/>
    <cellStyle name="Currency 5 2 2 3 2 3 4" xfId="26554" xr:uid="{E7CD326A-CF2E-4045-8EBB-2946395C6783}"/>
    <cellStyle name="Currency 5 2 2 3 2 3 5" xfId="18125" xr:uid="{4B52EF6A-8D5D-47F1-AA0C-7C1584F71644}"/>
    <cellStyle name="Currency 5 2 2 3 2 3 6" xfId="34983" xr:uid="{DF6D51FD-FCE7-496B-B89A-4F6E254C7459}"/>
    <cellStyle name="Currency 5 2 2 3 2 3 7" xfId="9690" xr:uid="{348767F9-F769-4EFF-9740-C3147DC2EF4A}"/>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33330" xr:uid="{C728B2C3-B75E-4D6B-A660-378E785DF722}"/>
    <cellStyle name="Currency 5 2 2 3 2 4 2 2 3" xfId="24901" xr:uid="{23BE1593-223F-4FFA-8B1B-EF104618C98C}"/>
    <cellStyle name="Currency 5 2 2 3 2 4 2 2 4" xfId="41758" xr:uid="{B5771619-E2E6-40F4-AE5F-EBC3931D3B63}"/>
    <cellStyle name="Currency 5 2 2 3 2 4 2 2 5" xfId="16466" xr:uid="{C34CEE78-A182-48CC-ABE9-C91385644093}"/>
    <cellStyle name="Currency 5 2 2 3 2 4 2 3" xfId="29112" xr:uid="{B0624C3A-7A47-4C2E-BD81-ED1CB1247142}"/>
    <cellStyle name="Currency 5 2 2 3 2 4 2 4" xfId="20683" xr:uid="{9F10A838-B398-4730-B20B-C5CBE25E3405}"/>
    <cellStyle name="Currency 5 2 2 3 2 4 2 5" xfId="37541" xr:uid="{BB503261-4C10-446D-B21E-ACAAD3E2C610}"/>
    <cellStyle name="Currency 5 2 2 3 2 4 2 6" xfId="12248" xr:uid="{6E5A5F0E-1412-442C-9B8F-91E3FB0B6664}"/>
    <cellStyle name="Currency 5 2 2 3 2 4 3" xfId="5886" xr:uid="{00000000-0005-0000-0000-0000D30B0000}"/>
    <cellStyle name="Currency 5 2 2 3 2 4 3 2" xfId="31185" xr:uid="{74308418-6B1F-4D6F-842D-1ED6EDC07039}"/>
    <cellStyle name="Currency 5 2 2 3 2 4 3 3" xfId="22756" xr:uid="{C10C517C-69FA-4E3E-80A5-51F395348FD8}"/>
    <cellStyle name="Currency 5 2 2 3 2 4 3 4" xfId="39613" xr:uid="{4E78A108-A6F6-4E4E-B8A2-8B81BDF02B6A}"/>
    <cellStyle name="Currency 5 2 2 3 2 4 3 5" xfId="14321" xr:uid="{04B6CDB7-4FF9-45FE-B024-45A6807723A9}"/>
    <cellStyle name="Currency 5 2 2 3 2 4 4" xfId="26967" xr:uid="{EC34979E-E160-4989-8843-0CAA59C90872}"/>
    <cellStyle name="Currency 5 2 2 3 2 4 5" xfId="18538" xr:uid="{8C5FCF65-AF85-49AF-AD0A-18BFFED47F3B}"/>
    <cellStyle name="Currency 5 2 2 3 2 4 6" xfId="35396" xr:uid="{DB310BB2-D758-45C1-A0DA-0194A84E527D}"/>
    <cellStyle name="Currency 5 2 2 3 2 4 7" xfId="10103" xr:uid="{5EA223D3-9666-477A-B3A5-188E4479D7B9}"/>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33743" xr:uid="{97950BAE-780A-4730-A6AB-CD0C11B855C2}"/>
    <cellStyle name="Currency 5 2 2 3 2 5 2 2 3" xfId="25314" xr:uid="{9436ACF6-B875-487F-9874-E9DE909DB833}"/>
    <cellStyle name="Currency 5 2 2 3 2 5 2 2 4" xfId="42171" xr:uid="{3EC14EF1-5040-4324-926B-B6127FE359B4}"/>
    <cellStyle name="Currency 5 2 2 3 2 5 2 2 5" xfId="16879" xr:uid="{51634460-E3E3-4567-B77E-98A397353B60}"/>
    <cellStyle name="Currency 5 2 2 3 2 5 2 3" xfId="29525" xr:uid="{28F4E805-A3EF-4292-AF11-B3082BFE6B7E}"/>
    <cellStyle name="Currency 5 2 2 3 2 5 2 4" xfId="21096" xr:uid="{3EBC92CC-26F0-479D-883C-379989158663}"/>
    <cellStyle name="Currency 5 2 2 3 2 5 2 5" xfId="37954" xr:uid="{D07679FC-1D00-4C53-90E1-2E4D1D31795C}"/>
    <cellStyle name="Currency 5 2 2 3 2 5 2 6" xfId="12661" xr:uid="{54606BC4-F988-40CD-966A-CB873AEC3356}"/>
    <cellStyle name="Currency 5 2 2 3 2 5 3" xfId="6299" xr:uid="{00000000-0005-0000-0000-0000D70B0000}"/>
    <cellStyle name="Currency 5 2 2 3 2 5 3 2" xfId="31598" xr:uid="{6F224F2A-7DC2-4BB7-BCD4-62D0C39F6ADD}"/>
    <cellStyle name="Currency 5 2 2 3 2 5 3 3" xfId="23169" xr:uid="{7A096C83-65CE-49D8-8F36-529F24F65478}"/>
    <cellStyle name="Currency 5 2 2 3 2 5 3 4" xfId="40026" xr:uid="{173C0508-05E7-4C13-88B1-CBE2F8BFBF44}"/>
    <cellStyle name="Currency 5 2 2 3 2 5 3 5" xfId="14734" xr:uid="{7A4DB556-8A4B-4E41-B0D8-238B426BB2D9}"/>
    <cellStyle name="Currency 5 2 2 3 2 5 4" xfId="27380" xr:uid="{F379BC5D-9470-41AC-A7FC-D9A979B762E7}"/>
    <cellStyle name="Currency 5 2 2 3 2 5 5" xfId="18951" xr:uid="{97B91841-C57A-463F-9F5C-AFD8C7CC7AC9}"/>
    <cellStyle name="Currency 5 2 2 3 2 5 6" xfId="35809" xr:uid="{CDA54EA3-978E-47B9-AD7D-D81BFB26CB4D}"/>
    <cellStyle name="Currency 5 2 2 3 2 5 7" xfId="10516" xr:uid="{6C89CB21-1ED0-4402-9DD1-90D3C971B894}"/>
    <cellStyle name="Currency 5 2 2 3 2 6" xfId="2427" xr:uid="{00000000-0005-0000-0000-0000D80B0000}"/>
    <cellStyle name="Currency 5 2 2 3 2 6 2" xfId="6712" xr:uid="{00000000-0005-0000-0000-0000D90B0000}"/>
    <cellStyle name="Currency 5 2 2 3 2 6 2 2" xfId="32011" xr:uid="{4490889A-B5D3-436F-B59F-4BB2D5EA1E0F}"/>
    <cellStyle name="Currency 5 2 2 3 2 6 2 3" xfId="23582" xr:uid="{FEEDA16C-31BE-4E85-ADFF-0B9B74ED9509}"/>
    <cellStyle name="Currency 5 2 2 3 2 6 2 4" xfId="40439" xr:uid="{D88FDAEA-8887-4C67-9C43-7FDCE5518421}"/>
    <cellStyle name="Currency 5 2 2 3 2 6 2 5" xfId="15147" xr:uid="{EA2B6842-DD85-4C7F-8753-F7C5178C23AD}"/>
    <cellStyle name="Currency 5 2 2 3 2 6 3" xfId="27793" xr:uid="{BDA83AC1-A585-450F-B05C-598F705DAC6E}"/>
    <cellStyle name="Currency 5 2 2 3 2 6 4" xfId="19364" xr:uid="{0DD1C71F-412F-4E1D-80A0-AC49810A5F7C}"/>
    <cellStyle name="Currency 5 2 2 3 2 6 5" xfId="36222" xr:uid="{588C125B-75A4-47DB-9769-0C73C7FBE4CE}"/>
    <cellStyle name="Currency 5 2 2 3 2 6 6" xfId="10929" xr:uid="{541BF980-F9EB-4783-B66C-5E97BAEB05A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32328" xr:uid="{F5F4D4D1-F148-4A41-A1DD-6790DCC87AF9}"/>
    <cellStyle name="Currency 5 2 2 3 2 8 2 3" xfId="23899" xr:uid="{4B6CA191-CB76-4242-8F0B-A33249271F84}"/>
    <cellStyle name="Currency 5 2 2 3 2 8 2 4" xfId="40756" xr:uid="{471AA4C0-EDFD-49E0-8CCD-B1C400CA8A34}"/>
    <cellStyle name="Currency 5 2 2 3 2 8 2 5" xfId="15464" xr:uid="{D514D7A7-11E9-49C4-A3C1-05B8B3DC46BC}"/>
    <cellStyle name="Currency 5 2 2 3 2 8 3" xfId="28110" xr:uid="{7310EF7B-7095-4EFF-A4DB-6414C9AF1B1D}"/>
    <cellStyle name="Currency 5 2 2 3 2 8 4" xfId="19681" xr:uid="{DA86C70B-82FB-4983-9B09-DC3D9B6B9A40}"/>
    <cellStyle name="Currency 5 2 2 3 2 8 5" xfId="36539" xr:uid="{B5729BA5-E325-48C3-8691-7523495CCD20}"/>
    <cellStyle name="Currency 5 2 2 3 2 8 6" xfId="11246" xr:uid="{D1A157AB-B7D1-463F-9339-4A772EEB9FB5}"/>
    <cellStyle name="Currency 5 2 2 3 2 9" xfId="4646" xr:uid="{00000000-0005-0000-0000-0000DD0B0000}"/>
    <cellStyle name="Currency 5 2 2 3 2 9 2" xfId="29945" xr:uid="{4F55C554-4974-43C5-9D05-5C39EAB3F538}"/>
    <cellStyle name="Currency 5 2 2 3 2 9 3" xfId="21516" xr:uid="{73E995FE-03C3-4817-8C11-F93C4B044439}"/>
    <cellStyle name="Currency 5 2 2 3 2 9 4" xfId="38373" xr:uid="{938FA8A7-716D-422E-9ACE-9FF8B7515548}"/>
    <cellStyle name="Currency 5 2 2 3 2 9 5" xfId="13081" xr:uid="{AF7BF83B-DCEA-42C1-8C30-71BBE67BE301}"/>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32503" xr:uid="{8AEF0781-0EC8-4B8B-B93D-2F40742D7649}"/>
    <cellStyle name="Currency 5 2 2 3 3 2 2 3" xfId="24074" xr:uid="{DE35B7C4-29C7-4C77-B059-CD97089D04AA}"/>
    <cellStyle name="Currency 5 2 2 3 3 2 2 4" xfId="40931" xr:uid="{6B2C68CA-835E-468A-8605-F7638A8D0D2E}"/>
    <cellStyle name="Currency 5 2 2 3 3 2 2 5" xfId="15639" xr:uid="{940E212E-DB3F-445F-9B11-F5BA147153A1}"/>
    <cellStyle name="Currency 5 2 2 3 3 2 3" xfId="28285" xr:uid="{41110D72-00BB-487E-B478-187547793956}"/>
    <cellStyle name="Currency 5 2 2 3 3 2 4" xfId="19856" xr:uid="{12523017-CE8D-4FF9-B61C-81120B974322}"/>
    <cellStyle name="Currency 5 2 2 3 3 2 5" xfId="36714" xr:uid="{13CDD400-F0AA-408B-8CDA-CC4B5177364D}"/>
    <cellStyle name="Currency 5 2 2 3 3 2 6" xfId="11421" xr:uid="{1EC0A504-5B12-4983-8188-76FB2A93AE9C}"/>
    <cellStyle name="Currency 5 2 2 3 3 3" xfId="5059" xr:uid="{00000000-0005-0000-0000-0000E10B0000}"/>
    <cellStyle name="Currency 5 2 2 3 3 3 2" xfId="30358" xr:uid="{92FF22F4-3713-4A47-8B31-48B8A06DC8C5}"/>
    <cellStyle name="Currency 5 2 2 3 3 3 3" xfId="21929" xr:uid="{3D81E125-D8A9-4C9C-9F70-D9E15F73738C}"/>
    <cellStyle name="Currency 5 2 2 3 3 3 4" xfId="38786" xr:uid="{F151E75A-5E39-4CC7-B0DD-597EE9BA70F3}"/>
    <cellStyle name="Currency 5 2 2 3 3 3 5" xfId="13494" xr:uid="{0F552626-7340-4AB5-A266-DF1ACB016F00}"/>
    <cellStyle name="Currency 5 2 2 3 3 4" xfId="26140" xr:uid="{EA6665DE-BEDA-4932-99E9-106138FF157F}"/>
    <cellStyle name="Currency 5 2 2 3 3 5" xfId="17711" xr:uid="{9081EA63-3494-4EEE-8A41-5206A5EC9A0D}"/>
    <cellStyle name="Currency 5 2 2 3 3 6" xfId="34569" xr:uid="{D56D982F-0268-4EFD-8345-91F7EA9D19A0}"/>
    <cellStyle name="Currency 5 2 2 3 3 7" xfId="9276" xr:uid="{63D2DE31-9EE9-4BF2-BA92-BB89D2A701E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32916" xr:uid="{5859CE67-0E83-4134-9554-18BA3A9ED29E}"/>
    <cellStyle name="Currency 5 2 2 3 4 2 2 3" xfId="24487" xr:uid="{84E54EAB-4FBA-4448-8D23-5F39DDD75C95}"/>
    <cellStyle name="Currency 5 2 2 3 4 2 2 4" xfId="41344" xr:uid="{AC89A6F2-D357-4758-A70C-BBF0F1DC0270}"/>
    <cellStyle name="Currency 5 2 2 3 4 2 2 5" xfId="16052" xr:uid="{6BCAB440-9B5E-4D39-A09B-094F88EEEEC1}"/>
    <cellStyle name="Currency 5 2 2 3 4 2 3" xfId="28698" xr:uid="{68368E1D-3199-4DAF-858D-E6178E0E0032}"/>
    <cellStyle name="Currency 5 2 2 3 4 2 4" xfId="20269" xr:uid="{91793584-C501-4262-BC95-9A17EB816338}"/>
    <cellStyle name="Currency 5 2 2 3 4 2 5" xfId="37127" xr:uid="{EF456991-68F2-4B9F-A6D7-0A17F16D9898}"/>
    <cellStyle name="Currency 5 2 2 3 4 2 6" xfId="11834" xr:uid="{F33A5A06-AE1E-4E3E-9526-AC447977D96C}"/>
    <cellStyle name="Currency 5 2 2 3 4 3" xfId="5472" xr:uid="{00000000-0005-0000-0000-0000E50B0000}"/>
    <cellStyle name="Currency 5 2 2 3 4 3 2" xfId="30771" xr:uid="{ED6A6294-E9CA-4B1A-81FE-198B3AA47356}"/>
    <cellStyle name="Currency 5 2 2 3 4 3 3" xfId="22342" xr:uid="{9AB3DEAB-271D-4746-A8A3-CA54749083F7}"/>
    <cellStyle name="Currency 5 2 2 3 4 3 4" xfId="39199" xr:uid="{ABD45D83-D5C2-4AC8-AABE-A82AF4656A1E}"/>
    <cellStyle name="Currency 5 2 2 3 4 3 5" xfId="13907" xr:uid="{BE1CB9B5-4B26-4651-9B07-0A332DE6EE53}"/>
    <cellStyle name="Currency 5 2 2 3 4 4" xfId="26553" xr:uid="{35981E04-69F7-43E1-9C66-540A15B552B9}"/>
    <cellStyle name="Currency 5 2 2 3 4 5" xfId="18124" xr:uid="{C1E02339-039B-4842-A80B-AB6905941942}"/>
    <cellStyle name="Currency 5 2 2 3 4 6" xfId="34982" xr:uid="{A84581C1-9767-499E-A31B-C3F9B145658F}"/>
    <cellStyle name="Currency 5 2 2 3 4 7" xfId="9689" xr:uid="{DE3AFE10-DBCB-4591-96E7-E9FC608C7EA3}"/>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33329" xr:uid="{874C70B8-63B7-4C66-B5FF-773F6169E658}"/>
    <cellStyle name="Currency 5 2 2 3 5 2 2 3" xfId="24900" xr:uid="{5BECB1D8-4402-42F6-8943-0A100F84E447}"/>
    <cellStyle name="Currency 5 2 2 3 5 2 2 4" xfId="41757" xr:uid="{0AABA467-5EAB-4DCA-BCF7-5839432980CF}"/>
    <cellStyle name="Currency 5 2 2 3 5 2 2 5" xfId="16465" xr:uid="{381671F7-3F6D-4D10-9880-E07C33875AEC}"/>
    <cellStyle name="Currency 5 2 2 3 5 2 3" xfId="29111" xr:uid="{85A66E6B-E993-4F5B-8605-4CBCA84FD2B5}"/>
    <cellStyle name="Currency 5 2 2 3 5 2 4" xfId="20682" xr:uid="{E0E6F7BC-C5B1-49F6-A685-8628E6A1B477}"/>
    <cellStyle name="Currency 5 2 2 3 5 2 5" xfId="37540" xr:uid="{8432ED0C-421C-4547-B489-78006E7A5858}"/>
    <cellStyle name="Currency 5 2 2 3 5 2 6" xfId="12247" xr:uid="{BBC09AAE-F793-4C4A-9E69-A54BD459C6EE}"/>
    <cellStyle name="Currency 5 2 2 3 5 3" xfId="5885" xr:uid="{00000000-0005-0000-0000-0000E90B0000}"/>
    <cellStyle name="Currency 5 2 2 3 5 3 2" xfId="31184" xr:uid="{00E4A472-C9BD-45ED-9A54-096EABDF92FE}"/>
    <cellStyle name="Currency 5 2 2 3 5 3 3" xfId="22755" xr:uid="{F3E0483B-C6C0-40E7-8714-B46CD53846F7}"/>
    <cellStyle name="Currency 5 2 2 3 5 3 4" xfId="39612" xr:uid="{39CE4D3B-C8CF-45B1-97B9-5DE251C70143}"/>
    <cellStyle name="Currency 5 2 2 3 5 3 5" xfId="14320" xr:uid="{E5FF993E-D351-4989-AA32-5CE592DB1173}"/>
    <cellStyle name="Currency 5 2 2 3 5 4" xfId="26966" xr:uid="{8EB512C7-1B00-4739-A094-9C0D2D4566E3}"/>
    <cellStyle name="Currency 5 2 2 3 5 5" xfId="18537" xr:uid="{406D1B50-B708-4E62-AAB1-D2F45D198DCA}"/>
    <cellStyle name="Currency 5 2 2 3 5 6" xfId="35395" xr:uid="{8464F18B-23DE-41B6-9480-864733A6A6C9}"/>
    <cellStyle name="Currency 5 2 2 3 5 7" xfId="10102" xr:uid="{059D875D-FAB6-4BF3-9609-6F1A91A58FB4}"/>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33742" xr:uid="{FF268272-8630-43FB-A8D1-986AF4584DCD}"/>
    <cellStyle name="Currency 5 2 2 3 6 2 2 3" xfId="25313" xr:uid="{C8AB57CB-AF9A-4B88-AC54-F65B04C14E3F}"/>
    <cellStyle name="Currency 5 2 2 3 6 2 2 4" xfId="42170" xr:uid="{AB4FA9E2-E86A-47D7-989D-492586D1E898}"/>
    <cellStyle name="Currency 5 2 2 3 6 2 2 5" xfId="16878" xr:uid="{1BBCD0A7-24D5-4403-8B0E-80F9005186C1}"/>
    <cellStyle name="Currency 5 2 2 3 6 2 3" xfId="29524" xr:uid="{B226A5C6-0107-464D-A36D-6E565B8A46C7}"/>
    <cellStyle name="Currency 5 2 2 3 6 2 4" xfId="21095" xr:uid="{1F42B77F-8455-4B3B-A6B4-1ECE58C4E071}"/>
    <cellStyle name="Currency 5 2 2 3 6 2 5" xfId="37953" xr:uid="{44380FB9-CAEB-4C50-94A1-E8609E782BB6}"/>
    <cellStyle name="Currency 5 2 2 3 6 2 6" xfId="12660" xr:uid="{A426793A-CF81-4C25-9655-D411FAA1EAF9}"/>
    <cellStyle name="Currency 5 2 2 3 6 3" xfId="6298" xr:uid="{00000000-0005-0000-0000-0000ED0B0000}"/>
    <cellStyle name="Currency 5 2 2 3 6 3 2" xfId="31597" xr:uid="{D126D070-3770-4FE8-A604-BE22E9E6C2EF}"/>
    <cellStyle name="Currency 5 2 2 3 6 3 3" xfId="23168" xr:uid="{BD7F8AC1-0892-465A-AAD6-73E4743A5134}"/>
    <cellStyle name="Currency 5 2 2 3 6 3 4" xfId="40025" xr:uid="{D8A71021-C14C-4539-9A39-9494A8982726}"/>
    <cellStyle name="Currency 5 2 2 3 6 3 5" xfId="14733" xr:uid="{829B836F-7F3C-4BD8-9FD3-988F0C0508C6}"/>
    <cellStyle name="Currency 5 2 2 3 6 4" xfId="27379" xr:uid="{C944368C-D984-473A-951A-B3C433BD2BEE}"/>
    <cellStyle name="Currency 5 2 2 3 6 5" xfId="18950" xr:uid="{6F99CF08-A37C-4D55-8F11-000364036DF6}"/>
    <cellStyle name="Currency 5 2 2 3 6 6" xfId="35808" xr:uid="{5130D06D-7B19-49A6-9322-545128AD74AA}"/>
    <cellStyle name="Currency 5 2 2 3 6 7" xfId="10515" xr:uid="{283B4183-890F-4DF0-B0C7-382D0C588056}"/>
    <cellStyle name="Currency 5 2 2 3 7" xfId="2426" xr:uid="{00000000-0005-0000-0000-0000EE0B0000}"/>
    <cellStyle name="Currency 5 2 2 3 7 2" xfId="6711" xr:uid="{00000000-0005-0000-0000-0000EF0B0000}"/>
    <cellStyle name="Currency 5 2 2 3 7 2 2" xfId="32010" xr:uid="{E034CD86-F2C8-4540-AE0C-64C6CB9128D5}"/>
    <cellStyle name="Currency 5 2 2 3 7 2 3" xfId="23581" xr:uid="{D0F7EB09-822B-4340-BF76-DA410EE885CD}"/>
    <cellStyle name="Currency 5 2 2 3 7 2 4" xfId="40438" xr:uid="{61AE6221-66B2-4597-B653-9F39D1FDB878}"/>
    <cellStyle name="Currency 5 2 2 3 7 2 5" xfId="15146" xr:uid="{EDD67268-03D3-47B0-B2F9-D6E20B00EB23}"/>
    <cellStyle name="Currency 5 2 2 3 7 3" xfId="27792" xr:uid="{23C1809C-618D-463E-B35F-9BB56428B72F}"/>
    <cellStyle name="Currency 5 2 2 3 7 4" xfId="19363" xr:uid="{B85E6C54-870E-4997-A335-09B43B7CF9D2}"/>
    <cellStyle name="Currency 5 2 2 3 7 5" xfId="36221" xr:uid="{481F6687-BB73-46E3-A058-E666125E3D38}"/>
    <cellStyle name="Currency 5 2 2 3 7 6" xfId="10928" xr:uid="{FE6A60CD-44ED-442C-B97A-3F4559D9754E}"/>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32327" xr:uid="{F9EE75E8-C961-469A-B16B-959D2E07BF75}"/>
    <cellStyle name="Currency 5 2 2 3 9 2 3" xfId="23898" xr:uid="{293A62D9-A0CE-4162-A269-002F792D5BF8}"/>
    <cellStyle name="Currency 5 2 2 3 9 2 4" xfId="40755" xr:uid="{14DD91B0-F2AC-4230-9FAB-324B32FACFEA}"/>
    <cellStyle name="Currency 5 2 2 3 9 2 5" xfId="15463" xr:uid="{F72F9080-6669-4EEE-9C8F-713EBDB6C834}"/>
    <cellStyle name="Currency 5 2 2 3 9 3" xfId="28109" xr:uid="{C9ABAB9E-958B-40A1-A687-472C4A70E5D4}"/>
    <cellStyle name="Currency 5 2 2 3 9 4" xfId="19680" xr:uid="{821A12DB-42B9-481E-A70A-72F76D538984}"/>
    <cellStyle name="Currency 5 2 2 3 9 5" xfId="36538" xr:uid="{D0184FFF-0279-43FA-AC97-0695B3744601}"/>
    <cellStyle name="Currency 5 2 2 3 9 6" xfId="11245" xr:uid="{8C2F2CE5-FCD1-4A9F-8BE0-57365CA973A7}"/>
    <cellStyle name="Currency 5 2 2 4" xfId="202" xr:uid="{00000000-0005-0000-0000-0000F30B0000}"/>
    <cellStyle name="Currency 5 2 2 4 10" xfId="25728" xr:uid="{C780F156-26A0-4512-83BB-C450B161BC5C}"/>
    <cellStyle name="Currency 5 2 2 4 11" xfId="17299" xr:uid="{FD772D63-CF2C-4409-85F8-3A353985FAB4}"/>
    <cellStyle name="Currency 5 2 2 4 12" xfId="34157" xr:uid="{C4507118-56B3-4E19-A1C5-A1A6AAD62D72}"/>
    <cellStyle name="Currency 5 2 2 4 13" xfId="8864" xr:uid="{27C7E18B-A130-4523-9C8A-C82011417669}"/>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32505" xr:uid="{B7501CE4-E992-481E-A0EC-04D30838600F}"/>
    <cellStyle name="Currency 5 2 2 4 2 2 2 3" xfId="24076" xr:uid="{9ED46772-01B8-4E76-A8EF-48D0D928416A}"/>
    <cellStyle name="Currency 5 2 2 4 2 2 2 4" xfId="40933" xr:uid="{CBD596F6-BF7D-486C-B2F2-CC7113D5A2FC}"/>
    <cellStyle name="Currency 5 2 2 4 2 2 2 5" xfId="15641" xr:uid="{22A55370-8150-4788-8C8C-44F7A0B1FB4D}"/>
    <cellStyle name="Currency 5 2 2 4 2 2 3" xfId="28287" xr:uid="{72786B54-6AFC-45CE-A433-283AACE5FDD5}"/>
    <cellStyle name="Currency 5 2 2 4 2 2 4" xfId="19858" xr:uid="{73436F55-ECF6-4C14-9366-4235322D11BE}"/>
    <cellStyle name="Currency 5 2 2 4 2 2 5" xfId="36716" xr:uid="{6E9F7904-0A10-4496-86C8-E25B123C2B8B}"/>
    <cellStyle name="Currency 5 2 2 4 2 2 6" xfId="11423" xr:uid="{470B7D1D-6E1A-45A6-9E5A-F5C39A41D9C9}"/>
    <cellStyle name="Currency 5 2 2 4 2 3" xfId="5061" xr:uid="{00000000-0005-0000-0000-0000F70B0000}"/>
    <cellStyle name="Currency 5 2 2 4 2 3 2" xfId="30360" xr:uid="{4FEAEF8C-B6AC-46F1-BA62-1637EC11D39C}"/>
    <cellStyle name="Currency 5 2 2 4 2 3 3" xfId="21931" xr:uid="{55996607-9CDE-4A0C-A110-277C8A6E7424}"/>
    <cellStyle name="Currency 5 2 2 4 2 3 4" xfId="38788" xr:uid="{12630953-3A73-48CA-8404-54C7705E258F}"/>
    <cellStyle name="Currency 5 2 2 4 2 3 5" xfId="13496" xr:uid="{A201753A-E711-4775-93E6-2540D2B2577C}"/>
    <cellStyle name="Currency 5 2 2 4 2 4" xfId="26142" xr:uid="{15E54FA6-B024-46F9-82FB-5E39C6A84960}"/>
    <cellStyle name="Currency 5 2 2 4 2 5" xfId="17713" xr:uid="{CA975753-66BA-48A4-B173-FC91D9FAB5E9}"/>
    <cellStyle name="Currency 5 2 2 4 2 6" xfId="34571" xr:uid="{349DB823-B94E-4657-B768-D7279EB7DAD3}"/>
    <cellStyle name="Currency 5 2 2 4 2 7" xfId="9278" xr:uid="{D0E97278-3E18-4DA5-92E7-FE4300DFD63F}"/>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32918" xr:uid="{650A33BF-D4B5-4364-B6FB-3A200E81BAE2}"/>
    <cellStyle name="Currency 5 2 2 4 3 2 2 3" xfId="24489" xr:uid="{4F380018-62E2-4905-9CD6-3770D7BD0E87}"/>
    <cellStyle name="Currency 5 2 2 4 3 2 2 4" xfId="41346" xr:uid="{E10847E5-F0D2-47BB-B5F6-95A98739FE61}"/>
    <cellStyle name="Currency 5 2 2 4 3 2 2 5" xfId="16054" xr:uid="{AE64DDA3-64CA-494F-A1D5-307A4DD94DDD}"/>
    <cellStyle name="Currency 5 2 2 4 3 2 3" xfId="28700" xr:uid="{E043FB14-DFE0-4922-837E-833B2C867950}"/>
    <cellStyle name="Currency 5 2 2 4 3 2 4" xfId="20271" xr:uid="{9E3A9563-E19A-42E2-B5A2-46D702E4D252}"/>
    <cellStyle name="Currency 5 2 2 4 3 2 5" xfId="37129" xr:uid="{1D934213-B72A-424E-B4F1-64CE4876547B}"/>
    <cellStyle name="Currency 5 2 2 4 3 2 6" xfId="11836" xr:uid="{6350B89D-48B8-457B-A690-64661FBC1F01}"/>
    <cellStyle name="Currency 5 2 2 4 3 3" xfId="5474" xr:uid="{00000000-0005-0000-0000-0000FB0B0000}"/>
    <cellStyle name="Currency 5 2 2 4 3 3 2" xfId="30773" xr:uid="{70988CF7-F39A-4B58-BE1E-483032B38EC5}"/>
    <cellStyle name="Currency 5 2 2 4 3 3 3" xfId="22344" xr:uid="{CECF2B23-29F8-42A1-9A9D-9AB8CA00C8F7}"/>
    <cellStyle name="Currency 5 2 2 4 3 3 4" xfId="39201" xr:uid="{2085BE08-0D58-4C17-8FDF-DC1D6A9AB319}"/>
    <cellStyle name="Currency 5 2 2 4 3 3 5" xfId="13909" xr:uid="{146FEB85-F218-4B49-B7B1-90833AD03CFD}"/>
    <cellStyle name="Currency 5 2 2 4 3 4" xfId="26555" xr:uid="{0382D5AC-EFD9-403B-A69F-82D7EC000528}"/>
    <cellStyle name="Currency 5 2 2 4 3 5" xfId="18126" xr:uid="{6417F4B7-1B5A-4129-8E8D-B5A9BEB62855}"/>
    <cellStyle name="Currency 5 2 2 4 3 6" xfId="34984" xr:uid="{F4CBEC64-0625-4661-ABEC-720241920DB5}"/>
    <cellStyle name="Currency 5 2 2 4 3 7" xfId="9691" xr:uid="{3E37ED38-B273-40A7-8625-D78BA54E25EA}"/>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33331" xr:uid="{0986C15D-EB7D-434F-8D47-1B59B0304294}"/>
    <cellStyle name="Currency 5 2 2 4 4 2 2 3" xfId="24902" xr:uid="{7FF63E09-B979-4F9E-B15D-E9F041E29896}"/>
    <cellStyle name="Currency 5 2 2 4 4 2 2 4" xfId="41759" xr:uid="{ED0DE8F5-D10B-469A-9E72-C3EA094C0280}"/>
    <cellStyle name="Currency 5 2 2 4 4 2 2 5" xfId="16467" xr:uid="{94E61F07-F066-448C-8727-EB0AFC2C34B5}"/>
    <cellStyle name="Currency 5 2 2 4 4 2 3" xfId="29113" xr:uid="{79C20D56-BC71-4BBB-BBF8-BA3E30D6F790}"/>
    <cellStyle name="Currency 5 2 2 4 4 2 4" xfId="20684" xr:uid="{0EC9B20E-2CFF-42F7-95F8-5F138AB1BB66}"/>
    <cellStyle name="Currency 5 2 2 4 4 2 5" xfId="37542" xr:uid="{75E3BB3E-D4D0-406B-AA68-E79933E96B64}"/>
    <cellStyle name="Currency 5 2 2 4 4 2 6" xfId="12249" xr:uid="{AAF20DA9-9B3E-42A8-801C-617EEA23F04F}"/>
    <cellStyle name="Currency 5 2 2 4 4 3" xfId="5887" xr:uid="{00000000-0005-0000-0000-0000FF0B0000}"/>
    <cellStyle name="Currency 5 2 2 4 4 3 2" xfId="31186" xr:uid="{1902465B-6829-4941-B13B-ADB79EAAD8E1}"/>
    <cellStyle name="Currency 5 2 2 4 4 3 3" xfId="22757" xr:uid="{71E33BCE-2A28-42BA-8E57-30B8E88DD3AA}"/>
    <cellStyle name="Currency 5 2 2 4 4 3 4" xfId="39614" xr:uid="{123A647B-063D-44C3-A7EE-A8F4D36949FB}"/>
    <cellStyle name="Currency 5 2 2 4 4 3 5" xfId="14322" xr:uid="{ED76761E-AD3E-4D9C-B416-19BA71926F32}"/>
    <cellStyle name="Currency 5 2 2 4 4 4" xfId="26968" xr:uid="{892390E4-623B-4A00-B92F-3F56965034FE}"/>
    <cellStyle name="Currency 5 2 2 4 4 5" xfId="18539" xr:uid="{57100E89-548E-4619-BF8F-71E4BCDB65F1}"/>
    <cellStyle name="Currency 5 2 2 4 4 6" xfId="35397" xr:uid="{402175F0-C7D6-46FA-8268-F54A423302D1}"/>
    <cellStyle name="Currency 5 2 2 4 4 7" xfId="10104" xr:uid="{F3CAC0C4-0D0E-4F9E-AAE0-5B488E4579FF}"/>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33744" xr:uid="{A0E27640-0C42-4FA8-84EE-D4DCCAC42DF0}"/>
    <cellStyle name="Currency 5 2 2 4 5 2 2 3" xfId="25315" xr:uid="{3AAF219C-035F-49C4-9EF7-971333790B1F}"/>
    <cellStyle name="Currency 5 2 2 4 5 2 2 4" xfId="42172" xr:uid="{42E9BDF4-8796-4740-A83B-A8D80157E562}"/>
    <cellStyle name="Currency 5 2 2 4 5 2 2 5" xfId="16880" xr:uid="{034734AE-7188-433A-9832-3F5059631008}"/>
    <cellStyle name="Currency 5 2 2 4 5 2 3" xfId="29526" xr:uid="{1389D630-4AB3-437B-977E-164EA53E34CA}"/>
    <cellStyle name="Currency 5 2 2 4 5 2 4" xfId="21097" xr:uid="{C63C47B2-4217-4327-9982-7C45635D4B4A}"/>
    <cellStyle name="Currency 5 2 2 4 5 2 5" xfId="37955" xr:uid="{5757032E-EDE8-404B-869D-F376E5C99A34}"/>
    <cellStyle name="Currency 5 2 2 4 5 2 6" xfId="12662" xr:uid="{CD539369-1225-4501-8B26-B46F20DE3C8C}"/>
    <cellStyle name="Currency 5 2 2 4 5 3" xfId="6300" xr:uid="{00000000-0005-0000-0000-0000030C0000}"/>
    <cellStyle name="Currency 5 2 2 4 5 3 2" xfId="31599" xr:uid="{3B9D6FCA-920C-402D-B38B-C03DCD29DA4C}"/>
    <cellStyle name="Currency 5 2 2 4 5 3 3" xfId="23170" xr:uid="{DD563ADA-E65E-4622-A3E0-D0DF64A91B8F}"/>
    <cellStyle name="Currency 5 2 2 4 5 3 4" xfId="40027" xr:uid="{90A131D7-4B37-4415-83C4-1281B59B8549}"/>
    <cellStyle name="Currency 5 2 2 4 5 3 5" xfId="14735" xr:uid="{8211B497-3481-40AB-93F1-5E15BE90B190}"/>
    <cellStyle name="Currency 5 2 2 4 5 4" xfId="27381" xr:uid="{1484F573-C047-40E5-A344-831FF76601D6}"/>
    <cellStyle name="Currency 5 2 2 4 5 5" xfId="18952" xr:uid="{48CC2DC5-C881-4AF5-AF09-E6920CB3AE39}"/>
    <cellStyle name="Currency 5 2 2 4 5 6" xfId="35810" xr:uid="{8D8E5147-B398-44B3-B39E-E3904E7ADA3C}"/>
    <cellStyle name="Currency 5 2 2 4 5 7" xfId="10517" xr:uid="{876ECA63-11E0-451B-8853-066A668F7F18}"/>
    <cellStyle name="Currency 5 2 2 4 6" xfId="2428" xr:uid="{00000000-0005-0000-0000-0000040C0000}"/>
    <cellStyle name="Currency 5 2 2 4 6 2" xfId="6713" xr:uid="{00000000-0005-0000-0000-0000050C0000}"/>
    <cellStyle name="Currency 5 2 2 4 6 2 2" xfId="32012" xr:uid="{C18B5DC8-8877-4A2D-810E-CBC788653C27}"/>
    <cellStyle name="Currency 5 2 2 4 6 2 3" xfId="23583" xr:uid="{39304CDB-4996-41F1-A152-7FB6AF15252C}"/>
    <cellStyle name="Currency 5 2 2 4 6 2 4" xfId="40440" xr:uid="{1AB06DB3-A470-4C27-BB1E-3E470B450EDA}"/>
    <cellStyle name="Currency 5 2 2 4 6 2 5" xfId="15148" xr:uid="{B3F84A71-E431-4E70-B1B1-70856C5EF57D}"/>
    <cellStyle name="Currency 5 2 2 4 6 3" xfId="27794" xr:uid="{71998082-2CAF-40F5-8262-77CF643C2E35}"/>
    <cellStyle name="Currency 5 2 2 4 6 4" xfId="19365" xr:uid="{9C3FBCCF-293F-44F0-AE91-62BEAD41BF10}"/>
    <cellStyle name="Currency 5 2 2 4 6 5" xfId="36223" xr:uid="{BD11394F-6FA1-4EB6-B2BE-BBFB518BC79B}"/>
    <cellStyle name="Currency 5 2 2 4 6 6" xfId="10930" xr:uid="{5CA567DF-FD16-43EF-8BAD-CDC02A78D879}"/>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32329" xr:uid="{420320D6-3E71-48B0-B4FE-1F534266A29F}"/>
    <cellStyle name="Currency 5 2 2 4 8 2 3" xfId="23900" xr:uid="{96D8867E-1230-4CCD-85A3-039AC127BD25}"/>
    <cellStyle name="Currency 5 2 2 4 8 2 4" xfId="40757" xr:uid="{4D8A0826-3A1E-4826-A610-135420BD9320}"/>
    <cellStyle name="Currency 5 2 2 4 8 2 5" xfId="15465" xr:uid="{5E37BA5E-57BB-45F0-A20A-AACB54E0927C}"/>
    <cellStyle name="Currency 5 2 2 4 8 3" xfId="28111" xr:uid="{35D0BA26-C0E4-421B-AA3E-493D427D820B}"/>
    <cellStyle name="Currency 5 2 2 4 8 4" xfId="19682" xr:uid="{26302C12-8A0E-4118-9F99-56C2DAF4A9F2}"/>
    <cellStyle name="Currency 5 2 2 4 8 5" xfId="36540" xr:uid="{BB8204D1-BA91-48D5-9C46-E0AB45E0BA89}"/>
    <cellStyle name="Currency 5 2 2 4 8 6" xfId="11247" xr:uid="{0A7430F5-F3DE-455F-A7FC-0D6D48C61C29}"/>
    <cellStyle name="Currency 5 2 2 4 9" xfId="4647" xr:uid="{00000000-0005-0000-0000-0000090C0000}"/>
    <cellStyle name="Currency 5 2 2 4 9 2" xfId="29946" xr:uid="{7FDFB093-1D89-4144-A669-79D4F9D28CA0}"/>
    <cellStyle name="Currency 5 2 2 4 9 3" xfId="21517" xr:uid="{00A2ABB9-0881-4B8E-B9BF-0E2B45E84288}"/>
    <cellStyle name="Currency 5 2 2 4 9 4" xfId="38374" xr:uid="{00F4095B-BC7E-46DA-A4BD-EF089801A35C}"/>
    <cellStyle name="Currency 5 2 2 4 9 5" xfId="13082" xr:uid="{0CF13A35-5E99-40CB-ABBE-6C37D82AD2EE}"/>
    <cellStyle name="Currency 5 2 2 5" xfId="203" xr:uid="{00000000-0005-0000-0000-00000A0C0000}"/>
    <cellStyle name="Currency 5 2 2 5 10" xfId="25729" xr:uid="{380A0D93-C4BA-4ED0-83DB-B469438AEA41}"/>
    <cellStyle name="Currency 5 2 2 5 11" xfId="17300" xr:uid="{AA7F9458-1E71-44A4-A89A-2F8B4F5E4ADD}"/>
    <cellStyle name="Currency 5 2 2 5 12" xfId="34158" xr:uid="{95AB4D27-99A3-4228-9C47-7327B72A462E}"/>
    <cellStyle name="Currency 5 2 2 5 13" xfId="8865" xr:uid="{4B13C809-778E-45B6-9A17-2308F39D1433}"/>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32506" xr:uid="{474BAC10-763A-4BA7-87C4-D862B9C9E58D}"/>
    <cellStyle name="Currency 5 2 2 5 2 2 2 3" xfId="24077" xr:uid="{74A08A80-C33F-472E-A7EC-128F0279F490}"/>
    <cellStyle name="Currency 5 2 2 5 2 2 2 4" xfId="40934" xr:uid="{908EA695-6A72-4124-BEF9-5E2F2C447536}"/>
    <cellStyle name="Currency 5 2 2 5 2 2 2 5" xfId="15642" xr:uid="{29CAC71B-0E94-4C28-97C5-BD0F39999ED7}"/>
    <cellStyle name="Currency 5 2 2 5 2 2 3" xfId="28288" xr:uid="{B31B367B-69B7-43F8-AB85-F941611190A4}"/>
    <cellStyle name="Currency 5 2 2 5 2 2 4" xfId="19859" xr:uid="{B033E218-7EFC-4E3B-B2FA-0EF6047E907A}"/>
    <cellStyle name="Currency 5 2 2 5 2 2 5" xfId="36717" xr:uid="{A1F1366B-14AF-4E79-8285-EEB013BC820D}"/>
    <cellStyle name="Currency 5 2 2 5 2 2 6" xfId="11424" xr:uid="{C87C88DE-4B8F-4B69-ABEA-3AEBBB2687DC}"/>
    <cellStyle name="Currency 5 2 2 5 2 3" xfId="5062" xr:uid="{00000000-0005-0000-0000-00000E0C0000}"/>
    <cellStyle name="Currency 5 2 2 5 2 3 2" xfId="30361" xr:uid="{931634E2-01E1-4CC9-83DA-E8E12AFEEE28}"/>
    <cellStyle name="Currency 5 2 2 5 2 3 3" xfId="21932" xr:uid="{05DDC89B-17A3-43B3-9FE2-A28A5B85BE83}"/>
    <cellStyle name="Currency 5 2 2 5 2 3 4" xfId="38789" xr:uid="{1AC72CBC-50C6-44D8-A207-80C3CE2E9120}"/>
    <cellStyle name="Currency 5 2 2 5 2 3 5" xfId="13497" xr:uid="{29507EF1-A86B-4B4B-84DE-F2F265DAF663}"/>
    <cellStyle name="Currency 5 2 2 5 2 4" xfId="26143" xr:uid="{B52D3D6B-55D6-4DF1-9E0C-1F6F9EEC3486}"/>
    <cellStyle name="Currency 5 2 2 5 2 5" xfId="17714" xr:uid="{727E5435-5741-4F1A-8DC6-F6DA1AA24EFD}"/>
    <cellStyle name="Currency 5 2 2 5 2 6" xfId="34572" xr:uid="{E035B477-42B5-4329-BA4D-6432031DBA64}"/>
    <cellStyle name="Currency 5 2 2 5 2 7" xfId="9279" xr:uid="{858BD784-1812-4580-88F4-3B4859607C6C}"/>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32919" xr:uid="{14198A89-5E7F-4BF1-9F8E-F591350055AC}"/>
    <cellStyle name="Currency 5 2 2 5 3 2 2 3" xfId="24490" xr:uid="{3857598E-0927-488F-ABA2-BDDD483B156C}"/>
    <cellStyle name="Currency 5 2 2 5 3 2 2 4" xfId="41347" xr:uid="{79701610-0236-46C7-ABD2-4150A71F9C31}"/>
    <cellStyle name="Currency 5 2 2 5 3 2 2 5" xfId="16055" xr:uid="{880C3D38-B2C5-41A4-9A6A-6C421556EFF9}"/>
    <cellStyle name="Currency 5 2 2 5 3 2 3" xfId="28701" xr:uid="{E771403C-ACCC-45B4-8DAE-207B01FA9E91}"/>
    <cellStyle name="Currency 5 2 2 5 3 2 4" xfId="20272" xr:uid="{688D7684-B60E-425E-93C0-3476297C100B}"/>
    <cellStyle name="Currency 5 2 2 5 3 2 5" xfId="37130" xr:uid="{F30DD248-CB14-4C12-907A-ED65856DC173}"/>
    <cellStyle name="Currency 5 2 2 5 3 2 6" xfId="11837" xr:uid="{48271E2C-7BED-46EC-9EDD-926BE9FFACF4}"/>
    <cellStyle name="Currency 5 2 2 5 3 3" xfId="5475" xr:uid="{00000000-0005-0000-0000-0000120C0000}"/>
    <cellStyle name="Currency 5 2 2 5 3 3 2" xfId="30774" xr:uid="{0CC050F3-FD0B-49BD-AC55-896F293E526A}"/>
    <cellStyle name="Currency 5 2 2 5 3 3 3" xfId="22345" xr:uid="{B908C8ED-170F-4532-90B6-675E4E067463}"/>
    <cellStyle name="Currency 5 2 2 5 3 3 4" xfId="39202" xr:uid="{96ACF655-8D3B-4913-982A-2CEBB76D02D5}"/>
    <cellStyle name="Currency 5 2 2 5 3 3 5" xfId="13910" xr:uid="{FDE1BECC-BBF4-4401-AF7D-825B3C2DE5C3}"/>
    <cellStyle name="Currency 5 2 2 5 3 4" xfId="26556" xr:uid="{7DC7B5C1-2461-4318-8C5E-0FC63DD4D676}"/>
    <cellStyle name="Currency 5 2 2 5 3 5" xfId="18127" xr:uid="{83C04A67-12DE-4DD3-BCA4-02BDF23A8F61}"/>
    <cellStyle name="Currency 5 2 2 5 3 6" xfId="34985" xr:uid="{D5E1EE92-12D4-47B3-8888-E0C6AEE9AE63}"/>
    <cellStyle name="Currency 5 2 2 5 3 7" xfId="9692" xr:uid="{4F2DAE77-F00A-4A65-A757-084D95CCA1A8}"/>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33332" xr:uid="{E029121D-7D48-4072-BDCB-A2E923387E86}"/>
    <cellStyle name="Currency 5 2 2 5 4 2 2 3" xfId="24903" xr:uid="{F7A68CB7-4402-4D98-8CCD-7208FB5F3E07}"/>
    <cellStyle name="Currency 5 2 2 5 4 2 2 4" xfId="41760" xr:uid="{29138CA3-AD0D-41B3-8CCC-3FF90141985C}"/>
    <cellStyle name="Currency 5 2 2 5 4 2 2 5" xfId="16468" xr:uid="{691E66D4-0912-4F59-982B-96FFA1984E78}"/>
    <cellStyle name="Currency 5 2 2 5 4 2 3" xfId="29114" xr:uid="{08A97169-DC08-4F17-9F74-670CA194E6D6}"/>
    <cellStyle name="Currency 5 2 2 5 4 2 4" xfId="20685" xr:uid="{F085405D-C947-47BD-A98B-DC53296479A1}"/>
    <cellStyle name="Currency 5 2 2 5 4 2 5" xfId="37543" xr:uid="{5369A47C-208D-4FA9-BA9B-5B82941E9892}"/>
    <cellStyle name="Currency 5 2 2 5 4 2 6" xfId="12250" xr:uid="{162AF8D1-1A6E-4188-A7E1-E50AD5CD2697}"/>
    <cellStyle name="Currency 5 2 2 5 4 3" xfId="5888" xr:uid="{00000000-0005-0000-0000-0000160C0000}"/>
    <cellStyle name="Currency 5 2 2 5 4 3 2" xfId="31187" xr:uid="{D5796ECA-6F98-4860-B326-C9B32EC25BFF}"/>
    <cellStyle name="Currency 5 2 2 5 4 3 3" xfId="22758" xr:uid="{2C529C45-850A-46DA-AD5F-1C7A36F06512}"/>
    <cellStyle name="Currency 5 2 2 5 4 3 4" xfId="39615" xr:uid="{8F58D68D-6EFA-4EDB-8492-99CF80D1A21E}"/>
    <cellStyle name="Currency 5 2 2 5 4 3 5" xfId="14323" xr:uid="{3265D25F-D724-4D3C-B14B-17880E4DD0B4}"/>
    <cellStyle name="Currency 5 2 2 5 4 4" xfId="26969" xr:uid="{7F280E97-2709-4EC6-B049-D1B3D7E2981F}"/>
    <cellStyle name="Currency 5 2 2 5 4 5" xfId="18540" xr:uid="{E1AC02E4-EAE9-4831-9A0E-5175FA497E7C}"/>
    <cellStyle name="Currency 5 2 2 5 4 6" xfId="35398" xr:uid="{8D3C2721-9642-475D-A53B-8328BD8F3C06}"/>
    <cellStyle name="Currency 5 2 2 5 4 7" xfId="10105" xr:uid="{29E5E733-762D-46A2-960D-8F9CA6E0931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33745" xr:uid="{E5C7880A-8913-4097-8646-4F438FA876B4}"/>
    <cellStyle name="Currency 5 2 2 5 5 2 2 3" xfId="25316" xr:uid="{79470948-B0E4-4E11-B3BC-459058DEA3C3}"/>
    <cellStyle name="Currency 5 2 2 5 5 2 2 4" xfId="42173" xr:uid="{B481D7E6-936E-405E-BF04-CACDD7365BC5}"/>
    <cellStyle name="Currency 5 2 2 5 5 2 2 5" xfId="16881" xr:uid="{2725DF97-274E-4E85-A459-76BE9CCF568A}"/>
    <cellStyle name="Currency 5 2 2 5 5 2 3" xfId="29527" xr:uid="{FCA3A998-3992-47AE-811F-EB63D1345004}"/>
    <cellStyle name="Currency 5 2 2 5 5 2 4" xfId="21098" xr:uid="{74136BCC-D2F5-4A64-805C-E19EFA0ADB6D}"/>
    <cellStyle name="Currency 5 2 2 5 5 2 5" xfId="37956" xr:uid="{94FCBC20-FEA4-4BAC-94E1-BEE00F9A531E}"/>
    <cellStyle name="Currency 5 2 2 5 5 2 6" xfId="12663" xr:uid="{2927F1E1-8B4C-451B-9FE1-CED5BCA5AE07}"/>
    <cellStyle name="Currency 5 2 2 5 5 3" xfId="6301" xr:uid="{00000000-0005-0000-0000-00001A0C0000}"/>
    <cellStyle name="Currency 5 2 2 5 5 3 2" xfId="31600" xr:uid="{C5F1BC07-6FCB-49DF-B812-54F4A50C98CA}"/>
    <cellStyle name="Currency 5 2 2 5 5 3 3" xfId="23171" xr:uid="{C8257823-7972-42D4-99AB-60C3358FF928}"/>
    <cellStyle name="Currency 5 2 2 5 5 3 4" xfId="40028" xr:uid="{B90A773F-7E44-4C3A-91BF-7D2518AA1E6E}"/>
    <cellStyle name="Currency 5 2 2 5 5 3 5" xfId="14736" xr:uid="{4E36A290-3763-4022-BCCD-17DA2C13B08D}"/>
    <cellStyle name="Currency 5 2 2 5 5 4" xfId="27382" xr:uid="{C9CE1F88-282B-4670-9F22-3892944F35CC}"/>
    <cellStyle name="Currency 5 2 2 5 5 5" xfId="18953" xr:uid="{AA7B9FB3-602F-4D36-8A2B-908B9F95E3DE}"/>
    <cellStyle name="Currency 5 2 2 5 5 6" xfId="35811" xr:uid="{836E2A9D-2802-4B33-BC58-08F2EE95EC08}"/>
    <cellStyle name="Currency 5 2 2 5 5 7" xfId="10518" xr:uid="{6D38D2AB-6832-491E-A347-7A0F9DF60AB9}"/>
    <cellStyle name="Currency 5 2 2 5 6" xfId="2429" xr:uid="{00000000-0005-0000-0000-00001B0C0000}"/>
    <cellStyle name="Currency 5 2 2 5 6 2" xfId="6714" xr:uid="{00000000-0005-0000-0000-00001C0C0000}"/>
    <cellStyle name="Currency 5 2 2 5 6 2 2" xfId="32013" xr:uid="{0BB1C24E-BABC-49BA-ABC3-98E7895EB0E7}"/>
    <cellStyle name="Currency 5 2 2 5 6 2 3" xfId="23584" xr:uid="{663054D2-253D-46EB-A7D4-0FA02A3C0B8F}"/>
    <cellStyle name="Currency 5 2 2 5 6 2 4" xfId="40441" xr:uid="{BB1C3F7D-C084-47F3-A5D8-729274C7DE5F}"/>
    <cellStyle name="Currency 5 2 2 5 6 2 5" xfId="15149" xr:uid="{659C3463-6DFF-4917-9838-167CDCB20F1D}"/>
    <cellStyle name="Currency 5 2 2 5 6 3" xfId="27795" xr:uid="{2D1314C5-39A0-49D8-8D0C-30C39D6D7AD7}"/>
    <cellStyle name="Currency 5 2 2 5 6 4" xfId="19366" xr:uid="{3BB9C034-6BDF-4AD3-B0E8-38D6B3270B1F}"/>
    <cellStyle name="Currency 5 2 2 5 6 5" xfId="36224" xr:uid="{A1BD8FDA-1BE8-4EED-9F40-97C91481D793}"/>
    <cellStyle name="Currency 5 2 2 5 6 6" xfId="10931" xr:uid="{9F881966-F583-4F6A-A6F5-3E84E9D39E17}"/>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32330" xr:uid="{DB4E3560-9314-4ED0-9BEF-036F8D840DA7}"/>
    <cellStyle name="Currency 5 2 2 5 8 2 3" xfId="23901" xr:uid="{21E7B466-7B1A-4ABA-AF40-C98D71EBE894}"/>
    <cellStyle name="Currency 5 2 2 5 8 2 4" xfId="40758" xr:uid="{DC19E52B-D6DD-4566-8D5C-210E5FAD7EB6}"/>
    <cellStyle name="Currency 5 2 2 5 8 2 5" xfId="15466" xr:uid="{6F6DA37F-A6AF-45BA-9746-57D21D57E210}"/>
    <cellStyle name="Currency 5 2 2 5 8 3" xfId="28112" xr:uid="{0F5D291E-CBEB-485E-AC60-6BCD5841E9C8}"/>
    <cellStyle name="Currency 5 2 2 5 8 4" xfId="19683" xr:uid="{86AB8775-DFA6-46CD-A5CA-97007BDB480A}"/>
    <cellStyle name="Currency 5 2 2 5 8 5" xfId="36541" xr:uid="{EF956111-9A0B-4DAB-B895-4CB7948370FD}"/>
    <cellStyle name="Currency 5 2 2 5 8 6" xfId="11248" xr:uid="{52D3BF82-EE27-4781-8996-53F56591CE80}"/>
    <cellStyle name="Currency 5 2 2 5 9" xfId="4648" xr:uid="{00000000-0005-0000-0000-0000200C0000}"/>
    <cellStyle name="Currency 5 2 2 5 9 2" xfId="29947" xr:uid="{EDCEC38B-4388-4C4B-BA08-8A028C2020F8}"/>
    <cellStyle name="Currency 5 2 2 5 9 3" xfId="21518" xr:uid="{B31A2171-0897-4CF9-8497-47B57121EA92}"/>
    <cellStyle name="Currency 5 2 2 5 9 4" xfId="38375" xr:uid="{DE2C2E2B-6877-488C-8298-92EB4F762B11}"/>
    <cellStyle name="Currency 5 2 2 5 9 5" xfId="13083" xr:uid="{BC134682-DCE4-4343-95F0-B4CB1405BF7F}"/>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9948" xr:uid="{AD42A8C7-50A9-4662-9B67-14B37DD3CF31}"/>
    <cellStyle name="Currency 5 2 4 10 3" xfId="21519" xr:uid="{BB3294E8-DC00-412D-83DF-1F27710DA774}"/>
    <cellStyle name="Currency 5 2 4 10 4" xfId="38376" xr:uid="{8696C9C4-B609-4D1A-9869-C5647634B548}"/>
    <cellStyle name="Currency 5 2 4 10 5" xfId="13084" xr:uid="{EC407E79-A86C-4743-94ED-63E05F8FD992}"/>
    <cellStyle name="Currency 5 2 4 11" xfId="25730" xr:uid="{77DB1889-A44F-4198-B778-3A081174A3A2}"/>
    <cellStyle name="Currency 5 2 4 12" xfId="17301" xr:uid="{FD41723A-7C53-4F08-B675-B66D20FD628E}"/>
    <cellStyle name="Currency 5 2 4 13" xfId="34159" xr:uid="{5016B54A-16F2-4509-97B9-6AD14976FC28}"/>
    <cellStyle name="Currency 5 2 4 14" xfId="8866" xr:uid="{6A2F684D-EBCA-4AA6-A9E1-5121CCB208B9}"/>
    <cellStyle name="Currency 5 2 4 2" xfId="206" xr:uid="{00000000-0005-0000-0000-0000250C0000}"/>
    <cellStyle name="Currency 5 2 4 2 10" xfId="25731" xr:uid="{47E7F987-0ADE-49D9-B7CB-CB7515DA6667}"/>
    <cellStyle name="Currency 5 2 4 2 11" xfId="17302" xr:uid="{F6CE3DBC-BA7E-4AD4-84C0-5CAB837AE4E8}"/>
    <cellStyle name="Currency 5 2 4 2 12" xfId="34160" xr:uid="{8BA1947C-C4C1-4BCA-8D0B-E525862F0EC8}"/>
    <cellStyle name="Currency 5 2 4 2 13" xfId="8867" xr:uid="{AD3652C9-7A7E-4994-A2F4-B9B32B05539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32508" xr:uid="{6638E0CE-006D-4535-B52E-01CF48C8A2A4}"/>
    <cellStyle name="Currency 5 2 4 2 2 2 2 3" xfId="24079" xr:uid="{24BAE563-9E71-4BCE-B49E-A5B92495FBB5}"/>
    <cellStyle name="Currency 5 2 4 2 2 2 2 4" xfId="40936" xr:uid="{8A21A939-EF47-4518-8C68-3F572D86AE3F}"/>
    <cellStyle name="Currency 5 2 4 2 2 2 2 5" xfId="15644" xr:uid="{4A122EB3-E017-4031-A7B9-917D9CBC9023}"/>
    <cellStyle name="Currency 5 2 4 2 2 2 3" xfId="28290" xr:uid="{C9FE076F-1824-47CC-B775-1186357A99F0}"/>
    <cellStyle name="Currency 5 2 4 2 2 2 4" xfId="19861" xr:uid="{B3994B9C-4B81-4563-9F47-8A64A58BA240}"/>
    <cellStyle name="Currency 5 2 4 2 2 2 5" xfId="36719" xr:uid="{DA57DAF7-55DB-4578-AD4E-84F1C4000A4A}"/>
    <cellStyle name="Currency 5 2 4 2 2 2 6" xfId="11426" xr:uid="{878B017B-A6E2-4FEC-90F7-E9AA0A9FB0B2}"/>
    <cellStyle name="Currency 5 2 4 2 2 3" xfId="5064" xr:uid="{00000000-0005-0000-0000-0000290C0000}"/>
    <cellStyle name="Currency 5 2 4 2 2 3 2" xfId="30363" xr:uid="{F7C5532F-7C82-4954-ACA5-554D20D3C39E}"/>
    <cellStyle name="Currency 5 2 4 2 2 3 3" xfId="21934" xr:uid="{50E4CF7F-E415-4565-A2ED-A85A887A5E63}"/>
    <cellStyle name="Currency 5 2 4 2 2 3 4" xfId="38791" xr:uid="{7952E421-6ABD-4B2D-AD64-01C8830B1FA0}"/>
    <cellStyle name="Currency 5 2 4 2 2 3 5" xfId="13499" xr:uid="{CAE62FE1-DD1B-4F8D-A410-551518481844}"/>
    <cellStyle name="Currency 5 2 4 2 2 4" xfId="26145" xr:uid="{D293A5DF-92EB-4F45-988B-FCEADF63EA53}"/>
    <cellStyle name="Currency 5 2 4 2 2 5" xfId="17716" xr:uid="{D009FF54-9A66-4082-989E-80A50658D8AD}"/>
    <cellStyle name="Currency 5 2 4 2 2 6" xfId="34574" xr:uid="{762DC60B-3FD6-4904-9C5D-4470A7F46B16}"/>
    <cellStyle name="Currency 5 2 4 2 2 7" xfId="9281" xr:uid="{B56F1020-602A-4B4A-AF6A-7F6C8E029778}"/>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32921" xr:uid="{EAF5B2ED-2A28-4190-BE03-6EB84B904E29}"/>
    <cellStyle name="Currency 5 2 4 2 3 2 2 3" xfId="24492" xr:uid="{8019F155-D538-49D8-AB76-991E591054D6}"/>
    <cellStyle name="Currency 5 2 4 2 3 2 2 4" xfId="41349" xr:uid="{640E2A2B-E5C5-4577-8905-B813867183B8}"/>
    <cellStyle name="Currency 5 2 4 2 3 2 2 5" xfId="16057" xr:uid="{0029C709-DEAA-4831-BDD5-405F062AAFDA}"/>
    <cellStyle name="Currency 5 2 4 2 3 2 3" xfId="28703" xr:uid="{B2C2C5A6-88F9-450E-8280-748814DD622D}"/>
    <cellStyle name="Currency 5 2 4 2 3 2 4" xfId="20274" xr:uid="{EB639D0A-3737-4D29-9171-43BB199C762B}"/>
    <cellStyle name="Currency 5 2 4 2 3 2 5" xfId="37132" xr:uid="{A4FFFF93-7350-4839-A380-6894B465032F}"/>
    <cellStyle name="Currency 5 2 4 2 3 2 6" xfId="11839" xr:uid="{31B1E999-7A78-49E5-B78C-777481BD83F9}"/>
    <cellStyle name="Currency 5 2 4 2 3 3" xfId="5477" xr:uid="{00000000-0005-0000-0000-00002D0C0000}"/>
    <cellStyle name="Currency 5 2 4 2 3 3 2" xfId="30776" xr:uid="{00AE3FC5-DFDE-42F7-8204-296E88675D9C}"/>
    <cellStyle name="Currency 5 2 4 2 3 3 3" xfId="22347" xr:uid="{11A9D6B9-59FA-4C4A-9450-75E98D7759E4}"/>
    <cellStyle name="Currency 5 2 4 2 3 3 4" xfId="39204" xr:uid="{7DF1F7AB-4DB3-49DC-983A-771881251F46}"/>
    <cellStyle name="Currency 5 2 4 2 3 3 5" xfId="13912" xr:uid="{BC5F6E89-30AB-431D-B87B-05C44E15E0EC}"/>
    <cellStyle name="Currency 5 2 4 2 3 4" xfId="26558" xr:uid="{730DE307-0687-441B-A5CA-AAAC75BE582F}"/>
    <cellStyle name="Currency 5 2 4 2 3 5" xfId="18129" xr:uid="{6475B394-1647-44D3-9475-CBD69B57FC24}"/>
    <cellStyle name="Currency 5 2 4 2 3 6" xfId="34987" xr:uid="{BD5DACC1-170D-41E6-A87D-F0D09E955FA0}"/>
    <cellStyle name="Currency 5 2 4 2 3 7" xfId="9694" xr:uid="{E67DA8A6-8217-4471-BDFD-EE260BC18DE5}"/>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33334" xr:uid="{FB8B4FD6-5FC0-4480-977C-325946B88025}"/>
    <cellStyle name="Currency 5 2 4 2 4 2 2 3" xfId="24905" xr:uid="{F1A606F8-748E-4456-A76B-5D4C00256BC0}"/>
    <cellStyle name="Currency 5 2 4 2 4 2 2 4" xfId="41762" xr:uid="{8852FC70-A499-43DF-AF0C-A99647EB0681}"/>
    <cellStyle name="Currency 5 2 4 2 4 2 2 5" xfId="16470" xr:uid="{CD0EE583-5DD2-4B57-A708-321638AC7566}"/>
    <cellStyle name="Currency 5 2 4 2 4 2 3" xfId="29116" xr:uid="{D878BBE5-DD73-41B2-8971-72537791F804}"/>
    <cellStyle name="Currency 5 2 4 2 4 2 4" xfId="20687" xr:uid="{0CE28071-3BBF-4581-8262-CE3E0B2B8559}"/>
    <cellStyle name="Currency 5 2 4 2 4 2 5" xfId="37545" xr:uid="{3923271B-4347-44C2-8F33-FAE5ED9F22A4}"/>
    <cellStyle name="Currency 5 2 4 2 4 2 6" xfId="12252" xr:uid="{B140AE3B-0AAF-4D5C-BBA4-49718524EA9D}"/>
    <cellStyle name="Currency 5 2 4 2 4 3" xfId="5890" xr:uid="{00000000-0005-0000-0000-0000310C0000}"/>
    <cellStyle name="Currency 5 2 4 2 4 3 2" xfId="31189" xr:uid="{1D1A5F1C-D8A1-4897-9C3B-FCD438882EEF}"/>
    <cellStyle name="Currency 5 2 4 2 4 3 3" xfId="22760" xr:uid="{4C94A4B3-89DE-4503-A06A-3C68168064EE}"/>
    <cellStyle name="Currency 5 2 4 2 4 3 4" xfId="39617" xr:uid="{73E1922C-1F09-4A75-9E62-3E17A40D2281}"/>
    <cellStyle name="Currency 5 2 4 2 4 3 5" xfId="14325" xr:uid="{0BF7B556-578B-44C6-B2FE-C126B7BB22EA}"/>
    <cellStyle name="Currency 5 2 4 2 4 4" xfId="26971" xr:uid="{38F97818-23BD-402F-89A7-37BED8F2A29E}"/>
    <cellStyle name="Currency 5 2 4 2 4 5" xfId="18542" xr:uid="{52520A38-F1F8-41B5-A864-E895AAAD89A4}"/>
    <cellStyle name="Currency 5 2 4 2 4 6" xfId="35400" xr:uid="{51D59CED-55D4-474E-83DF-657EB48FEBA2}"/>
    <cellStyle name="Currency 5 2 4 2 4 7" xfId="10107" xr:uid="{3124C18B-D7E4-4FCB-BD89-D88E9524DB52}"/>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33747" xr:uid="{8230AEDB-46E7-48D2-9E3D-9EED263591EB}"/>
    <cellStyle name="Currency 5 2 4 2 5 2 2 3" xfId="25318" xr:uid="{7FA8D6EA-4AB9-4A77-BBF1-66FD5E16B37D}"/>
    <cellStyle name="Currency 5 2 4 2 5 2 2 4" xfId="42175" xr:uid="{EDFDACB6-888C-47BF-85B4-8B19B53286BA}"/>
    <cellStyle name="Currency 5 2 4 2 5 2 2 5" xfId="16883" xr:uid="{F0AFBE6C-8BA3-4C33-B707-FF492E3835B5}"/>
    <cellStyle name="Currency 5 2 4 2 5 2 3" xfId="29529" xr:uid="{714433E9-AADE-46B9-AD43-3648DDCDB53B}"/>
    <cellStyle name="Currency 5 2 4 2 5 2 4" xfId="21100" xr:uid="{AF655C85-D691-4854-9C2E-EEC71756D6C1}"/>
    <cellStyle name="Currency 5 2 4 2 5 2 5" xfId="37958" xr:uid="{9F2F43E7-6A49-4B4E-A8DD-869D201DBAF1}"/>
    <cellStyle name="Currency 5 2 4 2 5 2 6" xfId="12665" xr:uid="{96077792-2DAD-40B1-A475-BC22E2833BAE}"/>
    <cellStyle name="Currency 5 2 4 2 5 3" xfId="6303" xr:uid="{00000000-0005-0000-0000-0000350C0000}"/>
    <cellStyle name="Currency 5 2 4 2 5 3 2" xfId="31602" xr:uid="{4E82C339-C812-48F6-B245-DDF8EB5595D2}"/>
    <cellStyle name="Currency 5 2 4 2 5 3 3" xfId="23173" xr:uid="{D7F34C55-449A-4C78-94C5-E06C36904CB2}"/>
    <cellStyle name="Currency 5 2 4 2 5 3 4" xfId="40030" xr:uid="{B354C9DD-6FD2-46C6-B179-1238A10534A3}"/>
    <cellStyle name="Currency 5 2 4 2 5 3 5" xfId="14738" xr:uid="{602EE701-C0A1-4776-9BAE-9D2E8DDD04AA}"/>
    <cellStyle name="Currency 5 2 4 2 5 4" xfId="27384" xr:uid="{B49355A1-D523-4A0B-A8BB-73292A40B0CF}"/>
    <cellStyle name="Currency 5 2 4 2 5 5" xfId="18955" xr:uid="{2FCD435E-F9F6-4010-BA44-10A07C8FE3C0}"/>
    <cellStyle name="Currency 5 2 4 2 5 6" xfId="35813" xr:uid="{FCE9846F-C901-42E6-A7AF-F9DA65203297}"/>
    <cellStyle name="Currency 5 2 4 2 5 7" xfId="10520" xr:uid="{655FDEF9-506B-4F85-9A52-55F859BCE09A}"/>
    <cellStyle name="Currency 5 2 4 2 6" xfId="2431" xr:uid="{00000000-0005-0000-0000-0000360C0000}"/>
    <cellStyle name="Currency 5 2 4 2 6 2" xfId="6716" xr:uid="{00000000-0005-0000-0000-0000370C0000}"/>
    <cellStyle name="Currency 5 2 4 2 6 2 2" xfId="32015" xr:uid="{3A21F1B7-2D88-4B3B-8462-8B94AEFBC054}"/>
    <cellStyle name="Currency 5 2 4 2 6 2 3" xfId="23586" xr:uid="{41B5A85F-16E2-43DD-AD4A-B42289DA52C0}"/>
    <cellStyle name="Currency 5 2 4 2 6 2 4" xfId="40443" xr:uid="{C2D77B3D-2275-4333-95F8-5F66E31EE7B7}"/>
    <cellStyle name="Currency 5 2 4 2 6 2 5" xfId="15151" xr:uid="{79F68356-134E-45C4-B37B-037B2EC47C89}"/>
    <cellStyle name="Currency 5 2 4 2 6 3" xfId="27797" xr:uid="{B11103A1-3C09-478B-8223-051C7267A0A0}"/>
    <cellStyle name="Currency 5 2 4 2 6 4" xfId="19368" xr:uid="{B441DB24-38BB-43B2-A424-CF608F529F61}"/>
    <cellStyle name="Currency 5 2 4 2 6 5" xfId="36226" xr:uid="{3E0EB35F-548B-42CF-98EA-D666638B6B3A}"/>
    <cellStyle name="Currency 5 2 4 2 6 6" xfId="10933" xr:uid="{ED249362-2E43-4BBF-9C22-EC4E223F0BC1}"/>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32332" xr:uid="{C19BCF86-A92F-4586-BE03-16C70B032E76}"/>
    <cellStyle name="Currency 5 2 4 2 8 2 3" xfId="23903" xr:uid="{4DBEB722-335C-4DF7-A750-446DE540A7D0}"/>
    <cellStyle name="Currency 5 2 4 2 8 2 4" xfId="40760" xr:uid="{B931E88E-90BB-4711-8179-673664999EDE}"/>
    <cellStyle name="Currency 5 2 4 2 8 2 5" xfId="15468" xr:uid="{FEEA9989-A3B4-401C-911F-927A3DCF6B3B}"/>
    <cellStyle name="Currency 5 2 4 2 8 3" xfId="28114" xr:uid="{9C96B195-24A1-46DB-9C19-FC89836CFBDC}"/>
    <cellStyle name="Currency 5 2 4 2 8 4" xfId="19685" xr:uid="{B335F62F-93DD-4B07-AFF4-05E28505706F}"/>
    <cellStyle name="Currency 5 2 4 2 8 5" xfId="36543" xr:uid="{76ADBB78-3172-4124-8B13-B12BB12FF4F0}"/>
    <cellStyle name="Currency 5 2 4 2 8 6" xfId="11250" xr:uid="{D75CF56E-22CA-4A65-8576-9DF3625F3FA0}"/>
    <cellStyle name="Currency 5 2 4 2 9" xfId="4650" xr:uid="{00000000-0005-0000-0000-00003B0C0000}"/>
    <cellStyle name="Currency 5 2 4 2 9 2" xfId="29949" xr:uid="{B1EE0465-22E1-49C8-89BA-DEDD0C0715E5}"/>
    <cellStyle name="Currency 5 2 4 2 9 3" xfId="21520" xr:uid="{193596A3-2406-416E-92FC-FFFCF55F1A1A}"/>
    <cellStyle name="Currency 5 2 4 2 9 4" xfId="38377" xr:uid="{F7F002D5-6D8E-4AF6-A2F3-E41D69E91DC1}"/>
    <cellStyle name="Currency 5 2 4 2 9 5" xfId="13085" xr:uid="{AF3E3FC1-88EC-4D6E-BC04-6A1D56B888C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32507" xr:uid="{C9864893-FAFC-47DB-A5CD-63D59DD088DC}"/>
    <cellStyle name="Currency 5 2 4 3 2 2 3" xfId="24078" xr:uid="{04D94AD6-7C10-4A0D-B277-4A799EFBEF03}"/>
    <cellStyle name="Currency 5 2 4 3 2 2 4" xfId="40935" xr:uid="{8AEB8903-6C27-4037-8F1F-6A4768BD007B}"/>
    <cellStyle name="Currency 5 2 4 3 2 2 5" xfId="15643" xr:uid="{49A9E896-674D-479D-9E70-D0B1F38D0E59}"/>
    <cellStyle name="Currency 5 2 4 3 2 3" xfId="28289" xr:uid="{C0AD912B-3257-48A6-B2EC-EDD454E2F0C7}"/>
    <cellStyle name="Currency 5 2 4 3 2 4" xfId="19860" xr:uid="{FFAFF8DC-5948-49B1-B6D9-C6DCBEB3F495}"/>
    <cellStyle name="Currency 5 2 4 3 2 5" xfId="36718" xr:uid="{F85831C5-3F91-41EE-89E5-A9838E5CB040}"/>
    <cellStyle name="Currency 5 2 4 3 2 6" xfId="11425" xr:uid="{76DDE8C5-0C8B-4632-B32F-852B34E2DDAD}"/>
    <cellStyle name="Currency 5 2 4 3 3" xfId="5063" xr:uid="{00000000-0005-0000-0000-00003F0C0000}"/>
    <cellStyle name="Currency 5 2 4 3 3 2" xfId="30362" xr:uid="{56BE9264-B2B9-4B8B-A3BC-7918445C3373}"/>
    <cellStyle name="Currency 5 2 4 3 3 3" xfId="21933" xr:uid="{C49C0B84-6EC9-4B8B-A622-2414C36937D9}"/>
    <cellStyle name="Currency 5 2 4 3 3 4" xfId="38790" xr:uid="{92501D6E-480F-4AC6-815C-50B22D59863C}"/>
    <cellStyle name="Currency 5 2 4 3 3 5" xfId="13498" xr:uid="{E8AD46D5-96E3-4162-A776-035B90460E9E}"/>
    <cellStyle name="Currency 5 2 4 3 4" xfId="26144" xr:uid="{BA365FCE-02CC-48E0-996D-32E76B55C970}"/>
    <cellStyle name="Currency 5 2 4 3 5" xfId="17715" xr:uid="{DDA63C98-9851-43EE-AB28-147CE7178ABF}"/>
    <cellStyle name="Currency 5 2 4 3 6" xfId="34573" xr:uid="{C2952FCC-A709-444A-9792-CB5103E7D57A}"/>
    <cellStyle name="Currency 5 2 4 3 7" xfId="9280" xr:uid="{1528A909-035F-4543-839A-980F08E3BA7E}"/>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32920" xr:uid="{B0B3F16C-7A48-487F-BF49-86891FFEF0A1}"/>
    <cellStyle name="Currency 5 2 4 4 2 2 3" xfId="24491" xr:uid="{188AFE82-8763-4606-B669-46903D63ACDB}"/>
    <cellStyle name="Currency 5 2 4 4 2 2 4" xfId="41348" xr:uid="{1E7ACFF0-112E-4FF4-99DD-AFDD95E20C71}"/>
    <cellStyle name="Currency 5 2 4 4 2 2 5" xfId="16056" xr:uid="{9D3E5B9A-A692-4DA9-B7DF-423F4E15EA16}"/>
    <cellStyle name="Currency 5 2 4 4 2 3" xfId="28702" xr:uid="{70ADC9CB-55B0-4A5E-B024-60C34A37CB7E}"/>
    <cellStyle name="Currency 5 2 4 4 2 4" xfId="20273" xr:uid="{A0394BD8-E4B9-42C6-A813-23F41EE392F5}"/>
    <cellStyle name="Currency 5 2 4 4 2 5" xfId="37131" xr:uid="{54D593F9-CCAE-4864-BFA0-3BC1C7304885}"/>
    <cellStyle name="Currency 5 2 4 4 2 6" xfId="11838" xr:uid="{773AA712-0904-4A89-BD03-F45230567D56}"/>
    <cellStyle name="Currency 5 2 4 4 3" xfId="5476" xr:uid="{00000000-0005-0000-0000-0000430C0000}"/>
    <cellStyle name="Currency 5 2 4 4 3 2" xfId="30775" xr:uid="{F78FE1F2-BDE7-4FC8-BBD1-A9311F296403}"/>
    <cellStyle name="Currency 5 2 4 4 3 3" xfId="22346" xr:uid="{DB1B03D5-6645-45E9-85E1-5540C483616A}"/>
    <cellStyle name="Currency 5 2 4 4 3 4" xfId="39203" xr:uid="{195BD898-6544-4657-A011-DA53F4C7C31E}"/>
    <cellStyle name="Currency 5 2 4 4 3 5" xfId="13911" xr:uid="{1566529D-DCB3-4F36-85D1-E1FFAEB049DE}"/>
    <cellStyle name="Currency 5 2 4 4 4" xfId="26557" xr:uid="{08298B05-2D6E-48B7-AC8C-493EAED1C98C}"/>
    <cellStyle name="Currency 5 2 4 4 5" xfId="18128" xr:uid="{61E62F48-425B-4D1E-BC17-691472557CC0}"/>
    <cellStyle name="Currency 5 2 4 4 6" xfId="34986" xr:uid="{70F5712D-768E-49F1-8805-95BDC8957847}"/>
    <cellStyle name="Currency 5 2 4 4 7" xfId="9693" xr:uid="{49F6C0F7-C521-4ABF-A5FC-D1539DE792A1}"/>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33333" xr:uid="{9D59F6A5-2FA5-4963-9A74-964C87481236}"/>
    <cellStyle name="Currency 5 2 4 5 2 2 3" xfId="24904" xr:uid="{740C108A-B6FD-4972-8CB2-BDD541024248}"/>
    <cellStyle name="Currency 5 2 4 5 2 2 4" xfId="41761" xr:uid="{D82767D0-B2A1-4018-9276-1E0777FBDDBD}"/>
    <cellStyle name="Currency 5 2 4 5 2 2 5" xfId="16469" xr:uid="{861F0A56-5292-4EF8-9951-3C94CA786B14}"/>
    <cellStyle name="Currency 5 2 4 5 2 3" xfId="29115" xr:uid="{97488DA5-5656-4CC0-AE8B-91F8468E05D3}"/>
    <cellStyle name="Currency 5 2 4 5 2 4" xfId="20686" xr:uid="{2DD94E36-410B-4ABA-9853-9FB6D12A2736}"/>
    <cellStyle name="Currency 5 2 4 5 2 5" xfId="37544" xr:uid="{5197B566-1BF3-4E61-8517-F253545979C3}"/>
    <cellStyle name="Currency 5 2 4 5 2 6" xfId="12251" xr:uid="{2CB8CEBD-BCCD-4353-9FE9-B12580BCDF02}"/>
    <cellStyle name="Currency 5 2 4 5 3" xfId="5889" xr:uid="{00000000-0005-0000-0000-0000470C0000}"/>
    <cellStyle name="Currency 5 2 4 5 3 2" xfId="31188" xr:uid="{65271F72-6C7C-44F7-8416-BCC41B4480FE}"/>
    <cellStyle name="Currency 5 2 4 5 3 3" xfId="22759" xr:uid="{3AD63169-CC26-4849-8887-8EF34AA7DA57}"/>
    <cellStyle name="Currency 5 2 4 5 3 4" xfId="39616" xr:uid="{8ED9BF89-83FC-4D57-9B22-31C004419FAB}"/>
    <cellStyle name="Currency 5 2 4 5 3 5" xfId="14324" xr:uid="{DCF9EFA5-8502-4EBF-8896-045EAC044A2C}"/>
    <cellStyle name="Currency 5 2 4 5 4" xfId="26970" xr:uid="{16F7A904-C88E-4ABB-99F2-0FFB4314BA84}"/>
    <cellStyle name="Currency 5 2 4 5 5" xfId="18541" xr:uid="{83E9B309-5B16-4A27-BE01-6D5301032467}"/>
    <cellStyle name="Currency 5 2 4 5 6" xfId="35399" xr:uid="{3D0DF184-0574-4409-8853-7AC26B84DED6}"/>
    <cellStyle name="Currency 5 2 4 5 7" xfId="10106" xr:uid="{A1732FA6-4A2D-4B04-B133-993CDAA55984}"/>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33746" xr:uid="{4B6AA33E-A6E1-4BB6-B6C0-EC9B10573980}"/>
    <cellStyle name="Currency 5 2 4 6 2 2 3" xfId="25317" xr:uid="{002E1830-2241-4445-9570-8E0506A4D659}"/>
    <cellStyle name="Currency 5 2 4 6 2 2 4" xfId="42174" xr:uid="{DA319732-3340-4D16-B3BF-D63A9B9D002C}"/>
    <cellStyle name="Currency 5 2 4 6 2 2 5" xfId="16882" xr:uid="{324DD5EE-0775-41E4-BBB0-C30917439751}"/>
    <cellStyle name="Currency 5 2 4 6 2 3" xfId="29528" xr:uid="{9A8A999F-4CC5-48CB-9FC4-B450139B749B}"/>
    <cellStyle name="Currency 5 2 4 6 2 4" xfId="21099" xr:uid="{AB8FDD3F-E69B-4C3C-9423-58D3B178E289}"/>
    <cellStyle name="Currency 5 2 4 6 2 5" xfId="37957" xr:uid="{F6D9918F-FF7E-44E3-887F-0225E2A1F39C}"/>
    <cellStyle name="Currency 5 2 4 6 2 6" xfId="12664" xr:uid="{F2FF5A86-6609-48ED-914D-702B90F37B56}"/>
    <cellStyle name="Currency 5 2 4 6 3" xfId="6302" xr:uid="{00000000-0005-0000-0000-00004B0C0000}"/>
    <cellStyle name="Currency 5 2 4 6 3 2" xfId="31601" xr:uid="{32EC2E83-46A2-4351-B864-0A3B9A9CE11E}"/>
    <cellStyle name="Currency 5 2 4 6 3 3" xfId="23172" xr:uid="{2BBB7659-A186-47FE-B914-044FF4D99727}"/>
    <cellStyle name="Currency 5 2 4 6 3 4" xfId="40029" xr:uid="{10D5ADFE-E9EA-4C89-A53D-3C95502F7AD0}"/>
    <cellStyle name="Currency 5 2 4 6 3 5" xfId="14737" xr:uid="{BDCD4B27-2E0E-45FA-85FC-48D6C27AD8AB}"/>
    <cellStyle name="Currency 5 2 4 6 4" xfId="27383" xr:uid="{0DC10063-37DC-4B26-9148-CCFC3D0A4337}"/>
    <cellStyle name="Currency 5 2 4 6 5" xfId="18954" xr:uid="{9A2A0C3F-E857-4BC0-8B60-304598DE3C33}"/>
    <cellStyle name="Currency 5 2 4 6 6" xfId="35812" xr:uid="{FBAB885A-0B3F-4933-9A41-5ADFD6610A26}"/>
    <cellStyle name="Currency 5 2 4 6 7" xfId="10519" xr:uid="{CB627BC6-DECA-4B04-B38C-F7CE8AC04AD3}"/>
    <cellStyle name="Currency 5 2 4 7" xfId="2430" xr:uid="{00000000-0005-0000-0000-00004C0C0000}"/>
    <cellStyle name="Currency 5 2 4 7 2" xfId="6715" xr:uid="{00000000-0005-0000-0000-00004D0C0000}"/>
    <cellStyle name="Currency 5 2 4 7 2 2" xfId="32014" xr:uid="{95643C64-7E3E-46C4-B0CB-935F3CE6425D}"/>
    <cellStyle name="Currency 5 2 4 7 2 3" xfId="23585" xr:uid="{8E4A6A18-9B76-4BCB-83C9-37BC4AEB0787}"/>
    <cellStyle name="Currency 5 2 4 7 2 4" xfId="40442" xr:uid="{D0071815-9207-42CE-B1D4-4FF6AEB4006D}"/>
    <cellStyle name="Currency 5 2 4 7 2 5" xfId="15150" xr:uid="{D0E4CC22-7F11-48B2-93FA-087489F258BE}"/>
    <cellStyle name="Currency 5 2 4 7 3" xfId="27796" xr:uid="{B83731E6-1D64-4256-8430-6F4E21A06184}"/>
    <cellStyle name="Currency 5 2 4 7 4" xfId="19367" xr:uid="{7BC083B9-E282-408E-9635-99D1AA99AB34}"/>
    <cellStyle name="Currency 5 2 4 7 5" xfId="36225" xr:uid="{67995864-6242-4471-BD0F-A63E6EF5140D}"/>
    <cellStyle name="Currency 5 2 4 7 6" xfId="10932" xr:uid="{7461AE6E-75BA-43D0-BA60-343B270F8C4E}"/>
    <cellStyle name="Currency 5 2 4 8" xfId="2727" xr:uid="{00000000-0005-0000-0000-00004E0C0000}"/>
    <cellStyle name="Currency 5 2 4 9" xfId="2808" xr:uid="{00000000-0005-0000-0000-00004F0C0000}"/>
    <cellStyle name="Currency 5 2 4 9 2" xfId="7032" xr:uid="{00000000-0005-0000-0000-0000500C0000}"/>
    <cellStyle name="Currency 5 2 4 9 2 2" xfId="32331" xr:uid="{B0AD0007-6DB0-4AA0-AD0E-6ACEFC865846}"/>
    <cellStyle name="Currency 5 2 4 9 2 3" xfId="23902" xr:uid="{4C77DBBE-99D8-4735-987D-078A54795B81}"/>
    <cellStyle name="Currency 5 2 4 9 2 4" xfId="40759" xr:uid="{34DFCA37-1981-4F40-BA3A-CE353D8D0486}"/>
    <cellStyle name="Currency 5 2 4 9 2 5" xfId="15467" xr:uid="{27238A78-FB77-4F03-8B1E-6F981CD31CC6}"/>
    <cellStyle name="Currency 5 2 4 9 3" xfId="28113" xr:uid="{BABC08B5-FA32-4D42-A759-994D749AB3AA}"/>
    <cellStyle name="Currency 5 2 4 9 4" xfId="19684" xr:uid="{875BD769-4E61-4528-8ED1-FB14B1E73956}"/>
    <cellStyle name="Currency 5 2 4 9 5" xfId="36542" xr:uid="{B0095BD4-DA68-4B67-BCE8-ADDAED4C14DD}"/>
    <cellStyle name="Currency 5 2 4 9 6" xfId="11249" xr:uid="{728EA60E-E872-47D1-90BA-D8DC76B64DB5}"/>
    <cellStyle name="Currency 5 2 5" xfId="207" xr:uid="{00000000-0005-0000-0000-0000510C0000}"/>
    <cellStyle name="Currency 5 2 5 10" xfId="25732" xr:uid="{DD8CADE4-7AC8-4758-A153-97DEC1451310}"/>
    <cellStyle name="Currency 5 2 5 11" xfId="17303" xr:uid="{6F6F5098-02F3-4CFF-82CF-686320DB08C8}"/>
    <cellStyle name="Currency 5 2 5 12" xfId="34161" xr:uid="{420F4D23-3EEE-430C-9328-41EE04CC2C99}"/>
    <cellStyle name="Currency 5 2 5 13" xfId="8868" xr:uid="{F98B51C3-B1F4-415C-99F1-5BE95A9373CC}"/>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32509" xr:uid="{F96311AC-B6E0-4D15-B6D1-FB537B35F5AB}"/>
    <cellStyle name="Currency 5 2 5 2 2 2 3" xfId="24080" xr:uid="{B30CAD53-ED1E-4CD2-9071-73989274A0C8}"/>
    <cellStyle name="Currency 5 2 5 2 2 2 4" xfId="40937" xr:uid="{723B27A2-F912-498F-8C9C-4099510DF912}"/>
    <cellStyle name="Currency 5 2 5 2 2 2 5" xfId="15645" xr:uid="{9744E99F-C12A-4B69-A1B1-A6446F79D1C4}"/>
    <cellStyle name="Currency 5 2 5 2 2 3" xfId="28291" xr:uid="{B849938A-D256-4BBA-BE41-C69B6BC3F60E}"/>
    <cellStyle name="Currency 5 2 5 2 2 4" xfId="19862" xr:uid="{8C89504C-D6ED-4DBB-944D-B24FEDEBDB3F}"/>
    <cellStyle name="Currency 5 2 5 2 2 5" xfId="36720" xr:uid="{2CDABD00-FD94-4AF7-883F-91BFB7E6FD58}"/>
    <cellStyle name="Currency 5 2 5 2 2 6" xfId="11427" xr:uid="{E4845151-4C72-4846-AA6D-D1CEFCD19632}"/>
    <cellStyle name="Currency 5 2 5 2 3" xfId="5065" xr:uid="{00000000-0005-0000-0000-0000550C0000}"/>
    <cellStyle name="Currency 5 2 5 2 3 2" xfId="30364" xr:uid="{06084B8A-FA01-47EB-A282-247BBB92923A}"/>
    <cellStyle name="Currency 5 2 5 2 3 3" xfId="21935" xr:uid="{DA09D263-519A-478C-A16D-95EF9B362B09}"/>
    <cellStyle name="Currency 5 2 5 2 3 4" xfId="38792" xr:uid="{B449D9D6-814F-413F-A3D0-4587E023E9F9}"/>
    <cellStyle name="Currency 5 2 5 2 3 5" xfId="13500" xr:uid="{D54EE484-7A04-4E89-92A5-17ADBD666533}"/>
    <cellStyle name="Currency 5 2 5 2 4" xfId="26146" xr:uid="{87266FFF-8ABF-4CC1-BB51-A535273838FB}"/>
    <cellStyle name="Currency 5 2 5 2 5" xfId="17717" xr:uid="{3A6CF8FE-6D55-47AD-8ED2-73CB9A9DC749}"/>
    <cellStyle name="Currency 5 2 5 2 6" xfId="34575" xr:uid="{66310D2A-7EC9-48F5-9A84-131236129ADD}"/>
    <cellStyle name="Currency 5 2 5 2 7" xfId="9282" xr:uid="{A0966FAE-4F86-4117-B5DE-70500183C376}"/>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32922" xr:uid="{229CBFE0-2BBB-4557-9AE6-89D9796E7A54}"/>
    <cellStyle name="Currency 5 2 5 3 2 2 3" xfId="24493" xr:uid="{71359435-82CC-46D6-B9D4-F45AE3AE280C}"/>
    <cellStyle name="Currency 5 2 5 3 2 2 4" xfId="41350" xr:uid="{3ED45AB2-A59D-4000-B752-095374491EA9}"/>
    <cellStyle name="Currency 5 2 5 3 2 2 5" xfId="16058" xr:uid="{B40754F5-E767-4EE3-A656-DB9AF758E2C4}"/>
    <cellStyle name="Currency 5 2 5 3 2 3" xfId="28704" xr:uid="{D0D0712B-42C8-40A3-A832-E3AAA57768C0}"/>
    <cellStyle name="Currency 5 2 5 3 2 4" xfId="20275" xr:uid="{60485F92-860A-45DD-966E-AB1F3AA8208A}"/>
    <cellStyle name="Currency 5 2 5 3 2 5" xfId="37133" xr:uid="{CE20A955-5532-4B1E-BDED-ED61DA4CCB34}"/>
    <cellStyle name="Currency 5 2 5 3 2 6" xfId="11840" xr:uid="{7F1CADC2-AC5B-4501-9AE7-F753FDAF6ABC}"/>
    <cellStyle name="Currency 5 2 5 3 3" xfId="5478" xr:uid="{00000000-0005-0000-0000-0000590C0000}"/>
    <cellStyle name="Currency 5 2 5 3 3 2" xfId="30777" xr:uid="{8574304E-05D4-472D-BABE-070783F64E7E}"/>
    <cellStyle name="Currency 5 2 5 3 3 3" xfId="22348" xr:uid="{C810716F-D950-4020-B40B-34C87D0B3C4B}"/>
    <cellStyle name="Currency 5 2 5 3 3 4" xfId="39205" xr:uid="{77F70C05-4D6E-4748-8206-5DCBAE585730}"/>
    <cellStyle name="Currency 5 2 5 3 3 5" xfId="13913" xr:uid="{C27F0970-38F8-4A0A-BA00-223FF217C417}"/>
    <cellStyle name="Currency 5 2 5 3 4" xfId="26559" xr:uid="{DD49229E-607F-4324-A988-E25A4F750417}"/>
    <cellStyle name="Currency 5 2 5 3 5" xfId="18130" xr:uid="{6046305C-67C7-41F8-A079-315A1FC5BD78}"/>
    <cellStyle name="Currency 5 2 5 3 6" xfId="34988" xr:uid="{6CD5ACD9-A7AD-4B85-9084-745097BBB2A5}"/>
    <cellStyle name="Currency 5 2 5 3 7" xfId="9695" xr:uid="{A17B3689-8D0F-464B-9687-CF8B5877C7F9}"/>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33335" xr:uid="{00913A68-D8FA-485B-BC95-6CD4B8356FE7}"/>
    <cellStyle name="Currency 5 2 5 4 2 2 3" xfId="24906" xr:uid="{46EBE2CE-5926-4236-ABD6-E2058E956DE6}"/>
    <cellStyle name="Currency 5 2 5 4 2 2 4" xfId="41763" xr:uid="{06390DFD-D6A6-4EBA-A892-BC02BEF75BDC}"/>
    <cellStyle name="Currency 5 2 5 4 2 2 5" xfId="16471" xr:uid="{11CBB70B-D453-455D-A269-1A63959E29B7}"/>
    <cellStyle name="Currency 5 2 5 4 2 3" xfId="29117" xr:uid="{8DD215E4-45A6-43DC-8682-AAFB6DC92D7E}"/>
    <cellStyle name="Currency 5 2 5 4 2 4" xfId="20688" xr:uid="{751E4219-E2FA-4D94-95C4-4357A1365674}"/>
    <cellStyle name="Currency 5 2 5 4 2 5" xfId="37546" xr:uid="{06043FE2-FCFC-47DC-B537-FB5C491028C7}"/>
    <cellStyle name="Currency 5 2 5 4 2 6" xfId="12253" xr:uid="{2EDDC45B-38B4-44E5-9404-5A14978DCA89}"/>
    <cellStyle name="Currency 5 2 5 4 3" xfId="5891" xr:uid="{00000000-0005-0000-0000-00005D0C0000}"/>
    <cellStyle name="Currency 5 2 5 4 3 2" xfId="31190" xr:uid="{73424EF9-B8FB-4983-A14A-0B16AACC3292}"/>
    <cellStyle name="Currency 5 2 5 4 3 3" xfId="22761" xr:uid="{D57B006D-9F2E-4CEE-9B15-86822668B890}"/>
    <cellStyle name="Currency 5 2 5 4 3 4" xfId="39618" xr:uid="{95EDA8E8-282A-4742-A2EF-224599062CC8}"/>
    <cellStyle name="Currency 5 2 5 4 3 5" xfId="14326" xr:uid="{28EFAA3A-578C-4DC3-A657-040A14FDEA32}"/>
    <cellStyle name="Currency 5 2 5 4 4" xfId="26972" xr:uid="{AA7C70AF-F8B9-4229-96A2-FBD3EBA1F4C9}"/>
    <cellStyle name="Currency 5 2 5 4 5" xfId="18543" xr:uid="{2BF1C82C-1BDE-458A-A173-0B8FEA45076C}"/>
    <cellStyle name="Currency 5 2 5 4 6" xfId="35401" xr:uid="{F4FB95A8-7851-4D57-A524-32BE2DE90E28}"/>
    <cellStyle name="Currency 5 2 5 4 7" xfId="10108" xr:uid="{58E08044-B6FD-4469-994E-49C8C79DB2F3}"/>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33748" xr:uid="{67758605-F4D5-4D7D-8E39-E694F743C1B4}"/>
    <cellStyle name="Currency 5 2 5 5 2 2 3" xfId="25319" xr:uid="{810653E7-B4E7-4B0C-9EF6-1DB2CECA4D41}"/>
    <cellStyle name="Currency 5 2 5 5 2 2 4" xfId="42176" xr:uid="{3F8A69CA-0ED7-40F6-AEA7-3D2C82D36BDD}"/>
    <cellStyle name="Currency 5 2 5 5 2 2 5" xfId="16884" xr:uid="{EF726EF4-D988-43E8-B9C3-E607C0B2388D}"/>
    <cellStyle name="Currency 5 2 5 5 2 3" xfId="29530" xr:uid="{73D06D01-F4C7-4853-8002-72BB2E005536}"/>
    <cellStyle name="Currency 5 2 5 5 2 4" xfId="21101" xr:uid="{95743A66-61FC-4A48-82F4-7D471C249948}"/>
    <cellStyle name="Currency 5 2 5 5 2 5" xfId="37959" xr:uid="{5E6441BE-69E3-48F3-AE3E-AE12B2C2B69C}"/>
    <cellStyle name="Currency 5 2 5 5 2 6" xfId="12666" xr:uid="{8680C800-472E-457B-ABA8-2B8849383213}"/>
    <cellStyle name="Currency 5 2 5 5 3" xfId="6304" xr:uid="{00000000-0005-0000-0000-0000610C0000}"/>
    <cellStyle name="Currency 5 2 5 5 3 2" xfId="31603" xr:uid="{EBCD37DF-A935-47B6-9A08-AC6054D96542}"/>
    <cellStyle name="Currency 5 2 5 5 3 3" xfId="23174" xr:uid="{BF624755-403C-443A-A243-53786DE1BD40}"/>
    <cellStyle name="Currency 5 2 5 5 3 4" xfId="40031" xr:uid="{05AE96EF-6B07-4521-B912-B676960FA625}"/>
    <cellStyle name="Currency 5 2 5 5 3 5" xfId="14739" xr:uid="{859B9BEB-0C56-49E8-A86E-48DA011A0F25}"/>
    <cellStyle name="Currency 5 2 5 5 4" xfId="27385" xr:uid="{9DA6FC1B-5AF6-4C1C-87D3-AE2A73D81360}"/>
    <cellStyle name="Currency 5 2 5 5 5" xfId="18956" xr:uid="{357109A2-52AA-4E8F-8F42-68152A7E3CFD}"/>
    <cellStyle name="Currency 5 2 5 5 6" xfId="35814" xr:uid="{A5DE63C5-4F5F-4EB8-97D2-F35EC9C37443}"/>
    <cellStyle name="Currency 5 2 5 5 7" xfId="10521" xr:uid="{B08E64AE-8B7B-468C-8FCC-F61C6A90E41E}"/>
    <cellStyle name="Currency 5 2 5 6" xfId="2432" xr:uid="{00000000-0005-0000-0000-0000620C0000}"/>
    <cellStyle name="Currency 5 2 5 6 2" xfId="6717" xr:uid="{00000000-0005-0000-0000-0000630C0000}"/>
    <cellStyle name="Currency 5 2 5 6 2 2" xfId="32016" xr:uid="{E3850891-C570-420F-8065-B1C2004BF875}"/>
    <cellStyle name="Currency 5 2 5 6 2 3" xfId="23587" xr:uid="{BF444C5E-B33F-40FA-8F14-65E6AF4ABEE7}"/>
    <cellStyle name="Currency 5 2 5 6 2 4" xfId="40444" xr:uid="{57248BF6-C53A-4F3B-BA40-81821EEA1EA1}"/>
    <cellStyle name="Currency 5 2 5 6 2 5" xfId="15152" xr:uid="{62ECE920-9FD9-42DC-ADD3-1EAB22378C0E}"/>
    <cellStyle name="Currency 5 2 5 6 3" xfId="27798" xr:uid="{B419A761-6924-4B80-B8A7-8F5990930A71}"/>
    <cellStyle name="Currency 5 2 5 6 4" xfId="19369" xr:uid="{F8382B15-DC0D-4180-9B6C-60700E093807}"/>
    <cellStyle name="Currency 5 2 5 6 5" xfId="36227" xr:uid="{14C5ECC7-8E5B-499B-B579-F7BB7F20C6E2}"/>
    <cellStyle name="Currency 5 2 5 6 6" xfId="10934" xr:uid="{035CF090-25B1-4B1B-9B1D-53C3EC99C107}"/>
    <cellStyle name="Currency 5 2 5 7" xfId="2729" xr:uid="{00000000-0005-0000-0000-0000640C0000}"/>
    <cellStyle name="Currency 5 2 5 8" xfId="2810" xr:uid="{00000000-0005-0000-0000-0000650C0000}"/>
    <cellStyle name="Currency 5 2 5 8 2" xfId="7034" xr:uid="{00000000-0005-0000-0000-0000660C0000}"/>
    <cellStyle name="Currency 5 2 5 8 2 2" xfId="32333" xr:uid="{6FC10B54-052B-4806-8FA0-3E0F5FE63D2A}"/>
    <cellStyle name="Currency 5 2 5 8 2 3" xfId="23904" xr:uid="{F30739DE-B99E-4A1F-BD3A-A8909A91D723}"/>
    <cellStyle name="Currency 5 2 5 8 2 4" xfId="40761" xr:uid="{EF788C72-E011-40AA-A62E-FC6530FCC11E}"/>
    <cellStyle name="Currency 5 2 5 8 2 5" xfId="15469" xr:uid="{3DC6CB1E-6C23-4402-9CB1-90621D276A18}"/>
    <cellStyle name="Currency 5 2 5 8 3" xfId="28115" xr:uid="{0B244993-C357-40E4-B0B3-1FEDAAC524E7}"/>
    <cellStyle name="Currency 5 2 5 8 4" xfId="19686" xr:uid="{DCA41D74-EE37-43EC-B13B-A3999E70F6D9}"/>
    <cellStyle name="Currency 5 2 5 8 5" xfId="36544" xr:uid="{A521B145-B7CF-4CC9-995E-E3AA38C97014}"/>
    <cellStyle name="Currency 5 2 5 8 6" xfId="11251" xr:uid="{ACD208B0-1BD5-4ACF-8088-98D22E0159E0}"/>
    <cellStyle name="Currency 5 2 5 9" xfId="4651" xr:uid="{00000000-0005-0000-0000-0000670C0000}"/>
    <cellStyle name="Currency 5 2 5 9 2" xfId="29950" xr:uid="{42F35B63-1998-4167-BE41-49AD52E91BE8}"/>
    <cellStyle name="Currency 5 2 5 9 3" xfId="21521" xr:uid="{795D8024-003B-4690-8AC1-866CF8584C3C}"/>
    <cellStyle name="Currency 5 2 5 9 4" xfId="38378" xr:uid="{8433FCE7-70B5-463B-8549-ABCA325B6F7B}"/>
    <cellStyle name="Currency 5 2 5 9 5" xfId="13086" xr:uid="{65E34A28-DE0E-47E3-97EB-1499F43D480B}"/>
    <cellStyle name="Currency 5 2 6" xfId="208" xr:uid="{00000000-0005-0000-0000-0000680C0000}"/>
    <cellStyle name="Currency 5 2 6 10" xfId="25733" xr:uid="{F829F31F-172C-48C0-9C73-400E1A9D019A}"/>
    <cellStyle name="Currency 5 2 6 11" xfId="17304" xr:uid="{5DEAF11B-09C0-4CEA-AA36-B50D9ED5CE2A}"/>
    <cellStyle name="Currency 5 2 6 12" xfId="34162" xr:uid="{388CD693-A211-48F3-A7AA-B75A98879988}"/>
    <cellStyle name="Currency 5 2 6 13" xfId="8869" xr:uid="{E7D33EF2-D728-442A-B9CF-986E79A88ACF}"/>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32510" xr:uid="{D1AD4650-F7C2-4E9D-836A-EADEBBE5577E}"/>
    <cellStyle name="Currency 5 2 6 2 2 2 3" xfId="24081" xr:uid="{142E04D7-490F-45BD-8B2D-AC02D245048F}"/>
    <cellStyle name="Currency 5 2 6 2 2 2 4" xfId="40938" xr:uid="{01FE9A90-8107-463C-B5A4-58A8E7762DEA}"/>
    <cellStyle name="Currency 5 2 6 2 2 2 5" xfId="15646" xr:uid="{4E78F6B2-A33D-4FAA-86C2-66DB187D1F06}"/>
    <cellStyle name="Currency 5 2 6 2 2 3" xfId="28292" xr:uid="{00204E18-6A47-4728-9A8E-D1D022B06A47}"/>
    <cellStyle name="Currency 5 2 6 2 2 4" xfId="19863" xr:uid="{0685F2FA-FC23-4B15-B5D5-71AB150B322A}"/>
    <cellStyle name="Currency 5 2 6 2 2 5" xfId="36721" xr:uid="{CAB56166-B62C-4348-A3B9-99D501E73D7D}"/>
    <cellStyle name="Currency 5 2 6 2 2 6" xfId="11428" xr:uid="{5C9AF07E-2C12-4E97-9B2F-084680CEA8A2}"/>
    <cellStyle name="Currency 5 2 6 2 3" xfId="5066" xr:uid="{00000000-0005-0000-0000-00006C0C0000}"/>
    <cellStyle name="Currency 5 2 6 2 3 2" xfId="30365" xr:uid="{5D3F9AFA-3D16-431F-BC3F-A45706EAD2C2}"/>
    <cellStyle name="Currency 5 2 6 2 3 3" xfId="21936" xr:uid="{B40DD180-2564-4D63-9BA8-5076FC1CC9F1}"/>
    <cellStyle name="Currency 5 2 6 2 3 4" xfId="38793" xr:uid="{A17FFF92-22DA-4E54-AC4B-766992D9CC4C}"/>
    <cellStyle name="Currency 5 2 6 2 3 5" xfId="13501" xr:uid="{C8102073-95B6-48AC-BCB7-4AA7225F99ED}"/>
    <cellStyle name="Currency 5 2 6 2 4" xfId="26147" xr:uid="{DC733C65-9338-4F72-92B3-C63DCBAB354D}"/>
    <cellStyle name="Currency 5 2 6 2 5" xfId="17718" xr:uid="{235788CC-A2CF-45AA-B67B-3A23D2870FF4}"/>
    <cellStyle name="Currency 5 2 6 2 6" xfId="34576" xr:uid="{9C655D60-6A2B-4F98-9A07-66B716948757}"/>
    <cellStyle name="Currency 5 2 6 2 7" xfId="9283" xr:uid="{6D145630-3CB3-44A1-AFD5-509D09D62674}"/>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32923" xr:uid="{89859C0A-8C2E-4253-9917-0FEC1E1435F1}"/>
    <cellStyle name="Currency 5 2 6 3 2 2 3" xfId="24494" xr:uid="{25AF2424-CF61-4463-BBB3-072EEFD8A958}"/>
    <cellStyle name="Currency 5 2 6 3 2 2 4" xfId="41351" xr:uid="{E540B241-99E2-492F-9FE4-63A45B33A0E4}"/>
    <cellStyle name="Currency 5 2 6 3 2 2 5" xfId="16059" xr:uid="{A3BF75D0-2829-4271-9592-EAF1EE1B038B}"/>
    <cellStyle name="Currency 5 2 6 3 2 3" xfId="28705" xr:uid="{7AB79624-67C1-4334-85D2-6814D8C56782}"/>
    <cellStyle name="Currency 5 2 6 3 2 4" xfId="20276" xr:uid="{FC1B323A-6461-42B3-B33E-DA09AB36DC4F}"/>
    <cellStyle name="Currency 5 2 6 3 2 5" xfId="37134" xr:uid="{A525249D-925B-49E8-99C3-A90D49DB9D13}"/>
    <cellStyle name="Currency 5 2 6 3 2 6" xfId="11841" xr:uid="{E90D03B7-25ED-4016-9172-E62E59C82854}"/>
    <cellStyle name="Currency 5 2 6 3 3" xfId="5479" xr:uid="{00000000-0005-0000-0000-0000700C0000}"/>
    <cellStyle name="Currency 5 2 6 3 3 2" xfId="30778" xr:uid="{7BA5CFD1-CD97-4535-935C-E3234DC12EF5}"/>
    <cellStyle name="Currency 5 2 6 3 3 3" xfId="22349" xr:uid="{336F5BCB-A1D3-4C8B-8902-AD6C68BEE0A3}"/>
    <cellStyle name="Currency 5 2 6 3 3 4" xfId="39206" xr:uid="{E8174D91-1512-48B2-9F51-1D2BA5FB28C9}"/>
    <cellStyle name="Currency 5 2 6 3 3 5" xfId="13914" xr:uid="{166184D8-F83B-441E-AB9F-C5B9AF7473BC}"/>
    <cellStyle name="Currency 5 2 6 3 4" xfId="26560" xr:uid="{6F705E99-2679-4A2B-BA4D-9B20A8B1BD05}"/>
    <cellStyle name="Currency 5 2 6 3 5" xfId="18131" xr:uid="{8A8DE6FE-4858-452D-81DA-29BE18358BE5}"/>
    <cellStyle name="Currency 5 2 6 3 6" xfId="34989" xr:uid="{72ED0457-2F1D-4D14-ACB3-BBD2C8D9B9FF}"/>
    <cellStyle name="Currency 5 2 6 3 7" xfId="9696" xr:uid="{C1C82865-7118-4098-9390-6F54857962B5}"/>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33336" xr:uid="{6413DEE2-5FEA-4438-AAEA-58EBF6C2823F}"/>
    <cellStyle name="Currency 5 2 6 4 2 2 3" xfId="24907" xr:uid="{CAA45614-008B-4519-B489-A068524A42B6}"/>
    <cellStyle name="Currency 5 2 6 4 2 2 4" xfId="41764" xr:uid="{ABEBA223-8FA6-4613-8453-830FB808D0A0}"/>
    <cellStyle name="Currency 5 2 6 4 2 2 5" xfId="16472" xr:uid="{2311F4D4-B9DA-4323-9AF5-8B1419C52C63}"/>
    <cellStyle name="Currency 5 2 6 4 2 3" xfId="29118" xr:uid="{86CCDB14-27C7-44B5-AA27-AB35059175F6}"/>
    <cellStyle name="Currency 5 2 6 4 2 4" xfId="20689" xr:uid="{68843DB9-B1EF-475B-B179-A608A87C280C}"/>
    <cellStyle name="Currency 5 2 6 4 2 5" xfId="37547" xr:uid="{EC03FBA0-2630-4E4F-B8D6-094E36A4B5F7}"/>
    <cellStyle name="Currency 5 2 6 4 2 6" xfId="12254" xr:uid="{6C7F4762-56E2-4628-8729-DCB64D41C97D}"/>
    <cellStyle name="Currency 5 2 6 4 3" xfId="5892" xr:uid="{00000000-0005-0000-0000-0000740C0000}"/>
    <cellStyle name="Currency 5 2 6 4 3 2" xfId="31191" xr:uid="{5BF135B1-6EF2-42FF-B79A-6D6147474AB3}"/>
    <cellStyle name="Currency 5 2 6 4 3 3" xfId="22762" xr:uid="{EFF5A3D0-459C-4ED5-98B4-6D8AAFAF5747}"/>
    <cellStyle name="Currency 5 2 6 4 3 4" xfId="39619" xr:uid="{B1FE4487-1309-44D7-9EFE-8F4DD8481921}"/>
    <cellStyle name="Currency 5 2 6 4 3 5" xfId="14327" xr:uid="{36D13614-4F45-41DA-8456-968491E86C1C}"/>
    <cellStyle name="Currency 5 2 6 4 4" xfId="26973" xr:uid="{45C6E20C-3565-4DE7-A7B0-08D23DFAE28E}"/>
    <cellStyle name="Currency 5 2 6 4 5" xfId="18544" xr:uid="{47ACBF38-9DC8-4512-97B8-2724C6F1D620}"/>
    <cellStyle name="Currency 5 2 6 4 6" xfId="35402" xr:uid="{97ADE682-4494-40A9-A09B-CA0873E55EAE}"/>
    <cellStyle name="Currency 5 2 6 4 7" xfId="10109" xr:uid="{CED51B6F-0ACE-4D17-9C1B-61CA3130A3AD}"/>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33749" xr:uid="{FD09C02E-C128-4F2D-A924-19F404A80AD8}"/>
    <cellStyle name="Currency 5 2 6 5 2 2 3" xfId="25320" xr:uid="{B384B115-3028-41F7-A196-CC2AC4DCA21B}"/>
    <cellStyle name="Currency 5 2 6 5 2 2 4" xfId="42177" xr:uid="{EAAC2F49-EE9D-450D-809D-80BE0068E90C}"/>
    <cellStyle name="Currency 5 2 6 5 2 2 5" xfId="16885" xr:uid="{3A4FDE00-95FA-4967-A0B6-00B4E4E25DEA}"/>
    <cellStyle name="Currency 5 2 6 5 2 3" xfId="29531" xr:uid="{C411C27B-E982-45EF-B6AA-DAD5D47C6FA8}"/>
    <cellStyle name="Currency 5 2 6 5 2 4" xfId="21102" xr:uid="{BB6F4FB4-CF7F-48FF-AB72-3B3EA091E372}"/>
    <cellStyle name="Currency 5 2 6 5 2 5" xfId="37960" xr:uid="{CB2540B0-A084-4A3E-8C8D-D6479D7134AC}"/>
    <cellStyle name="Currency 5 2 6 5 2 6" xfId="12667" xr:uid="{31474C06-8000-4AC4-A2C6-DCC0CC97E364}"/>
    <cellStyle name="Currency 5 2 6 5 3" xfId="6305" xr:uid="{00000000-0005-0000-0000-0000780C0000}"/>
    <cellStyle name="Currency 5 2 6 5 3 2" xfId="31604" xr:uid="{26E6A382-D7A0-4889-BA6D-17EA99A755F5}"/>
    <cellStyle name="Currency 5 2 6 5 3 3" xfId="23175" xr:uid="{34698D7E-A9D4-4BDD-AEEB-99E48D35A53F}"/>
    <cellStyle name="Currency 5 2 6 5 3 4" xfId="40032" xr:uid="{1CD6CF74-4F13-4BAC-8623-7B328F5F1F4B}"/>
    <cellStyle name="Currency 5 2 6 5 3 5" xfId="14740" xr:uid="{6117CC7A-8D38-4BA5-84CB-CAF608958FCB}"/>
    <cellStyle name="Currency 5 2 6 5 4" xfId="27386" xr:uid="{1B1DA17D-3E10-4F69-9311-46FD49CBC866}"/>
    <cellStyle name="Currency 5 2 6 5 5" xfId="18957" xr:uid="{EF7E2838-B7E6-4BA9-B05F-3AEE21E7564F}"/>
    <cellStyle name="Currency 5 2 6 5 6" xfId="35815" xr:uid="{7A590129-A2E1-4992-A6F4-A8C28F2CF8AE}"/>
    <cellStyle name="Currency 5 2 6 5 7" xfId="10522" xr:uid="{935B83D5-28F9-41C0-B138-321BB65599F2}"/>
    <cellStyle name="Currency 5 2 6 6" xfId="2433" xr:uid="{00000000-0005-0000-0000-0000790C0000}"/>
    <cellStyle name="Currency 5 2 6 6 2" xfId="6718" xr:uid="{00000000-0005-0000-0000-00007A0C0000}"/>
    <cellStyle name="Currency 5 2 6 6 2 2" xfId="32017" xr:uid="{CB6FE238-BFD6-47E8-8E96-E85A1D638BED}"/>
    <cellStyle name="Currency 5 2 6 6 2 3" xfId="23588" xr:uid="{7BE77B5A-4727-4F26-95B6-63B110AD40A6}"/>
    <cellStyle name="Currency 5 2 6 6 2 4" xfId="40445" xr:uid="{4961059C-1A57-4A75-BF00-365C4B314703}"/>
    <cellStyle name="Currency 5 2 6 6 2 5" xfId="15153" xr:uid="{B2EA636E-2856-44F8-89F2-67035424B92C}"/>
    <cellStyle name="Currency 5 2 6 6 3" xfId="27799" xr:uid="{915EF650-953A-4E14-A363-84786045458C}"/>
    <cellStyle name="Currency 5 2 6 6 4" xfId="19370" xr:uid="{7BDB0938-3BFD-424D-8EFB-125B6A5DE291}"/>
    <cellStyle name="Currency 5 2 6 6 5" xfId="36228" xr:uid="{895E229F-065C-4A33-A45B-2C48AB3EF143}"/>
    <cellStyle name="Currency 5 2 6 6 6" xfId="10935" xr:uid="{E8F5969B-CABD-4A2A-B41B-75C14710B10F}"/>
    <cellStyle name="Currency 5 2 6 7" xfId="2730" xr:uid="{00000000-0005-0000-0000-00007B0C0000}"/>
    <cellStyle name="Currency 5 2 6 8" xfId="2811" xr:uid="{00000000-0005-0000-0000-00007C0C0000}"/>
    <cellStyle name="Currency 5 2 6 8 2" xfId="7035" xr:uid="{00000000-0005-0000-0000-00007D0C0000}"/>
    <cellStyle name="Currency 5 2 6 8 2 2" xfId="32334" xr:uid="{BA6EF392-3F30-4917-9B31-90BB524371BB}"/>
    <cellStyle name="Currency 5 2 6 8 2 3" xfId="23905" xr:uid="{F1931750-6BB6-4BA3-83F4-EFB74BA5A7A3}"/>
    <cellStyle name="Currency 5 2 6 8 2 4" xfId="40762" xr:uid="{77BEB57C-4B16-49FB-B340-97C2CBB5AE1D}"/>
    <cellStyle name="Currency 5 2 6 8 2 5" xfId="15470" xr:uid="{EEE15D53-5C35-4948-9C5F-BC1D843BB43B}"/>
    <cellStyle name="Currency 5 2 6 8 3" xfId="28116" xr:uid="{43CC90CF-DE98-4EA0-9B7C-0CE2A509884B}"/>
    <cellStyle name="Currency 5 2 6 8 4" xfId="19687" xr:uid="{66B6731F-BF0A-4553-BB40-807CA8070927}"/>
    <cellStyle name="Currency 5 2 6 8 5" xfId="36545" xr:uid="{597845C1-E629-41AE-957B-F6CE4CAF452E}"/>
    <cellStyle name="Currency 5 2 6 8 6" xfId="11252" xr:uid="{9239015B-AE52-4086-A008-B311FE7686A8}"/>
    <cellStyle name="Currency 5 2 6 9" xfId="4652" xr:uid="{00000000-0005-0000-0000-00007E0C0000}"/>
    <cellStyle name="Currency 5 2 6 9 2" xfId="29951" xr:uid="{DA1B88FF-6119-4B1A-9B0E-135DF8B08742}"/>
    <cellStyle name="Currency 5 2 6 9 3" xfId="21522" xr:uid="{A2A2B695-309A-42CB-A3CF-A45B44E68774}"/>
    <cellStyle name="Currency 5 2 6 9 4" xfId="38379" xr:uid="{511B85C3-2C16-43EC-8BBF-312ABC5263F3}"/>
    <cellStyle name="Currency 5 2 6 9 5" xfId="13087" xr:uid="{548CC033-8154-4FDE-A0BA-2E8E647E025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32335" xr:uid="{E964B50F-AFF2-4EBE-B1C2-947F4D8F5FE9}"/>
    <cellStyle name="Currency 5 3 2 10 2 3" xfId="23906" xr:uid="{CE77BF7A-E5B1-403A-8902-9646582CB0B8}"/>
    <cellStyle name="Currency 5 3 2 10 2 4" xfId="40763" xr:uid="{7C63FE16-0C1A-4E93-A60C-6594FBF0ED85}"/>
    <cellStyle name="Currency 5 3 2 10 2 5" xfId="15471" xr:uid="{4C918CB7-9E57-444F-B1AA-D46C43ADE25D}"/>
    <cellStyle name="Currency 5 3 2 10 3" xfId="28117" xr:uid="{70B3D593-CE2B-4661-A865-DA2762A8A281}"/>
    <cellStyle name="Currency 5 3 2 10 4" xfId="19688" xr:uid="{539347C3-D8E9-4A44-A7A8-A62ACCFD2AC4}"/>
    <cellStyle name="Currency 5 3 2 10 5" xfId="36546" xr:uid="{66A9ACF0-96C6-4C73-A701-210C9252FD0D}"/>
    <cellStyle name="Currency 5 3 2 10 6" xfId="11253" xr:uid="{46A965E8-2B15-42A5-867F-F4EB2A0C86A7}"/>
    <cellStyle name="Currency 5 3 2 11" xfId="4653" xr:uid="{00000000-0005-0000-0000-0000840C0000}"/>
    <cellStyle name="Currency 5 3 2 11 2" xfId="29952" xr:uid="{6C96867E-9EE0-44CF-BFB1-DD0EFFF82ECB}"/>
    <cellStyle name="Currency 5 3 2 11 3" xfId="21523" xr:uid="{C51554ED-8CE1-4B15-856E-03F04C25B180}"/>
    <cellStyle name="Currency 5 3 2 11 4" xfId="38380" xr:uid="{4BAFEA85-F703-4978-91C9-B15CDC7A3B4A}"/>
    <cellStyle name="Currency 5 3 2 11 5" xfId="13088" xr:uid="{465976C9-822D-4F4A-9F2A-42EC422C3E06}"/>
    <cellStyle name="Currency 5 3 2 12" xfId="25734" xr:uid="{25228E96-5D1A-429B-BE03-FE6558C5BE97}"/>
    <cellStyle name="Currency 5 3 2 13" xfId="17305" xr:uid="{631A273C-967E-4C63-AEAF-9354C15BD41D}"/>
    <cellStyle name="Currency 5 3 2 14" xfId="34163" xr:uid="{C7B32984-2EF3-4BE0-8D63-AFE6D04E4128}"/>
    <cellStyle name="Currency 5 3 2 15" xfId="8870" xr:uid="{6BCADC0E-CBBF-4987-BF81-4320D3FBF8A6}"/>
    <cellStyle name="Currency 5 3 2 2" xfId="211" xr:uid="{00000000-0005-0000-0000-0000850C0000}"/>
    <cellStyle name="Currency 5 3 2 2 10" xfId="4654" xr:uid="{00000000-0005-0000-0000-0000860C0000}"/>
    <cellStyle name="Currency 5 3 2 2 10 2" xfId="29953" xr:uid="{B14807FA-9FC3-44D0-813F-F9D9B3BB49E0}"/>
    <cellStyle name="Currency 5 3 2 2 10 3" xfId="21524" xr:uid="{7D5CADAA-4223-434C-945D-DAB68E135FB9}"/>
    <cellStyle name="Currency 5 3 2 2 10 4" xfId="38381" xr:uid="{C5245F54-C934-4D9D-8404-5795508087ED}"/>
    <cellStyle name="Currency 5 3 2 2 10 5" xfId="13089" xr:uid="{F253AE64-6084-4D54-BB7A-EF4D4B279554}"/>
    <cellStyle name="Currency 5 3 2 2 11" xfId="25735" xr:uid="{7DEEBB69-55CB-4860-8532-DB58E41DA61C}"/>
    <cellStyle name="Currency 5 3 2 2 12" xfId="17306" xr:uid="{C2AF5078-911F-4809-BC24-13627D3BF68B}"/>
    <cellStyle name="Currency 5 3 2 2 13" xfId="34164" xr:uid="{3138537A-09E1-4F5E-B3A0-58443015CBE2}"/>
    <cellStyle name="Currency 5 3 2 2 14" xfId="8871" xr:uid="{E66FF5EC-9568-4311-A031-3C3D7B1040A9}"/>
    <cellStyle name="Currency 5 3 2 2 2" xfId="212" xr:uid="{00000000-0005-0000-0000-0000870C0000}"/>
    <cellStyle name="Currency 5 3 2 2 2 10" xfId="25736" xr:uid="{0DC32ACC-39E6-405E-90FD-884F023D5965}"/>
    <cellStyle name="Currency 5 3 2 2 2 11" xfId="17307" xr:uid="{18B414B2-F3CF-4657-B4C6-56F191840CF8}"/>
    <cellStyle name="Currency 5 3 2 2 2 12" xfId="34165" xr:uid="{100FC4ED-0587-4FDD-8224-A566C2D98D8F}"/>
    <cellStyle name="Currency 5 3 2 2 2 13" xfId="8872" xr:uid="{BFF42487-1DEA-482F-98C2-F038C1102A2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32513" xr:uid="{EE99DA3D-C94A-4A0C-81C5-5B06107BCB1C}"/>
    <cellStyle name="Currency 5 3 2 2 2 2 2 2 3" xfId="24084" xr:uid="{ECCAEFFA-44DD-45E8-AE55-AB4310E7CAA6}"/>
    <cellStyle name="Currency 5 3 2 2 2 2 2 2 4" xfId="40941" xr:uid="{1446B8CE-258F-49B2-BB18-824C3BF20315}"/>
    <cellStyle name="Currency 5 3 2 2 2 2 2 2 5" xfId="15649" xr:uid="{FF35E8AF-EDC6-4E80-BA20-8A77CAD6A7DC}"/>
    <cellStyle name="Currency 5 3 2 2 2 2 2 3" xfId="28295" xr:uid="{E9906D44-12AA-49CD-A310-4521DD40A19C}"/>
    <cellStyle name="Currency 5 3 2 2 2 2 2 4" xfId="19866" xr:uid="{0F7C6AB3-69AC-4771-90D5-D4A0EF23E686}"/>
    <cellStyle name="Currency 5 3 2 2 2 2 2 5" xfId="36724" xr:uid="{39D8D58F-2419-47DD-B674-20356165C634}"/>
    <cellStyle name="Currency 5 3 2 2 2 2 2 6" xfId="11431" xr:uid="{35C533DF-76BD-463C-B297-99EB0CE1F234}"/>
    <cellStyle name="Currency 5 3 2 2 2 2 3" xfId="5069" xr:uid="{00000000-0005-0000-0000-00008B0C0000}"/>
    <cellStyle name="Currency 5 3 2 2 2 2 3 2" xfId="30368" xr:uid="{A9BE06F5-342D-4307-8B61-BDF7D0749041}"/>
    <cellStyle name="Currency 5 3 2 2 2 2 3 3" xfId="21939" xr:uid="{AE96EF16-B109-4A25-A0C2-3C66500E6B92}"/>
    <cellStyle name="Currency 5 3 2 2 2 2 3 4" xfId="38796" xr:uid="{05CB63EA-A9A2-4021-ACDD-25A9053E7591}"/>
    <cellStyle name="Currency 5 3 2 2 2 2 3 5" xfId="13504" xr:uid="{80CB966F-A1EB-460E-A7AF-946A3C89F057}"/>
    <cellStyle name="Currency 5 3 2 2 2 2 4" xfId="26150" xr:uid="{F6BF3D44-F799-4BBE-9094-0DBD9875E51D}"/>
    <cellStyle name="Currency 5 3 2 2 2 2 5" xfId="17721" xr:uid="{09D4A4E8-BB82-4999-B0FE-84898D32FF20}"/>
    <cellStyle name="Currency 5 3 2 2 2 2 6" xfId="34579" xr:uid="{97DAF82E-39D9-4BBB-92EF-8A8D275BD2EC}"/>
    <cellStyle name="Currency 5 3 2 2 2 2 7" xfId="9286" xr:uid="{C9985C82-DF1E-4062-BE17-0256DEC0EDE7}"/>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32926" xr:uid="{19A21FF4-B479-4333-AC87-B4E1185958E5}"/>
    <cellStyle name="Currency 5 3 2 2 2 3 2 2 3" xfId="24497" xr:uid="{57E7053F-4894-4201-A8DC-2E92CE860B12}"/>
    <cellStyle name="Currency 5 3 2 2 2 3 2 2 4" xfId="41354" xr:uid="{34F0B7D9-D1E1-4A5F-9529-659D8C12E5D0}"/>
    <cellStyle name="Currency 5 3 2 2 2 3 2 2 5" xfId="16062" xr:uid="{E03C6E29-15D0-478D-81A5-722D97DBBD5B}"/>
    <cellStyle name="Currency 5 3 2 2 2 3 2 3" xfId="28708" xr:uid="{37170F10-5DAE-469A-BEED-0AD81736611F}"/>
    <cellStyle name="Currency 5 3 2 2 2 3 2 4" xfId="20279" xr:uid="{1535F33C-D0BC-44D9-A8A8-B1D702657658}"/>
    <cellStyle name="Currency 5 3 2 2 2 3 2 5" xfId="37137" xr:uid="{2B6518BD-A42F-4629-8228-CEF34B969AD3}"/>
    <cellStyle name="Currency 5 3 2 2 2 3 2 6" xfId="11844" xr:uid="{5236D006-D806-4083-B97F-F0102E745A74}"/>
    <cellStyle name="Currency 5 3 2 2 2 3 3" xfId="5482" xr:uid="{00000000-0005-0000-0000-00008F0C0000}"/>
    <cellStyle name="Currency 5 3 2 2 2 3 3 2" xfId="30781" xr:uid="{6D1FD74D-96AC-46D2-AA22-12AEE07AEC92}"/>
    <cellStyle name="Currency 5 3 2 2 2 3 3 3" xfId="22352" xr:uid="{3CC8040D-A3FA-4BF5-A5E3-8D9BA0799640}"/>
    <cellStyle name="Currency 5 3 2 2 2 3 3 4" xfId="39209" xr:uid="{86A4AA5C-0325-4ECD-B690-9C6C30A19564}"/>
    <cellStyle name="Currency 5 3 2 2 2 3 3 5" xfId="13917" xr:uid="{05319A30-FAF2-4E18-9FCD-6552AEAFE4A3}"/>
    <cellStyle name="Currency 5 3 2 2 2 3 4" xfId="26563" xr:uid="{06A920D4-B959-4A32-9A5A-4CD4C6999CF3}"/>
    <cellStyle name="Currency 5 3 2 2 2 3 5" xfId="18134" xr:uid="{B72A3423-C4E8-4B49-88D9-79417D5A6809}"/>
    <cellStyle name="Currency 5 3 2 2 2 3 6" xfId="34992" xr:uid="{AC23125F-34B6-454B-9CF9-6F67F2831899}"/>
    <cellStyle name="Currency 5 3 2 2 2 3 7" xfId="9699" xr:uid="{12D088CE-51C4-495B-88D4-83D7A4C71538}"/>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33339" xr:uid="{304A74F1-EA4F-4944-A2A0-12CF915DC3B1}"/>
    <cellStyle name="Currency 5 3 2 2 2 4 2 2 3" xfId="24910" xr:uid="{BAC08EBC-1632-4867-A5A7-35D4BB04F037}"/>
    <cellStyle name="Currency 5 3 2 2 2 4 2 2 4" xfId="41767" xr:uid="{941ABE4C-C56E-487C-A723-2F547168A62F}"/>
    <cellStyle name="Currency 5 3 2 2 2 4 2 2 5" xfId="16475" xr:uid="{3159F665-5A7D-44E3-A75D-70E989D07152}"/>
    <cellStyle name="Currency 5 3 2 2 2 4 2 3" xfId="29121" xr:uid="{AB0214FA-FF4D-481E-9072-68E3C2E106C4}"/>
    <cellStyle name="Currency 5 3 2 2 2 4 2 4" xfId="20692" xr:uid="{8A397BEA-6105-48D6-8165-D0C8D8A6FF4A}"/>
    <cellStyle name="Currency 5 3 2 2 2 4 2 5" xfId="37550" xr:uid="{48A44BAA-A71A-4EF6-A116-9776B062ED6E}"/>
    <cellStyle name="Currency 5 3 2 2 2 4 2 6" xfId="12257" xr:uid="{25D0D991-EE6B-4252-A599-48D4D27377C3}"/>
    <cellStyle name="Currency 5 3 2 2 2 4 3" xfId="5895" xr:uid="{00000000-0005-0000-0000-0000930C0000}"/>
    <cellStyle name="Currency 5 3 2 2 2 4 3 2" xfId="31194" xr:uid="{BBDEEE36-8761-49BE-9C8D-82463653F4F7}"/>
    <cellStyle name="Currency 5 3 2 2 2 4 3 3" xfId="22765" xr:uid="{C7DC1855-6ECA-46C2-872A-57CA8D2B6B9E}"/>
    <cellStyle name="Currency 5 3 2 2 2 4 3 4" xfId="39622" xr:uid="{11A3B393-FF89-46ED-B647-117BD305C03A}"/>
    <cellStyle name="Currency 5 3 2 2 2 4 3 5" xfId="14330" xr:uid="{D79889A8-56BB-4F1E-B446-587774344BBE}"/>
    <cellStyle name="Currency 5 3 2 2 2 4 4" xfId="26976" xr:uid="{D63BC244-02B2-4243-8EF5-DB490649964C}"/>
    <cellStyle name="Currency 5 3 2 2 2 4 5" xfId="18547" xr:uid="{032F3734-685F-4364-9943-5FE489CA4548}"/>
    <cellStyle name="Currency 5 3 2 2 2 4 6" xfId="35405" xr:uid="{A8ED61D5-758F-4671-9EC6-6A51EB63A2B7}"/>
    <cellStyle name="Currency 5 3 2 2 2 4 7" xfId="10112" xr:uid="{F8389358-1799-4F6F-A127-376CA6543BCF}"/>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33752" xr:uid="{BB766A64-FB73-46E7-851B-AB5C1001776E}"/>
    <cellStyle name="Currency 5 3 2 2 2 5 2 2 3" xfId="25323" xr:uid="{D2C2DE88-50CF-4B0F-AD3F-C7088F885463}"/>
    <cellStyle name="Currency 5 3 2 2 2 5 2 2 4" xfId="42180" xr:uid="{4738E9A9-1956-40A2-A0BF-076CBC5DDFBB}"/>
    <cellStyle name="Currency 5 3 2 2 2 5 2 2 5" xfId="16888" xr:uid="{25B5BA72-A530-4BD8-A4D1-BEFA03203331}"/>
    <cellStyle name="Currency 5 3 2 2 2 5 2 3" xfId="29534" xr:uid="{FBD699B6-F4DF-4814-A582-CA333C2CECE1}"/>
    <cellStyle name="Currency 5 3 2 2 2 5 2 4" xfId="21105" xr:uid="{3AA6EF21-8700-4E1F-A241-E196AE3C8AE7}"/>
    <cellStyle name="Currency 5 3 2 2 2 5 2 5" xfId="37963" xr:uid="{F1BABC84-B688-4BB0-B9B2-C7E0A2AF14AA}"/>
    <cellStyle name="Currency 5 3 2 2 2 5 2 6" xfId="12670" xr:uid="{2281D1A2-AFB3-487D-A638-C534865615D6}"/>
    <cellStyle name="Currency 5 3 2 2 2 5 3" xfId="6308" xr:uid="{00000000-0005-0000-0000-0000970C0000}"/>
    <cellStyle name="Currency 5 3 2 2 2 5 3 2" xfId="31607" xr:uid="{B14E01B6-B4E9-40B1-AEBC-211EA91EAFB7}"/>
    <cellStyle name="Currency 5 3 2 2 2 5 3 3" xfId="23178" xr:uid="{C47323D7-5C1E-46E7-AF54-3D884B1BD55B}"/>
    <cellStyle name="Currency 5 3 2 2 2 5 3 4" xfId="40035" xr:uid="{5CCF22FB-2265-4F3C-8DEA-BA9BCDED370B}"/>
    <cellStyle name="Currency 5 3 2 2 2 5 3 5" xfId="14743" xr:uid="{A58BC5CF-FAE7-47F5-B173-076A44BD71C8}"/>
    <cellStyle name="Currency 5 3 2 2 2 5 4" xfId="27389" xr:uid="{62B31B0F-EA4F-4752-B689-EFE9924CFC81}"/>
    <cellStyle name="Currency 5 3 2 2 2 5 5" xfId="18960" xr:uid="{CD4D7763-0D66-4B2D-9FA6-96021A7710BE}"/>
    <cellStyle name="Currency 5 3 2 2 2 5 6" xfId="35818" xr:uid="{A5BC745C-8FAD-46C5-8BA0-CF5D92E5442A}"/>
    <cellStyle name="Currency 5 3 2 2 2 5 7" xfId="10525" xr:uid="{8D96115B-B6D0-40E1-9E15-5DC08FB62943}"/>
    <cellStyle name="Currency 5 3 2 2 2 6" xfId="2436" xr:uid="{00000000-0005-0000-0000-0000980C0000}"/>
    <cellStyle name="Currency 5 3 2 2 2 6 2" xfId="6721" xr:uid="{00000000-0005-0000-0000-0000990C0000}"/>
    <cellStyle name="Currency 5 3 2 2 2 6 2 2" xfId="32020" xr:uid="{9FF3821A-3808-4A50-A31A-CE34C8C36484}"/>
    <cellStyle name="Currency 5 3 2 2 2 6 2 3" xfId="23591" xr:uid="{FCADCD50-47B1-4F65-B27A-05B6EBE60035}"/>
    <cellStyle name="Currency 5 3 2 2 2 6 2 4" xfId="40448" xr:uid="{D2B5AF17-871B-46B3-91F6-9E1D7644E287}"/>
    <cellStyle name="Currency 5 3 2 2 2 6 2 5" xfId="15156" xr:uid="{CB38E3CE-C331-42F7-B27D-E02D5969976F}"/>
    <cellStyle name="Currency 5 3 2 2 2 6 3" xfId="27802" xr:uid="{EAE3521A-13C9-4A83-A88F-A1906200D0D6}"/>
    <cellStyle name="Currency 5 3 2 2 2 6 4" xfId="19373" xr:uid="{6C806F69-D212-43D2-815A-E68967978017}"/>
    <cellStyle name="Currency 5 3 2 2 2 6 5" xfId="36231" xr:uid="{2AE8D25B-6FC1-405C-8DE5-E48A653ACA74}"/>
    <cellStyle name="Currency 5 3 2 2 2 6 6" xfId="10938" xr:uid="{37885175-DF2B-4FCA-9BBD-300F45F3D29A}"/>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32337" xr:uid="{35A6E3B8-2B3E-473E-98FD-3C0B4462B989}"/>
    <cellStyle name="Currency 5 3 2 2 2 8 2 3" xfId="23908" xr:uid="{C8F60B9E-E0A8-4339-A97C-3F6DA275C153}"/>
    <cellStyle name="Currency 5 3 2 2 2 8 2 4" xfId="40765" xr:uid="{357B83B3-6740-4C4C-92CC-1464B9F72582}"/>
    <cellStyle name="Currency 5 3 2 2 2 8 2 5" xfId="15473" xr:uid="{6B6A3F27-1F2E-450C-8150-44114761C7E3}"/>
    <cellStyle name="Currency 5 3 2 2 2 8 3" xfId="28119" xr:uid="{57425FE4-D300-44B8-9DDF-6FB1903AAEC1}"/>
    <cellStyle name="Currency 5 3 2 2 2 8 4" xfId="19690" xr:uid="{98C92C1C-F52D-417A-9445-3500941145E3}"/>
    <cellStyle name="Currency 5 3 2 2 2 8 5" xfId="36548" xr:uid="{EE402086-E6C6-4455-BE14-47F943A6D62F}"/>
    <cellStyle name="Currency 5 3 2 2 2 8 6" xfId="11255" xr:uid="{F4272059-BA38-4768-8F1D-D461257F7012}"/>
    <cellStyle name="Currency 5 3 2 2 2 9" xfId="4655" xr:uid="{00000000-0005-0000-0000-00009D0C0000}"/>
    <cellStyle name="Currency 5 3 2 2 2 9 2" xfId="29954" xr:uid="{745EBFDC-7FFE-4852-A114-F9026C9B1D73}"/>
    <cellStyle name="Currency 5 3 2 2 2 9 3" xfId="21525" xr:uid="{9BF9C54C-6FD8-4618-9668-82844ED1B72C}"/>
    <cellStyle name="Currency 5 3 2 2 2 9 4" xfId="38382" xr:uid="{CB66AF80-D735-4966-A411-198C8C5B40C3}"/>
    <cellStyle name="Currency 5 3 2 2 2 9 5" xfId="13090" xr:uid="{EA4C47F5-DC36-434A-81AB-985E3566A9C4}"/>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32512" xr:uid="{8ADDB275-7CB0-47E6-BDAB-B16D461B3384}"/>
    <cellStyle name="Currency 5 3 2 2 3 2 2 3" xfId="24083" xr:uid="{3A79E4ED-7F94-4653-8042-6E506B87E3C8}"/>
    <cellStyle name="Currency 5 3 2 2 3 2 2 4" xfId="40940" xr:uid="{7FED448A-F2A4-4E31-A26D-E625A2905B7F}"/>
    <cellStyle name="Currency 5 3 2 2 3 2 2 5" xfId="15648" xr:uid="{6A067982-6B6D-44B5-BCF7-3B1987D9E5E5}"/>
    <cellStyle name="Currency 5 3 2 2 3 2 3" xfId="28294" xr:uid="{8E0326B2-28F1-4BCD-BC45-52139664571A}"/>
    <cellStyle name="Currency 5 3 2 2 3 2 4" xfId="19865" xr:uid="{1B8D7845-E4A4-497E-9ABF-2AC172DFCFDB}"/>
    <cellStyle name="Currency 5 3 2 2 3 2 5" xfId="36723" xr:uid="{3B2A5BE4-EDD3-482D-AB94-AF9CEA6507D3}"/>
    <cellStyle name="Currency 5 3 2 2 3 2 6" xfId="11430" xr:uid="{27A27178-4E44-4639-BD35-6C1F6ABC4CC3}"/>
    <cellStyle name="Currency 5 3 2 2 3 3" xfId="5068" xr:uid="{00000000-0005-0000-0000-0000A10C0000}"/>
    <cellStyle name="Currency 5 3 2 2 3 3 2" xfId="30367" xr:uid="{F6C6F797-5EEA-4883-A267-DF2B1A0DCF18}"/>
    <cellStyle name="Currency 5 3 2 2 3 3 3" xfId="21938" xr:uid="{3C86BD46-DD62-484C-ACF6-CB2FE27C7F00}"/>
    <cellStyle name="Currency 5 3 2 2 3 3 4" xfId="38795" xr:uid="{012837B1-005F-49C3-93B5-AD3525E3B0D8}"/>
    <cellStyle name="Currency 5 3 2 2 3 3 5" xfId="13503" xr:uid="{C25D621A-1F0B-4F1A-8651-7CA98E7A79A8}"/>
    <cellStyle name="Currency 5 3 2 2 3 4" xfId="26149" xr:uid="{8E715F02-D613-4E79-970A-3451AEC2CA67}"/>
    <cellStyle name="Currency 5 3 2 2 3 5" xfId="17720" xr:uid="{927CCF16-B57E-4481-AA20-7C78E9D452F5}"/>
    <cellStyle name="Currency 5 3 2 2 3 6" xfId="34578" xr:uid="{B1F50B75-AFC4-43B8-9246-D4BAA5C59CE5}"/>
    <cellStyle name="Currency 5 3 2 2 3 7" xfId="9285" xr:uid="{46279C2D-0E2C-479B-B94B-9183D3A16BCA}"/>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32925" xr:uid="{1B63BF71-3410-4EDE-99AC-BAA1C7FC0372}"/>
    <cellStyle name="Currency 5 3 2 2 4 2 2 3" xfId="24496" xr:uid="{37479CC9-CDE6-4844-AFB0-637BDDDFBF1E}"/>
    <cellStyle name="Currency 5 3 2 2 4 2 2 4" xfId="41353" xr:uid="{9E1C41CA-5214-491D-A289-982626CC5677}"/>
    <cellStyle name="Currency 5 3 2 2 4 2 2 5" xfId="16061" xr:uid="{7C9AA647-BA0B-418D-94A0-4714C6F239B4}"/>
    <cellStyle name="Currency 5 3 2 2 4 2 3" xfId="28707" xr:uid="{0CCE8659-8ECE-4891-9B04-ADD6B004F381}"/>
    <cellStyle name="Currency 5 3 2 2 4 2 4" xfId="20278" xr:uid="{125C363B-378F-4C18-BBE4-7D1EC294B99B}"/>
    <cellStyle name="Currency 5 3 2 2 4 2 5" xfId="37136" xr:uid="{26427A6E-8F4A-4A8B-8CF2-BE63AB859595}"/>
    <cellStyle name="Currency 5 3 2 2 4 2 6" xfId="11843" xr:uid="{B6B49D97-0B18-4DBC-B1FD-D2386E94EE65}"/>
    <cellStyle name="Currency 5 3 2 2 4 3" xfId="5481" xr:uid="{00000000-0005-0000-0000-0000A50C0000}"/>
    <cellStyle name="Currency 5 3 2 2 4 3 2" xfId="30780" xr:uid="{83B71704-09E2-4A5E-9683-FFCDE83E5F20}"/>
    <cellStyle name="Currency 5 3 2 2 4 3 3" xfId="22351" xr:uid="{797E128C-DF61-4F57-857A-477E2EFD0576}"/>
    <cellStyle name="Currency 5 3 2 2 4 3 4" xfId="39208" xr:uid="{0EDEA5A2-840D-4DF2-8C30-EAA7109BC16B}"/>
    <cellStyle name="Currency 5 3 2 2 4 3 5" xfId="13916" xr:uid="{A64CD0C8-96A5-4B38-82B5-A32D063B8A51}"/>
    <cellStyle name="Currency 5 3 2 2 4 4" xfId="26562" xr:uid="{DBFE9DE6-D25C-42D5-A349-73DE59924051}"/>
    <cellStyle name="Currency 5 3 2 2 4 5" xfId="18133" xr:uid="{A902F497-8047-4E89-8D55-2481B40E8590}"/>
    <cellStyle name="Currency 5 3 2 2 4 6" xfId="34991" xr:uid="{5C714FA6-A587-476E-9A22-4165BF869548}"/>
    <cellStyle name="Currency 5 3 2 2 4 7" xfId="9698" xr:uid="{7D7C73B0-1265-4F33-BDC2-FBE02BCD101C}"/>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33338" xr:uid="{DFBACF84-1D82-471E-9DD9-87DB9A1522AA}"/>
    <cellStyle name="Currency 5 3 2 2 5 2 2 3" xfId="24909" xr:uid="{D1E94ECE-7492-4804-B92F-D0F20F1F3DC2}"/>
    <cellStyle name="Currency 5 3 2 2 5 2 2 4" xfId="41766" xr:uid="{4AF0ED48-9495-489E-AAC6-382AD13EA9D3}"/>
    <cellStyle name="Currency 5 3 2 2 5 2 2 5" xfId="16474" xr:uid="{7EF4EF20-B210-4F21-A58C-82DC0323DF50}"/>
    <cellStyle name="Currency 5 3 2 2 5 2 3" xfId="29120" xr:uid="{69E01A13-0350-44C1-93BC-331BFCA0AA86}"/>
    <cellStyle name="Currency 5 3 2 2 5 2 4" xfId="20691" xr:uid="{F9301C25-5AE1-45F2-992A-FC2663EC7576}"/>
    <cellStyle name="Currency 5 3 2 2 5 2 5" xfId="37549" xr:uid="{4AC1BAD9-3670-4494-B30F-F30864D8CA8D}"/>
    <cellStyle name="Currency 5 3 2 2 5 2 6" xfId="12256" xr:uid="{678630E9-2653-4410-8AE4-D103DE7107D5}"/>
    <cellStyle name="Currency 5 3 2 2 5 3" xfId="5894" xr:uid="{00000000-0005-0000-0000-0000A90C0000}"/>
    <cellStyle name="Currency 5 3 2 2 5 3 2" xfId="31193" xr:uid="{9D3DCF87-8EC3-4E40-B90F-24112D52D418}"/>
    <cellStyle name="Currency 5 3 2 2 5 3 3" xfId="22764" xr:uid="{7CFEB418-DB8D-403A-9B30-1633823E19D2}"/>
    <cellStyle name="Currency 5 3 2 2 5 3 4" xfId="39621" xr:uid="{4CAB73E8-3CA5-4BD0-A294-709E671340A1}"/>
    <cellStyle name="Currency 5 3 2 2 5 3 5" xfId="14329" xr:uid="{D0091270-0BA7-4F22-8151-AF1C94186156}"/>
    <cellStyle name="Currency 5 3 2 2 5 4" xfId="26975" xr:uid="{3649A826-FCB7-4BB0-BF11-3E53A34DBC69}"/>
    <cellStyle name="Currency 5 3 2 2 5 5" xfId="18546" xr:uid="{39643CA0-9804-457B-A36E-F2F144C11681}"/>
    <cellStyle name="Currency 5 3 2 2 5 6" xfId="35404" xr:uid="{42FB677C-F5AA-4485-9E3C-82565C9C7109}"/>
    <cellStyle name="Currency 5 3 2 2 5 7" xfId="10111" xr:uid="{21C189B2-4FAC-4384-8F61-9ECBF46F231C}"/>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33751" xr:uid="{654BC0E5-C009-4262-A91F-72438BD9C73B}"/>
    <cellStyle name="Currency 5 3 2 2 6 2 2 3" xfId="25322" xr:uid="{76F6DC3D-4450-4051-931C-71E217C692CD}"/>
    <cellStyle name="Currency 5 3 2 2 6 2 2 4" xfId="42179" xr:uid="{51264DE2-B23D-4386-919B-3E2FCBEA8D6C}"/>
    <cellStyle name="Currency 5 3 2 2 6 2 2 5" xfId="16887" xr:uid="{F947C67E-8ABD-4F9C-8332-DE1036C4096D}"/>
    <cellStyle name="Currency 5 3 2 2 6 2 3" xfId="29533" xr:uid="{AE3D8F04-01C4-4D33-96E1-2C9E0E00592C}"/>
    <cellStyle name="Currency 5 3 2 2 6 2 4" xfId="21104" xr:uid="{D85A2D05-8F56-43DA-933E-6D5552AB65FE}"/>
    <cellStyle name="Currency 5 3 2 2 6 2 5" xfId="37962" xr:uid="{4E928FD3-3FBA-49EA-A871-D48A626916ED}"/>
    <cellStyle name="Currency 5 3 2 2 6 2 6" xfId="12669" xr:uid="{DAC3C8B8-B28D-4E7F-BA8F-CA1EA3A21FCB}"/>
    <cellStyle name="Currency 5 3 2 2 6 3" xfId="6307" xr:uid="{00000000-0005-0000-0000-0000AD0C0000}"/>
    <cellStyle name="Currency 5 3 2 2 6 3 2" xfId="31606" xr:uid="{F076FCEE-27F0-4835-AAEE-23C7143AE1BE}"/>
    <cellStyle name="Currency 5 3 2 2 6 3 3" xfId="23177" xr:uid="{6E9EA186-99A2-4453-AEE9-6652D3C0F078}"/>
    <cellStyle name="Currency 5 3 2 2 6 3 4" xfId="40034" xr:uid="{06AAFEB2-9A37-46C9-AA31-B4682395FBCC}"/>
    <cellStyle name="Currency 5 3 2 2 6 3 5" xfId="14742" xr:uid="{AD60E01B-443D-4029-BE84-3B6A983BE816}"/>
    <cellStyle name="Currency 5 3 2 2 6 4" xfId="27388" xr:uid="{02D4D101-1351-414F-A85F-483566CFFA8E}"/>
    <cellStyle name="Currency 5 3 2 2 6 5" xfId="18959" xr:uid="{46617BA0-F277-4E7C-84D9-2ABEBD1AC35C}"/>
    <cellStyle name="Currency 5 3 2 2 6 6" xfId="35817" xr:uid="{AF7B0F0E-6727-409D-AB57-A53C77B23994}"/>
    <cellStyle name="Currency 5 3 2 2 6 7" xfId="10524" xr:uid="{79B85FCE-A114-410A-BE7E-1C7142E9B998}"/>
    <cellStyle name="Currency 5 3 2 2 7" xfId="2435" xr:uid="{00000000-0005-0000-0000-0000AE0C0000}"/>
    <cellStyle name="Currency 5 3 2 2 7 2" xfId="6720" xr:uid="{00000000-0005-0000-0000-0000AF0C0000}"/>
    <cellStyle name="Currency 5 3 2 2 7 2 2" xfId="32019" xr:uid="{9853D131-781A-4414-95E7-A3352460D17C}"/>
    <cellStyle name="Currency 5 3 2 2 7 2 3" xfId="23590" xr:uid="{CCFC8040-DF00-479A-8EA2-EEE2F9D4185D}"/>
    <cellStyle name="Currency 5 3 2 2 7 2 4" xfId="40447" xr:uid="{DC5B9795-6DBE-4CE7-8C9B-C2E8649DFA77}"/>
    <cellStyle name="Currency 5 3 2 2 7 2 5" xfId="15155" xr:uid="{69CC2BBA-6D89-4876-B339-71A6F8B8C4DD}"/>
    <cellStyle name="Currency 5 3 2 2 7 3" xfId="27801" xr:uid="{39669730-1CAE-45B8-A2A6-570137F9F6E1}"/>
    <cellStyle name="Currency 5 3 2 2 7 4" xfId="19372" xr:uid="{7B0695CE-7959-4A2B-AF00-D5EADE557D27}"/>
    <cellStyle name="Currency 5 3 2 2 7 5" xfId="36230" xr:uid="{FF079B67-D803-4C14-9635-1277E008DD8D}"/>
    <cellStyle name="Currency 5 3 2 2 7 6" xfId="10937" xr:uid="{51407309-ECA5-4045-A7CF-C329A82280C6}"/>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32336" xr:uid="{C50041BE-48F5-4A58-8FA2-CA0319698870}"/>
    <cellStyle name="Currency 5 3 2 2 9 2 3" xfId="23907" xr:uid="{422FDDE2-32F3-448B-BD22-091188489610}"/>
    <cellStyle name="Currency 5 3 2 2 9 2 4" xfId="40764" xr:uid="{9A5B2327-B336-4297-AD5E-C34CC0EA5ECB}"/>
    <cellStyle name="Currency 5 3 2 2 9 2 5" xfId="15472" xr:uid="{533D1EB1-39F7-4509-9825-250B6236CD0A}"/>
    <cellStyle name="Currency 5 3 2 2 9 3" xfId="28118" xr:uid="{D6A4BBFF-B3C8-43A9-956D-F5541E0C8DCA}"/>
    <cellStyle name="Currency 5 3 2 2 9 4" xfId="19689" xr:uid="{881A9B2A-6091-4564-A135-4F48DEAFF1E8}"/>
    <cellStyle name="Currency 5 3 2 2 9 5" xfId="36547" xr:uid="{E760CD7E-639D-4554-B1C5-857F47EA865A}"/>
    <cellStyle name="Currency 5 3 2 2 9 6" xfId="11254" xr:uid="{8A099558-BF4C-44E2-BC16-B94D0351D227}"/>
    <cellStyle name="Currency 5 3 2 3" xfId="213" xr:uid="{00000000-0005-0000-0000-0000B30C0000}"/>
    <cellStyle name="Currency 5 3 2 3 10" xfId="25737" xr:uid="{FF534A3F-3F35-47CB-B9B2-992139332F8E}"/>
    <cellStyle name="Currency 5 3 2 3 11" xfId="17308" xr:uid="{AFC84AE0-2150-4FFF-8D6C-E60E39CD8C43}"/>
    <cellStyle name="Currency 5 3 2 3 12" xfId="34166" xr:uid="{2428BFD5-3CCC-418E-B405-FCCF888E1E15}"/>
    <cellStyle name="Currency 5 3 2 3 13" xfId="8873" xr:uid="{A89837E4-11CC-49DB-856C-0BE0C16672F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32514" xr:uid="{2C61C8C3-5DC0-46C5-8BFD-5484871F84C2}"/>
    <cellStyle name="Currency 5 3 2 3 2 2 2 3" xfId="24085" xr:uid="{F7EA412D-EC67-4DA9-AA2E-94E2B7B59B46}"/>
    <cellStyle name="Currency 5 3 2 3 2 2 2 4" xfId="40942" xr:uid="{C05473C1-26BB-493A-825C-040E507CB94A}"/>
    <cellStyle name="Currency 5 3 2 3 2 2 2 5" xfId="15650" xr:uid="{6034F39A-9FBC-4C1A-8698-ACA38CB4E214}"/>
    <cellStyle name="Currency 5 3 2 3 2 2 3" xfId="28296" xr:uid="{FEAB2CF7-B807-44A0-8D3B-ED30FAF44856}"/>
    <cellStyle name="Currency 5 3 2 3 2 2 4" xfId="19867" xr:uid="{75F91E8A-3F58-4B2E-B09F-CEEE4FED4C58}"/>
    <cellStyle name="Currency 5 3 2 3 2 2 5" xfId="36725" xr:uid="{F281ACCA-BBD1-4DBD-A893-5A005C3C88FB}"/>
    <cellStyle name="Currency 5 3 2 3 2 2 6" xfId="11432" xr:uid="{1EF96E12-3FD0-4140-A099-E196078EFDA0}"/>
    <cellStyle name="Currency 5 3 2 3 2 3" xfId="5070" xr:uid="{00000000-0005-0000-0000-0000B70C0000}"/>
    <cellStyle name="Currency 5 3 2 3 2 3 2" xfId="30369" xr:uid="{7CE20898-A872-4F28-8C64-55ED2D512822}"/>
    <cellStyle name="Currency 5 3 2 3 2 3 3" xfId="21940" xr:uid="{332AF481-D740-47D1-8E96-028CA74536D6}"/>
    <cellStyle name="Currency 5 3 2 3 2 3 4" xfId="38797" xr:uid="{A455D2C3-EE5A-448A-A1DB-A6AE86816665}"/>
    <cellStyle name="Currency 5 3 2 3 2 3 5" xfId="13505" xr:uid="{732DB6C8-153E-4066-B748-D0CCC660A4D7}"/>
    <cellStyle name="Currency 5 3 2 3 2 4" xfId="26151" xr:uid="{8A2E23D1-AE88-492D-95DE-D06F38E19F49}"/>
    <cellStyle name="Currency 5 3 2 3 2 5" xfId="17722" xr:uid="{CB37C445-98F1-4B0B-A4C8-FCAABE0A6D2C}"/>
    <cellStyle name="Currency 5 3 2 3 2 6" xfId="34580" xr:uid="{DB34972B-6FA4-447B-9D64-7DAA3E0B598B}"/>
    <cellStyle name="Currency 5 3 2 3 2 7" xfId="9287" xr:uid="{42AF99E9-54B6-4DD9-8078-54C27AD8A4FE}"/>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32927" xr:uid="{3F7578F8-0A2C-4D3E-A93F-4B4A67AB367B}"/>
    <cellStyle name="Currency 5 3 2 3 3 2 2 3" xfId="24498" xr:uid="{B78D25D5-83DB-46E5-B402-8787FF6A4134}"/>
    <cellStyle name="Currency 5 3 2 3 3 2 2 4" xfId="41355" xr:uid="{F1619F49-826E-4E64-95A6-161060441A8A}"/>
    <cellStyle name="Currency 5 3 2 3 3 2 2 5" xfId="16063" xr:uid="{898A9106-2B6F-498B-8447-503D43F60444}"/>
    <cellStyle name="Currency 5 3 2 3 3 2 3" xfId="28709" xr:uid="{AEBDFABF-ABEF-4C08-A339-C8880EDF1AB1}"/>
    <cellStyle name="Currency 5 3 2 3 3 2 4" xfId="20280" xr:uid="{0EE8ED23-D22A-4F3F-AEBF-518935E9B490}"/>
    <cellStyle name="Currency 5 3 2 3 3 2 5" xfId="37138" xr:uid="{A1E4AD1C-DED5-4E73-8EF5-AE7EEB60A234}"/>
    <cellStyle name="Currency 5 3 2 3 3 2 6" xfId="11845" xr:uid="{D3E149C8-4952-4A9E-BB7D-6AAFE65F14DA}"/>
    <cellStyle name="Currency 5 3 2 3 3 3" xfId="5483" xr:uid="{00000000-0005-0000-0000-0000BB0C0000}"/>
    <cellStyle name="Currency 5 3 2 3 3 3 2" xfId="30782" xr:uid="{331DE74E-6ADF-484F-B62C-BE73B46D4955}"/>
    <cellStyle name="Currency 5 3 2 3 3 3 3" xfId="22353" xr:uid="{6E8E6344-DB80-417D-BA80-4FAC7556E1A9}"/>
    <cellStyle name="Currency 5 3 2 3 3 3 4" xfId="39210" xr:uid="{10174C71-6F78-4E2C-9486-6CF4E7A570C8}"/>
    <cellStyle name="Currency 5 3 2 3 3 3 5" xfId="13918" xr:uid="{D097CF96-09E9-40FD-B413-616B82E3D86F}"/>
    <cellStyle name="Currency 5 3 2 3 3 4" xfId="26564" xr:uid="{86D0AECE-CBDD-42B4-9D6D-43FCD62A070A}"/>
    <cellStyle name="Currency 5 3 2 3 3 5" xfId="18135" xr:uid="{459E0E62-5B8B-440D-9D2E-ECA70E8F6FAE}"/>
    <cellStyle name="Currency 5 3 2 3 3 6" xfId="34993" xr:uid="{951C7F64-246F-4613-81A6-E2C23FE11FC3}"/>
    <cellStyle name="Currency 5 3 2 3 3 7" xfId="9700" xr:uid="{03C00D48-0624-41E5-BA38-203A7B90421B}"/>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33340" xr:uid="{AA0E4D7D-2647-4E1F-874D-9BED30C7C8D9}"/>
    <cellStyle name="Currency 5 3 2 3 4 2 2 3" xfId="24911" xr:uid="{0F94B7EE-E991-42D2-86E5-59E0DF6EFC4F}"/>
    <cellStyle name="Currency 5 3 2 3 4 2 2 4" xfId="41768" xr:uid="{34871AD4-F45F-4D55-B20F-6C781F1A279A}"/>
    <cellStyle name="Currency 5 3 2 3 4 2 2 5" xfId="16476" xr:uid="{C3C03BA1-7507-4B4F-ACDA-1FEED674D6AA}"/>
    <cellStyle name="Currency 5 3 2 3 4 2 3" xfId="29122" xr:uid="{339B69A9-24A2-4B07-B9C4-93998D7C1121}"/>
    <cellStyle name="Currency 5 3 2 3 4 2 4" xfId="20693" xr:uid="{48FC44AA-3A50-4556-AA03-17BF22E77E86}"/>
    <cellStyle name="Currency 5 3 2 3 4 2 5" xfId="37551" xr:uid="{A1CCA671-48C8-463B-94F9-E83B50A40A22}"/>
    <cellStyle name="Currency 5 3 2 3 4 2 6" xfId="12258" xr:uid="{2A661F97-D81D-4E7D-8444-5A15C0F1C281}"/>
    <cellStyle name="Currency 5 3 2 3 4 3" xfId="5896" xr:uid="{00000000-0005-0000-0000-0000BF0C0000}"/>
    <cellStyle name="Currency 5 3 2 3 4 3 2" xfId="31195" xr:uid="{1A1C6159-7DD1-4079-BC34-EFBB230B80BA}"/>
    <cellStyle name="Currency 5 3 2 3 4 3 3" xfId="22766" xr:uid="{255A5F93-2F6F-459B-936B-6A8BD547EDDA}"/>
    <cellStyle name="Currency 5 3 2 3 4 3 4" xfId="39623" xr:uid="{EAB4FF71-B198-4047-9BDA-8A075402C892}"/>
    <cellStyle name="Currency 5 3 2 3 4 3 5" xfId="14331" xr:uid="{1B3F3DE0-6C6B-4340-B753-3DE85073914C}"/>
    <cellStyle name="Currency 5 3 2 3 4 4" xfId="26977" xr:uid="{BD121BF1-BD8D-4D93-AD37-1D7C9AD5B86F}"/>
    <cellStyle name="Currency 5 3 2 3 4 5" xfId="18548" xr:uid="{EEDDE665-FBB1-4D63-8C68-DAF71F91DAB6}"/>
    <cellStyle name="Currency 5 3 2 3 4 6" xfId="35406" xr:uid="{332E0119-906C-4B6B-8BBF-8F667AF227DE}"/>
    <cellStyle name="Currency 5 3 2 3 4 7" xfId="10113" xr:uid="{8BC26E31-6784-4C5D-ABA9-F19820BB4E89}"/>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33753" xr:uid="{D26135E1-DE8A-4515-88B0-082A3593F454}"/>
    <cellStyle name="Currency 5 3 2 3 5 2 2 3" xfId="25324" xr:uid="{145E3BAE-E347-47B7-8E41-3FEDCD492238}"/>
    <cellStyle name="Currency 5 3 2 3 5 2 2 4" xfId="42181" xr:uid="{5168E0B6-6F82-4513-9179-BC086667CA15}"/>
    <cellStyle name="Currency 5 3 2 3 5 2 2 5" xfId="16889" xr:uid="{E6E9F884-6CA4-443C-A133-68D8FE8376C3}"/>
    <cellStyle name="Currency 5 3 2 3 5 2 3" xfId="29535" xr:uid="{D0F5593B-2744-45EB-A32E-253C965FCA09}"/>
    <cellStyle name="Currency 5 3 2 3 5 2 4" xfId="21106" xr:uid="{5C94800B-4B33-4400-A13D-37B5F9637179}"/>
    <cellStyle name="Currency 5 3 2 3 5 2 5" xfId="37964" xr:uid="{952B67AD-4E4F-49D8-95B9-79FE23D1EEBC}"/>
    <cellStyle name="Currency 5 3 2 3 5 2 6" xfId="12671" xr:uid="{E7B4C396-8C36-4E07-9B19-FABBFD84B186}"/>
    <cellStyle name="Currency 5 3 2 3 5 3" xfId="6309" xr:uid="{00000000-0005-0000-0000-0000C30C0000}"/>
    <cellStyle name="Currency 5 3 2 3 5 3 2" xfId="31608" xr:uid="{69AAEC17-7E1D-4815-8A24-C849EFF94CC8}"/>
    <cellStyle name="Currency 5 3 2 3 5 3 3" xfId="23179" xr:uid="{8BED0392-F280-4F5B-8009-A4B05261723D}"/>
    <cellStyle name="Currency 5 3 2 3 5 3 4" xfId="40036" xr:uid="{871CEBFE-C276-45C1-BB13-4F6B146AA5E8}"/>
    <cellStyle name="Currency 5 3 2 3 5 3 5" xfId="14744" xr:uid="{63492E1B-427C-4428-B70F-C2B90A409C38}"/>
    <cellStyle name="Currency 5 3 2 3 5 4" xfId="27390" xr:uid="{7DC2F76F-CA12-418A-9051-DE8D24A59405}"/>
    <cellStyle name="Currency 5 3 2 3 5 5" xfId="18961" xr:uid="{F4BFEF6A-05A0-4F93-A3BB-D5BD2633C0EC}"/>
    <cellStyle name="Currency 5 3 2 3 5 6" xfId="35819" xr:uid="{8866F6E3-6052-4D7D-9AC7-A2F3BCB19766}"/>
    <cellStyle name="Currency 5 3 2 3 5 7" xfId="10526" xr:uid="{9743D679-5CF5-442B-AB54-72B45078292F}"/>
    <cellStyle name="Currency 5 3 2 3 6" xfId="2437" xr:uid="{00000000-0005-0000-0000-0000C40C0000}"/>
    <cellStyle name="Currency 5 3 2 3 6 2" xfId="6722" xr:uid="{00000000-0005-0000-0000-0000C50C0000}"/>
    <cellStyle name="Currency 5 3 2 3 6 2 2" xfId="32021" xr:uid="{792CD8E7-357C-4610-81A7-150267219F1E}"/>
    <cellStyle name="Currency 5 3 2 3 6 2 3" xfId="23592" xr:uid="{3B97F5F2-6952-4D3D-949E-5F23D8550A4D}"/>
    <cellStyle name="Currency 5 3 2 3 6 2 4" xfId="40449" xr:uid="{CFEF231B-B0BF-4A3C-B73F-DDE3B9B49856}"/>
    <cellStyle name="Currency 5 3 2 3 6 2 5" xfId="15157" xr:uid="{C55B0498-C43F-4846-AE81-7D0C0E1B4C73}"/>
    <cellStyle name="Currency 5 3 2 3 6 3" xfId="27803" xr:uid="{7C572EBB-0C61-43A3-9E68-DE7BBC5947C4}"/>
    <cellStyle name="Currency 5 3 2 3 6 4" xfId="19374" xr:uid="{91C1C95E-0133-495F-8742-7A4F78F70E90}"/>
    <cellStyle name="Currency 5 3 2 3 6 5" xfId="36232" xr:uid="{5D31665C-0090-4522-9F0D-BEDA683B794C}"/>
    <cellStyle name="Currency 5 3 2 3 6 6" xfId="10939" xr:uid="{4E58D39D-9843-42E9-A09B-15FB9F58EBE6}"/>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32338" xr:uid="{977AE35A-55A6-44FF-88E9-DE2DD5FD4F7A}"/>
    <cellStyle name="Currency 5 3 2 3 8 2 3" xfId="23909" xr:uid="{78A94CEB-9379-48D3-9F16-4A06ADC93B67}"/>
    <cellStyle name="Currency 5 3 2 3 8 2 4" xfId="40766" xr:uid="{2A99A377-A370-46B1-90CB-538B3C8317A6}"/>
    <cellStyle name="Currency 5 3 2 3 8 2 5" xfId="15474" xr:uid="{CFCDCDCE-E0E6-4A9A-AB2D-10DFE5140406}"/>
    <cellStyle name="Currency 5 3 2 3 8 3" xfId="28120" xr:uid="{B1EBF397-8C38-4752-93A4-444D6BBD5334}"/>
    <cellStyle name="Currency 5 3 2 3 8 4" xfId="19691" xr:uid="{B0DE77D7-F5C2-4D8B-9B31-FDF79EF69252}"/>
    <cellStyle name="Currency 5 3 2 3 8 5" xfId="36549" xr:uid="{01F4A6B5-B4DA-434A-BDBF-46F8DFC43ACB}"/>
    <cellStyle name="Currency 5 3 2 3 8 6" xfId="11256" xr:uid="{A511252E-6F22-4F66-A26F-19179840D961}"/>
    <cellStyle name="Currency 5 3 2 3 9" xfId="4656" xr:uid="{00000000-0005-0000-0000-0000C90C0000}"/>
    <cellStyle name="Currency 5 3 2 3 9 2" xfId="29955" xr:uid="{FDB60AC0-B33D-4A70-B651-11B650F69D03}"/>
    <cellStyle name="Currency 5 3 2 3 9 3" xfId="21526" xr:uid="{AEA2A762-A231-4084-BAAE-C27A0456BBB5}"/>
    <cellStyle name="Currency 5 3 2 3 9 4" xfId="38383" xr:uid="{BDBA4387-8535-4EEB-B707-4A26EC748A62}"/>
    <cellStyle name="Currency 5 3 2 3 9 5" xfId="13091" xr:uid="{A8534B75-CC73-4934-8F38-E49587E9AC51}"/>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32511" xr:uid="{0F8F0BAD-742D-4458-904B-CB6D02CDBB49}"/>
    <cellStyle name="Currency 5 3 2 4 2 2 3" xfId="24082" xr:uid="{459A0089-9809-4B4D-A5D7-E3FDE30A35D1}"/>
    <cellStyle name="Currency 5 3 2 4 2 2 4" xfId="40939" xr:uid="{FA5DE305-6FDB-4167-A13E-DC3E322925E8}"/>
    <cellStyle name="Currency 5 3 2 4 2 2 5" xfId="15647" xr:uid="{8E025FEA-A05B-492D-9FD4-01ADFF3D84BC}"/>
    <cellStyle name="Currency 5 3 2 4 2 3" xfId="28293" xr:uid="{1B4ADC28-32F3-4E0E-A320-C56207BD5BD4}"/>
    <cellStyle name="Currency 5 3 2 4 2 4" xfId="19864" xr:uid="{8ED9977A-31CC-43EC-A7E6-13816E327866}"/>
    <cellStyle name="Currency 5 3 2 4 2 5" xfId="36722" xr:uid="{194F82A3-243F-44D5-8184-81B756030905}"/>
    <cellStyle name="Currency 5 3 2 4 2 6" xfId="11429" xr:uid="{A6145858-8E7E-4FB0-B56D-67A3342A8D86}"/>
    <cellStyle name="Currency 5 3 2 4 3" xfId="5067" xr:uid="{00000000-0005-0000-0000-0000CD0C0000}"/>
    <cellStyle name="Currency 5 3 2 4 3 2" xfId="30366" xr:uid="{96B729AC-2FE6-4D2E-9592-F47F7BDC3FA2}"/>
    <cellStyle name="Currency 5 3 2 4 3 3" xfId="21937" xr:uid="{C0B916EF-73C7-4019-91C0-551E7DD20653}"/>
    <cellStyle name="Currency 5 3 2 4 3 4" xfId="38794" xr:uid="{85954A44-23A6-4F10-81EC-32F05891651D}"/>
    <cellStyle name="Currency 5 3 2 4 3 5" xfId="13502" xr:uid="{F2D51A68-895D-4DE3-87F5-00EE324960F1}"/>
    <cellStyle name="Currency 5 3 2 4 4" xfId="26148" xr:uid="{84C04E3B-0F7B-457D-8CAC-CAC1B3C47321}"/>
    <cellStyle name="Currency 5 3 2 4 5" xfId="17719" xr:uid="{E9EB3361-BB1C-4473-BD06-B53EA267B74B}"/>
    <cellStyle name="Currency 5 3 2 4 6" xfId="34577" xr:uid="{267200F0-E1DE-44CD-8057-EFC58A35B19F}"/>
    <cellStyle name="Currency 5 3 2 4 7" xfId="9284" xr:uid="{54C402BF-3639-4856-8AD8-13F33269B67E}"/>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32924" xr:uid="{23B0A1BD-7A9B-4F95-8563-FF599C818169}"/>
    <cellStyle name="Currency 5 3 2 5 2 2 3" xfId="24495" xr:uid="{6A607FA3-3819-4B6E-B53C-A7276FFC1D5F}"/>
    <cellStyle name="Currency 5 3 2 5 2 2 4" xfId="41352" xr:uid="{66CD1257-8EFB-4DA6-84BC-7A3F63DD08CA}"/>
    <cellStyle name="Currency 5 3 2 5 2 2 5" xfId="16060" xr:uid="{F5CC70A7-190C-496F-943A-145E10EF157B}"/>
    <cellStyle name="Currency 5 3 2 5 2 3" xfId="28706" xr:uid="{703E36C9-956F-4AAC-B9ED-B6B1FF8C96EA}"/>
    <cellStyle name="Currency 5 3 2 5 2 4" xfId="20277" xr:uid="{50636727-7CB4-44E6-9EA3-84DEB87F95CE}"/>
    <cellStyle name="Currency 5 3 2 5 2 5" xfId="37135" xr:uid="{FC477BA2-A315-4E76-BC6D-FE13C3250122}"/>
    <cellStyle name="Currency 5 3 2 5 2 6" xfId="11842" xr:uid="{420B27FC-F65E-463D-9A41-E75C0043B792}"/>
    <cellStyle name="Currency 5 3 2 5 3" xfId="5480" xr:uid="{00000000-0005-0000-0000-0000D10C0000}"/>
    <cellStyle name="Currency 5 3 2 5 3 2" xfId="30779" xr:uid="{0E0E3564-6D30-4B19-8957-0995CE9C7488}"/>
    <cellStyle name="Currency 5 3 2 5 3 3" xfId="22350" xr:uid="{A592092F-4D55-462B-B874-D06000323080}"/>
    <cellStyle name="Currency 5 3 2 5 3 4" xfId="39207" xr:uid="{5E78426C-8F9F-4AC4-A947-99600580BAB0}"/>
    <cellStyle name="Currency 5 3 2 5 3 5" xfId="13915" xr:uid="{ACE8F13C-66B7-499D-817E-5D58F2D0AE79}"/>
    <cellStyle name="Currency 5 3 2 5 4" xfId="26561" xr:uid="{78FCFAA5-2D90-4FFE-9F0E-98128C820B19}"/>
    <cellStyle name="Currency 5 3 2 5 5" xfId="18132" xr:uid="{64A85530-3AE6-40C6-8D87-7685A15167CA}"/>
    <cellStyle name="Currency 5 3 2 5 6" xfId="34990" xr:uid="{F494BF0B-C502-44CF-8A71-9EDDD4E6BBB8}"/>
    <cellStyle name="Currency 5 3 2 5 7" xfId="9697" xr:uid="{24B3E22C-70AD-44EB-BE37-EADC3581836F}"/>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33337" xr:uid="{58EA6C72-CADC-4E0A-B0FC-042CFDC58F97}"/>
    <cellStyle name="Currency 5 3 2 6 2 2 3" xfId="24908" xr:uid="{6830D089-537A-4537-9810-E117E5BD6E70}"/>
    <cellStyle name="Currency 5 3 2 6 2 2 4" xfId="41765" xr:uid="{69D5727D-D9B2-4610-9E95-8DCFBC66C80C}"/>
    <cellStyle name="Currency 5 3 2 6 2 2 5" xfId="16473" xr:uid="{20694B54-F8FC-4624-9238-A16524C4383F}"/>
    <cellStyle name="Currency 5 3 2 6 2 3" xfId="29119" xr:uid="{602C077E-ED17-4ABB-A237-3193FC8262F1}"/>
    <cellStyle name="Currency 5 3 2 6 2 4" xfId="20690" xr:uid="{70ECFC60-E898-4F65-824A-824FC57E5746}"/>
    <cellStyle name="Currency 5 3 2 6 2 5" xfId="37548" xr:uid="{46AF4DFD-378C-4ED9-A6F4-24AD2FDB66B9}"/>
    <cellStyle name="Currency 5 3 2 6 2 6" xfId="12255" xr:uid="{B1D3FE37-5923-490F-8708-665456A6F33A}"/>
    <cellStyle name="Currency 5 3 2 6 3" xfId="5893" xr:uid="{00000000-0005-0000-0000-0000D50C0000}"/>
    <cellStyle name="Currency 5 3 2 6 3 2" xfId="31192" xr:uid="{FDB86C4E-D8CC-4562-8BCA-FB573411E22A}"/>
    <cellStyle name="Currency 5 3 2 6 3 3" xfId="22763" xr:uid="{777EDD48-8233-4A92-BFC8-CCE4B6D3A435}"/>
    <cellStyle name="Currency 5 3 2 6 3 4" xfId="39620" xr:uid="{6C48A4A6-A2BD-414C-A76B-FD0FC5931D93}"/>
    <cellStyle name="Currency 5 3 2 6 3 5" xfId="14328" xr:uid="{192EF0F9-9B7E-4989-B4F8-13651CF1ABD5}"/>
    <cellStyle name="Currency 5 3 2 6 4" xfId="26974" xr:uid="{33AE6157-28AF-4D88-893A-97D7F2C0A544}"/>
    <cellStyle name="Currency 5 3 2 6 5" xfId="18545" xr:uid="{EEAD147D-298B-4A3B-8075-8064F40C8F9B}"/>
    <cellStyle name="Currency 5 3 2 6 6" xfId="35403" xr:uid="{C7F12002-E4D4-4E24-9F66-87549C057B6F}"/>
    <cellStyle name="Currency 5 3 2 6 7" xfId="10110" xr:uid="{7B3B03DA-BDCE-427E-9070-8B235A522DA4}"/>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33750" xr:uid="{9E3C4BD3-6C6D-4F98-BE30-9ECAD1303629}"/>
    <cellStyle name="Currency 5 3 2 7 2 2 3" xfId="25321" xr:uid="{840E3504-D717-4E4F-AB53-F06B06F848F4}"/>
    <cellStyle name="Currency 5 3 2 7 2 2 4" xfId="42178" xr:uid="{22E2B783-280E-4CC4-87ED-358A5B126DFD}"/>
    <cellStyle name="Currency 5 3 2 7 2 2 5" xfId="16886" xr:uid="{FEAE9C28-AB76-4FCD-A8D5-104324D759D4}"/>
    <cellStyle name="Currency 5 3 2 7 2 3" xfId="29532" xr:uid="{B98BDD30-856F-4749-B60E-DBBEB59207BE}"/>
    <cellStyle name="Currency 5 3 2 7 2 4" xfId="21103" xr:uid="{AA7D9BB4-642B-46EA-8AA6-354CB40B30FB}"/>
    <cellStyle name="Currency 5 3 2 7 2 5" xfId="37961" xr:uid="{1278CAD9-BF02-4B1F-84C2-4E99574D5865}"/>
    <cellStyle name="Currency 5 3 2 7 2 6" xfId="12668" xr:uid="{83CC8FFD-241F-4248-A62D-E274F76AE45A}"/>
    <cellStyle name="Currency 5 3 2 7 3" xfId="6306" xr:uid="{00000000-0005-0000-0000-0000D90C0000}"/>
    <cellStyle name="Currency 5 3 2 7 3 2" xfId="31605" xr:uid="{A7C4576A-7FB8-40F6-A655-1FC566003388}"/>
    <cellStyle name="Currency 5 3 2 7 3 3" xfId="23176" xr:uid="{020C0DD6-BAAF-43E7-B032-B8F833DB4DAC}"/>
    <cellStyle name="Currency 5 3 2 7 3 4" xfId="40033" xr:uid="{3DF344A2-55CF-4A11-8CE8-53DB6910ED30}"/>
    <cellStyle name="Currency 5 3 2 7 3 5" xfId="14741" xr:uid="{889AB1A9-47CC-4CAC-8243-8117A24D1615}"/>
    <cellStyle name="Currency 5 3 2 7 4" xfId="27387" xr:uid="{4BF668FC-04DA-4FBC-96D8-7F9D2AB9A225}"/>
    <cellStyle name="Currency 5 3 2 7 5" xfId="18958" xr:uid="{07F520B3-687B-4E74-9E87-43DE84FE6D79}"/>
    <cellStyle name="Currency 5 3 2 7 6" xfId="35816" xr:uid="{DC91F76D-16C1-4214-9F5B-FE45934529AE}"/>
    <cellStyle name="Currency 5 3 2 7 7" xfId="10523" xr:uid="{40E7A84B-F077-42C6-905C-39BDA535B4CE}"/>
    <cellStyle name="Currency 5 3 2 8" xfId="2434" xr:uid="{00000000-0005-0000-0000-0000DA0C0000}"/>
    <cellStyle name="Currency 5 3 2 8 2" xfId="6719" xr:uid="{00000000-0005-0000-0000-0000DB0C0000}"/>
    <cellStyle name="Currency 5 3 2 8 2 2" xfId="32018" xr:uid="{4A61F5DB-5C63-4004-86BD-4298F9422E33}"/>
    <cellStyle name="Currency 5 3 2 8 2 3" xfId="23589" xr:uid="{3CE49758-AAAC-481A-B1BB-532F4EDC015E}"/>
    <cellStyle name="Currency 5 3 2 8 2 4" xfId="40446" xr:uid="{3C392FFC-47BC-4D93-B4EC-9E2E3052892C}"/>
    <cellStyle name="Currency 5 3 2 8 2 5" xfId="15154" xr:uid="{6A7E44CF-F591-4103-A4CD-1D643DE51CC8}"/>
    <cellStyle name="Currency 5 3 2 8 3" xfId="27800" xr:uid="{5D08928F-627A-4CC9-9185-3FB39E3D380B}"/>
    <cellStyle name="Currency 5 3 2 8 4" xfId="19371" xr:uid="{BA590E53-EB88-497F-8A7B-76D5E2550E99}"/>
    <cellStyle name="Currency 5 3 2 8 5" xfId="36229" xr:uid="{A3271F5B-0CCE-49AA-9DA1-A6BB04EFFA73}"/>
    <cellStyle name="Currency 5 3 2 8 6" xfId="10936" xr:uid="{F9C0E1F5-9E7C-4E0D-B67B-31C4045107C6}"/>
    <cellStyle name="Currency 5 3 2 9" xfId="2731" xr:uid="{00000000-0005-0000-0000-0000DC0C0000}"/>
    <cellStyle name="Currency 5 3 3" xfId="214" xr:uid="{00000000-0005-0000-0000-0000DD0C0000}"/>
    <cellStyle name="Currency 5 3 3 10" xfId="4657" xr:uid="{00000000-0005-0000-0000-0000DE0C0000}"/>
    <cellStyle name="Currency 5 3 3 10 2" xfId="29956" xr:uid="{BD25BC1E-FF68-4728-8F65-040F5D5DD731}"/>
    <cellStyle name="Currency 5 3 3 10 3" xfId="21527" xr:uid="{6E648634-55C4-48CD-B346-2818D4DC6EB9}"/>
    <cellStyle name="Currency 5 3 3 10 4" xfId="38384" xr:uid="{E7324D1B-707B-445C-A54C-6CE28A748C70}"/>
    <cellStyle name="Currency 5 3 3 10 5" xfId="13092" xr:uid="{11A0FAB1-8CC8-47CB-BE7D-C2DFED7197FE}"/>
    <cellStyle name="Currency 5 3 3 11" xfId="25738" xr:uid="{902FE8FA-7703-4CA2-8DD2-7CB28381FD03}"/>
    <cellStyle name="Currency 5 3 3 12" xfId="17309" xr:uid="{45F6F4DB-A075-4BCD-B9A7-A254CD468915}"/>
    <cellStyle name="Currency 5 3 3 13" xfId="34167" xr:uid="{72350915-3C09-4D0A-A6D2-E3402AD48AC2}"/>
    <cellStyle name="Currency 5 3 3 14" xfId="8874" xr:uid="{3FC37962-F836-4CC1-840C-7FB1D1F94AA6}"/>
    <cellStyle name="Currency 5 3 3 2" xfId="215" xr:uid="{00000000-0005-0000-0000-0000DF0C0000}"/>
    <cellStyle name="Currency 5 3 3 2 10" xfId="25739" xr:uid="{AF7ED443-BFC2-4B1C-964F-5826793E971F}"/>
    <cellStyle name="Currency 5 3 3 2 11" xfId="17310" xr:uid="{C4E5ED59-89E6-4691-88A2-D3C9451489ED}"/>
    <cellStyle name="Currency 5 3 3 2 12" xfId="34168" xr:uid="{2A925709-942B-4A40-B072-A7A7C0D28428}"/>
    <cellStyle name="Currency 5 3 3 2 13" xfId="8875" xr:uid="{A607A6B0-11C3-4423-B8D4-83876E3995D8}"/>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32516" xr:uid="{3AB0C07A-EBB7-4A39-BFB3-16713E514DFA}"/>
    <cellStyle name="Currency 5 3 3 2 2 2 2 3" xfId="24087" xr:uid="{593209BA-975D-40FF-887B-29B2E28A93B9}"/>
    <cellStyle name="Currency 5 3 3 2 2 2 2 4" xfId="40944" xr:uid="{AEFAF841-794B-4400-93F0-7614FF35F3AE}"/>
    <cellStyle name="Currency 5 3 3 2 2 2 2 5" xfId="15652" xr:uid="{803CA622-1871-416F-899F-F115AC86A7FC}"/>
    <cellStyle name="Currency 5 3 3 2 2 2 3" xfId="28298" xr:uid="{BD76E0FC-DCB0-4A0D-9825-199077F76C59}"/>
    <cellStyle name="Currency 5 3 3 2 2 2 4" xfId="19869" xr:uid="{C73CB95D-A359-4E4F-9A85-CDCB1046BFD7}"/>
    <cellStyle name="Currency 5 3 3 2 2 2 5" xfId="36727" xr:uid="{3FB9DB0D-249D-46B8-8D1C-2012E114EA09}"/>
    <cellStyle name="Currency 5 3 3 2 2 2 6" xfId="11434" xr:uid="{9E2724BF-00CF-4495-A7EA-3A81B27DB745}"/>
    <cellStyle name="Currency 5 3 3 2 2 3" xfId="5072" xr:uid="{00000000-0005-0000-0000-0000E30C0000}"/>
    <cellStyle name="Currency 5 3 3 2 2 3 2" xfId="30371" xr:uid="{1973F0AE-0045-409B-853E-E0AC565B942A}"/>
    <cellStyle name="Currency 5 3 3 2 2 3 3" xfId="21942" xr:uid="{1F0DFF52-9A6E-4A5D-B162-508D469C9610}"/>
    <cellStyle name="Currency 5 3 3 2 2 3 4" xfId="38799" xr:uid="{1345AFE0-80C6-4C2B-9161-7E50ED53BDBF}"/>
    <cellStyle name="Currency 5 3 3 2 2 3 5" xfId="13507" xr:uid="{FD95139C-4679-4E34-AE95-8824EFBB81E5}"/>
    <cellStyle name="Currency 5 3 3 2 2 4" xfId="26153" xr:uid="{E08C64F7-545C-4F5D-B1D2-C5C6BC600195}"/>
    <cellStyle name="Currency 5 3 3 2 2 5" xfId="17724" xr:uid="{B2B37AA8-EADA-47C3-9E3F-25AB2A04BF36}"/>
    <cellStyle name="Currency 5 3 3 2 2 6" xfId="34582" xr:uid="{BE50D124-952E-43E9-836D-44E4D9636812}"/>
    <cellStyle name="Currency 5 3 3 2 2 7" xfId="9289" xr:uid="{78875ABA-F042-4F6E-A4D1-E0C307F168DA}"/>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32929" xr:uid="{AC9CF81D-1132-437C-AD6B-0EB9A2C27866}"/>
    <cellStyle name="Currency 5 3 3 2 3 2 2 3" xfId="24500" xr:uid="{75E82D0F-82E8-4934-9461-ECF7FFB5FF8F}"/>
    <cellStyle name="Currency 5 3 3 2 3 2 2 4" xfId="41357" xr:uid="{9CF081B8-8404-419C-A584-AE89331DC2C2}"/>
    <cellStyle name="Currency 5 3 3 2 3 2 2 5" xfId="16065" xr:uid="{F62D4F66-F6B0-4A11-883C-3E1613863A79}"/>
    <cellStyle name="Currency 5 3 3 2 3 2 3" xfId="28711" xr:uid="{1CE22A01-DCE4-4816-A95C-5B48ABB285E0}"/>
    <cellStyle name="Currency 5 3 3 2 3 2 4" xfId="20282" xr:uid="{496D0CA7-E294-4616-ABC1-44E0CD8F207A}"/>
    <cellStyle name="Currency 5 3 3 2 3 2 5" xfId="37140" xr:uid="{ABD461B9-7986-48C3-827F-871284ED3703}"/>
    <cellStyle name="Currency 5 3 3 2 3 2 6" xfId="11847" xr:uid="{3C66A46E-612B-49BE-B106-065BE7AB6D0F}"/>
    <cellStyle name="Currency 5 3 3 2 3 3" xfId="5485" xr:uid="{00000000-0005-0000-0000-0000E70C0000}"/>
    <cellStyle name="Currency 5 3 3 2 3 3 2" xfId="30784" xr:uid="{7F5BE696-20C7-4BCC-94D4-9389CBDC606C}"/>
    <cellStyle name="Currency 5 3 3 2 3 3 3" xfId="22355" xr:uid="{03745685-BA9D-4E56-B85A-83AF8B759E21}"/>
    <cellStyle name="Currency 5 3 3 2 3 3 4" xfId="39212" xr:uid="{2C2FA7B3-E4BC-48C1-9CFB-7D839A40AEBD}"/>
    <cellStyle name="Currency 5 3 3 2 3 3 5" xfId="13920" xr:uid="{B08C0517-7A9B-480F-9D16-EA8B73996D4C}"/>
    <cellStyle name="Currency 5 3 3 2 3 4" xfId="26566" xr:uid="{7F7A4A8B-C32F-4E67-8B34-60978A1DA746}"/>
    <cellStyle name="Currency 5 3 3 2 3 5" xfId="18137" xr:uid="{E2F6E76B-1482-47F9-B265-55CB1388E2C1}"/>
    <cellStyle name="Currency 5 3 3 2 3 6" xfId="34995" xr:uid="{40D9175C-E92B-461E-BA7E-A518317438F1}"/>
    <cellStyle name="Currency 5 3 3 2 3 7" xfId="9702" xr:uid="{FBCEFE73-0786-4117-80BF-775A098805C3}"/>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33342" xr:uid="{DE408175-79B1-4B0C-8E2F-46A35E3D3B3E}"/>
    <cellStyle name="Currency 5 3 3 2 4 2 2 3" xfId="24913" xr:uid="{6819F312-6B74-4450-8BB2-F33BD7AE94BE}"/>
    <cellStyle name="Currency 5 3 3 2 4 2 2 4" xfId="41770" xr:uid="{9339EAB6-34F9-4CE0-9C86-F296C8CA9899}"/>
    <cellStyle name="Currency 5 3 3 2 4 2 2 5" xfId="16478" xr:uid="{AB2B61F3-530A-43A0-A80A-FA793A98AB7F}"/>
    <cellStyle name="Currency 5 3 3 2 4 2 3" xfId="29124" xr:uid="{A553F9FC-4D23-4D5A-9FFF-ADFAC0195FCA}"/>
    <cellStyle name="Currency 5 3 3 2 4 2 4" xfId="20695" xr:uid="{5C327F82-E60C-4B00-8AEF-F5083DA33BAB}"/>
    <cellStyle name="Currency 5 3 3 2 4 2 5" xfId="37553" xr:uid="{435EBF95-28F3-4596-8FE2-9533AA42C93F}"/>
    <cellStyle name="Currency 5 3 3 2 4 2 6" xfId="12260" xr:uid="{9EC68B57-F489-413B-9427-68B5F638D770}"/>
    <cellStyle name="Currency 5 3 3 2 4 3" xfId="5898" xr:uid="{00000000-0005-0000-0000-0000EB0C0000}"/>
    <cellStyle name="Currency 5 3 3 2 4 3 2" xfId="31197" xr:uid="{8648B7FA-D6F2-4CE3-AC91-06F99F645375}"/>
    <cellStyle name="Currency 5 3 3 2 4 3 3" xfId="22768" xr:uid="{5121970D-8B1F-421A-841C-637989687438}"/>
    <cellStyle name="Currency 5 3 3 2 4 3 4" xfId="39625" xr:uid="{BF2D475A-A11A-4BDD-A17D-6F72DFA386ED}"/>
    <cellStyle name="Currency 5 3 3 2 4 3 5" xfId="14333" xr:uid="{1C54B2FE-D1C1-491F-B4D4-AB244D7B75F0}"/>
    <cellStyle name="Currency 5 3 3 2 4 4" xfId="26979" xr:uid="{FA1E209F-4BF7-4993-8341-30957D85303D}"/>
    <cellStyle name="Currency 5 3 3 2 4 5" xfId="18550" xr:uid="{5E7D8879-493C-470F-B4E2-9560B8F6858D}"/>
    <cellStyle name="Currency 5 3 3 2 4 6" xfId="35408" xr:uid="{F91F050E-6DBF-4F8E-929E-8DEAE8CBB44D}"/>
    <cellStyle name="Currency 5 3 3 2 4 7" xfId="10115" xr:uid="{A9EFB024-CCD2-445A-A679-FC2007331CFB}"/>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33755" xr:uid="{B8F1901E-F294-40DD-965C-6FAF7365C414}"/>
    <cellStyle name="Currency 5 3 3 2 5 2 2 3" xfId="25326" xr:uid="{6AE84474-0C57-4C37-84C4-2399A29F8694}"/>
    <cellStyle name="Currency 5 3 3 2 5 2 2 4" xfId="42183" xr:uid="{86B27C16-A415-4D4A-90AA-EF5A6E42D831}"/>
    <cellStyle name="Currency 5 3 3 2 5 2 2 5" xfId="16891" xr:uid="{4473CF5D-0492-4286-9B55-F3FC5715E315}"/>
    <cellStyle name="Currency 5 3 3 2 5 2 3" xfId="29537" xr:uid="{F689BF45-A139-4244-B21E-CC3DF17C12AD}"/>
    <cellStyle name="Currency 5 3 3 2 5 2 4" xfId="21108" xr:uid="{61D47B2A-A144-45F9-8FFC-067D2B031E10}"/>
    <cellStyle name="Currency 5 3 3 2 5 2 5" xfId="37966" xr:uid="{B7D684B6-DD2B-4EFE-B383-19148286F5E5}"/>
    <cellStyle name="Currency 5 3 3 2 5 2 6" xfId="12673" xr:uid="{8345C268-6FF7-4171-82E1-18B5632DE87A}"/>
    <cellStyle name="Currency 5 3 3 2 5 3" xfId="6311" xr:uid="{00000000-0005-0000-0000-0000EF0C0000}"/>
    <cellStyle name="Currency 5 3 3 2 5 3 2" xfId="31610" xr:uid="{58CCBABC-8DB6-4CB1-BD87-5E636ADD22DE}"/>
    <cellStyle name="Currency 5 3 3 2 5 3 3" xfId="23181" xr:uid="{5EFB70D6-80FD-4EEB-B54B-4741C839E8C8}"/>
    <cellStyle name="Currency 5 3 3 2 5 3 4" xfId="40038" xr:uid="{FE26CB0F-5792-437E-A2D9-BA6B034726FA}"/>
    <cellStyle name="Currency 5 3 3 2 5 3 5" xfId="14746" xr:uid="{EC701FB2-9C1C-4DB8-B477-EB76C2DC9F5D}"/>
    <cellStyle name="Currency 5 3 3 2 5 4" xfId="27392" xr:uid="{9569BF13-19FD-4B0A-9FE7-EE98B0323A06}"/>
    <cellStyle name="Currency 5 3 3 2 5 5" xfId="18963" xr:uid="{BFE9CC89-ADA5-4105-AF88-A807379E1E0C}"/>
    <cellStyle name="Currency 5 3 3 2 5 6" xfId="35821" xr:uid="{865B8E2A-4048-4E2D-A936-86927E62044A}"/>
    <cellStyle name="Currency 5 3 3 2 5 7" xfId="10528" xr:uid="{64B5133F-FF65-4873-B3BD-158B75372F83}"/>
    <cellStyle name="Currency 5 3 3 2 6" xfId="2439" xr:uid="{00000000-0005-0000-0000-0000F00C0000}"/>
    <cellStyle name="Currency 5 3 3 2 6 2" xfId="6724" xr:uid="{00000000-0005-0000-0000-0000F10C0000}"/>
    <cellStyle name="Currency 5 3 3 2 6 2 2" xfId="32023" xr:uid="{45F6A500-FFCC-4C5D-B114-268A1C856E48}"/>
    <cellStyle name="Currency 5 3 3 2 6 2 3" xfId="23594" xr:uid="{ECFE1ABE-07D9-4FD5-A016-C7ECD8CDE752}"/>
    <cellStyle name="Currency 5 3 3 2 6 2 4" xfId="40451" xr:uid="{F2BD9943-E003-42E5-AD68-371F957CCAA5}"/>
    <cellStyle name="Currency 5 3 3 2 6 2 5" xfId="15159" xr:uid="{48E43FE8-A57C-4B78-B1B8-A048D2E471E2}"/>
    <cellStyle name="Currency 5 3 3 2 6 3" xfId="27805" xr:uid="{B6686C5B-3EB4-4B16-BF74-94461250CBE6}"/>
    <cellStyle name="Currency 5 3 3 2 6 4" xfId="19376" xr:uid="{61E6BFDB-2A25-4A3E-8A50-A8C47AB6D970}"/>
    <cellStyle name="Currency 5 3 3 2 6 5" xfId="36234" xr:uid="{F2697644-60D4-4211-BEC4-3364627418CD}"/>
    <cellStyle name="Currency 5 3 3 2 6 6" xfId="10941" xr:uid="{571C7B16-6671-4101-B349-63C34B5B2AB0}"/>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32340" xr:uid="{145FABBD-A001-4ED1-B27C-99B6D1AF97B8}"/>
    <cellStyle name="Currency 5 3 3 2 8 2 3" xfId="23911" xr:uid="{D3D4AE7A-1410-4CA6-8EB9-9E585173E869}"/>
    <cellStyle name="Currency 5 3 3 2 8 2 4" xfId="40768" xr:uid="{5BF90091-3C00-4CC3-B177-E189AE3C7494}"/>
    <cellStyle name="Currency 5 3 3 2 8 2 5" xfId="15476" xr:uid="{7A9A48B3-EDFA-493E-AAD7-724E0ACE920A}"/>
    <cellStyle name="Currency 5 3 3 2 8 3" xfId="28122" xr:uid="{87E34925-16D8-4F62-B177-0FDD26C10B36}"/>
    <cellStyle name="Currency 5 3 3 2 8 4" xfId="19693" xr:uid="{6E51CA54-CED2-4FBC-B478-87691F6A10C0}"/>
    <cellStyle name="Currency 5 3 3 2 8 5" xfId="36551" xr:uid="{A0ABEE26-E51A-42CA-8679-F8A7C99DA1F5}"/>
    <cellStyle name="Currency 5 3 3 2 8 6" xfId="11258" xr:uid="{2F51755F-EBFC-4498-BF95-EC948CCCEFFB}"/>
    <cellStyle name="Currency 5 3 3 2 9" xfId="4658" xr:uid="{00000000-0005-0000-0000-0000F50C0000}"/>
    <cellStyle name="Currency 5 3 3 2 9 2" xfId="29957" xr:uid="{A6A19FC5-98AA-40AD-A9F4-D4D9A055BD3A}"/>
    <cellStyle name="Currency 5 3 3 2 9 3" xfId="21528" xr:uid="{22780A93-B2B6-4596-8107-78C399925683}"/>
    <cellStyle name="Currency 5 3 3 2 9 4" xfId="38385" xr:uid="{BB6CDBC6-8D20-4204-8EBB-8E9AA3DBFF57}"/>
    <cellStyle name="Currency 5 3 3 2 9 5" xfId="13093" xr:uid="{8695C703-BF96-47AA-A492-FA89746D685A}"/>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32515" xr:uid="{D1139E4F-0A48-4156-B85F-6CA4FC9CFA8E}"/>
    <cellStyle name="Currency 5 3 3 3 2 2 3" xfId="24086" xr:uid="{08B51441-41B4-488F-9FE0-CEA8A8101442}"/>
    <cellStyle name="Currency 5 3 3 3 2 2 4" xfId="40943" xr:uid="{8217F36E-C044-4590-911F-35E3B8FA6536}"/>
    <cellStyle name="Currency 5 3 3 3 2 2 5" xfId="15651" xr:uid="{6DDD6B0F-FFAF-4C0B-A20B-6C6124605B1D}"/>
    <cellStyle name="Currency 5 3 3 3 2 3" xfId="28297" xr:uid="{BA76365F-7C92-46EE-A7F0-F32BEF6D6B2E}"/>
    <cellStyle name="Currency 5 3 3 3 2 4" xfId="19868" xr:uid="{7B68DA9D-A202-4D89-B0EE-7AFE63507932}"/>
    <cellStyle name="Currency 5 3 3 3 2 5" xfId="36726" xr:uid="{2418459B-92BC-4F62-B7A2-0FB418B5BF0F}"/>
    <cellStyle name="Currency 5 3 3 3 2 6" xfId="11433" xr:uid="{2F6A9D8D-C1BD-4202-B9A1-CCF0BF1DAE47}"/>
    <cellStyle name="Currency 5 3 3 3 3" xfId="5071" xr:uid="{00000000-0005-0000-0000-0000F90C0000}"/>
    <cellStyle name="Currency 5 3 3 3 3 2" xfId="30370" xr:uid="{890E2F8C-86BC-44FA-B3DB-691DDE20DAD0}"/>
    <cellStyle name="Currency 5 3 3 3 3 3" xfId="21941" xr:uid="{4959CD98-DB13-4DAE-AA81-99F647816876}"/>
    <cellStyle name="Currency 5 3 3 3 3 4" xfId="38798" xr:uid="{58450821-D7F4-4736-8439-AD159E90EF77}"/>
    <cellStyle name="Currency 5 3 3 3 3 5" xfId="13506" xr:uid="{285CA94D-60BF-43D2-8658-19BD1DCCBED0}"/>
    <cellStyle name="Currency 5 3 3 3 4" xfId="26152" xr:uid="{8C8352B5-6EE6-4B72-AF73-907D43DFFAFF}"/>
    <cellStyle name="Currency 5 3 3 3 5" xfId="17723" xr:uid="{9FF7470F-899F-4A4C-95BA-D50A61F01FA1}"/>
    <cellStyle name="Currency 5 3 3 3 6" xfId="34581" xr:uid="{69B451EA-CC5D-447E-AE9F-93D49A21B06A}"/>
    <cellStyle name="Currency 5 3 3 3 7" xfId="9288" xr:uid="{E34A31B1-1FEB-49D9-BBB6-1668A3F9688E}"/>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32928" xr:uid="{DAA16B82-495D-44A9-9CE5-092DBD4DFF54}"/>
    <cellStyle name="Currency 5 3 3 4 2 2 3" xfId="24499" xr:uid="{02768D79-3FDA-41AE-A7F2-51AE4E2A07EC}"/>
    <cellStyle name="Currency 5 3 3 4 2 2 4" xfId="41356" xr:uid="{1E0EB8D8-C2CD-4C04-9E96-3ACA92860BE4}"/>
    <cellStyle name="Currency 5 3 3 4 2 2 5" xfId="16064" xr:uid="{D393E322-9F9F-4BE8-BC0A-057439FD76BB}"/>
    <cellStyle name="Currency 5 3 3 4 2 3" xfId="28710" xr:uid="{DE0B3688-F75D-4254-A9AF-C77C85D4F6A8}"/>
    <cellStyle name="Currency 5 3 3 4 2 4" xfId="20281" xr:uid="{D4F004C7-FEDA-4F38-892E-7DF0E3882AA3}"/>
    <cellStyle name="Currency 5 3 3 4 2 5" xfId="37139" xr:uid="{86D18B45-749E-4ECC-AF55-BF1106B1B808}"/>
    <cellStyle name="Currency 5 3 3 4 2 6" xfId="11846" xr:uid="{7B99196A-79FE-42D6-AFBC-3BC9572FD51B}"/>
    <cellStyle name="Currency 5 3 3 4 3" xfId="5484" xr:uid="{00000000-0005-0000-0000-0000FD0C0000}"/>
    <cellStyle name="Currency 5 3 3 4 3 2" xfId="30783" xr:uid="{6644767A-B49D-42D5-BFE9-44FBBA8B2784}"/>
    <cellStyle name="Currency 5 3 3 4 3 3" xfId="22354" xr:uid="{834788F8-AD9B-4DF9-A8F3-1ADA2070AF20}"/>
    <cellStyle name="Currency 5 3 3 4 3 4" xfId="39211" xr:uid="{5787E5D6-9378-4163-A608-066B713AE278}"/>
    <cellStyle name="Currency 5 3 3 4 3 5" xfId="13919" xr:uid="{7FF2095E-9082-4FEC-81C0-F362B12BAF03}"/>
    <cellStyle name="Currency 5 3 3 4 4" xfId="26565" xr:uid="{CAA946E0-EDC5-4A81-ACAA-53071376109B}"/>
    <cellStyle name="Currency 5 3 3 4 5" xfId="18136" xr:uid="{8E46031F-B99B-4155-BEE1-B2D5891C36C4}"/>
    <cellStyle name="Currency 5 3 3 4 6" xfId="34994" xr:uid="{9403B767-661B-4B73-8A9C-BC87DBAEDD43}"/>
    <cellStyle name="Currency 5 3 3 4 7" xfId="9701" xr:uid="{3B0EEF3C-6C87-462E-8E66-9294470F2C76}"/>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33341" xr:uid="{EAF1E1AC-DFA7-4345-9356-CB7CD32021E5}"/>
    <cellStyle name="Currency 5 3 3 5 2 2 3" xfId="24912" xr:uid="{8C0C079C-BF03-4185-B13B-3653FE43C185}"/>
    <cellStyle name="Currency 5 3 3 5 2 2 4" xfId="41769" xr:uid="{F0CBFAE7-098E-4093-9425-88D906E9C69E}"/>
    <cellStyle name="Currency 5 3 3 5 2 2 5" xfId="16477" xr:uid="{C6679CBC-B5BB-4128-86A6-54C79920BC15}"/>
    <cellStyle name="Currency 5 3 3 5 2 3" xfId="29123" xr:uid="{7043D9AC-D423-45B3-A30F-F60FD0A18951}"/>
    <cellStyle name="Currency 5 3 3 5 2 4" xfId="20694" xr:uid="{6A2B5CE9-86AA-4097-A703-D4E0C9AAB119}"/>
    <cellStyle name="Currency 5 3 3 5 2 5" xfId="37552" xr:uid="{27957B24-AC00-4C29-B32F-577D0F67173B}"/>
    <cellStyle name="Currency 5 3 3 5 2 6" xfId="12259" xr:uid="{F019FA31-C7B4-446D-A761-A1AA1ADCECA0}"/>
    <cellStyle name="Currency 5 3 3 5 3" xfId="5897" xr:uid="{00000000-0005-0000-0000-0000010D0000}"/>
    <cellStyle name="Currency 5 3 3 5 3 2" xfId="31196" xr:uid="{D7EDBA39-C35C-4A03-96E1-8DC058451964}"/>
    <cellStyle name="Currency 5 3 3 5 3 3" xfId="22767" xr:uid="{4313082C-D742-4929-8CE5-44FC8025F6CF}"/>
    <cellStyle name="Currency 5 3 3 5 3 4" xfId="39624" xr:uid="{C0E78E9C-6A54-46D5-9D2E-5C5925A62DFF}"/>
    <cellStyle name="Currency 5 3 3 5 3 5" xfId="14332" xr:uid="{0F7B9AEF-6555-44BC-9A87-72E4DF5250CF}"/>
    <cellStyle name="Currency 5 3 3 5 4" xfId="26978" xr:uid="{F78466A0-4FBC-4577-AFF4-F53877437AD4}"/>
    <cellStyle name="Currency 5 3 3 5 5" xfId="18549" xr:uid="{826D3AD1-9E98-4B53-BE63-0B921144F16C}"/>
    <cellStyle name="Currency 5 3 3 5 6" xfId="35407" xr:uid="{7CC41F90-F801-4B1A-B0A5-AAAE5E7EFCBC}"/>
    <cellStyle name="Currency 5 3 3 5 7" xfId="10114" xr:uid="{0C025EF7-8D47-4266-9DB1-84E857118899}"/>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33754" xr:uid="{CC0619C7-7CF9-4107-A9D3-029F4BFF96EE}"/>
    <cellStyle name="Currency 5 3 3 6 2 2 3" xfId="25325" xr:uid="{D59BBF09-6FB6-4AE2-8EF3-E27286FDF5E7}"/>
    <cellStyle name="Currency 5 3 3 6 2 2 4" xfId="42182" xr:uid="{436BAFF4-0426-4FA3-8574-D15E241A0333}"/>
    <cellStyle name="Currency 5 3 3 6 2 2 5" xfId="16890" xr:uid="{D942EF1E-6396-4C58-A181-443CE366A11E}"/>
    <cellStyle name="Currency 5 3 3 6 2 3" xfId="29536" xr:uid="{99AFAC1D-63EA-4A84-9A28-643558C7E19B}"/>
    <cellStyle name="Currency 5 3 3 6 2 4" xfId="21107" xr:uid="{7A5CF066-48BC-4A58-9766-CC4DFF587E21}"/>
    <cellStyle name="Currency 5 3 3 6 2 5" xfId="37965" xr:uid="{BCBF5192-B189-4E97-A7BB-E1FCC35DC768}"/>
    <cellStyle name="Currency 5 3 3 6 2 6" xfId="12672" xr:uid="{93782814-DC33-4B58-A00F-97A9088643AA}"/>
    <cellStyle name="Currency 5 3 3 6 3" xfId="6310" xr:uid="{00000000-0005-0000-0000-0000050D0000}"/>
    <cellStyle name="Currency 5 3 3 6 3 2" xfId="31609" xr:uid="{BEFA7EEB-E419-4F27-885C-9BF352668F01}"/>
    <cellStyle name="Currency 5 3 3 6 3 3" xfId="23180" xr:uid="{62247DDC-7E02-4BB1-9447-A443BC39219B}"/>
    <cellStyle name="Currency 5 3 3 6 3 4" xfId="40037" xr:uid="{EA6B40A6-1FE7-42DC-BDDA-A440A48AACD2}"/>
    <cellStyle name="Currency 5 3 3 6 3 5" xfId="14745" xr:uid="{15AB3497-3D25-4A81-A686-42C2F9241C98}"/>
    <cellStyle name="Currency 5 3 3 6 4" xfId="27391" xr:uid="{0BBC9E1B-101E-45DC-81D2-EB077E066353}"/>
    <cellStyle name="Currency 5 3 3 6 5" xfId="18962" xr:uid="{F3F95A0E-3B13-4473-AD63-5B01C8556451}"/>
    <cellStyle name="Currency 5 3 3 6 6" xfId="35820" xr:uid="{988ADF1D-7320-4B0B-A371-1CFF2B5EB90F}"/>
    <cellStyle name="Currency 5 3 3 6 7" xfId="10527" xr:uid="{BD90693B-CC5C-4DC1-A2F4-F0908EF04309}"/>
    <cellStyle name="Currency 5 3 3 7" xfId="2438" xr:uid="{00000000-0005-0000-0000-0000060D0000}"/>
    <cellStyle name="Currency 5 3 3 7 2" xfId="6723" xr:uid="{00000000-0005-0000-0000-0000070D0000}"/>
    <cellStyle name="Currency 5 3 3 7 2 2" xfId="32022" xr:uid="{FDD91C3E-7341-4281-B3E8-AAE89F9E1A20}"/>
    <cellStyle name="Currency 5 3 3 7 2 3" xfId="23593" xr:uid="{08E58969-E95C-41CA-85DC-7855D484EA85}"/>
    <cellStyle name="Currency 5 3 3 7 2 4" xfId="40450" xr:uid="{226C2854-3644-4062-BF1E-43865D4EB7EC}"/>
    <cellStyle name="Currency 5 3 3 7 2 5" xfId="15158" xr:uid="{AEC0B2E4-1B0E-4B72-AC06-3C719D64C796}"/>
    <cellStyle name="Currency 5 3 3 7 3" xfId="27804" xr:uid="{204368A3-41AE-463D-BD2A-9BF475240F96}"/>
    <cellStyle name="Currency 5 3 3 7 4" xfId="19375" xr:uid="{47F31BE6-72BB-4E73-9ED0-54858B6DC36F}"/>
    <cellStyle name="Currency 5 3 3 7 5" xfId="36233" xr:uid="{99AF103C-60A3-4620-8F3F-0E30A149E3D7}"/>
    <cellStyle name="Currency 5 3 3 7 6" xfId="10940" xr:uid="{5BE41906-433E-4BBB-A30A-DE82992A2826}"/>
    <cellStyle name="Currency 5 3 3 8" xfId="2735" xr:uid="{00000000-0005-0000-0000-0000080D0000}"/>
    <cellStyle name="Currency 5 3 3 9" xfId="2816" xr:uid="{00000000-0005-0000-0000-0000090D0000}"/>
    <cellStyle name="Currency 5 3 3 9 2" xfId="7040" xr:uid="{00000000-0005-0000-0000-00000A0D0000}"/>
    <cellStyle name="Currency 5 3 3 9 2 2" xfId="32339" xr:uid="{112DDE59-2347-44B8-B8CB-E2D636AA0D0D}"/>
    <cellStyle name="Currency 5 3 3 9 2 3" xfId="23910" xr:uid="{FBA63212-57DE-458D-98DF-490CF65FA880}"/>
    <cellStyle name="Currency 5 3 3 9 2 4" xfId="40767" xr:uid="{0BE27DAE-5F4E-4B9D-9AF8-E12AE81E20CF}"/>
    <cellStyle name="Currency 5 3 3 9 2 5" xfId="15475" xr:uid="{7C12A5DC-FACC-401C-BC87-650BAE81839E}"/>
    <cellStyle name="Currency 5 3 3 9 3" xfId="28121" xr:uid="{2E9418A8-85AE-4375-872D-2FE5A9B078C4}"/>
    <cellStyle name="Currency 5 3 3 9 4" xfId="19692" xr:uid="{33860A8A-6815-4793-A880-0BDFAD6B9277}"/>
    <cellStyle name="Currency 5 3 3 9 5" xfId="36550" xr:uid="{B5E0DB76-541A-498A-9878-4CF81A9F91E7}"/>
    <cellStyle name="Currency 5 3 3 9 6" xfId="11257" xr:uid="{52CBF3C5-8759-4849-A807-34AC570B48F6}"/>
    <cellStyle name="Currency 5 3 4" xfId="216" xr:uid="{00000000-0005-0000-0000-00000B0D0000}"/>
    <cellStyle name="Currency 5 3 4 10" xfId="25740" xr:uid="{23477F81-98F2-42D2-8CBA-E3CE7AC76D95}"/>
    <cellStyle name="Currency 5 3 4 11" xfId="17311" xr:uid="{A71C7CBC-F607-40FE-9A94-B572716E8D7F}"/>
    <cellStyle name="Currency 5 3 4 12" xfId="34169" xr:uid="{19F20D93-CA16-4475-B145-85B6D7F1F0F5}"/>
    <cellStyle name="Currency 5 3 4 13" xfId="8876" xr:uid="{6B87B12F-F95D-4D4B-9607-F7056625C900}"/>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32517" xr:uid="{F6EBEFF5-30EF-4597-9E62-CA5DAF62A486}"/>
    <cellStyle name="Currency 5 3 4 2 2 2 3" xfId="24088" xr:uid="{67F49361-B1A3-43C1-AE10-E3955EDDA98D}"/>
    <cellStyle name="Currency 5 3 4 2 2 2 4" xfId="40945" xr:uid="{4FAFADE4-92F6-40D7-8ACB-BBB6BDC8B666}"/>
    <cellStyle name="Currency 5 3 4 2 2 2 5" xfId="15653" xr:uid="{A983E2AC-8318-487A-A4FE-EE19AAC74CFF}"/>
    <cellStyle name="Currency 5 3 4 2 2 3" xfId="28299" xr:uid="{2B8D9605-B5A5-458E-9131-5D7211AA941F}"/>
    <cellStyle name="Currency 5 3 4 2 2 4" xfId="19870" xr:uid="{5B7AEAD9-7369-4509-B0AF-4D7EF49BB8E4}"/>
    <cellStyle name="Currency 5 3 4 2 2 5" xfId="36728" xr:uid="{2AD835E1-4289-4F21-8066-4CF8A706B11E}"/>
    <cellStyle name="Currency 5 3 4 2 2 6" xfId="11435" xr:uid="{80A09D46-2699-4E55-9C89-2B0CAEB37975}"/>
    <cellStyle name="Currency 5 3 4 2 3" xfId="5073" xr:uid="{00000000-0005-0000-0000-00000F0D0000}"/>
    <cellStyle name="Currency 5 3 4 2 3 2" xfId="30372" xr:uid="{70B9E2B5-9839-402A-A255-EAA90EDCEE77}"/>
    <cellStyle name="Currency 5 3 4 2 3 3" xfId="21943" xr:uid="{5BEFF5F6-98B6-4AAA-BDBD-065DF2E6CAF1}"/>
    <cellStyle name="Currency 5 3 4 2 3 4" xfId="38800" xr:uid="{5C45F11F-F2CA-43D1-9D8F-8ED93A794F83}"/>
    <cellStyle name="Currency 5 3 4 2 3 5" xfId="13508" xr:uid="{EB14D320-4632-4B82-94E4-241E0F3DD22B}"/>
    <cellStyle name="Currency 5 3 4 2 4" xfId="26154" xr:uid="{34C451E0-C335-4CCD-818E-CA03C23C6AF1}"/>
    <cellStyle name="Currency 5 3 4 2 5" xfId="17725" xr:uid="{FD6E4D01-401B-49F8-AAC5-31A0373F9E20}"/>
    <cellStyle name="Currency 5 3 4 2 6" xfId="34583" xr:uid="{144855CE-CC6B-47DE-BD31-284AC4855794}"/>
    <cellStyle name="Currency 5 3 4 2 7" xfId="9290" xr:uid="{400F5951-9B15-4572-95D1-034BC988C21D}"/>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32930" xr:uid="{2A881A0B-0937-474A-B904-EA0B3C6C36C5}"/>
    <cellStyle name="Currency 5 3 4 3 2 2 3" xfId="24501" xr:uid="{1FDEA5FC-88AC-4575-BCD5-F6060B73B3F4}"/>
    <cellStyle name="Currency 5 3 4 3 2 2 4" xfId="41358" xr:uid="{5B4166FD-ED19-4DE3-8E82-C6BEA52FC0BC}"/>
    <cellStyle name="Currency 5 3 4 3 2 2 5" xfId="16066" xr:uid="{E4E06949-690B-4390-9BBF-7E96FF684D14}"/>
    <cellStyle name="Currency 5 3 4 3 2 3" xfId="28712" xr:uid="{4FB6D9EE-8134-4201-B65B-FB4BF1E64002}"/>
    <cellStyle name="Currency 5 3 4 3 2 4" xfId="20283" xr:uid="{E6CC4170-F17E-4B93-871A-CC5059F50806}"/>
    <cellStyle name="Currency 5 3 4 3 2 5" xfId="37141" xr:uid="{D48FC098-7ED8-4435-9005-8534DC1DC96E}"/>
    <cellStyle name="Currency 5 3 4 3 2 6" xfId="11848" xr:uid="{413FF357-B1A4-4D98-A525-5A7FCE2F5FAC}"/>
    <cellStyle name="Currency 5 3 4 3 3" xfId="5486" xr:uid="{00000000-0005-0000-0000-0000130D0000}"/>
    <cellStyle name="Currency 5 3 4 3 3 2" xfId="30785" xr:uid="{5B88C1A1-A8AA-462C-8689-D4D273A2673A}"/>
    <cellStyle name="Currency 5 3 4 3 3 3" xfId="22356" xr:uid="{05640D3D-DF94-4966-83B6-B462DB512CF3}"/>
    <cellStyle name="Currency 5 3 4 3 3 4" xfId="39213" xr:uid="{B9CF0DAF-4C8F-4470-8B81-0CA1649A95FB}"/>
    <cellStyle name="Currency 5 3 4 3 3 5" xfId="13921" xr:uid="{FEE34137-7FFF-48B9-AF0B-FD5716FC956E}"/>
    <cellStyle name="Currency 5 3 4 3 4" xfId="26567" xr:uid="{A3EEAE35-19B3-4F6B-9DA0-AD23EB9DCC62}"/>
    <cellStyle name="Currency 5 3 4 3 5" xfId="18138" xr:uid="{A7CC1430-6215-4828-A395-981029B3185A}"/>
    <cellStyle name="Currency 5 3 4 3 6" xfId="34996" xr:uid="{E1F5B42C-A073-4710-8CD2-B991873A3FF6}"/>
    <cellStyle name="Currency 5 3 4 3 7" xfId="9703" xr:uid="{4B4E3699-B3A2-4F94-BA6B-0A992CD5074C}"/>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33343" xr:uid="{0347A12C-E18B-4C5C-A790-EEAAEDC459B0}"/>
    <cellStyle name="Currency 5 3 4 4 2 2 3" xfId="24914" xr:uid="{1B12BD57-D8CE-46B5-AFD3-2341145014D2}"/>
    <cellStyle name="Currency 5 3 4 4 2 2 4" xfId="41771" xr:uid="{B612B954-B0C9-450E-89A9-C6B1711DEF6C}"/>
    <cellStyle name="Currency 5 3 4 4 2 2 5" xfId="16479" xr:uid="{79395759-21DC-4429-8C5B-66C2C5531573}"/>
    <cellStyle name="Currency 5 3 4 4 2 3" xfId="29125" xr:uid="{F7FBAFEB-CE72-4F71-888B-1919DF9B413B}"/>
    <cellStyle name="Currency 5 3 4 4 2 4" xfId="20696" xr:uid="{56A24685-39AB-44EF-9DBE-69555EB797BF}"/>
    <cellStyle name="Currency 5 3 4 4 2 5" xfId="37554" xr:uid="{87BFB720-D98A-47B4-A49E-491C67D28AB8}"/>
    <cellStyle name="Currency 5 3 4 4 2 6" xfId="12261" xr:uid="{381514EE-8D0F-4A90-B02A-FEF257AD75A1}"/>
    <cellStyle name="Currency 5 3 4 4 3" xfId="5899" xr:uid="{00000000-0005-0000-0000-0000170D0000}"/>
    <cellStyle name="Currency 5 3 4 4 3 2" xfId="31198" xr:uid="{F86CDB8D-3143-451F-929B-6A87333CC364}"/>
    <cellStyle name="Currency 5 3 4 4 3 3" xfId="22769" xr:uid="{3D8A4A81-BBE0-48D7-AEFD-367D999F439F}"/>
    <cellStyle name="Currency 5 3 4 4 3 4" xfId="39626" xr:uid="{4067ECDF-5D25-4CEC-9C11-B2CD23A04716}"/>
    <cellStyle name="Currency 5 3 4 4 3 5" xfId="14334" xr:uid="{24330E64-BE5B-475E-83A1-2A41A3B7A8FB}"/>
    <cellStyle name="Currency 5 3 4 4 4" xfId="26980" xr:uid="{C04FAB3C-98FD-4185-A3BC-E0B2440B4824}"/>
    <cellStyle name="Currency 5 3 4 4 5" xfId="18551" xr:uid="{28F91133-3795-4D31-B587-87231838BA56}"/>
    <cellStyle name="Currency 5 3 4 4 6" xfId="35409" xr:uid="{7BCE5A01-2677-4CDD-AB3A-F1962F985A67}"/>
    <cellStyle name="Currency 5 3 4 4 7" xfId="10116" xr:uid="{6B5BDF2E-E470-45C3-ADC7-30A13293C36A}"/>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33756" xr:uid="{EE4A5B9D-A70F-4586-B041-8657AD674D65}"/>
    <cellStyle name="Currency 5 3 4 5 2 2 3" xfId="25327" xr:uid="{FC945BFD-64CE-4310-8369-2B4F2B3EA588}"/>
    <cellStyle name="Currency 5 3 4 5 2 2 4" xfId="42184" xr:uid="{12BA38F2-6E15-4C7E-8739-E57AAD16EEEF}"/>
    <cellStyle name="Currency 5 3 4 5 2 2 5" xfId="16892" xr:uid="{40679DAD-933B-4078-9028-22F30210D302}"/>
    <cellStyle name="Currency 5 3 4 5 2 3" xfId="29538" xr:uid="{DC23A48B-3DD9-41B1-B0FD-CC0EDE293082}"/>
    <cellStyle name="Currency 5 3 4 5 2 4" xfId="21109" xr:uid="{D62DC2B2-BDB3-4B77-8B3D-951277B1CDF2}"/>
    <cellStyle name="Currency 5 3 4 5 2 5" xfId="37967" xr:uid="{AC67511E-5302-44F7-ABF9-B8067B3C93A5}"/>
    <cellStyle name="Currency 5 3 4 5 2 6" xfId="12674" xr:uid="{B46CE0AD-2391-4475-8645-C70CEB23E7C1}"/>
    <cellStyle name="Currency 5 3 4 5 3" xfId="6312" xr:uid="{00000000-0005-0000-0000-00001B0D0000}"/>
    <cellStyle name="Currency 5 3 4 5 3 2" xfId="31611" xr:uid="{E523C9B5-C594-4107-9CD3-581F9B4BD971}"/>
    <cellStyle name="Currency 5 3 4 5 3 3" xfId="23182" xr:uid="{783AA03F-2065-4A5E-AFB5-9178C9FF60E0}"/>
    <cellStyle name="Currency 5 3 4 5 3 4" xfId="40039" xr:uid="{D0E32250-4E31-4381-A815-ADF9DB501BB9}"/>
    <cellStyle name="Currency 5 3 4 5 3 5" xfId="14747" xr:uid="{50B3DE9D-9067-45AB-9AE3-0AD9F977C61C}"/>
    <cellStyle name="Currency 5 3 4 5 4" xfId="27393" xr:uid="{BB0B7EBE-ED52-4AD0-A177-547DE3AE523D}"/>
    <cellStyle name="Currency 5 3 4 5 5" xfId="18964" xr:uid="{A64DA7BE-4534-4682-B4E5-DCBC983BC62B}"/>
    <cellStyle name="Currency 5 3 4 5 6" xfId="35822" xr:uid="{8110672A-235C-40E6-A0A9-9ABFD806FEF3}"/>
    <cellStyle name="Currency 5 3 4 5 7" xfId="10529" xr:uid="{F9AB7038-F003-4409-A174-BE8C4737B112}"/>
    <cellStyle name="Currency 5 3 4 6" xfId="2440" xr:uid="{00000000-0005-0000-0000-00001C0D0000}"/>
    <cellStyle name="Currency 5 3 4 6 2" xfId="6725" xr:uid="{00000000-0005-0000-0000-00001D0D0000}"/>
    <cellStyle name="Currency 5 3 4 6 2 2" xfId="32024" xr:uid="{C8AF0A06-8A07-415A-A688-B12C7EBD35DA}"/>
    <cellStyle name="Currency 5 3 4 6 2 3" xfId="23595" xr:uid="{78AA268F-6A28-42DD-9CC4-B23A69A4B0C3}"/>
    <cellStyle name="Currency 5 3 4 6 2 4" xfId="40452" xr:uid="{ED5D8BEC-C47E-4349-B5F2-91869D52C91C}"/>
    <cellStyle name="Currency 5 3 4 6 2 5" xfId="15160" xr:uid="{0F6AD89F-E99F-467E-A907-9539CE3AB328}"/>
    <cellStyle name="Currency 5 3 4 6 3" xfId="27806" xr:uid="{5D7AFE09-B814-40AA-980B-6D2F7E7ECCCE}"/>
    <cellStyle name="Currency 5 3 4 6 4" xfId="19377" xr:uid="{FC973BE5-66FA-4F42-8E2D-C8FD979AD3DB}"/>
    <cellStyle name="Currency 5 3 4 6 5" xfId="36235" xr:uid="{9B8D4147-A510-4697-A0B5-66A234E9CCBD}"/>
    <cellStyle name="Currency 5 3 4 6 6" xfId="10942" xr:uid="{699A885C-80F7-47AB-8BE4-F3057A678FD2}"/>
    <cellStyle name="Currency 5 3 4 7" xfId="2737" xr:uid="{00000000-0005-0000-0000-00001E0D0000}"/>
    <cellStyle name="Currency 5 3 4 8" xfId="2818" xr:uid="{00000000-0005-0000-0000-00001F0D0000}"/>
    <cellStyle name="Currency 5 3 4 8 2" xfId="7042" xr:uid="{00000000-0005-0000-0000-0000200D0000}"/>
    <cellStyle name="Currency 5 3 4 8 2 2" xfId="32341" xr:uid="{BE9BD47D-F70C-4C6A-99A1-9D16DAF81BEA}"/>
    <cellStyle name="Currency 5 3 4 8 2 3" xfId="23912" xr:uid="{52B121A3-4727-41B6-8D75-8B93670F8B27}"/>
    <cellStyle name="Currency 5 3 4 8 2 4" xfId="40769" xr:uid="{4827F913-746E-431D-99AC-25633A8F52DC}"/>
    <cellStyle name="Currency 5 3 4 8 2 5" xfId="15477" xr:uid="{79C47190-A706-43D7-A976-21CD8B0526F0}"/>
    <cellStyle name="Currency 5 3 4 8 3" xfId="28123" xr:uid="{264FD3AD-0C7A-4AEC-AE28-72D9E7AAA859}"/>
    <cellStyle name="Currency 5 3 4 8 4" xfId="19694" xr:uid="{29C933A6-AB8C-47E9-99C6-D1D0FAE07FC2}"/>
    <cellStyle name="Currency 5 3 4 8 5" xfId="36552" xr:uid="{6E990CE5-5F2B-48E8-840F-2415D1ACB053}"/>
    <cellStyle name="Currency 5 3 4 8 6" xfId="11259" xr:uid="{1C759B4A-E57F-4B25-BE88-19DAA91E12B4}"/>
    <cellStyle name="Currency 5 3 4 9" xfId="4659" xr:uid="{00000000-0005-0000-0000-0000210D0000}"/>
    <cellStyle name="Currency 5 3 4 9 2" xfId="29958" xr:uid="{DA3D2C9D-4817-4D36-A55C-3504D238F4D0}"/>
    <cellStyle name="Currency 5 3 4 9 3" xfId="21529" xr:uid="{C54709D6-0049-4CF5-8694-E709D86B9703}"/>
    <cellStyle name="Currency 5 3 4 9 4" xfId="38386" xr:uid="{C64F2439-7CF5-4F81-AD75-7B6769D7DB74}"/>
    <cellStyle name="Currency 5 3 4 9 5" xfId="13094" xr:uid="{19178B51-5525-44D1-A9C3-DFD0146EA9AF}"/>
    <cellStyle name="Currency 5 3 5" xfId="217" xr:uid="{00000000-0005-0000-0000-0000220D0000}"/>
    <cellStyle name="Currency 5 3 5 10" xfId="25741" xr:uid="{307DC4CF-CC84-4791-ADFF-B4EC158372D6}"/>
    <cellStyle name="Currency 5 3 5 11" xfId="17312" xr:uid="{70EFD34E-156E-4C92-BCCA-CF3B64EE9753}"/>
    <cellStyle name="Currency 5 3 5 12" xfId="34170" xr:uid="{E2FB9B61-E567-418D-96F7-EFD8E7F00E83}"/>
    <cellStyle name="Currency 5 3 5 13" xfId="8877" xr:uid="{104D0B98-1C8B-4D25-8486-6C441772916F}"/>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32518" xr:uid="{60BB386F-735F-40DD-BCA7-95C1B8329A1D}"/>
    <cellStyle name="Currency 5 3 5 2 2 2 3" xfId="24089" xr:uid="{19C1AF4D-07D2-4DAE-9897-BB3C17DBE56A}"/>
    <cellStyle name="Currency 5 3 5 2 2 2 4" xfId="40946" xr:uid="{1426803E-B7AF-4F38-BB1F-7EB8CACB11FD}"/>
    <cellStyle name="Currency 5 3 5 2 2 2 5" xfId="15654" xr:uid="{9DA2C2F0-371B-4308-A302-97DAB3E08DD2}"/>
    <cellStyle name="Currency 5 3 5 2 2 3" xfId="28300" xr:uid="{BF5E4938-792B-4ECA-AD1C-43AF97D7CD76}"/>
    <cellStyle name="Currency 5 3 5 2 2 4" xfId="19871" xr:uid="{79C72C91-2835-47C7-9592-BA1E1B4C9C4D}"/>
    <cellStyle name="Currency 5 3 5 2 2 5" xfId="36729" xr:uid="{DE3BFD66-18D1-4D9C-8684-47D2F5069FC3}"/>
    <cellStyle name="Currency 5 3 5 2 2 6" xfId="11436" xr:uid="{F749AADD-AB6D-4744-B2E3-088DB33FF392}"/>
    <cellStyle name="Currency 5 3 5 2 3" xfId="5074" xr:uid="{00000000-0005-0000-0000-0000260D0000}"/>
    <cellStyle name="Currency 5 3 5 2 3 2" xfId="30373" xr:uid="{DADF3D6A-7668-488C-8EBF-CA9CB4E9BBAB}"/>
    <cellStyle name="Currency 5 3 5 2 3 3" xfId="21944" xr:uid="{F317CB51-2D63-4A71-BC31-8C5DEE838E3B}"/>
    <cellStyle name="Currency 5 3 5 2 3 4" xfId="38801" xr:uid="{25B6204A-4717-4AF6-83E5-D5996B62D3FE}"/>
    <cellStyle name="Currency 5 3 5 2 3 5" xfId="13509" xr:uid="{92C11212-D7B3-4FA0-87BA-6B94B42D7736}"/>
    <cellStyle name="Currency 5 3 5 2 4" xfId="26155" xr:uid="{F80ECD08-0088-4DE3-B40F-2130B538511D}"/>
    <cellStyle name="Currency 5 3 5 2 5" xfId="17726" xr:uid="{8C31E819-2594-4E55-9E54-CD6221055189}"/>
    <cellStyle name="Currency 5 3 5 2 6" xfId="34584" xr:uid="{99829637-C10A-4EEA-9AEB-CDC69EB56464}"/>
    <cellStyle name="Currency 5 3 5 2 7" xfId="9291" xr:uid="{0459A643-5DFF-421F-8745-8765D2C21AA6}"/>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32931" xr:uid="{4510DD5E-C224-4100-B240-B7529E33BBED}"/>
    <cellStyle name="Currency 5 3 5 3 2 2 3" xfId="24502" xr:uid="{494FC1C4-6361-4121-85FE-D9EFA7D5F150}"/>
    <cellStyle name="Currency 5 3 5 3 2 2 4" xfId="41359" xr:uid="{D3569F55-1278-458F-AFA0-681351695717}"/>
    <cellStyle name="Currency 5 3 5 3 2 2 5" xfId="16067" xr:uid="{A6DED5B7-6A44-4B78-B263-82AFCAACDC22}"/>
    <cellStyle name="Currency 5 3 5 3 2 3" xfId="28713" xr:uid="{B3E3CCAC-AB31-452C-9711-26C1EF0517FB}"/>
    <cellStyle name="Currency 5 3 5 3 2 4" xfId="20284" xr:uid="{78C0D424-A9B4-4DAB-BC1D-802E38387B3A}"/>
    <cellStyle name="Currency 5 3 5 3 2 5" xfId="37142" xr:uid="{10805CFF-1919-4C53-AC57-5D7C0A278D06}"/>
    <cellStyle name="Currency 5 3 5 3 2 6" xfId="11849" xr:uid="{5377A8BE-ACA1-4155-966A-7DF2884BF214}"/>
    <cellStyle name="Currency 5 3 5 3 3" xfId="5487" xr:uid="{00000000-0005-0000-0000-00002A0D0000}"/>
    <cellStyle name="Currency 5 3 5 3 3 2" xfId="30786" xr:uid="{7A4257DA-82D7-4ECA-9060-CCC9D0EB5FD0}"/>
    <cellStyle name="Currency 5 3 5 3 3 3" xfId="22357" xr:uid="{E9F87DB2-EEED-4514-B47A-38071687B68F}"/>
    <cellStyle name="Currency 5 3 5 3 3 4" xfId="39214" xr:uid="{CDA4451F-354F-4BC7-948E-19039C24ABB0}"/>
    <cellStyle name="Currency 5 3 5 3 3 5" xfId="13922" xr:uid="{FE0A5BF5-E91B-45BE-B28F-76361D16EF5B}"/>
    <cellStyle name="Currency 5 3 5 3 4" xfId="26568" xr:uid="{E57FCA9E-34E3-4B36-B8C3-30547F942D10}"/>
    <cellStyle name="Currency 5 3 5 3 5" xfId="18139" xr:uid="{09958E4E-54BA-40BF-95CD-BCBAD1E4F6AC}"/>
    <cellStyle name="Currency 5 3 5 3 6" xfId="34997" xr:uid="{2C2F22CC-C367-4165-9E5A-4C67DE822CC0}"/>
    <cellStyle name="Currency 5 3 5 3 7" xfId="9704" xr:uid="{DAEA0178-6F16-4A4A-9C69-2AA1DAB7ED9E}"/>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33344" xr:uid="{CEF61E1C-7667-48EE-9ED4-ED2EA5526179}"/>
    <cellStyle name="Currency 5 3 5 4 2 2 3" xfId="24915" xr:uid="{229572E1-B69D-4B8C-AAF8-D467F531CF7B}"/>
    <cellStyle name="Currency 5 3 5 4 2 2 4" xfId="41772" xr:uid="{1D4A6529-E7E5-46EE-8952-1730AAA7A5E6}"/>
    <cellStyle name="Currency 5 3 5 4 2 2 5" xfId="16480" xr:uid="{99554481-2D56-4A9E-8814-DA29F8A8EE98}"/>
    <cellStyle name="Currency 5 3 5 4 2 3" xfId="29126" xr:uid="{3B274E73-EF10-4A75-B70A-BFBAD251A32D}"/>
    <cellStyle name="Currency 5 3 5 4 2 4" xfId="20697" xr:uid="{DAF321F7-1E2D-475D-B8B4-9BC45078620E}"/>
    <cellStyle name="Currency 5 3 5 4 2 5" xfId="37555" xr:uid="{62F4336B-0F18-43E0-A38D-D7E501F1836A}"/>
    <cellStyle name="Currency 5 3 5 4 2 6" xfId="12262" xr:uid="{88C09F23-31B7-4AB0-B9F4-17E414001845}"/>
    <cellStyle name="Currency 5 3 5 4 3" xfId="5900" xr:uid="{00000000-0005-0000-0000-00002E0D0000}"/>
    <cellStyle name="Currency 5 3 5 4 3 2" xfId="31199" xr:uid="{DF80B93E-5A40-418C-A0B1-4CA03180985C}"/>
    <cellStyle name="Currency 5 3 5 4 3 3" xfId="22770" xr:uid="{0E0945B7-7B2B-4320-9D67-049D2203E6F5}"/>
    <cellStyle name="Currency 5 3 5 4 3 4" xfId="39627" xr:uid="{ACBD61B9-6356-461F-8C36-C29BE14A92DA}"/>
    <cellStyle name="Currency 5 3 5 4 3 5" xfId="14335" xr:uid="{88A2286A-F544-446C-9CBC-9CECE9155AF4}"/>
    <cellStyle name="Currency 5 3 5 4 4" xfId="26981" xr:uid="{96847C43-DD98-44A8-B484-8D218A429D8B}"/>
    <cellStyle name="Currency 5 3 5 4 5" xfId="18552" xr:uid="{A1D722ED-8CB6-45C4-A648-6073B57C1D4C}"/>
    <cellStyle name="Currency 5 3 5 4 6" xfId="35410" xr:uid="{6A4C593E-E046-4F99-A3BC-F93374501C37}"/>
    <cellStyle name="Currency 5 3 5 4 7" xfId="10117" xr:uid="{CB2A2E2F-067E-44D3-9A79-DB1ED360A511}"/>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33757" xr:uid="{252DD69E-069E-452C-959A-A9B1B8BD9E3A}"/>
    <cellStyle name="Currency 5 3 5 5 2 2 3" xfId="25328" xr:uid="{B0C05D25-52DE-40B7-AF84-0B7983FA4A7A}"/>
    <cellStyle name="Currency 5 3 5 5 2 2 4" xfId="42185" xr:uid="{147F8C8E-8EBA-4AFA-B1C7-885B79B44180}"/>
    <cellStyle name="Currency 5 3 5 5 2 2 5" xfId="16893" xr:uid="{A5F676A7-3309-415D-9D52-714661D4B609}"/>
    <cellStyle name="Currency 5 3 5 5 2 3" xfId="29539" xr:uid="{6FE08858-A035-4D9F-9179-50FFE45594A9}"/>
    <cellStyle name="Currency 5 3 5 5 2 4" xfId="21110" xr:uid="{252D97CC-2D12-4EDB-B0FA-4B2AF5DEA20C}"/>
    <cellStyle name="Currency 5 3 5 5 2 5" xfId="37968" xr:uid="{DEB6DD3F-6978-4314-84B5-B6F1171A309D}"/>
    <cellStyle name="Currency 5 3 5 5 2 6" xfId="12675" xr:uid="{988868F7-9987-4C27-9B01-756769BDF57B}"/>
    <cellStyle name="Currency 5 3 5 5 3" xfId="6313" xr:uid="{00000000-0005-0000-0000-0000320D0000}"/>
    <cellStyle name="Currency 5 3 5 5 3 2" xfId="31612" xr:uid="{31CB1915-D995-44D7-BB22-9590D03E607B}"/>
    <cellStyle name="Currency 5 3 5 5 3 3" xfId="23183" xr:uid="{A67B8352-7934-4F29-9D32-FCD32C4FD510}"/>
    <cellStyle name="Currency 5 3 5 5 3 4" xfId="40040" xr:uid="{8B3C9941-C525-429D-9106-C23E5E8CD5FC}"/>
    <cellStyle name="Currency 5 3 5 5 3 5" xfId="14748" xr:uid="{BCEE6B9E-697D-455E-80DC-551C84166D6E}"/>
    <cellStyle name="Currency 5 3 5 5 4" xfId="27394" xr:uid="{7A25A2BE-DD82-4C0E-BC90-74956E346AFC}"/>
    <cellStyle name="Currency 5 3 5 5 5" xfId="18965" xr:uid="{56F91544-1DF6-4FF9-885D-A436E4857291}"/>
    <cellStyle name="Currency 5 3 5 5 6" xfId="35823" xr:uid="{B3DA176C-D613-4CA0-A6D8-26B79543515B}"/>
    <cellStyle name="Currency 5 3 5 5 7" xfId="10530" xr:uid="{36E839C2-2BA9-4A40-BA9A-1687EFED3B4A}"/>
    <cellStyle name="Currency 5 3 5 6" xfId="2441" xr:uid="{00000000-0005-0000-0000-0000330D0000}"/>
    <cellStyle name="Currency 5 3 5 6 2" xfId="6726" xr:uid="{00000000-0005-0000-0000-0000340D0000}"/>
    <cellStyle name="Currency 5 3 5 6 2 2" xfId="32025" xr:uid="{A391FACF-7710-4B06-BB9C-4F96795A5AF0}"/>
    <cellStyle name="Currency 5 3 5 6 2 3" xfId="23596" xr:uid="{2835D493-5FC8-4A4A-8F04-48D1C9392B86}"/>
    <cellStyle name="Currency 5 3 5 6 2 4" xfId="40453" xr:uid="{B2015827-0BA4-48C6-9B05-D5F23116D482}"/>
    <cellStyle name="Currency 5 3 5 6 2 5" xfId="15161" xr:uid="{88C847DE-CA0C-4497-8A97-524F6629F6BE}"/>
    <cellStyle name="Currency 5 3 5 6 3" xfId="27807" xr:uid="{D4A32B5A-F2D2-4119-ADA1-DE71CAA10CD8}"/>
    <cellStyle name="Currency 5 3 5 6 4" xfId="19378" xr:uid="{07036158-8703-4919-8F24-564666E39C9B}"/>
    <cellStyle name="Currency 5 3 5 6 5" xfId="36236" xr:uid="{08E7ED77-80CB-4335-A1A3-B3C74953E4FF}"/>
    <cellStyle name="Currency 5 3 5 6 6" xfId="10943" xr:uid="{6F9DB10E-82DE-46B8-8927-31CFAD078F73}"/>
    <cellStyle name="Currency 5 3 5 7" xfId="2738" xr:uid="{00000000-0005-0000-0000-0000350D0000}"/>
    <cellStyle name="Currency 5 3 5 8" xfId="2819" xr:uid="{00000000-0005-0000-0000-0000360D0000}"/>
    <cellStyle name="Currency 5 3 5 8 2" xfId="7043" xr:uid="{00000000-0005-0000-0000-0000370D0000}"/>
    <cellStyle name="Currency 5 3 5 8 2 2" xfId="32342" xr:uid="{1C4EE858-C237-4305-8EDA-AB48A69637C5}"/>
    <cellStyle name="Currency 5 3 5 8 2 3" xfId="23913" xr:uid="{6B88EAB9-4FA7-484D-AED1-C63133FD0CB0}"/>
    <cellStyle name="Currency 5 3 5 8 2 4" xfId="40770" xr:uid="{FCF2D66D-26DB-4108-B5E3-347A4B2AB1D3}"/>
    <cellStyle name="Currency 5 3 5 8 2 5" xfId="15478" xr:uid="{1E1F8D2A-647E-444F-8186-D6774917C47A}"/>
    <cellStyle name="Currency 5 3 5 8 3" xfId="28124" xr:uid="{D6F621FB-51AA-4EB1-B91C-DFFC2C67E19E}"/>
    <cellStyle name="Currency 5 3 5 8 4" xfId="19695" xr:uid="{F70041B4-461B-4BF4-9CAC-208050965B07}"/>
    <cellStyle name="Currency 5 3 5 8 5" xfId="36553" xr:uid="{89E5D978-8B4C-498B-9B9F-C8DEA583F878}"/>
    <cellStyle name="Currency 5 3 5 8 6" xfId="11260" xr:uid="{5F3B942C-F826-4C2D-AF89-DD5CEE068936}"/>
    <cellStyle name="Currency 5 3 5 9" xfId="4660" xr:uid="{00000000-0005-0000-0000-0000380D0000}"/>
    <cellStyle name="Currency 5 3 5 9 2" xfId="29959" xr:uid="{FC004DC2-47D7-40D2-976D-01581159EBFA}"/>
    <cellStyle name="Currency 5 3 5 9 3" xfId="21530" xr:uid="{6A8AABE4-6EF1-49D5-9D15-7E3B6731B988}"/>
    <cellStyle name="Currency 5 3 5 9 4" xfId="38387" xr:uid="{0D7AD70F-4DE0-4247-BB6E-5357D184DB9E}"/>
    <cellStyle name="Currency 5 3 5 9 5" xfId="13095" xr:uid="{AE013F71-DFAF-41DB-808B-A5C560FA5C91}"/>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9960" xr:uid="{F1F05262-ADCE-471F-87E3-2203A072124E}"/>
    <cellStyle name="Currency 5 5 10 3" xfId="21531" xr:uid="{F4B523AA-749A-4F88-9ED7-A982794EDD0F}"/>
    <cellStyle name="Currency 5 5 10 4" xfId="38388" xr:uid="{3179657C-90C5-4243-A1E0-64985274D201}"/>
    <cellStyle name="Currency 5 5 10 5" xfId="13096" xr:uid="{3813714B-8CAA-46E5-AE47-DB0ED3219068}"/>
    <cellStyle name="Currency 5 5 11" xfId="25742" xr:uid="{CB18D949-94DC-4D1C-AADE-A318325B63B8}"/>
    <cellStyle name="Currency 5 5 12" xfId="17313" xr:uid="{591AFCE5-5F77-4755-83DE-99DC9FCBAD87}"/>
    <cellStyle name="Currency 5 5 13" xfId="34171" xr:uid="{D80E5F77-B1B2-43D6-AE04-6623601B2236}"/>
    <cellStyle name="Currency 5 5 14" xfId="8878" xr:uid="{747F17C4-DAAE-4332-9048-6BD661C78900}"/>
    <cellStyle name="Currency 5 5 2" xfId="220" xr:uid="{00000000-0005-0000-0000-00003D0D0000}"/>
    <cellStyle name="Currency 5 5 2 10" xfId="25743" xr:uid="{87431EDD-227A-406F-899D-E9584F1F0789}"/>
    <cellStyle name="Currency 5 5 2 11" xfId="17314" xr:uid="{A5E48BDD-DE5B-483B-9F87-2EEB9E4C6EC6}"/>
    <cellStyle name="Currency 5 5 2 12" xfId="34172" xr:uid="{635F5B4A-59B2-4B10-8C8A-855C78B4FF84}"/>
    <cellStyle name="Currency 5 5 2 13" xfId="8879" xr:uid="{76718775-7B3A-485D-9168-9D0BAF29D609}"/>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32520" xr:uid="{77B412D5-E8CC-46F4-997C-8D891D6C6F9E}"/>
    <cellStyle name="Currency 5 5 2 2 2 2 3" xfId="24091" xr:uid="{2FB1DBB8-8EB1-4905-93A7-74924D027219}"/>
    <cellStyle name="Currency 5 5 2 2 2 2 4" xfId="40948" xr:uid="{54664678-01D9-4C84-B76D-2B73C8A50071}"/>
    <cellStyle name="Currency 5 5 2 2 2 2 5" xfId="15656" xr:uid="{3E757648-6194-4610-9CF1-0CA4FF12E38D}"/>
    <cellStyle name="Currency 5 5 2 2 2 3" xfId="28302" xr:uid="{18D167AA-E351-4DAE-A385-05F659A24E27}"/>
    <cellStyle name="Currency 5 5 2 2 2 4" xfId="19873" xr:uid="{3FC7C9EB-3B89-4D7B-99FA-CF8D93567EBA}"/>
    <cellStyle name="Currency 5 5 2 2 2 5" xfId="36731" xr:uid="{8445AF64-4992-499F-853E-952226862C81}"/>
    <cellStyle name="Currency 5 5 2 2 2 6" xfId="11438" xr:uid="{E62B5369-FB0C-4075-B94B-A0810993BC75}"/>
    <cellStyle name="Currency 5 5 2 2 3" xfId="5076" xr:uid="{00000000-0005-0000-0000-0000410D0000}"/>
    <cellStyle name="Currency 5 5 2 2 3 2" xfId="30375" xr:uid="{312DC099-BE5C-4929-9ECE-6AE3AB7ACCBF}"/>
    <cellStyle name="Currency 5 5 2 2 3 3" xfId="21946" xr:uid="{F1521365-BB5F-412A-B15F-85FCB936AF2A}"/>
    <cellStyle name="Currency 5 5 2 2 3 4" xfId="38803" xr:uid="{F4D481C2-B7B5-422A-B654-638BF605A60A}"/>
    <cellStyle name="Currency 5 5 2 2 3 5" xfId="13511" xr:uid="{E5CCFB56-3A37-4975-9AA6-AD0571065649}"/>
    <cellStyle name="Currency 5 5 2 2 4" xfId="26157" xr:uid="{EA2F6247-8EF5-49EE-AE80-0A3DF19F772C}"/>
    <cellStyle name="Currency 5 5 2 2 5" xfId="17728" xr:uid="{1EE10CFD-813E-4EA6-AFD5-4644891062B7}"/>
    <cellStyle name="Currency 5 5 2 2 6" xfId="34586" xr:uid="{C4BBBE80-1429-4939-AEE3-7E4C6461F2C5}"/>
    <cellStyle name="Currency 5 5 2 2 7" xfId="9293" xr:uid="{63CA7424-197D-4EEF-AC4F-07CD1B7C1CA1}"/>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32933" xr:uid="{3232D6DA-BA81-44CC-871C-428C3D03E41E}"/>
    <cellStyle name="Currency 5 5 2 3 2 2 3" xfId="24504" xr:uid="{B840F9F0-FEEB-4EE5-BA0F-BD8A4D81D07C}"/>
    <cellStyle name="Currency 5 5 2 3 2 2 4" xfId="41361" xr:uid="{876B6633-1129-4453-AA32-62B0830C0ECF}"/>
    <cellStyle name="Currency 5 5 2 3 2 2 5" xfId="16069" xr:uid="{63F8BE6F-E757-45E0-81B6-E8DE34298D32}"/>
    <cellStyle name="Currency 5 5 2 3 2 3" xfId="28715" xr:uid="{96FAE98D-F49F-4D63-B152-ADDAB24BE69C}"/>
    <cellStyle name="Currency 5 5 2 3 2 4" xfId="20286" xr:uid="{4DEC5EDA-3AD9-4D22-9E21-7B23CB5DB547}"/>
    <cellStyle name="Currency 5 5 2 3 2 5" xfId="37144" xr:uid="{AAD0DF2E-C81F-457D-A38E-E8EA8F555FF0}"/>
    <cellStyle name="Currency 5 5 2 3 2 6" xfId="11851" xr:uid="{07D06D84-26A1-467F-A41A-45F4B1A61C29}"/>
    <cellStyle name="Currency 5 5 2 3 3" xfId="5489" xr:uid="{00000000-0005-0000-0000-0000450D0000}"/>
    <cellStyle name="Currency 5 5 2 3 3 2" xfId="30788" xr:uid="{44F6BD5E-827E-4687-BFCE-0D479DD00A91}"/>
    <cellStyle name="Currency 5 5 2 3 3 3" xfId="22359" xr:uid="{F8EF6329-5890-4FF4-88FB-896F21CB1A4A}"/>
    <cellStyle name="Currency 5 5 2 3 3 4" xfId="39216" xr:uid="{F7D4788B-8EF3-46D0-8034-700A5717CB65}"/>
    <cellStyle name="Currency 5 5 2 3 3 5" xfId="13924" xr:uid="{B2836EFB-A0DA-4CB6-8C85-E6AAF5F80BAA}"/>
    <cellStyle name="Currency 5 5 2 3 4" xfId="26570" xr:uid="{01CF9FA5-D901-432C-BDDD-500BCFA3911E}"/>
    <cellStyle name="Currency 5 5 2 3 5" xfId="18141" xr:uid="{046B2E3D-5C4B-4C91-B7D4-667FD6F25941}"/>
    <cellStyle name="Currency 5 5 2 3 6" xfId="34999" xr:uid="{7235D0F1-BB6C-48A5-8E43-368634B48045}"/>
    <cellStyle name="Currency 5 5 2 3 7" xfId="9706" xr:uid="{4C85D828-7AC1-4CB3-9553-82F8C1C4C2F1}"/>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33346" xr:uid="{5246457A-D74A-4FD5-A403-E125B0086BF8}"/>
    <cellStyle name="Currency 5 5 2 4 2 2 3" xfId="24917" xr:uid="{6FFB305A-C7CB-47D5-9957-9ECE1793F777}"/>
    <cellStyle name="Currency 5 5 2 4 2 2 4" xfId="41774" xr:uid="{2EF0BA7C-183E-471F-AD9C-ACDDD08B0189}"/>
    <cellStyle name="Currency 5 5 2 4 2 2 5" xfId="16482" xr:uid="{80A00461-B87B-40E4-A003-B280C149C6E3}"/>
    <cellStyle name="Currency 5 5 2 4 2 3" xfId="29128" xr:uid="{A229FBDA-87F9-41B1-B532-303BF496EDE7}"/>
    <cellStyle name="Currency 5 5 2 4 2 4" xfId="20699" xr:uid="{21AF0C8B-B2FD-4C31-83EB-31ED821E693E}"/>
    <cellStyle name="Currency 5 5 2 4 2 5" xfId="37557" xr:uid="{7FC5B60A-B007-407E-847D-3229A674F94A}"/>
    <cellStyle name="Currency 5 5 2 4 2 6" xfId="12264" xr:uid="{1AB27A8D-75CA-4746-85CD-27878E3432FE}"/>
    <cellStyle name="Currency 5 5 2 4 3" xfId="5902" xr:uid="{00000000-0005-0000-0000-0000490D0000}"/>
    <cellStyle name="Currency 5 5 2 4 3 2" xfId="31201" xr:uid="{13D1764B-1527-4069-B241-3047E1B79B66}"/>
    <cellStyle name="Currency 5 5 2 4 3 3" xfId="22772" xr:uid="{1071703C-3211-4C01-B199-ED62AE9CA5E1}"/>
    <cellStyle name="Currency 5 5 2 4 3 4" xfId="39629" xr:uid="{5BE7FD84-153D-4398-9E19-3EF64485DAAF}"/>
    <cellStyle name="Currency 5 5 2 4 3 5" xfId="14337" xr:uid="{AE5B44CD-40CA-4D12-BA94-5715AA4821CA}"/>
    <cellStyle name="Currency 5 5 2 4 4" xfId="26983" xr:uid="{4AFBE28C-D50A-4C2A-AC63-01C7BDE17456}"/>
    <cellStyle name="Currency 5 5 2 4 5" xfId="18554" xr:uid="{115FEB28-62A6-480A-9F2D-56041504E2CE}"/>
    <cellStyle name="Currency 5 5 2 4 6" xfId="35412" xr:uid="{4DCF7D4A-241C-429E-8003-63B7292BECCA}"/>
    <cellStyle name="Currency 5 5 2 4 7" xfId="10119" xr:uid="{442938F0-5DF0-4410-A280-5E03DF47A31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33759" xr:uid="{91B0E5C2-00CD-4F12-9E84-FFF449DD5259}"/>
    <cellStyle name="Currency 5 5 2 5 2 2 3" xfId="25330" xr:uid="{66AE8969-86AE-4EC4-AB12-F8828D00AD6F}"/>
    <cellStyle name="Currency 5 5 2 5 2 2 4" xfId="42187" xr:uid="{E3120C55-624C-4361-B1E1-7B3970290686}"/>
    <cellStyle name="Currency 5 5 2 5 2 2 5" xfId="16895" xr:uid="{09A82878-DB7F-4330-87D6-7793B4C81BE5}"/>
    <cellStyle name="Currency 5 5 2 5 2 3" xfId="29541" xr:uid="{804C75C1-3DF8-4E62-A2A2-85CF3CB72AF2}"/>
    <cellStyle name="Currency 5 5 2 5 2 4" xfId="21112" xr:uid="{FC0BB1C8-53BA-4847-9532-D821A1A5FC54}"/>
    <cellStyle name="Currency 5 5 2 5 2 5" xfId="37970" xr:uid="{5DDC8DD5-FF2F-4147-9417-F2AB89C3FBF2}"/>
    <cellStyle name="Currency 5 5 2 5 2 6" xfId="12677" xr:uid="{AF0A3AF0-4E4D-4032-A34D-B6DADFA88E55}"/>
    <cellStyle name="Currency 5 5 2 5 3" xfId="6315" xr:uid="{00000000-0005-0000-0000-00004D0D0000}"/>
    <cellStyle name="Currency 5 5 2 5 3 2" xfId="31614" xr:uid="{D649573A-B5F1-4B79-8316-16AEBE762C06}"/>
    <cellStyle name="Currency 5 5 2 5 3 3" xfId="23185" xr:uid="{CEBE2BB9-62DB-4DEB-A849-A579BA6E0CCD}"/>
    <cellStyle name="Currency 5 5 2 5 3 4" xfId="40042" xr:uid="{8B35170F-258B-4644-B112-351706B826C2}"/>
    <cellStyle name="Currency 5 5 2 5 3 5" xfId="14750" xr:uid="{D08122C1-40F4-475D-9DE0-80FE564B3F4E}"/>
    <cellStyle name="Currency 5 5 2 5 4" xfId="27396" xr:uid="{0E06DB5E-E2CF-4BA3-BF79-BBEC1673056C}"/>
    <cellStyle name="Currency 5 5 2 5 5" xfId="18967" xr:uid="{D64CEDA4-F7B8-43C8-9E6D-8B0CBF69B047}"/>
    <cellStyle name="Currency 5 5 2 5 6" xfId="35825" xr:uid="{1E16AFB2-DD42-4AD2-96A2-A17945FBF454}"/>
    <cellStyle name="Currency 5 5 2 5 7" xfId="10532" xr:uid="{1C273C03-5465-4420-82B1-189D96D89BDD}"/>
    <cellStyle name="Currency 5 5 2 6" xfId="2443" xr:uid="{00000000-0005-0000-0000-00004E0D0000}"/>
    <cellStyle name="Currency 5 5 2 6 2" xfId="6728" xr:uid="{00000000-0005-0000-0000-00004F0D0000}"/>
    <cellStyle name="Currency 5 5 2 6 2 2" xfId="32027" xr:uid="{AF08779D-5EB9-4A77-9B34-7AE3A60CE3A2}"/>
    <cellStyle name="Currency 5 5 2 6 2 3" xfId="23598" xr:uid="{FD2F06FB-CA59-45A0-8318-29F4B1A779EF}"/>
    <cellStyle name="Currency 5 5 2 6 2 4" xfId="40455" xr:uid="{56F22188-7CD7-43F9-B7A2-459E9588FE27}"/>
    <cellStyle name="Currency 5 5 2 6 2 5" xfId="15163" xr:uid="{DD0EE8BD-E60C-4529-88EE-0A7D3644D9F7}"/>
    <cellStyle name="Currency 5 5 2 6 3" xfId="27809" xr:uid="{91974BC3-7B64-426F-B56E-EB0B3715C798}"/>
    <cellStyle name="Currency 5 5 2 6 4" xfId="19380" xr:uid="{B74388C4-3651-41FE-A782-6A7763DEBAB8}"/>
    <cellStyle name="Currency 5 5 2 6 5" xfId="36238" xr:uid="{6847FA99-F9C6-42D2-B99E-0DF5C110B1BE}"/>
    <cellStyle name="Currency 5 5 2 6 6" xfId="10945" xr:uid="{FEB9E90C-88A1-47B6-BB5F-412BF457F531}"/>
    <cellStyle name="Currency 5 5 2 7" xfId="2740" xr:uid="{00000000-0005-0000-0000-0000500D0000}"/>
    <cellStyle name="Currency 5 5 2 8" xfId="2821" xr:uid="{00000000-0005-0000-0000-0000510D0000}"/>
    <cellStyle name="Currency 5 5 2 8 2" xfId="7045" xr:uid="{00000000-0005-0000-0000-0000520D0000}"/>
    <cellStyle name="Currency 5 5 2 8 2 2" xfId="32344" xr:uid="{4F2D8A99-6C6E-417E-83C3-025ED013081F}"/>
    <cellStyle name="Currency 5 5 2 8 2 3" xfId="23915" xr:uid="{CEBB21B9-061B-45A6-82C5-FFA3F7F21C99}"/>
    <cellStyle name="Currency 5 5 2 8 2 4" xfId="40772" xr:uid="{01B3459A-B6E2-428E-89F8-D0C51FE48131}"/>
    <cellStyle name="Currency 5 5 2 8 2 5" xfId="15480" xr:uid="{243A8B6F-0DB9-4A75-BC6A-E00E814294C3}"/>
    <cellStyle name="Currency 5 5 2 8 3" xfId="28126" xr:uid="{37DF5526-C92A-4FA7-A619-7A898A3E547C}"/>
    <cellStyle name="Currency 5 5 2 8 4" xfId="19697" xr:uid="{0A8D7D3A-4E4C-42D1-8342-1A358944508F}"/>
    <cellStyle name="Currency 5 5 2 8 5" xfId="36555" xr:uid="{BC9ECF8B-68BD-435E-9F85-21EADE2C3A5F}"/>
    <cellStyle name="Currency 5 5 2 8 6" xfId="11262" xr:uid="{EB700431-C9FA-4505-827C-D10EC01B23B0}"/>
    <cellStyle name="Currency 5 5 2 9" xfId="4662" xr:uid="{00000000-0005-0000-0000-0000530D0000}"/>
    <cellStyle name="Currency 5 5 2 9 2" xfId="29961" xr:uid="{6922416E-DDD0-43A2-9D1C-D08949466831}"/>
    <cellStyle name="Currency 5 5 2 9 3" xfId="21532" xr:uid="{641345B9-A5F8-4D29-8395-DABACD7B5CF3}"/>
    <cellStyle name="Currency 5 5 2 9 4" xfId="38389" xr:uid="{D42F45A9-1EAA-46C3-8D2A-E1A09C72487B}"/>
    <cellStyle name="Currency 5 5 2 9 5" xfId="13097" xr:uid="{D53829BB-7F12-49CD-81E3-1D60D6ACFB1D}"/>
    <cellStyle name="Currency 5 5 3" xfId="745" xr:uid="{00000000-0005-0000-0000-0000540D0000}"/>
    <cellStyle name="Currency 5 5 3 2" xfId="2997" xr:uid="{00000000-0005-0000-0000-0000550D0000}"/>
    <cellStyle name="Currency 5 5 3 2 2" xfId="7220" xr:uid="{00000000-0005-0000-0000-0000560D0000}"/>
    <cellStyle name="Currency 5 5 3 2 2 2" xfId="32519" xr:uid="{A6A8BA71-C7C1-4F97-AFFD-469E2739DD3D}"/>
    <cellStyle name="Currency 5 5 3 2 2 3" xfId="24090" xr:uid="{574CCAEF-E9D6-4638-8F8E-E330434FB04F}"/>
    <cellStyle name="Currency 5 5 3 2 2 4" xfId="40947" xr:uid="{C18C780F-5E74-4B1A-8C42-45E9E63577E6}"/>
    <cellStyle name="Currency 5 5 3 2 2 5" xfId="15655" xr:uid="{CF0FDF2E-617B-4995-82C3-1916CB0FF430}"/>
    <cellStyle name="Currency 5 5 3 2 3" xfId="28301" xr:uid="{5EAF2EA5-BA7A-41CF-9634-14D69A629945}"/>
    <cellStyle name="Currency 5 5 3 2 4" xfId="19872" xr:uid="{75EEDC7F-2A4B-4AAE-BB45-80907BD22949}"/>
    <cellStyle name="Currency 5 5 3 2 5" xfId="36730" xr:uid="{5800DA90-891A-4A76-ACE1-FFF47BD50303}"/>
    <cellStyle name="Currency 5 5 3 2 6" xfId="11437" xr:uid="{7A5847D1-9F64-4C37-9F12-548F881F2D60}"/>
    <cellStyle name="Currency 5 5 3 3" xfId="5075" xr:uid="{00000000-0005-0000-0000-0000570D0000}"/>
    <cellStyle name="Currency 5 5 3 3 2" xfId="30374" xr:uid="{74711D1C-A214-4FEC-BB13-517A404DDC75}"/>
    <cellStyle name="Currency 5 5 3 3 3" xfId="21945" xr:uid="{D859BACB-F7D9-4A10-80D8-D7DFDE47BBD6}"/>
    <cellStyle name="Currency 5 5 3 3 4" xfId="38802" xr:uid="{CBD465BE-E7AE-4898-B183-89B7A5C89E07}"/>
    <cellStyle name="Currency 5 5 3 3 5" xfId="13510" xr:uid="{2667DCD7-246E-4E35-B0BD-DB5AAD04078A}"/>
    <cellStyle name="Currency 5 5 3 4" xfId="26156" xr:uid="{89D5AA7B-C167-4B0F-AF1B-1BE1A28AA4E6}"/>
    <cellStyle name="Currency 5 5 3 5" xfId="17727" xr:uid="{08FA2C62-91B0-4B37-AB40-E8F970DEC762}"/>
    <cellStyle name="Currency 5 5 3 6" xfId="34585" xr:uid="{A472944D-E14E-46E3-B1AF-0421414413E5}"/>
    <cellStyle name="Currency 5 5 3 7" xfId="9292" xr:uid="{E7C3CAC2-3460-4196-8C6F-EA2819214439}"/>
    <cellStyle name="Currency 5 5 4" xfId="1179" xr:uid="{00000000-0005-0000-0000-0000580D0000}"/>
    <cellStyle name="Currency 5 5 4 2" xfId="3410" xr:uid="{00000000-0005-0000-0000-0000590D0000}"/>
    <cellStyle name="Currency 5 5 4 2 2" xfId="7633" xr:uid="{00000000-0005-0000-0000-00005A0D0000}"/>
    <cellStyle name="Currency 5 5 4 2 2 2" xfId="32932" xr:uid="{EC913080-6410-4891-8127-72F307231112}"/>
    <cellStyle name="Currency 5 5 4 2 2 3" xfId="24503" xr:uid="{3D3495AA-019E-4507-ABB5-BA5129AF813A}"/>
    <cellStyle name="Currency 5 5 4 2 2 4" xfId="41360" xr:uid="{D023CB14-22DB-4767-98DE-4E9E17F6A716}"/>
    <cellStyle name="Currency 5 5 4 2 2 5" xfId="16068" xr:uid="{19AA0DA1-6507-4D9D-B4B2-A57958369541}"/>
    <cellStyle name="Currency 5 5 4 2 3" xfId="28714" xr:uid="{C5854CE4-5B20-454D-9B0F-E3D6F1158FE8}"/>
    <cellStyle name="Currency 5 5 4 2 4" xfId="20285" xr:uid="{19351D0B-475A-401A-9711-F7FC8572F57C}"/>
    <cellStyle name="Currency 5 5 4 2 5" xfId="37143" xr:uid="{51980F81-9D3F-4399-8FE6-04F1349E17D1}"/>
    <cellStyle name="Currency 5 5 4 2 6" xfId="11850" xr:uid="{D92EA284-03B1-495D-BF89-1310DD2C2EDA}"/>
    <cellStyle name="Currency 5 5 4 3" xfId="5488" xr:uid="{00000000-0005-0000-0000-00005B0D0000}"/>
    <cellStyle name="Currency 5 5 4 3 2" xfId="30787" xr:uid="{D494B157-03F4-467B-BB13-8209B3F186D9}"/>
    <cellStyle name="Currency 5 5 4 3 3" xfId="22358" xr:uid="{D61CE152-48DE-46A4-9FA4-234B18F2E71C}"/>
    <cellStyle name="Currency 5 5 4 3 4" xfId="39215" xr:uid="{A7227330-CA87-4740-ACF6-CABA1C37B6DF}"/>
    <cellStyle name="Currency 5 5 4 3 5" xfId="13923" xr:uid="{E24D4E22-DA34-491F-8502-7A12FABF1FBA}"/>
    <cellStyle name="Currency 5 5 4 4" xfId="26569" xr:uid="{E62DD11E-D63B-4D05-8AEB-EC64658EB369}"/>
    <cellStyle name="Currency 5 5 4 5" xfId="18140" xr:uid="{2BC02773-2054-4909-BABC-7C704596611E}"/>
    <cellStyle name="Currency 5 5 4 6" xfId="34998" xr:uid="{66233D19-35DE-4001-B36E-7909E52202AD}"/>
    <cellStyle name="Currency 5 5 4 7" xfId="9705" xr:uid="{C40D11EA-7E3C-4EF5-912B-F5D29D317990}"/>
    <cellStyle name="Currency 5 5 5" xfId="1593" xr:uid="{00000000-0005-0000-0000-00005C0D0000}"/>
    <cellStyle name="Currency 5 5 5 2" xfId="3823" xr:uid="{00000000-0005-0000-0000-00005D0D0000}"/>
    <cellStyle name="Currency 5 5 5 2 2" xfId="8046" xr:uid="{00000000-0005-0000-0000-00005E0D0000}"/>
    <cellStyle name="Currency 5 5 5 2 2 2" xfId="33345" xr:uid="{5996BA4C-47A0-48F2-8D97-E46A401FBF2C}"/>
    <cellStyle name="Currency 5 5 5 2 2 3" xfId="24916" xr:uid="{493D370B-290F-4D0C-8463-98C41572F07A}"/>
    <cellStyle name="Currency 5 5 5 2 2 4" xfId="41773" xr:uid="{6F77FB9B-40E4-4AAB-9FF8-BA2AAA2C442F}"/>
    <cellStyle name="Currency 5 5 5 2 2 5" xfId="16481" xr:uid="{50DA8162-3AD1-4624-9D4A-D33831C6330B}"/>
    <cellStyle name="Currency 5 5 5 2 3" xfId="29127" xr:uid="{5B8F3BBD-4148-451C-B6D4-01644C6E1218}"/>
    <cellStyle name="Currency 5 5 5 2 4" xfId="20698" xr:uid="{181DBC4B-653A-4E03-9003-F8BFDAC56579}"/>
    <cellStyle name="Currency 5 5 5 2 5" xfId="37556" xr:uid="{55C53C3A-81BF-40D2-916A-F7B00EEEC94E}"/>
    <cellStyle name="Currency 5 5 5 2 6" xfId="12263" xr:uid="{FDD1F1E0-BD85-49A8-A3B3-52A24207A350}"/>
    <cellStyle name="Currency 5 5 5 3" xfId="5901" xr:uid="{00000000-0005-0000-0000-00005F0D0000}"/>
    <cellStyle name="Currency 5 5 5 3 2" xfId="31200" xr:uid="{7753E734-9B49-4D41-BCC3-13721AAAD7B2}"/>
    <cellStyle name="Currency 5 5 5 3 3" xfId="22771" xr:uid="{3B4FD3C0-65A7-4794-A613-246B6CE90964}"/>
    <cellStyle name="Currency 5 5 5 3 4" xfId="39628" xr:uid="{CD272C22-1197-419C-9141-2477DF69763F}"/>
    <cellStyle name="Currency 5 5 5 3 5" xfId="14336" xr:uid="{9266DADB-130F-41BE-94EE-C84487CEE088}"/>
    <cellStyle name="Currency 5 5 5 4" xfId="26982" xr:uid="{6943C4CF-6C66-4147-A243-94709F35F075}"/>
    <cellStyle name="Currency 5 5 5 5" xfId="18553" xr:uid="{64C2BD03-66F9-41B2-B32B-000B10267D9E}"/>
    <cellStyle name="Currency 5 5 5 6" xfId="35411" xr:uid="{EBBC356B-B170-4753-BAAC-9F9E2172DC2D}"/>
    <cellStyle name="Currency 5 5 5 7" xfId="10118" xr:uid="{AA0F0446-16DF-43E4-9689-FC6C4E6CFD0D}"/>
    <cellStyle name="Currency 5 5 6" xfId="2007" xr:uid="{00000000-0005-0000-0000-0000600D0000}"/>
    <cellStyle name="Currency 5 5 6 2" xfId="4236" xr:uid="{00000000-0005-0000-0000-0000610D0000}"/>
    <cellStyle name="Currency 5 5 6 2 2" xfId="8459" xr:uid="{00000000-0005-0000-0000-0000620D0000}"/>
    <cellStyle name="Currency 5 5 6 2 2 2" xfId="33758" xr:uid="{CC430A52-3C8A-40A4-A106-7FE8627D044E}"/>
    <cellStyle name="Currency 5 5 6 2 2 3" xfId="25329" xr:uid="{2EE31CEE-1B37-4298-BAB7-DFC7F511BF26}"/>
    <cellStyle name="Currency 5 5 6 2 2 4" xfId="42186" xr:uid="{20ABAD02-1E9A-4F05-84B1-9E1C9D80495D}"/>
    <cellStyle name="Currency 5 5 6 2 2 5" xfId="16894" xr:uid="{2CC61CD3-FEBF-493A-9BE1-AED085270EBC}"/>
    <cellStyle name="Currency 5 5 6 2 3" xfId="29540" xr:uid="{BECFFDC6-F375-43BE-984F-53FE64B6BC1D}"/>
    <cellStyle name="Currency 5 5 6 2 4" xfId="21111" xr:uid="{C62B0943-7245-4F26-A7F1-A2D751446CBB}"/>
    <cellStyle name="Currency 5 5 6 2 5" xfId="37969" xr:uid="{48EF94F6-F83C-4211-9CD2-6045B964CB04}"/>
    <cellStyle name="Currency 5 5 6 2 6" xfId="12676" xr:uid="{B8EB924D-EEA9-4022-9DCF-676AA50C4E4A}"/>
    <cellStyle name="Currency 5 5 6 3" xfId="6314" xr:uid="{00000000-0005-0000-0000-0000630D0000}"/>
    <cellStyle name="Currency 5 5 6 3 2" xfId="31613" xr:uid="{263EFC42-C307-4099-B77F-4F1A4DA49FE4}"/>
    <cellStyle name="Currency 5 5 6 3 3" xfId="23184" xr:uid="{D8F4C1A2-CE90-4BA7-A68C-3004EA941C63}"/>
    <cellStyle name="Currency 5 5 6 3 4" xfId="40041" xr:uid="{C3ADEABC-0A62-41A5-88FA-6F78C484F86E}"/>
    <cellStyle name="Currency 5 5 6 3 5" xfId="14749" xr:uid="{84985A36-5F67-4A5C-9A58-59AD7434ABC7}"/>
    <cellStyle name="Currency 5 5 6 4" xfId="27395" xr:uid="{413979C6-6111-4A6E-A172-BABBCE9BAD59}"/>
    <cellStyle name="Currency 5 5 6 5" xfId="18966" xr:uid="{DA9E7DE5-2C4C-4E3E-8172-8DFF12F1688A}"/>
    <cellStyle name="Currency 5 5 6 6" xfId="35824" xr:uid="{CDA92045-6B05-4F93-B636-BE2B2BD12365}"/>
    <cellStyle name="Currency 5 5 6 7" xfId="10531" xr:uid="{5B13987B-F212-4D12-A9D2-BF70074E905B}"/>
    <cellStyle name="Currency 5 5 7" xfId="2442" xr:uid="{00000000-0005-0000-0000-0000640D0000}"/>
    <cellStyle name="Currency 5 5 7 2" xfId="6727" xr:uid="{00000000-0005-0000-0000-0000650D0000}"/>
    <cellStyle name="Currency 5 5 7 2 2" xfId="32026" xr:uid="{95B6592C-AD09-4D84-B518-58B7C16C91A7}"/>
    <cellStyle name="Currency 5 5 7 2 3" xfId="23597" xr:uid="{7C7D1919-E991-4AA2-A3BF-E3E0C214C195}"/>
    <cellStyle name="Currency 5 5 7 2 4" xfId="40454" xr:uid="{7431A3AB-609D-4ED3-9F8E-AED2AAA35196}"/>
    <cellStyle name="Currency 5 5 7 2 5" xfId="15162" xr:uid="{CA2DEDC9-9D36-42B7-9318-20374C19CEBF}"/>
    <cellStyle name="Currency 5 5 7 3" xfId="27808" xr:uid="{7FAD3B79-6BC0-482E-8656-42BACC7C3E60}"/>
    <cellStyle name="Currency 5 5 7 4" xfId="19379" xr:uid="{DF6C5615-89E8-40A5-A1FD-C8773840748B}"/>
    <cellStyle name="Currency 5 5 7 5" xfId="36237" xr:uid="{F381B3A0-2849-424E-B507-BD34C3C1699E}"/>
    <cellStyle name="Currency 5 5 7 6" xfId="10944" xr:uid="{35E0B316-7CCE-44A4-A73A-941CDA1B6F9B}"/>
    <cellStyle name="Currency 5 5 8" xfId="2739" xr:uid="{00000000-0005-0000-0000-0000660D0000}"/>
    <cellStyle name="Currency 5 5 9" xfId="2820" xr:uid="{00000000-0005-0000-0000-0000670D0000}"/>
    <cellStyle name="Currency 5 5 9 2" xfId="7044" xr:uid="{00000000-0005-0000-0000-0000680D0000}"/>
    <cellStyle name="Currency 5 5 9 2 2" xfId="32343" xr:uid="{E3266440-24A6-427F-BC7B-E4BC05AAE154}"/>
    <cellStyle name="Currency 5 5 9 2 3" xfId="23914" xr:uid="{AAF5E270-2AB6-49BE-BBBD-B988EE17890B}"/>
    <cellStyle name="Currency 5 5 9 2 4" xfId="40771" xr:uid="{EC1E7F7B-C89A-4559-AD61-98039F383261}"/>
    <cellStyle name="Currency 5 5 9 2 5" xfId="15479" xr:uid="{2E754427-540F-4EBF-B8ED-B045B70217BC}"/>
    <cellStyle name="Currency 5 5 9 3" xfId="28125" xr:uid="{0AE7C4EE-D213-401A-9F6F-3D171A86C55C}"/>
    <cellStyle name="Currency 5 5 9 4" xfId="19696" xr:uid="{31C4AE62-C79A-4B94-8A18-182A2FB686D7}"/>
    <cellStyle name="Currency 5 5 9 5" xfId="36554" xr:uid="{CB947ED4-8E03-417D-8316-8445469E5DA7}"/>
    <cellStyle name="Currency 5 5 9 6" xfId="11261" xr:uid="{4FD58B7C-8062-47CB-AEC0-4A23B9D16C1E}"/>
    <cellStyle name="Currency 5 6" xfId="221" xr:uid="{00000000-0005-0000-0000-0000690D0000}"/>
    <cellStyle name="Currency 5 6 10" xfId="25744" xr:uid="{85D76E3F-6FFA-4159-9050-AEEF657219DB}"/>
    <cellStyle name="Currency 5 6 11" xfId="17315" xr:uid="{7FC19155-5652-4B32-8130-9918C2E9C93E}"/>
    <cellStyle name="Currency 5 6 12" xfId="34173" xr:uid="{AC0B8F85-6B26-40DA-BB16-C7A5D329CA7B}"/>
    <cellStyle name="Currency 5 6 13" xfId="8880" xr:uid="{F3511713-1EC8-4BD3-9D2E-3E578DDA72F4}"/>
    <cellStyle name="Currency 5 6 2" xfId="747" xr:uid="{00000000-0005-0000-0000-00006A0D0000}"/>
    <cellStyle name="Currency 5 6 2 2" xfId="2999" xr:uid="{00000000-0005-0000-0000-00006B0D0000}"/>
    <cellStyle name="Currency 5 6 2 2 2" xfId="7222" xr:uid="{00000000-0005-0000-0000-00006C0D0000}"/>
    <cellStyle name="Currency 5 6 2 2 2 2" xfId="32521" xr:uid="{2FD348FB-66B9-43E0-8A3A-D2DA65CEEE6F}"/>
    <cellStyle name="Currency 5 6 2 2 2 3" xfId="24092" xr:uid="{013DBB2E-6870-4B6B-98C3-238058B1C1D9}"/>
    <cellStyle name="Currency 5 6 2 2 2 4" xfId="40949" xr:uid="{00DA4F3E-7064-4429-88EC-20EF08E41B1A}"/>
    <cellStyle name="Currency 5 6 2 2 2 5" xfId="15657" xr:uid="{80D67824-1535-4333-8DA3-FB1D9B9D15FF}"/>
    <cellStyle name="Currency 5 6 2 2 3" xfId="28303" xr:uid="{2EA82EE2-6275-4B4F-9EAA-E68C3DDDD3BE}"/>
    <cellStyle name="Currency 5 6 2 2 4" xfId="19874" xr:uid="{895FFFE3-058B-4A52-8BE3-1AD58B682B3E}"/>
    <cellStyle name="Currency 5 6 2 2 5" xfId="36732" xr:uid="{A41F3107-71AD-4EFF-82C9-97F6F3E5C081}"/>
    <cellStyle name="Currency 5 6 2 2 6" xfId="11439" xr:uid="{71F5163A-4DAC-4226-BF17-CD7CAE23D440}"/>
    <cellStyle name="Currency 5 6 2 3" xfId="5077" xr:uid="{00000000-0005-0000-0000-00006D0D0000}"/>
    <cellStyle name="Currency 5 6 2 3 2" xfId="30376" xr:uid="{6CD9255C-A0D1-470F-A88A-EF648F2A3B83}"/>
    <cellStyle name="Currency 5 6 2 3 3" xfId="21947" xr:uid="{2CE85037-500F-4746-B332-3BA301A119AC}"/>
    <cellStyle name="Currency 5 6 2 3 4" xfId="38804" xr:uid="{D3296F2E-3521-4B42-98B9-4E7F5F4B2FDD}"/>
    <cellStyle name="Currency 5 6 2 3 5" xfId="13512" xr:uid="{E2163E59-0B67-4257-A153-F6F629A60241}"/>
    <cellStyle name="Currency 5 6 2 4" xfId="26158" xr:uid="{6FF0C2B8-5832-486B-852F-1F348ADE9A22}"/>
    <cellStyle name="Currency 5 6 2 5" xfId="17729" xr:uid="{E1463572-2CFE-42BB-8D37-277D2C9FEDD3}"/>
    <cellStyle name="Currency 5 6 2 6" xfId="34587" xr:uid="{9DE0A293-5EE0-48CA-A551-376D2DB9C9F0}"/>
    <cellStyle name="Currency 5 6 2 7" xfId="9294" xr:uid="{85373CCD-875A-4A04-9C3E-DB142CDC4497}"/>
    <cellStyle name="Currency 5 6 3" xfId="1181" xr:uid="{00000000-0005-0000-0000-00006E0D0000}"/>
    <cellStyle name="Currency 5 6 3 2" xfId="3412" xr:uid="{00000000-0005-0000-0000-00006F0D0000}"/>
    <cellStyle name="Currency 5 6 3 2 2" xfId="7635" xr:uid="{00000000-0005-0000-0000-0000700D0000}"/>
    <cellStyle name="Currency 5 6 3 2 2 2" xfId="32934" xr:uid="{739D9197-6F5D-4B09-B449-EF95A29A844D}"/>
    <cellStyle name="Currency 5 6 3 2 2 3" xfId="24505" xr:uid="{20E09661-5419-4466-86F4-8791E0C3DA13}"/>
    <cellStyle name="Currency 5 6 3 2 2 4" xfId="41362" xr:uid="{5E59F5B1-E113-4DDA-8918-5FDA9F531B97}"/>
    <cellStyle name="Currency 5 6 3 2 2 5" xfId="16070" xr:uid="{3F6F2422-D1AE-4E08-978B-E8EDC7B4A5D6}"/>
    <cellStyle name="Currency 5 6 3 2 3" xfId="28716" xr:uid="{889BE978-570E-4D2B-95D0-1A053D4BAF81}"/>
    <cellStyle name="Currency 5 6 3 2 4" xfId="20287" xr:uid="{F457A6B8-1FA1-4A5B-88BC-62D5CAB049B6}"/>
    <cellStyle name="Currency 5 6 3 2 5" xfId="37145" xr:uid="{A8A5EF26-EE8C-4B2F-B002-340F25D19EEA}"/>
    <cellStyle name="Currency 5 6 3 2 6" xfId="11852" xr:uid="{96A85251-576F-4C47-B458-92E68DFB4F9A}"/>
    <cellStyle name="Currency 5 6 3 3" xfId="5490" xr:uid="{00000000-0005-0000-0000-0000710D0000}"/>
    <cellStyle name="Currency 5 6 3 3 2" xfId="30789" xr:uid="{496495AB-DEB2-444D-89DA-3A1C20086203}"/>
    <cellStyle name="Currency 5 6 3 3 3" xfId="22360" xr:uid="{CED3F950-BEEC-44C8-8F6C-71BEDB75D3D1}"/>
    <cellStyle name="Currency 5 6 3 3 4" xfId="39217" xr:uid="{AAF122CD-A11B-4D1F-BA44-586BD46BAF77}"/>
    <cellStyle name="Currency 5 6 3 3 5" xfId="13925" xr:uid="{9FB4A7C8-B102-464F-9317-C5C175A39083}"/>
    <cellStyle name="Currency 5 6 3 4" xfId="26571" xr:uid="{77D3078C-765E-4020-8075-CF28A1A334B6}"/>
    <cellStyle name="Currency 5 6 3 5" xfId="18142" xr:uid="{F21048E3-1023-4ECC-8271-F9909519D160}"/>
    <cellStyle name="Currency 5 6 3 6" xfId="35000" xr:uid="{77303AED-FC3E-4CB5-B27D-2C9232A29C4E}"/>
    <cellStyle name="Currency 5 6 3 7" xfId="9707" xr:uid="{86CCE417-39BB-400C-81B8-6E1FA847BCDC}"/>
    <cellStyle name="Currency 5 6 4" xfId="1595" xr:uid="{00000000-0005-0000-0000-0000720D0000}"/>
    <cellStyle name="Currency 5 6 4 2" xfId="3825" xr:uid="{00000000-0005-0000-0000-0000730D0000}"/>
    <cellStyle name="Currency 5 6 4 2 2" xfId="8048" xr:uid="{00000000-0005-0000-0000-0000740D0000}"/>
    <cellStyle name="Currency 5 6 4 2 2 2" xfId="33347" xr:uid="{A5FA79E0-C653-4003-8291-D307B091B912}"/>
    <cellStyle name="Currency 5 6 4 2 2 3" xfId="24918" xr:uid="{E3DECDBA-8C59-4B2A-963F-8146F700D5D8}"/>
    <cellStyle name="Currency 5 6 4 2 2 4" xfId="41775" xr:uid="{572B6902-F35F-471C-AAF8-03DBBF0E3864}"/>
    <cellStyle name="Currency 5 6 4 2 2 5" xfId="16483" xr:uid="{3225DA80-7333-4587-B396-7DCC5BA6495F}"/>
    <cellStyle name="Currency 5 6 4 2 3" xfId="29129" xr:uid="{73591E16-4DE4-403D-9FBC-8B823361D114}"/>
    <cellStyle name="Currency 5 6 4 2 4" xfId="20700" xr:uid="{6900090D-3990-46CE-99C6-A422EBD3B0AF}"/>
    <cellStyle name="Currency 5 6 4 2 5" xfId="37558" xr:uid="{88A46D23-517E-4ADE-B3AB-B4C17CC197A1}"/>
    <cellStyle name="Currency 5 6 4 2 6" xfId="12265" xr:uid="{1569B9EB-C342-462D-B362-C0A198746253}"/>
    <cellStyle name="Currency 5 6 4 3" xfId="5903" xr:uid="{00000000-0005-0000-0000-0000750D0000}"/>
    <cellStyle name="Currency 5 6 4 3 2" xfId="31202" xr:uid="{2577E75A-94C0-40B0-8EA9-2772C3F5C5B0}"/>
    <cellStyle name="Currency 5 6 4 3 3" xfId="22773" xr:uid="{3561DAC1-BD8B-462D-9557-02B4CA430C05}"/>
    <cellStyle name="Currency 5 6 4 3 4" xfId="39630" xr:uid="{5462DFCD-81C7-47EF-84E7-4678C03DEEF0}"/>
    <cellStyle name="Currency 5 6 4 3 5" xfId="14338" xr:uid="{5C355D42-E4CF-4E6E-B90D-AFEF9D0ED24F}"/>
    <cellStyle name="Currency 5 6 4 4" xfId="26984" xr:uid="{3FC86FFA-208F-46ED-AFCE-43835E765A1A}"/>
    <cellStyle name="Currency 5 6 4 5" xfId="18555" xr:uid="{17544EF1-50AF-444B-A1A9-98355F5E34C5}"/>
    <cellStyle name="Currency 5 6 4 6" xfId="35413" xr:uid="{AC3B2C39-1340-4EF8-A8F0-592236BF87C7}"/>
    <cellStyle name="Currency 5 6 4 7" xfId="10120" xr:uid="{125F7D3A-F454-42EA-AD2F-729B2BFE385F}"/>
    <cellStyle name="Currency 5 6 5" xfId="2009" xr:uid="{00000000-0005-0000-0000-0000760D0000}"/>
    <cellStyle name="Currency 5 6 5 2" xfId="4238" xr:uid="{00000000-0005-0000-0000-0000770D0000}"/>
    <cellStyle name="Currency 5 6 5 2 2" xfId="8461" xr:uid="{00000000-0005-0000-0000-0000780D0000}"/>
    <cellStyle name="Currency 5 6 5 2 2 2" xfId="33760" xr:uid="{2CE153D2-D334-4C6A-A898-E61F2730FAB6}"/>
    <cellStyle name="Currency 5 6 5 2 2 3" xfId="25331" xr:uid="{4D22F24C-692E-4A3A-8B96-9247531A1E60}"/>
    <cellStyle name="Currency 5 6 5 2 2 4" xfId="42188" xr:uid="{0382CC65-4C95-4426-AD2C-E81C055A4017}"/>
    <cellStyle name="Currency 5 6 5 2 2 5" xfId="16896" xr:uid="{EC250009-F373-4BF7-842B-CEA5085693E8}"/>
    <cellStyle name="Currency 5 6 5 2 3" xfId="29542" xr:uid="{9D87C9EE-FFFC-4227-B122-15958AC9ED97}"/>
    <cellStyle name="Currency 5 6 5 2 4" xfId="21113" xr:uid="{3FDEBEE1-772D-4E85-AD9A-F8B039B14CA7}"/>
    <cellStyle name="Currency 5 6 5 2 5" xfId="37971" xr:uid="{4EAC0929-AC40-4F9D-B1D0-FBDA227B2BED}"/>
    <cellStyle name="Currency 5 6 5 2 6" xfId="12678" xr:uid="{2561CB67-D078-4128-A344-B8AD0EB32E6F}"/>
    <cellStyle name="Currency 5 6 5 3" xfId="6316" xr:uid="{00000000-0005-0000-0000-0000790D0000}"/>
    <cellStyle name="Currency 5 6 5 3 2" xfId="31615" xr:uid="{A8867D12-19A6-4D11-A433-3B297EEE8F12}"/>
    <cellStyle name="Currency 5 6 5 3 3" xfId="23186" xr:uid="{5EAAE5AF-0B16-4567-8E8D-B6CD59F5CC83}"/>
    <cellStyle name="Currency 5 6 5 3 4" xfId="40043" xr:uid="{2B75C1FF-DB21-4CF3-8B83-5337DB5EB36F}"/>
    <cellStyle name="Currency 5 6 5 3 5" xfId="14751" xr:uid="{F053529A-A20B-41B2-8B44-628FBFA7A1B8}"/>
    <cellStyle name="Currency 5 6 5 4" xfId="27397" xr:uid="{160D93CC-B0D3-479E-9ADB-F78AB61213AB}"/>
    <cellStyle name="Currency 5 6 5 5" xfId="18968" xr:uid="{FF71BC04-8CB1-46B4-BF8C-F28C6AEAEEDC}"/>
    <cellStyle name="Currency 5 6 5 6" xfId="35826" xr:uid="{B66C37D7-8F46-42CF-BD3E-BB81D583B2EF}"/>
    <cellStyle name="Currency 5 6 5 7" xfId="10533" xr:uid="{841D8230-C1EF-4573-BBCB-99BC60126901}"/>
    <cellStyle name="Currency 5 6 6" xfId="2444" xr:uid="{00000000-0005-0000-0000-00007A0D0000}"/>
    <cellStyle name="Currency 5 6 6 2" xfId="6729" xr:uid="{00000000-0005-0000-0000-00007B0D0000}"/>
    <cellStyle name="Currency 5 6 6 2 2" xfId="32028" xr:uid="{497A4C83-B7A5-42EB-A364-7EBB56CAA91A}"/>
    <cellStyle name="Currency 5 6 6 2 3" xfId="23599" xr:uid="{D9D2F183-EC7E-49B5-9DEA-6FD409F1F238}"/>
    <cellStyle name="Currency 5 6 6 2 4" xfId="40456" xr:uid="{F78ECD87-7A39-4902-A145-B039AF94DDB6}"/>
    <cellStyle name="Currency 5 6 6 2 5" xfId="15164" xr:uid="{2C86B324-96BD-41AA-9B93-D86D03F5A634}"/>
    <cellStyle name="Currency 5 6 6 3" xfId="27810" xr:uid="{0191A670-ACF6-42A9-B500-081731E55C1C}"/>
    <cellStyle name="Currency 5 6 6 4" xfId="19381" xr:uid="{98367F2A-3247-4159-9CA4-FF4D404B1485}"/>
    <cellStyle name="Currency 5 6 6 5" xfId="36239" xr:uid="{211AAB6A-EF4D-442C-9059-84040333D50F}"/>
    <cellStyle name="Currency 5 6 6 6" xfId="10946" xr:uid="{5579A55F-C28B-4619-80DA-27CE103BCD37}"/>
    <cellStyle name="Currency 5 6 7" xfId="2741" xr:uid="{00000000-0005-0000-0000-00007C0D0000}"/>
    <cellStyle name="Currency 5 6 8" xfId="2822" xr:uid="{00000000-0005-0000-0000-00007D0D0000}"/>
    <cellStyle name="Currency 5 6 8 2" xfId="7046" xr:uid="{00000000-0005-0000-0000-00007E0D0000}"/>
    <cellStyle name="Currency 5 6 8 2 2" xfId="32345" xr:uid="{2D389C76-AB59-47E3-ACAA-D63201E2ED70}"/>
    <cellStyle name="Currency 5 6 8 2 3" xfId="23916" xr:uid="{9EAA34AE-67EE-41B7-83E4-469CC03212D5}"/>
    <cellStyle name="Currency 5 6 8 2 4" xfId="40773" xr:uid="{25BED3BE-7868-40DB-B832-87D1D6706231}"/>
    <cellStyle name="Currency 5 6 8 2 5" xfId="15481" xr:uid="{41815E9C-FE6F-420A-9C20-8FFFA266A6FF}"/>
    <cellStyle name="Currency 5 6 8 3" xfId="28127" xr:uid="{9C28937D-4DDD-419F-BF95-7F6832569BA3}"/>
    <cellStyle name="Currency 5 6 8 4" xfId="19698" xr:uid="{5F7E3275-A280-457D-88C3-B0B60D0985F9}"/>
    <cellStyle name="Currency 5 6 8 5" xfId="36556" xr:uid="{6578F332-7A6B-477A-AF20-186DFA466FAB}"/>
    <cellStyle name="Currency 5 6 8 6" xfId="11263" xr:uid="{FC3CFBD4-EADE-4645-BF3A-4F7F43DC3BB1}"/>
    <cellStyle name="Currency 5 6 9" xfId="4663" xr:uid="{00000000-0005-0000-0000-00007F0D0000}"/>
    <cellStyle name="Currency 5 6 9 2" xfId="29962" xr:uid="{4B607054-2C2C-4A07-9B39-894CD68CC294}"/>
    <cellStyle name="Currency 5 6 9 3" xfId="21533" xr:uid="{32E4E9E0-C834-4B87-A3D4-2457B941345F}"/>
    <cellStyle name="Currency 5 6 9 4" xfId="38390" xr:uid="{436BA30B-16A8-40CE-A89A-A5254920ECC9}"/>
    <cellStyle name="Currency 5 6 9 5" xfId="13098" xr:uid="{078BBDEF-431B-4641-A698-A3A61D778B11}"/>
    <cellStyle name="Currency 5 7" xfId="222" xr:uid="{00000000-0005-0000-0000-0000800D0000}"/>
    <cellStyle name="Currency 5 7 10" xfId="25745" xr:uid="{FE9A90B7-372A-42E6-8F04-7979E435E5C5}"/>
    <cellStyle name="Currency 5 7 11" xfId="17316" xr:uid="{FBB34CD5-32E2-4ECC-90B6-10681F540274}"/>
    <cellStyle name="Currency 5 7 12" xfId="34174" xr:uid="{3AF38E09-95AE-43F4-A19B-1859B7824685}"/>
    <cellStyle name="Currency 5 7 13" xfId="8881" xr:uid="{D5B07A10-4FE7-4B59-B3E8-36D4C52970A6}"/>
    <cellStyle name="Currency 5 7 2" xfId="748" xr:uid="{00000000-0005-0000-0000-0000810D0000}"/>
    <cellStyle name="Currency 5 7 2 2" xfId="3000" xr:uid="{00000000-0005-0000-0000-0000820D0000}"/>
    <cellStyle name="Currency 5 7 2 2 2" xfId="7223" xr:uid="{00000000-0005-0000-0000-0000830D0000}"/>
    <cellStyle name="Currency 5 7 2 2 2 2" xfId="32522" xr:uid="{0F711EC3-8372-4A4B-BA24-A9084EA0AC76}"/>
    <cellStyle name="Currency 5 7 2 2 2 3" xfId="24093" xr:uid="{CFC7AFF3-E183-4B5B-A7CF-5CAC82927525}"/>
    <cellStyle name="Currency 5 7 2 2 2 4" xfId="40950" xr:uid="{C50C7CF7-8C4E-4BAF-B9B8-3AD9D24A2293}"/>
    <cellStyle name="Currency 5 7 2 2 2 5" xfId="15658" xr:uid="{572CBF9C-1F33-461F-8570-A97D891F6F6A}"/>
    <cellStyle name="Currency 5 7 2 2 3" xfId="28304" xr:uid="{033D6752-2DCD-43E5-BD21-E2B37B4B9BC8}"/>
    <cellStyle name="Currency 5 7 2 2 4" xfId="19875" xr:uid="{DD095B16-1266-48A7-A6EF-D5A4F1011D8A}"/>
    <cellStyle name="Currency 5 7 2 2 5" xfId="36733" xr:uid="{D1B161D2-8E0C-4559-9E41-1F34F656740B}"/>
    <cellStyle name="Currency 5 7 2 2 6" xfId="11440" xr:uid="{38F425C4-F68C-48F2-ADA7-2B489177A015}"/>
    <cellStyle name="Currency 5 7 2 3" xfId="5078" xr:uid="{00000000-0005-0000-0000-0000840D0000}"/>
    <cellStyle name="Currency 5 7 2 3 2" xfId="30377" xr:uid="{1676D2EE-2AD0-4633-BEB3-B08C6ACC91D6}"/>
    <cellStyle name="Currency 5 7 2 3 3" xfId="21948" xr:uid="{EFD81DE0-2249-482A-AC90-3DB5DEF2B19D}"/>
    <cellStyle name="Currency 5 7 2 3 4" xfId="38805" xr:uid="{72D519A7-C146-4B03-BB20-C922F46BBEAE}"/>
    <cellStyle name="Currency 5 7 2 3 5" xfId="13513" xr:uid="{959ABED6-E3A5-4991-A817-809D73D1EC18}"/>
    <cellStyle name="Currency 5 7 2 4" xfId="26159" xr:uid="{81D42AFD-EE28-4D55-B6B3-3544C0091261}"/>
    <cellStyle name="Currency 5 7 2 5" xfId="17730" xr:uid="{D64A4521-ABB2-4F55-801B-80092CB3655E}"/>
    <cellStyle name="Currency 5 7 2 6" xfId="34588" xr:uid="{F85C6744-A5D7-4654-96F9-E4B328C53155}"/>
    <cellStyle name="Currency 5 7 2 7" xfId="9295" xr:uid="{44E97215-5AB1-4CDF-9BCF-AB801920EBC7}"/>
    <cellStyle name="Currency 5 7 3" xfId="1182" xr:uid="{00000000-0005-0000-0000-0000850D0000}"/>
    <cellStyle name="Currency 5 7 3 2" xfId="3413" xr:uid="{00000000-0005-0000-0000-0000860D0000}"/>
    <cellStyle name="Currency 5 7 3 2 2" xfId="7636" xr:uid="{00000000-0005-0000-0000-0000870D0000}"/>
    <cellStyle name="Currency 5 7 3 2 2 2" xfId="32935" xr:uid="{D44391BB-2CAE-425F-8F9E-231D8457AE42}"/>
    <cellStyle name="Currency 5 7 3 2 2 3" xfId="24506" xr:uid="{702DBBCB-E6B6-44DE-9151-62B1331744C5}"/>
    <cellStyle name="Currency 5 7 3 2 2 4" xfId="41363" xr:uid="{A255D306-4B32-41A0-AA64-AE00E8EDB090}"/>
    <cellStyle name="Currency 5 7 3 2 2 5" xfId="16071" xr:uid="{A94316B9-2F59-4C06-AD10-2C582A3B8FA1}"/>
    <cellStyle name="Currency 5 7 3 2 3" xfId="28717" xr:uid="{988A155F-6381-4B20-81A8-AD33FCF6957E}"/>
    <cellStyle name="Currency 5 7 3 2 4" xfId="20288" xr:uid="{B9B4FE78-E6AC-48CF-A2D4-763F35D996C4}"/>
    <cellStyle name="Currency 5 7 3 2 5" xfId="37146" xr:uid="{9DB6F84B-9102-425D-B0E7-F2A0BF82DB69}"/>
    <cellStyle name="Currency 5 7 3 2 6" xfId="11853" xr:uid="{9A469F94-E373-465A-B721-49209DCA1CDB}"/>
    <cellStyle name="Currency 5 7 3 3" xfId="5491" xr:uid="{00000000-0005-0000-0000-0000880D0000}"/>
    <cellStyle name="Currency 5 7 3 3 2" xfId="30790" xr:uid="{9465981C-42AE-4D1F-9E4F-EC4B0ECD2CAF}"/>
    <cellStyle name="Currency 5 7 3 3 3" xfId="22361" xr:uid="{4007F37A-BD2E-4D12-8FD6-2C7BCFF9C1CB}"/>
    <cellStyle name="Currency 5 7 3 3 4" xfId="39218" xr:uid="{8376F7EE-D081-46AD-8FA5-93ED14806C66}"/>
    <cellStyle name="Currency 5 7 3 3 5" xfId="13926" xr:uid="{2841D0A2-F7BD-44C6-AD92-98950F0241A1}"/>
    <cellStyle name="Currency 5 7 3 4" xfId="26572" xr:uid="{57DA2A67-A999-405F-9FD7-61634C4FAC5D}"/>
    <cellStyle name="Currency 5 7 3 5" xfId="18143" xr:uid="{3AE6647E-7427-4FD4-A208-5288AB3C6874}"/>
    <cellStyle name="Currency 5 7 3 6" xfId="35001" xr:uid="{8A96C30A-01FC-41C9-B919-01C97B765B48}"/>
    <cellStyle name="Currency 5 7 3 7" xfId="9708" xr:uid="{D5221114-BFB9-42A4-923E-89CE64ACD250}"/>
    <cellStyle name="Currency 5 7 4" xfId="1596" xr:uid="{00000000-0005-0000-0000-0000890D0000}"/>
    <cellStyle name="Currency 5 7 4 2" xfId="3826" xr:uid="{00000000-0005-0000-0000-00008A0D0000}"/>
    <cellStyle name="Currency 5 7 4 2 2" xfId="8049" xr:uid="{00000000-0005-0000-0000-00008B0D0000}"/>
    <cellStyle name="Currency 5 7 4 2 2 2" xfId="33348" xr:uid="{2D78B749-88E5-4136-A2FF-CABFADCA1C6A}"/>
    <cellStyle name="Currency 5 7 4 2 2 3" xfId="24919" xr:uid="{44772250-939D-434B-B647-77322437D546}"/>
    <cellStyle name="Currency 5 7 4 2 2 4" xfId="41776" xr:uid="{88EAC91D-1305-4F54-86C1-3E4B2128E8D1}"/>
    <cellStyle name="Currency 5 7 4 2 2 5" xfId="16484" xr:uid="{E89886C4-C517-472C-B857-E2C0F005D740}"/>
    <cellStyle name="Currency 5 7 4 2 3" xfId="29130" xr:uid="{68C105CD-7827-4B18-B09A-B05DD20B5883}"/>
    <cellStyle name="Currency 5 7 4 2 4" xfId="20701" xr:uid="{6B03D67A-269C-49C8-902A-6FB1EB818C30}"/>
    <cellStyle name="Currency 5 7 4 2 5" xfId="37559" xr:uid="{42A16040-6F74-4A8F-9C7C-4E93B93EEB87}"/>
    <cellStyle name="Currency 5 7 4 2 6" xfId="12266" xr:uid="{515E7370-E54E-4DED-875B-2DA68E3294F7}"/>
    <cellStyle name="Currency 5 7 4 3" xfId="5904" xr:uid="{00000000-0005-0000-0000-00008C0D0000}"/>
    <cellStyle name="Currency 5 7 4 3 2" xfId="31203" xr:uid="{0C4FF689-BE46-45EE-86C7-81AF8955C14C}"/>
    <cellStyle name="Currency 5 7 4 3 3" xfId="22774" xr:uid="{F2D25C3C-979C-44E7-94BB-3A6D058D9B49}"/>
    <cellStyle name="Currency 5 7 4 3 4" xfId="39631" xr:uid="{6F852D41-16BF-49BC-A93C-D89D3ADF8795}"/>
    <cellStyle name="Currency 5 7 4 3 5" xfId="14339" xr:uid="{CE78CB41-EEF9-4619-8501-073FEDE56F10}"/>
    <cellStyle name="Currency 5 7 4 4" xfId="26985" xr:uid="{C5BA32C0-2650-4E20-B440-E06C4984F1D4}"/>
    <cellStyle name="Currency 5 7 4 5" xfId="18556" xr:uid="{83B71686-98E3-41A3-9C5D-3043597018F1}"/>
    <cellStyle name="Currency 5 7 4 6" xfId="35414" xr:uid="{554DD57C-6108-4AF8-A378-3260BEEEAAF1}"/>
    <cellStyle name="Currency 5 7 4 7" xfId="10121" xr:uid="{8E758F62-6394-4D02-BEA2-996EB8F74D76}"/>
    <cellStyle name="Currency 5 7 5" xfId="2010" xr:uid="{00000000-0005-0000-0000-00008D0D0000}"/>
    <cellStyle name="Currency 5 7 5 2" xfId="4239" xr:uid="{00000000-0005-0000-0000-00008E0D0000}"/>
    <cellStyle name="Currency 5 7 5 2 2" xfId="8462" xr:uid="{00000000-0005-0000-0000-00008F0D0000}"/>
    <cellStyle name="Currency 5 7 5 2 2 2" xfId="33761" xr:uid="{367A96AE-63FE-421C-9518-C28499DC205F}"/>
    <cellStyle name="Currency 5 7 5 2 2 3" xfId="25332" xr:uid="{E66C40B8-1892-4FAC-B622-8EBF9F9AF922}"/>
    <cellStyle name="Currency 5 7 5 2 2 4" xfId="42189" xr:uid="{B2F436E2-FCFF-4646-BE6C-3D8B3587C1D8}"/>
    <cellStyle name="Currency 5 7 5 2 2 5" xfId="16897" xr:uid="{818B3804-30EB-4C58-BE52-D6F4C19EAE1D}"/>
    <cellStyle name="Currency 5 7 5 2 3" xfId="29543" xr:uid="{164EAC0E-9EA2-449E-8BA3-02020CDC3625}"/>
    <cellStyle name="Currency 5 7 5 2 4" xfId="21114" xr:uid="{CC1A2022-A40B-49F2-BBF2-B2A5FE6060ED}"/>
    <cellStyle name="Currency 5 7 5 2 5" xfId="37972" xr:uid="{1198B685-0EE7-410A-80EB-8B1C3A589500}"/>
    <cellStyle name="Currency 5 7 5 2 6" xfId="12679" xr:uid="{3611931E-16B4-4405-9C19-80EC9E918AA3}"/>
    <cellStyle name="Currency 5 7 5 3" xfId="6317" xr:uid="{00000000-0005-0000-0000-0000900D0000}"/>
    <cellStyle name="Currency 5 7 5 3 2" xfId="31616" xr:uid="{0BE9EC22-FA46-411B-81EE-728F86DF23F6}"/>
    <cellStyle name="Currency 5 7 5 3 3" xfId="23187" xr:uid="{56625066-472C-4E4D-A700-46511EE3C656}"/>
    <cellStyle name="Currency 5 7 5 3 4" xfId="40044" xr:uid="{5150115F-3C21-49CB-8C21-4597803F0183}"/>
    <cellStyle name="Currency 5 7 5 3 5" xfId="14752" xr:uid="{D2BF84F5-00BE-4EF0-BEE5-2779C96980B8}"/>
    <cellStyle name="Currency 5 7 5 4" xfId="27398" xr:uid="{2729756A-CCC6-4478-916F-226F5DD12482}"/>
    <cellStyle name="Currency 5 7 5 5" xfId="18969" xr:uid="{B1BCF61F-C3CE-47A0-910F-DBCD65B13B22}"/>
    <cellStyle name="Currency 5 7 5 6" xfId="35827" xr:uid="{CA63D571-5D48-4BD0-B55C-75775A2DA985}"/>
    <cellStyle name="Currency 5 7 5 7" xfId="10534" xr:uid="{01A0F670-D9BD-4582-A4A5-138EB10DC8EA}"/>
    <cellStyle name="Currency 5 7 6" xfId="2445" xr:uid="{00000000-0005-0000-0000-0000910D0000}"/>
    <cellStyle name="Currency 5 7 6 2" xfId="6730" xr:uid="{00000000-0005-0000-0000-0000920D0000}"/>
    <cellStyle name="Currency 5 7 6 2 2" xfId="32029" xr:uid="{8743BB1C-9AA5-482D-A127-2AD3B44D9505}"/>
    <cellStyle name="Currency 5 7 6 2 3" xfId="23600" xr:uid="{626DE418-566B-44B8-818E-F86949B08412}"/>
    <cellStyle name="Currency 5 7 6 2 4" xfId="40457" xr:uid="{08520768-C8C3-4447-87B7-7AB04F7229CF}"/>
    <cellStyle name="Currency 5 7 6 2 5" xfId="15165" xr:uid="{12FF58E4-9EFD-48AF-9093-8FACD3031BD1}"/>
    <cellStyle name="Currency 5 7 6 3" xfId="27811" xr:uid="{CF798504-E91A-4EBB-9AD2-E593943CCC6A}"/>
    <cellStyle name="Currency 5 7 6 4" xfId="19382" xr:uid="{1B8F260F-52F7-456E-858C-C89A74631D66}"/>
    <cellStyle name="Currency 5 7 6 5" xfId="36240" xr:uid="{434DE7B4-D106-4248-8E6D-2331295906DB}"/>
    <cellStyle name="Currency 5 7 6 6" xfId="10947" xr:uid="{D0742001-1044-462F-8AEA-6BD2CB9B82A7}"/>
    <cellStyle name="Currency 5 7 7" xfId="2742" xr:uid="{00000000-0005-0000-0000-0000930D0000}"/>
    <cellStyle name="Currency 5 7 8" xfId="2823" xr:uid="{00000000-0005-0000-0000-0000940D0000}"/>
    <cellStyle name="Currency 5 7 8 2" xfId="7047" xr:uid="{00000000-0005-0000-0000-0000950D0000}"/>
    <cellStyle name="Currency 5 7 8 2 2" xfId="32346" xr:uid="{9EE03448-86B3-4DE7-AB38-1D637BAFC9CE}"/>
    <cellStyle name="Currency 5 7 8 2 3" xfId="23917" xr:uid="{E4B3DEC0-F569-46A5-9F4B-B79F87C3E064}"/>
    <cellStyle name="Currency 5 7 8 2 4" xfId="40774" xr:uid="{BF577C5C-5D12-42B5-910E-C4EA176A5423}"/>
    <cellStyle name="Currency 5 7 8 2 5" xfId="15482" xr:uid="{43A7B35E-3CA7-4387-A912-B420F2BCFCFF}"/>
    <cellStyle name="Currency 5 7 8 3" xfId="28128" xr:uid="{0B0E51E0-E0A6-4136-AF06-BB8F99B96885}"/>
    <cellStyle name="Currency 5 7 8 4" xfId="19699" xr:uid="{62478C5F-A384-4B18-9371-DFE7CC158E43}"/>
    <cellStyle name="Currency 5 7 8 5" xfId="36557" xr:uid="{6CF57C4D-82AF-4B4D-92FD-5D7857C45E4D}"/>
    <cellStyle name="Currency 5 7 8 6" xfId="11264" xr:uid="{4831D57D-77D4-4F77-98AE-74D200CCE70C}"/>
    <cellStyle name="Currency 5 7 9" xfId="4664" xr:uid="{00000000-0005-0000-0000-0000960D0000}"/>
    <cellStyle name="Currency 5 7 9 2" xfId="29963" xr:uid="{69F0B2E3-83B2-43D7-AEF0-2DEB05B0B4EF}"/>
    <cellStyle name="Currency 5 7 9 3" xfId="21534" xr:uid="{87BE2ECD-732E-4D75-B23C-F52EADFEB2C5}"/>
    <cellStyle name="Currency 5 7 9 4" xfId="38391" xr:uid="{400C906D-25FF-4AF0-B2C2-27A1882A9CD4}"/>
    <cellStyle name="Currency 5 7 9 5" xfId="13099" xr:uid="{49F6B93B-3B75-499C-92C7-575CDB807516}"/>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32030" xr:uid="{B93DEF0D-03F1-430D-BC59-99A1E4A538AC}"/>
    <cellStyle name="Normal 12 10 2 3" xfId="23601" xr:uid="{D613392D-E460-4CB5-880F-108EB268B728}"/>
    <cellStyle name="Normal 12 10 2 4" xfId="40458" xr:uid="{077FBE9D-2C3D-478D-8044-1B49E5D923DD}"/>
    <cellStyle name="Normal 12 10 2 5" xfId="15166" xr:uid="{722FF101-A3C4-4A0D-8197-EA01B4EA28EC}"/>
    <cellStyle name="Normal 12 10 3" xfId="27812" xr:uid="{3EE9D229-F739-457E-9EDB-A14D518F64A7}"/>
    <cellStyle name="Normal 12 10 4" xfId="19383" xr:uid="{B5720E7B-E2EA-41BC-98A0-9BFAABF820D3}"/>
    <cellStyle name="Normal 12 10 5" xfId="36241" xr:uid="{3C0033EC-14A0-4C71-969B-FB133BA03316}"/>
    <cellStyle name="Normal 12 10 6" xfId="10948" xr:uid="{FB41EA76-F667-4DB8-BF1F-8309F7212EC1}"/>
    <cellStyle name="Normal 12 11" xfId="4665" xr:uid="{00000000-0005-0000-0000-0000CC0D0000}"/>
    <cellStyle name="Normal 12 11 2" xfId="29964" xr:uid="{7829982D-B70C-4000-B47D-F712A5253467}"/>
    <cellStyle name="Normal 12 11 3" xfId="21535" xr:uid="{061419CB-D4C6-47BB-95E9-6A8451D53FCD}"/>
    <cellStyle name="Normal 12 11 4" xfId="38392" xr:uid="{13BC656C-CACE-43EA-9A3B-B0F950A7104F}"/>
    <cellStyle name="Normal 12 11 5" xfId="13100" xr:uid="{E7BC5DC5-C6F8-4E27-8252-BB498527D55E}"/>
    <cellStyle name="Normal 12 12" xfId="25746" xr:uid="{F84755B0-7BDF-4B01-9842-F28EFB42E151}"/>
    <cellStyle name="Normal 12 13" xfId="17317" xr:uid="{B082DDC8-01EE-478F-AEFB-6D899F3DA475}"/>
    <cellStyle name="Normal 12 14" xfId="34175" xr:uid="{26FD0600-43B3-45DF-9C72-F223C28ABEAA}"/>
    <cellStyle name="Normal 12 15" xfId="8882" xr:uid="{B3615D0D-4B9E-4EE9-8BB1-36180D7EB057}"/>
    <cellStyle name="Normal 12 2" xfId="260" xr:uid="{00000000-0005-0000-0000-0000CD0D0000}"/>
    <cellStyle name="Normal 12 2 10" xfId="25747" xr:uid="{D8E7DD7E-0909-4CCA-B565-1C4725657E22}"/>
    <cellStyle name="Normal 12 2 11" xfId="17318" xr:uid="{E9410092-DFDA-49B9-84B4-0C71534C6E49}"/>
    <cellStyle name="Normal 12 2 12" xfId="34176" xr:uid="{B9AD1BAE-E8BB-468E-B953-8DE702C5CD2A}"/>
    <cellStyle name="Normal 12 2 13" xfId="8883" xr:uid="{F1190A71-702B-49EB-B119-5CE0C898997F}"/>
    <cellStyle name="Normal 12 2 2" xfId="261" xr:uid="{00000000-0005-0000-0000-0000CE0D0000}"/>
    <cellStyle name="Normal 12 2 2 10" xfId="17319" xr:uid="{D289CA30-5D94-4EF2-A035-E52C3B4FBF12}"/>
    <cellStyle name="Normal 12 2 2 11" xfId="34177" xr:uid="{DF55F0CC-825C-4153-A7BD-728CBDA54AD0}"/>
    <cellStyle name="Normal 12 2 2 12" xfId="8884" xr:uid="{31D2E834-1377-4FD4-86CD-F6373DB1AE44}"/>
    <cellStyle name="Normal 12 2 2 2" xfId="262" xr:uid="{00000000-0005-0000-0000-0000CF0D0000}"/>
    <cellStyle name="Normal 12 2 2 2 10" xfId="34178" xr:uid="{62B83A86-3327-47BB-B454-FA3CE00FF7CF}"/>
    <cellStyle name="Normal 12 2 2 2 11" xfId="8885" xr:uid="{1DAA4805-0110-446B-BF8E-22E5231292F7}"/>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32526" xr:uid="{0D56ADF6-FF73-457F-8C9A-FEC7461C0D4A}"/>
    <cellStyle name="Normal 12 2 2 2 2 2 2 3" xfId="24097" xr:uid="{1B309556-B528-4F5B-B23E-A4E62B80A0A1}"/>
    <cellStyle name="Normal 12 2 2 2 2 2 2 4" xfId="40954" xr:uid="{98774B80-ADF7-4B87-B852-0C527C39B31D}"/>
    <cellStyle name="Normal 12 2 2 2 2 2 2 5" xfId="15662" xr:uid="{F9FC6EDC-5F9D-40AC-A1E3-C75EC6A00547}"/>
    <cellStyle name="Normal 12 2 2 2 2 2 3" xfId="28308" xr:uid="{91462214-219A-4E0E-BC70-3F42967FBB5A}"/>
    <cellStyle name="Normal 12 2 2 2 2 2 4" xfId="19879" xr:uid="{5672FE8B-AEED-4AE7-A367-F40347CE9341}"/>
    <cellStyle name="Normal 12 2 2 2 2 2 5" xfId="36737" xr:uid="{DF77B471-8F11-40C3-AB4E-75492802572D}"/>
    <cellStyle name="Normal 12 2 2 2 2 2 6" xfId="11444" xr:uid="{9B2F8E41-B32B-402A-9DE1-8BC5C447B86E}"/>
    <cellStyle name="Normal 12 2 2 2 2 3" xfId="5082" xr:uid="{00000000-0005-0000-0000-0000D30D0000}"/>
    <cellStyle name="Normal 12 2 2 2 2 3 2" xfId="30381" xr:uid="{354F2C03-EC65-4AA0-9FD2-163C41B553C5}"/>
    <cellStyle name="Normal 12 2 2 2 2 3 3" xfId="21952" xr:uid="{5E3D4D1B-A0C7-4018-873F-E358F10A2316}"/>
    <cellStyle name="Normal 12 2 2 2 2 3 4" xfId="38809" xr:uid="{38FCA03E-7DA5-44F4-8DC6-B24117538E63}"/>
    <cellStyle name="Normal 12 2 2 2 2 3 5" xfId="13517" xr:uid="{02C8124E-9758-4A10-B634-62CC9FE2250F}"/>
    <cellStyle name="Normal 12 2 2 2 2 4" xfId="26163" xr:uid="{10DDCCA0-0F15-4E41-9600-EE8489C2C6F9}"/>
    <cellStyle name="Normal 12 2 2 2 2 5" xfId="17734" xr:uid="{9F494807-C8E9-4CAE-998D-6D6F4F43B2CB}"/>
    <cellStyle name="Normal 12 2 2 2 2 6" xfId="34592" xr:uid="{044AABA9-2E56-4840-861C-68B941FDD276}"/>
    <cellStyle name="Normal 12 2 2 2 2 7" xfId="9299" xr:uid="{E3602A96-B238-4055-B470-D4585310C8B8}"/>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32939" xr:uid="{464A0B37-351B-45E9-8D07-411B29CF5D9F}"/>
    <cellStyle name="Normal 12 2 2 2 3 2 2 3" xfId="24510" xr:uid="{EDDAE973-38A7-40FE-BF7B-83986BADBAB2}"/>
    <cellStyle name="Normal 12 2 2 2 3 2 2 4" xfId="41367" xr:uid="{1937920F-967A-451C-ADD4-D61271D1BAD7}"/>
    <cellStyle name="Normal 12 2 2 2 3 2 2 5" xfId="16075" xr:uid="{0D519CCE-AB36-4F85-A677-1585F31F5A88}"/>
    <cellStyle name="Normal 12 2 2 2 3 2 3" xfId="28721" xr:uid="{7CBA55AF-919E-4AD5-AD70-9D1577623882}"/>
    <cellStyle name="Normal 12 2 2 2 3 2 4" xfId="20292" xr:uid="{D01E04CD-AC90-42F9-8B4A-ECABB65168A9}"/>
    <cellStyle name="Normal 12 2 2 2 3 2 5" xfId="37150" xr:uid="{B43A135C-57A4-4A5D-B08A-932A692E42B4}"/>
    <cellStyle name="Normal 12 2 2 2 3 2 6" xfId="11857" xr:uid="{0694250D-399C-432A-9187-EF52B66FD259}"/>
    <cellStyle name="Normal 12 2 2 2 3 3" xfId="5495" xr:uid="{00000000-0005-0000-0000-0000D70D0000}"/>
    <cellStyle name="Normal 12 2 2 2 3 3 2" xfId="30794" xr:uid="{C4FDE683-6D20-46D6-8C9B-63CFFF8CC0A7}"/>
    <cellStyle name="Normal 12 2 2 2 3 3 3" xfId="22365" xr:uid="{F613D2B1-2222-4794-BD9A-6C2171E94CE1}"/>
    <cellStyle name="Normal 12 2 2 2 3 3 4" xfId="39222" xr:uid="{D39C940E-C65B-4170-84A0-5A38ECAA12FC}"/>
    <cellStyle name="Normal 12 2 2 2 3 3 5" xfId="13930" xr:uid="{EF4D9214-0BB5-4343-A81A-9F15BB146FBF}"/>
    <cellStyle name="Normal 12 2 2 2 3 4" xfId="26576" xr:uid="{24EF097F-1A69-4FE5-8F5C-EC81DD795132}"/>
    <cellStyle name="Normal 12 2 2 2 3 5" xfId="18147" xr:uid="{43084D70-251A-41C5-839D-E3BB0E840017}"/>
    <cellStyle name="Normal 12 2 2 2 3 6" xfId="35005" xr:uid="{47FC86D4-295F-4CD5-AEFD-6C03C399D30E}"/>
    <cellStyle name="Normal 12 2 2 2 3 7" xfId="9712" xr:uid="{658B83F2-D053-4849-A80A-EAEBD90339B6}"/>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33352" xr:uid="{83665970-A488-4E5F-80BF-B2906F29EE43}"/>
    <cellStyle name="Normal 12 2 2 2 4 2 2 3" xfId="24923" xr:uid="{214630F7-DAE4-4D91-9441-D6260D97D261}"/>
    <cellStyle name="Normal 12 2 2 2 4 2 2 4" xfId="41780" xr:uid="{7445AA5F-0A42-460A-9019-11C741F74B25}"/>
    <cellStyle name="Normal 12 2 2 2 4 2 2 5" xfId="16488" xr:uid="{07792ADD-E410-4A29-A704-DFB07E3C2EC3}"/>
    <cellStyle name="Normal 12 2 2 2 4 2 3" xfId="29134" xr:uid="{FC5DCD60-55EE-40C5-BDBF-CBDB23FD4B77}"/>
    <cellStyle name="Normal 12 2 2 2 4 2 4" xfId="20705" xr:uid="{5EC67DAB-03E6-4921-A99E-0C53E142A921}"/>
    <cellStyle name="Normal 12 2 2 2 4 2 5" xfId="37563" xr:uid="{3BD9A064-BC0E-4B77-AE99-71049241573B}"/>
    <cellStyle name="Normal 12 2 2 2 4 2 6" xfId="12270" xr:uid="{F622D3EA-7FDB-424F-B022-60C208EE3970}"/>
    <cellStyle name="Normal 12 2 2 2 4 3" xfId="5908" xr:uid="{00000000-0005-0000-0000-0000DB0D0000}"/>
    <cellStyle name="Normal 12 2 2 2 4 3 2" xfId="31207" xr:uid="{4A1906C7-19FC-4D30-A58A-55037CF207D7}"/>
    <cellStyle name="Normal 12 2 2 2 4 3 3" xfId="22778" xr:uid="{444A315F-1340-4FCB-817C-C90B4FA3BB81}"/>
    <cellStyle name="Normal 12 2 2 2 4 3 4" xfId="39635" xr:uid="{35DF1216-E565-47A9-ACC8-A09F9A3D1268}"/>
    <cellStyle name="Normal 12 2 2 2 4 3 5" xfId="14343" xr:uid="{ED532C32-FB5A-4B54-8370-88449AF3FA18}"/>
    <cellStyle name="Normal 12 2 2 2 4 4" xfId="26989" xr:uid="{21F7B55E-CE7D-46AC-ABF4-EDEA2B4E7D62}"/>
    <cellStyle name="Normal 12 2 2 2 4 5" xfId="18560" xr:uid="{9D1A857D-B4FB-4DDF-85B3-02D3CE4906CD}"/>
    <cellStyle name="Normal 12 2 2 2 4 6" xfId="35418" xr:uid="{AB3F7E38-FD0B-4844-9C9C-BBAD07531C3B}"/>
    <cellStyle name="Normal 12 2 2 2 4 7" xfId="10125" xr:uid="{075FBEE2-D8A9-4C54-987C-67D314EFA0F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33765" xr:uid="{9A9BD115-160C-4524-B1F4-D87CE15EF927}"/>
    <cellStyle name="Normal 12 2 2 2 5 2 2 3" xfId="25336" xr:uid="{59A1FBB0-BA9A-45FC-9919-D5C201ED8F90}"/>
    <cellStyle name="Normal 12 2 2 2 5 2 2 4" xfId="42193" xr:uid="{0CE46735-2555-4144-BDC6-535ACF364050}"/>
    <cellStyle name="Normal 12 2 2 2 5 2 2 5" xfId="16901" xr:uid="{F7DE0FE5-3A8D-4FFA-901E-4249D4FE3841}"/>
    <cellStyle name="Normal 12 2 2 2 5 2 3" xfId="29547" xr:uid="{41B02FD8-4D36-450B-9BC4-B171142299DC}"/>
    <cellStyle name="Normal 12 2 2 2 5 2 4" xfId="21118" xr:uid="{1F600F32-30AA-425C-910B-5BD5D597BFD2}"/>
    <cellStyle name="Normal 12 2 2 2 5 2 5" xfId="37976" xr:uid="{5C3DA5D8-B38B-4A43-AB5F-409C179F06A8}"/>
    <cellStyle name="Normal 12 2 2 2 5 2 6" xfId="12683" xr:uid="{B31C701E-DACA-4484-9541-5EB86ACD6B29}"/>
    <cellStyle name="Normal 12 2 2 2 5 3" xfId="6321" xr:uid="{00000000-0005-0000-0000-0000DF0D0000}"/>
    <cellStyle name="Normal 12 2 2 2 5 3 2" xfId="31620" xr:uid="{57FBA0BC-CB5E-4048-84B1-F8B0B94CF7A2}"/>
    <cellStyle name="Normal 12 2 2 2 5 3 3" xfId="23191" xr:uid="{72310223-BB4A-4BB0-8619-BAE2BBA94036}"/>
    <cellStyle name="Normal 12 2 2 2 5 3 4" xfId="40048" xr:uid="{449D42A1-5E7B-48E1-9B59-031EE3CEB3F6}"/>
    <cellStyle name="Normal 12 2 2 2 5 3 5" xfId="14756" xr:uid="{F93D3390-8593-4598-9B96-0BEBFD5A874A}"/>
    <cellStyle name="Normal 12 2 2 2 5 4" xfId="27402" xr:uid="{A55A132D-DE2B-4487-9FB4-9550E100EBAF}"/>
    <cellStyle name="Normal 12 2 2 2 5 5" xfId="18973" xr:uid="{989E3857-1FE7-4AA2-A132-6A7226CFA2B3}"/>
    <cellStyle name="Normal 12 2 2 2 5 6" xfId="35831" xr:uid="{ED516331-6380-46B9-94AE-F033AD114547}"/>
    <cellStyle name="Normal 12 2 2 2 5 7" xfId="10538" xr:uid="{6FA94621-4CE5-4739-89A8-0382DD5C4AED}"/>
    <cellStyle name="Normal 12 2 2 2 6" xfId="2450" xr:uid="{00000000-0005-0000-0000-0000E00D0000}"/>
    <cellStyle name="Normal 12 2 2 2 6 2" xfId="6734" xr:uid="{00000000-0005-0000-0000-0000E10D0000}"/>
    <cellStyle name="Normal 12 2 2 2 6 2 2" xfId="32033" xr:uid="{D2F3D28B-831D-43F7-9F70-6ED5EB51F654}"/>
    <cellStyle name="Normal 12 2 2 2 6 2 3" xfId="23604" xr:uid="{8973165A-98C8-471A-8EE4-320DDC5333E6}"/>
    <cellStyle name="Normal 12 2 2 2 6 2 4" xfId="40461" xr:uid="{F4DA9590-9179-4AD2-85D9-DB4827F250D7}"/>
    <cellStyle name="Normal 12 2 2 2 6 2 5" xfId="15169" xr:uid="{C5161B9E-7C1A-4113-A5E2-CC6BF58A2D82}"/>
    <cellStyle name="Normal 12 2 2 2 6 3" xfId="27815" xr:uid="{CACAF8FE-BD89-4CAF-BB94-67E64C082B2C}"/>
    <cellStyle name="Normal 12 2 2 2 6 4" xfId="19386" xr:uid="{16A0DDA4-EE30-49E1-8F32-78D116702D37}"/>
    <cellStyle name="Normal 12 2 2 2 6 5" xfId="36244" xr:uid="{8B7D9F59-E30E-4469-A28E-0A60D47A4475}"/>
    <cellStyle name="Normal 12 2 2 2 6 6" xfId="10951" xr:uid="{D504FC26-5938-4E44-8742-D49DAB23808F}"/>
    <cellStyle name="Normal 12 2 2 2 7" xfId="4668" xr:uid="{00000000-0005-0000-0000-0000E20D0000}"/>
    <cellStyle name="Normal 12 2 2 2 7 2" xfId="29967" xr:uid="{BA8E5F52-EFCE-4A69-83BC-4091D096C427}"/>
    <cellStyle name="Normal 12 2 2 2 7 3" xfId="21538" xr:uid="{3771A934-2D2A-4E9E-B4B7-D1223F4A4DE1}"/>
    <cellStyle name="Normal 12 2 2 2 7 4" xfId="38395" xr:uid="{96532C53-CFAA-4DAE-A115-69588826B40B}"/>
    <cellStyle name="Normal 12 2 2 2 7 5" xfId="13103" xr:uid="{3AEF155A-52E4-4E5D-8C9F-4DCDA1799844}"/>
    <cellStyle name="Normal 12 2 2 2 8" xfId="25749" xr:uid="{A2755667-F419-4F6F-9A12-4D679B665C26}"/>
    <cellStyle name="Normal 12 2 2 2 9" xfId="17320" xr:uid="{5CE1C96E-063C-488A-970D-E79A1EB58F77}"/>
    <cellStyle name="Normal 12 2 2 3" xfId="762" xr:uid="{00000000-0005-0000-0000-0000E30D0000}"/>
    <cellStyle name="Normal 12 2 2 3 2" xfId="3003" xr:uid="{00000000-0005-0000-0000-0000E40D0000}"/>
    <cellStyle name="Normal 12 2 2 3 2 2" xfId="7226" xr:uid="{00000000-0005-0000-0000-0000E50D0000}"/>
    <cellStyle name="Normal 12 2 2 3 2 2 2" xfId="32525" xr:uid="{51CDB7AB-22F2-47B4-AA6E-09AFFE9D895A}"/>
    <cellStyle name="Normal 12 2 2 3 2 2 3" xfId="24096" xr:uid="{459FC165-4F3F-4F23-A7C9-26DD367279F2}"/>
    <cellStyle name="Normal 12 2 2 3 2 2 4" xfId="40953" xr:uid="{4B094D2B-7B86-44BB-8EC0-C61FF1D53A8B}"/>
    <cellStyle name="Normal 12 2 2 3 2 2 5" xfId="15661" xr:uid="{744E5EDF-FB5E-45E3-BF59-A5C8BA6862A2}"/>
    <cellStyle name="Normal 12 2 2 3 2 3" xfId="28307" xr:uid="{0E8318D5-1ADC-4E86-ABE5-27E6FC4A5801}"/>
    <cellStyle name="Normal 12 2 2 3 2 4" xfId="19878" xr:uid="{92E4905D-30D2-499B-A432-09C3A5948031}"/>
    <cellStyle name="Normal 12 2 2 3 2 5" xfId="36736" xr:uid="{CA57DA0E-78F9-4C58-8758-76049D38311F}"/>
    <cellStyle name="Normal 12 2 2 3 2 6" xfId="11443" xr:uid="{09695394-D6A2-4E1D-9B9C-5B5C286BD0D4}"/>
    <cellStyle name="Normal 12 2 2 3 3" xfId="5081" xr:uid="{00000000-0005-0000-0000-0000E60D0000}"/>
    <cellStyle name="Normal 12 2 2 3 3 2" xfId="30380" xr:uid="{9D9487B1-B258-4379-B41D-C47D9A47C4D1}"/>
    <cellStyle name="Normal 12 2 2 3 3 3" xfId="21951" xr:uid="{2B6297C1-893D-4BC5-986B-D9C32E98DF79}"/>
    <cellStyle name="Normal 12 2 2 3 3 4" xfId="38808" xr:uid="{1C76F6D4-5850-44FC-A29F-73D9E7EC3345}"/>
    <cellStyle name="Normal 12 2 2 3 3 5" xfId="13516" xr:uid="{EA83DDC3-E1AC-433A-BD94-6640DD83D4EB}"/>
    <cellStyle name="Normal 12 2 2 3 4" xfId="26162" xr:uid="{DD6FCEF6-11C6-42F9-A104-F9B67D9EBACA}"/>
    <cellStyle name="Normal 12 2 2 3 5" xfId="17733" xr:uid="{8381D765-9D37-470F-8106-E9137D0E9215}"/>
    <cellStyle name="Normal 12 2 2 3 6" xfId="34591" xr:uid="{CA09D164-3195-47FD-B7FA-E1028E9FDAA0}"/>
    <cellStyle name="Normal 12 2 2 3 7" xfId="9298" xr:uid="{715AF1D8-58F3-4A33-99AC-D53250D77D3F}"/>
    <cellStyle name="Normal 12 2 2 4" xfId="1185" xr:uid="{00000000-0005-0000-0000-0000E70D0000}"/>
    <cellStyle name="Normal 12 2 2 4 2" xfId="3416" xr:uid="{00000000-0005-0000-0000-0000E80D0000}"/>
    <cellStyle name="Normal 12 2 2 4 2 2" xfId="7639" xr:uid="{00000000-0005-0000-0000-0000E90D0000}"/>
    <cellStyle name="Normal 12 2 2 4 2 2 2" xfId="32938" xr:uid="{29C8CA48-558C-4E15-98C5-77375A3C225D}"/>
    <cellStyle name="Normal 12 2 2 4 2 2 3" xfId="24509" xr:uid="{49C8DF99-EE46-403E-BDAD-886A0C5D8F40}"/>
    <cellStyle name="Normal 12 2 2 4 2 2 4" xfId="41366" xr:uid="{62D77525-3474-4FD6-BCCF-C40C1281FC56}"/>
    <cellStyle name="Normal 12 2 2 4 2 2 5" xfId="16074" xr:uid="{0A82A45C-F058-42AF-A2BC-0EEEA34A1D83}"/>
    <cellStyle name="Normal 12 2 2 4 2 3" xfId="28720" xr:uid="{5F1541E5-EE8B-48B0-93A0-6C60986C25D6}"/>
    <cellStyle name="Normal 12 2 2 4 2 4" xfId="20291" xr:uid="{0563D796-ABB9-49FC-A689-F9D4CD2D3229}"/>
    <cellStyle name="Normal 12 2 2 4 2 5" xfId="37149" xr:uid="{022131A7-4A2B-4A43-A056-A6E66A4AF8FD}"/>
    <cellStyle name="Normal 12 2 2 4 2 6" xfId="11856" xr:uid="{E221A2E7-D186-4786-AD5E-0408DDCA8EC2}"/>
    <cellStyle name="Normal 12 2 2 4 3" xfId="5494" xr:uid="{00000000-0005-0000-0000-0000EA0D0000}"/>
    <cellStyle name="Normal 12 2 2 4 3 2" xfId="30793" xr:uid="{61EF315E-615A-45C8-AB2F-58E476A8E1FE}"/>
    <cellStyle name="Normal 12 2 2 4 3 3" xfId="22364" xr:uid="{C50808C9-C6A8-4291-8346-FA083E997F70}"/>
    <cellStyle name="Normal 12 2 2 4 3 4" xfId="39221" xr:uid="{EDF98E2A-ECD5-4BDC-B858-0B867A6CB0F6}"/>
    <cellStyle name="Normal 12 2 2 4 3 5" xfId="13929" xr:uid="{06826D4A-22CF-4AB6-AE99-C329C27C7431}"/>
    <cellStyle name="Normal 12 2 2 4 4" xfId="26575" xr:uid="{9E6908D7-F03C-4B24-90D4-408373F62082}"/>
    <cellStyle name="Normal 12 2 2 4 5" xfId="18146" xr:uid="{A80690AB-913F-44F7-A049-AC9FE79D19B6}"/>
    <cellStyle name="Normal 12 2 2 4 6" xfId="35004" xr:uid="{ADA45266-0F37-42D1-AF04-79F4E6CD9A63}"/>
    <cellStyle name="Normal 12 2 2 4 7" xfId="9711" xr:uid="{1C9283DF-AEA6-4589-9228-405545E8EDF0}"/>
    <cellStyle name="Normal 12 2 2 5" xfId="1599" xr:uid="{00000000-0005-0000-0000-0000EB0D0000}"/>
    <cellStyle name="Normal 12 2 2 5 2" xfId="3829" xr:uid="{00000000-0005-0000-0000-0000EC0D0000}"/>
    <cellStyle name="Normal 12 2 2 5 2 2" xfId="8052" xr:uid="{00000000-0005-0000-0000-0000ED0D0000}"/>
    <cellStyle name="Normal 12 2 2 5 2 2 2" xfId="33351" xr:uid="{E1429A03-7879-4451-A018-94E060319C25}"/>
    <cellStyle name="Normal 12 2 2 5 2 2 3" xfId="24922" xr:uid="{96364693-9B43-44C7-BF0F-8AC4F900B0AC}"/>
    <cellStyle name="Normal 12 2 2 5 2 2 4" xfId="41779" xr:uid="{4691C062-A57E-484B-967E-EF9F220370AA}"/>
    <cellStyle name="Normal 12 2 2 5 2 2 5" xfId="16487" xr:uid="{3C38F330-491F-4D62-B4A9-9933122A2076}"/>
    <cellStyle name="Normal 12 2 2 5 2 3" xfId="29133" xr:uid="{D940EBE6-2D97-46BF-BEA7-135F7D8853EE}"/>
    <cellStyle name="Normal 12 2 2 5 2 4" xfId="20704" xr:uid="{1F2043C9-6E6D-4ECB-832E-3F4CD2BF0052}"/>
    <cellStyle name="Normal 12 2 2 5 2 5" xfId="37562" xr:uid="{A3C9AA04-1F14-4688-AD04-71FFAD909B85}"/>
    <cellStyle name="Normal 12 2 2 5 2 6" xfId="12269" xr:uid="{6309CA0D-C5BF-4373-966F-5FE73142D6AC}"/>
    <cellStyle name="Normal 12 2 2 5 3" xfId="5907" xr:uid="{00000000-0005-0000-0000-0000EE0D0000}"/>
    <cellStyle name="Normal 12 2 2 5 3 2" xfId="31206" xr:uid="{DE20AB3C-1C1C-49C8-9D0D-0E80CEE8F311}"/>
    <cellStyle name="Normal 12 2 2 5 3 3" xfId="22777" xr:uid="{D074B9D5-9038-4896-941F-D0CC55936B6E}"/>
    <cellStyle name="Normal 12 2 2 5 3 4" xfId="39634" xr:uid="{C4A4B95A-3754-420F-9344-86C0C219215D}"/>
    <cellStyle name="Normal 12 2 2 5 3 5" xfId="14342" xr:uid="{2FAFB0E8-4DC3-46C3-93A4-37930537626B}"/>
    <cellStyle name="Normal 12 2 2 5 4" xfId="26988" xr:uid="{B9758536-0E11-4B39-A2F4-5623480A5386}"/>
    <cellStyle name="Normal 12 2 2 5 5" xfId="18559" xr:uid="{C76F9791-AA12-4287-81E7-AE92BCBCB11A}"/>
    <cellStyle name="Normal 12 2 2 5 6" xfId="35417" xr:uid="{50D6A209-A115-4B02-B85B-D687B58A5AF5}"/>
    <cellStyle name="Normal 12 2 2 5 7" xfId="10124" xr:uid="{F9F70D0E-ECEF-4C19-9068-6E47C4A200CF}"/>
    <cellStyle name="Normal 12 2 2 6" xfId="2013" xr:uid="{00000000-0005-0000-0000-0000EF0D0000}"/>
    <cellStyle name="Normal 12 2 2 6 2" xfId="4242" xr:uid="{00000000-0005-0000-0000-0000F00D0000}"/>
    <cellStyle name="Normal 12 2 2 6 2 2" xfId="8465" xr:uid="{00000000-0005-0000-0000-0000F10D0000}"/>
    <cellStyle name="Normal 12 2 2 6 2 2 2" xfId="33764" xr:uid="{ABDD055D-A2F6-4769-99F4-E4987CC27DEC}"/>
    <cellStyle name="Normal 12 2 2 6 2 2 3" xfId="25335" xr:uid="{CF283884-7DA9-441B-AAA2-A338D0CBDC93}"/>
    <cellStyle name="Normal 12 2 2 6 2 2 4" xfId="42192" xr:uid="{30180A74-6E8E-4DBB-A997-E855E53E3313}"/>
    <cellStyle name="Normal 12 2 2 6 2 2 5" xfId="16900" xr:uid="{4EC5A321-417E-474E-AF60-B93267A0A731}"/>
    <cellStyle name="Normal 12 2 2 6 2 3" xfId="29546" xr:uid="{6C1E4962-EE51-46E9-9943-1856BCFCE0E7}"/>
    <cellStyle name="Normal 12 2 2 6 2 4" xfId="21117" xr:uid="{517BA818-4945-4FB8-BE47-C924C5A232A8}"/>
    <cellStyle name="Normal 12 2 2 6 2 5" xfId="37975" xr:uid="{AEE50764-78D7-4C63-9C97-5BDBB9A76138}"/>
    <cellStyle name="Normal 12 2 2 6 2 6" xfId="12682" xr:uid="{77CCF7CE-C362-4179-B479-11185AFC2958}"/>
    <cellStyle name="Normal 12 2 2 6 3" xfId="6320" xr:uid="{00000000-0005-0000-0000-0000F20D0000}"/>
    <cellStyle name="Normal 12 2 2 6 3 2" xfId="31619" xr:uid="{583AABA9-43F6-416F-A2C9-6FF3DE1CE15B}"/>
    <cellStyle name="Normal 12 2 2 6 3 3" xfId="23190" xr:uid="{36BED6F3-B5AD-432F-A21B-11A8BCE5F72C}"/>
    <cellStyle name="Normal 12 2 2 6 3 4" xfId="40047" xr:uid="{DA26608A-505E-4785-8369-A26D603F1120}"/>
    <cellStyle name="Normal 12 2 2 6 3 5" xfId="14755" xr:uid="{461B90ED-1811-4C00-848F-25B1C7E7DDDB}"/>
    <cellStyle name="Normal 12 2 2 6 4" xfId="27401" xr:uid="{FA5A7BB5-BF50-45B2-A0AF-1E68E9B8CA88}"/>
    <cellStyle name="Normal 12 2 2 6 5" xfId="18972" xr:uid="{3268B1BA-2118-413F-A137-6BB1C8F67962}"/>
    <cellStyle name="Normal 12 2 2 6 6" xfId="35830" xr:uid="{CB845E16-8A05-4698-B231-20329ACFC8B6}"/>
    <cellStyle name="Normal 12 2 2 6 7" xfId="10537" xr:uid="{464CA564-8FF5-4629-B259-A14B6B27950C}"/>
    <cellStyle name="Normal 12 2 2 7" xfId="2449" xr:uid="{00000000-0005-0000-0000-0000F30D0000}"/>
    <cellStyle name="Normal 12 2 2 7 2" xfId="6733" xr:uid="{00000000-0005-0000-0000-0000F40D0000}"/>
    <cellStyle name="Normal 12 2 2 7 2 2" xfId="32032" xr:uid="{FB53EF68-17CC-4AAC-ACF2-77FC24592F1B}"/>
    <cellStyle name="Normal 12 2 2 7 2 3" xfId="23603" xr:uid="{CCC921EE-EB25-42D5-9650-42EBCBF2548D}"/>
    <cellStyle name="Normal 12 2 2 7 2 4" xfId="40460" xr:uid="{209C33D6-B1A7-4E6F-B4BA-C9ECDFF2326D}"/>
    <cellStyle name="Normal 12 2 2 7 2 5" xfId="15168" xr:uid="{242242F5-7ED8-4BBA-B033-EEA9E76C01DE}"/>
    <cellStyle name="Normal 12 2 2 7 3" xfId="27814" xr:uid="{03DAE478-0E21-48C3-A050-B574EB3B2D08}"/>
    <cellStyle name="Normal 12 2 2 7 4" xfId="19385" xr:uid="{8F30E2EC-5A37-4E15-A8B8-D58A420F7374}"/>
    <cellStyle name="Normal 12 2 2 7 5" xfId="36243" xr:uid="{BE383EFF-BB87-4BA5-948A-4A286EA0FC41}"/>
    <cellStyle name="Normal 12 2 2 7 6" xfId="10950" xr:uid="{C09FCAE2-E070-4247-8F81-C76AA1250EA9}"/>
    <cellStyle name="Normal 12 2 2 8" xfId="4667" xr:uid="{00000000-0005-0000-0000-0000F50D0000}"/>
    <cellStyle name="Normal 12 2 2 8 2" xfId="29966" xr:uid="{A0AE335D-D3C0-4E25-9382-8AEF7ECBF9CD}"/>
    <cellStyle name="Normal 12 2 2 8 3" xfId="21537" xr:uid="{4357F4D7-C8E7-4425-B5A0-27F9EA416F27}"/>
    <cellStyle name="Normal 12 2 2 8 4" xfId="38394" xr:uid="{CA1F9C05-C420-49EB-B6CD-F862169C8AB7}"/>
    <cellStyle name="Normal 12 2 2 8 5" xfId="13102" xr:uid="{D390D634-D389-4DB0-8386-4EED7BAF5B4A}"/>
    <cellStyle name="Normal 12 2 2 9" xfId="25748" xr:uid="{2F4D9F60-D281-4A77-9536-2820768A6457}"/>
    <cellStyle name="Normal 12 2 3" xfId="263" xr:uid="{00000000-0005-0000-0000-0000F60D0000}"/>
    <cellStyle name="Normal 12 2 3 10" xfId="34179" xr:uid="{116E749F-5E6C-4144-B605-90F3F3FD046E}"/>
    <cellStyle name="Normal 12 2 3 11" xfId="8886" xr:uid="{BB599F62-CEC6-45A9-A80E-89AF2D0C70B8}"/>
    <cellStyle name="Normal 12 2 3 2" xfId="764" xr:uid="{00000000-0005-0000-0000-0000F70D0000}"/>
    <cellStyle name="Normal 12 2 3 2 2" xfId="3005" xr:uid="{00000000-0005-0000-0000-0000F80D0000}"/>
    <cellStyle name="Normal 12 2 3 2 2 2" xfId="7228" xr:uid="{00000000-0005-0000-0000-0000F90D0000}"/>
    <cellStyle name="Normal 12 2 3 2 2 2 2" xfId="32527" xr:uid="{830E2443-F3B9-4328-A908-73A4A882BDC0}"/>
    <cellStyle name="Normal 12 2 3 2 2 2 3" xfId="24098" xr:uid="{23E53F1A-7969-41E2-945B-474A98CFC97B}"/>
    <cellStyle name="Normal 12 2 3 2 2 2 4" xfId="40955" xr:uid="{78EDB909-C275-4DED-AE77-B75A0649C06C}"/>
    <cellStyle name="Normal 12 2 3 2 2 2 5" xfId="15663" xr:uid="{35BC2B77-52BA-4502-85EC-C25B0616945E}"/>
    <cellStyle name="Normal 12 2 3 2 2 3" xfId="28309" xr:uid="{6E6F85C2-9D1B-400C-9BA9-FA5FB6C3AC79}"/>
    <cellStyle name="Normal 12 2 3 2 2 4" xfId="19880" xr:uid="{6E70973E-AE95-4C69-A5D2-85457131F194}"/>
    <cellStyle name="Normal 12 2 3 2 2 5" xfId="36738" xr:uid="{C8DE2A73-1E5D-4EBB-B683-1B560A42BA5E}"/>
    <cellStyle name="Normal 12 2 3 2 2 6" xfId="11445" xr:uid="{D0CB71B4-B6F9-43C6-90D1-6DA0F7EFF134}"/>
    <cellStyle name="Normal 12 2 3 2 3" xfId="5083" xr:uid="{00000000-0005-0000-0000-0000FA0D0000}"/>
    <cellStyle name="Normal 12 2 3 2 3 2" xfId="30382" xr:uid="{A57FD551-14D0-4D4F-AA5B-82012EF92CAB}"/>
    <cellStyle name="Normal 12 2 3 2 3 3" xfId="21953" xr:uid="{6DDB5577-E0CA-4147-9CE1-0B652BD03098}"/>
    <cellStyle name="Normal 12 2 3 2 3 4" xfId="38810" xr:uid="{579CB847-0C2A-47E2-A183-9B20014FA767}"/>
    <cellStyle name="Normal 12 2 3 2 3 5" xfId="13518" xr:uid="{9A45ED1C-0A28-4FD1-BD89-CEDB776411BF}"/>
    <cellStyle name="Normal 12 2 3 2 4" xfId="26164" xr:uid="{D88318E9-D8A1-472E-99F3-2FD8A8E70CBC}"/>
    <cellStyle name="Normal 12 2 3 2 5" xfId="17735" xr:uid="{E9F2F469-BEDD-49CD-9F71-6EB42FB518CE}"/>
    <cellStyle name="Normal 12 2 3 2 6" xfId="34593" xr:uid="{6427A1F5-3680-47BF-9CCA-9E6F6054EF2A}"/>
    <cellStyle name="Normal 12 2 3 2 7" xfId="9300" xr:uid="{F2973AE6-CC3E-4FE5-9156-84983C199A21}"/>
    <cellStyle name="Normal 12 2 3 3" xfId="1187" xr:uid="{00000000-0005-0000-0000-0000FB0D0000}"/>
    <cellStyle name="Normal 12 2 3 3 2" xfId="3418" xr:uid="{00000000-0005-0000-0000-0000FC0D0000}"/>
    <cellStyle name="Normal 12 2 3 3 2 2" xfId="7641" xr:uid="{00000000-0005-0000-0000-0000FD0D0000}"/>
    <cellStyle name="Normal 12 2 3 3 2 2 2" xfId="32940" xr:uid="{5D4A7B9F-A550-49D1-8F38-885F66C41B62}"/>
    <cellStyle name="Normal 12 2 3 3 2 2 3" xfId="24511" xr:uid="{4F252915-BC26-4011-9AEA-4FD505E76A7A}"/>
    <cellStyle name="Normal 12 2 3 3 2 2 4" xfId="41368" xr:uid="{D5889929-747D-437C-9362-38D39AB920A5}"/>
    <cellStyle name="Normal 12 2 3 3 2 2 5" xfId="16076" xr:uid="{0FF95665-AA36-40C7-B262-D983ECAF0BC1}"/>
    <cellStyle name="Normal 12 2 3 3 2 3" xfId="28722" xr:uid="{D0FCE3A0-0A12-4C04-9D34-ED205CC953DE}"/>
    <cellStyle name="Normal 12 2 3 3 2 4" xfId="20293" xr:uid="{075A8C60-8340-4CB7-8069-F1D75EA38124}"/>
    <cellStyle name="Normal 12 2 3 3 2 5" xfId="37151" xr:uid="{3ECF4470-41DA-4EDB-95D2-AEFBF29C931F}"/>
    <cellStyle name="Normal 12 2 3 3 2 6" xfId="11858" xr:uid="{94177323-6243-4F8A-8110-7D90C5D88898}"/>
    <cellStyle name="Normal 12 2 3 3 3" xfId="5496" xr:uid="{00000000-0005-0000-0000-0000FE0D0000}"/>
    <cellStyle name="Normal 12 2 3 3 3 2" xfId="30795" xr:uid="{3A84E825-C876-4536-8A98-E48D3CD1DDCD}"/>
    <cellStyle name="Normal 12 2 3 3 3 3" xfId="22366" xr:uid="{6B11757C-304E-42E4-95C3-15467DF228CD}"/>
    <cellStyle name="Normal 12 2 3 3 3 4" xfId="39223" xr:uid="{B8454F58-CDAA-47C4-A05A-E53061C5F333}"/>
    <cellStyle name="Normal 12 2 3 3 3 5" xfId="13931" xr:uid="{5B27F570-3B1E-4620-BAFA-4744AB6C6056}"/>
    <cellStyle name="Normal 12 2 3 3 4" xfId="26577" xr:uid="{23C47B97-C057-4749-BD8F-8E4E4C4DAB06}"/>
    <cellStyle name="Normal 12 2 3 3 5" xfId="18148" xr:uid="{C06DD9CA-F050-4968-9237-73874D25B358}"/>
    <cellStyle name="Normal 12 2 3 3 6" xfId="35006" xr:uid="{14AF4958-2208-451D-BB0C-CC69E7C6B221}"/>
    <cellStyle name="Normal 12 2 3 3 7" xfId="9713" xr:uid="{5D787F84-6403-42B3-9EB2-A6ECBD045BC8}"/>
    <cellStyle name="Normal 12 2 3 4" xfId="1601" xr:uid="{00000000-0005-0000-0000-0000FF0D0000}"/>
    <cellStyle name="Normal 12 2 3 4 2" xfId="3831" xr:uid="{00000000-0005-0000-0000-0000000E0000}"/>
    <cellStyle name="Normal 12 2 3 4 2 2" xfId="8054" xr:uid="{00000000-0005-0000-0000-0000010E0000}"/>
    <cellStyle name="Normal 12 2 3 4 2 2 2" xfId="33353" xr:uid="{094520F1-98F7-498C-A57C-CE9177638DA9}"/>
    <cellStyle name="Normal 12 2 3 4 2 2 3" xfId="24924" xr:uid="{C03E44A0-E7C9-4920-9E06-BC11F3EFCEC2}"/>
    <cellStyle name="Normal 12 2 3 4 2 2 4" xfId="41781" xr:uid="{45C07BB2-69F3-4E8E-A7A1-523FE2E7C5DC}"/>
    <cellStyle name="Normal 12 2 3 4 2 2 5" xfId="16489" xr:uid="{1D712E8F-20B6-4917-8177-8769C6643CB8}"/>
    <cellStyle name="Normal 12 2 3 4 2 3" xfId="29135" xr:uid="{1C8D02C5-14F6-47A0-A2ED-3A902C6A6735}"/>
    <cellStyle name="Normal 12 2 3 4 2 4" xfId="20706" xr:uid="{B793DF4C-958A-4A30-B848-216FEEC760E8}"/>
    <cellStyle name="Normal 12 2 3 4 2 5" xfId="37564" xr:uid="{A85A98BA-1998-406C-BC9E-979432B24975}"/>
    <cellStyle name="Normal 12 2 3 4 2 6" xfId="12271" xr:uid="{F7F29520-127A-44C0-A6DC-38A777225991}"/>
    <cellStyle name="Normal 12 2 3 4 3" xfId="5909" xr:uid="{00000000-0005-0000-0000-0000020E0000}"/>
    <cellStyle name="Normal 12 2 3 4 3 2" xfId="31208" xr:uid="{5515179F-9EAA-4F28-A52E-565896D55FA7}"/>
    <cellStyle name="Normal 12 2 3 4 3 3" xfId="22779" xr:uid="{EA3890B7-C0E4-441B-8C55-7AF0F395358F}"/>
    <cellStyle name="Normal 12 2 3 4 3 4" xfId="39636" xr:uid="{9D171609-4869-4DC2-B3E2-E2674639976B}"/>
    <cellStyle name="Normal 12 2 3 4 3 5" xfId="14344" xr:uid="{24CDBC56-05ED-4F96-B07D-BC26D9FE47CF}"/>
    <cellStyle name="Normal 12 2 3 4 4" xfId="26990" xr:uid="{1DFC9CAD-9CA6-4A55-A674-C74FD9A72842}"/>
    <cellStyle name="Normal 12 2 3 4 5" xfId="18561" xr:uid="{0B3D3F61-BC1A-46F0-83EB-994F2837F742}"/>
    <cellStyle name="Normal 12 2 3 4 6" xfId="35419" xr:uid="{26057DA0-FB0D-433E-A7B8-1BD90D760FD3}"/>
    <cellStyle name="Normal 12 2 3 4 7" xfId="10126" xr:uid="{65209123-D179-43AC-9CAF-94537879F4B3}"/>
    <cellStyle name="Normal 12 2 3 5" xfId="2015" xr:uid="{00000000-0005-0000-0000-0000030E0000}"/>
    <cellStyle name="Normal 12 2 3 5 2" xfId="4244" xr:uid="{00000000-0005-0000-0000-0000040E0000}"/>
    <cellStyle name="Normal 12 2 3 5 2 2" xfId="8467" xr:uid="{00000000-0005-0000-0000-0000050E0000}"/>
    <cellStyle name="Normal 12 2 3 5 2 2 2" xfId="33766" xr:uid="{652BC823-C489-4757-B587-71AF34EA4619}"/>
    <cellStyle name="Normal 12 2 3 5 2 2 3" xfId="25337" xr:uid="{E19F516C-B72D-4611-95C3-7A0ED68F9095}"/>
    <cellStyle name="Normal 12 2 3 5 2 2 4" xfId="42194" xr:uid="{B3D26036-845E-4657-A7B2-80E8CE6589AE}"/>
    <cellStyle name="Normal 12 2 3 5 2 2 5" xfId="16902" xr:uid="{A25DADA3-FBB3-4306-B061-6136570766B7}"/>
    <cellStyle name="Normal 12 2 3 5 2 3" xfId="29548" xr:uid="{6CE79B66-5E18-4E18-93E0-01F08032031E}"/>
    <cellStyle name="Normal 12 2 3 5 2 4" xfId="21119" xr:uid="{2CC92E80-9942-48B4-9DF6-2115A3B0E531}"/>
    <cellStyle name="Normal 12 2 3 5 2 5" xfId="37977" xr:uid="{AD703DB9-AF3D-41DA-9874-6B2B7A4FA76F}"/>
    <cellStyle name="Normal 12 2 3 5 2 6" xfId="12684" xr:uid="{CCC1AFC5-B283-41BA-BF6C-1676063CF8AC}"/>
    <cellStyle name="Normal 12 2 3 5 3" xfId="6322" xr:uid="{00000000-0005-0000-0000-0000060E0000}"/>
    <cellStyle name="Normal 12 2 3 5 3 2" xfId="31621" xr:uid="{877ADCF4-3BE3-4156-ADB0-A5A5E28B59A0}"/>
    <cellStyle name="Normal 12 2 3 5 3 3" xfId="23192" xr:uid="{B56287B2-E0FF-43EE-8CA3-C3CFD14EDA5C}"/>
    <cellStyle name="Normal 12 2 3 5 3 4" xfId="40049" xr:uid="{78873580-BF72-4984-8A1A-762C1B00A952}"/>
    <cellStyle name="Normal 12 2 3 5 3 5" xfId="14757" xr:uid="{807F4BD6-D12B-4C40-B3DB-37C6292D66DC}"/>
    <cellStyle name="Normal 12 2 3 5 4" xfId="27403" xr:uid="{6A85FBA3-DE92-49BE-9630-65C25A9FB563}"/>
    <cellStyle name="Normal 12 2 3 5 5" xfId="18974" xr:uid="{24FA873F-EEE1-4C55-BA51-7D39B969B406}"/>
    <cellStyle name="Normal 12 2 3 5 6" xfId="35832" xr:uid="{1332253B-CCF5-4A7D-90B9-7BE9802004A0}"/>
    <cellStyle name="Normal 12 2 3 5 7" xfId="10539" xr:uid="{FBC25124-037B-4178-8190-4026C2921AF8}"/>
    <cellStyle name="Normal 12 2 3 6" xfId="2451" xr:uid="{00000000-0005-0000-0000-0000070E0000}"/>
    <cellStyle name="Normal 12 2 3 6 2" xfId="6735" xr:uid="{00000000-0005-0000-0000-0000080E0000}"/>
    <cellStyle name="Normal 12 2 3 6 2 2" xfId="32034" xr:uid="{AA26801D-8620-4462-95AF-C589F9E80032}"/>
    <cellStyle name="Normal 12 2 3 6 2 3" xfId="23605" xr:uid="{1D8C061C-099F-4DE1-85F5-39710DA21215}"/>
    <cellStyle name="Normal 12 2 3 6 2 4" xfId="40462" xr:uid="{266BC7A6-CDC0-4F02-A1AE-A35A373A62C8}"/>
    <cellStyle name="Normal 12 2 3 6 2 5" xfId="15170" xr:uid="{C1190F7E-8B20-49CC-811F-3E847A076E99}"/>
    <cellStyle name="Normal 12 2 3 6 3" xfId="27816" xr:uid="{4A1CB495-7681-46D6-AA02-C2B19C2DE818}"/>
    <cellStyle name="Normal 12 2 3 6 4" xfId="19387" xr:uid="{23EC1FF2-9A09-4CB3-B57A-A764729578CC}"/>
    <cellStyle name="Normal 12 2 3 6 5" xfId="36245" xr:uid="{02134EF3-F502-4702-AD89-11679AF5A069}"/>
    <cellStyle name="Normal 12 2 3 6 6" xfId="10952" xr:uid="{06B4E5AF-6CD5-4731-8225-33CF5D938C40}"/>
    <cellStyle name="Normal 12 2 3 7" xfId="4669" xr:uid="{00000000-0005-0000-0000-0000090E0000}"/>
    <cellStyle name="Normal 12 2 3 7 2" xfId="29968" xr:uid="{BFFFA251-D378-4618-8A66-3FFD8A94EE5A}"/>
    <cellStyle name="Normal 12 2 3 7 3" xfId="21539" xr:uid="{5D10B53D-C254-426E-97D2-5BBFD1730B4E}"/>
    <cellStyle name="Normal 12 2 3 7 4" xfId="38396" xr:uid="{D37B84D8-CF85-4FFB-B904-3085B6F021AF}"/>
    <cellStyle name="Normal 12 2 3 7 5" xfId="13104" xr:uid="{66124898-BBE4-478D-BAFD-647CEAF319BF}"/>
    <cellStyle name="Normal 12 2 3 8" xfId="25750" xr:uid="{ADAF3DFE-B132-4734-BFC6-16434E942391}"/>
    <cellStyle name="Normal 12 2 3 9" xfId="17321" xr:uid="{2037A961-F0CD-40B1-95FD-E10DBA505E77}"/>
    <cellStyle name="Normal 12 2 4" xfId="761" xr:uid="{00000000-0005-0000-0000-00000A0E0000}"/>
    <cellStyle name="Normal 12 2 4 2" xfId="3002" xr:uid="{00000000-0005-0000-0000-00000B0E0000}"/>
    <cellStyle name="Normal 12 2 4 2 2" xfId="7225" xr:uid="{00000000-0005-0000-0000-00000C0E0000}"/>
    <cellStyle name="Normal 12 2 4 2 2 2" xfId="32524" xr:uid="{CD5BF60E-041A-4FD5-B7AC-1E86CD5CC115}"/>
    <cellStyle name="Normal 12 2 4 2 2 3" xfId="24095" xr:uid="{FA9AA886-F245-4572-89DC-D3C636C88418}"/>
    <cellStyle name="Normal 12 2 4 2 2 4" xfId="40952" xr:uid="{2EC7F844-49C2-4D51-AA28-91D668B3798E}"/>
    <cellStyle name="Normal 12 2 4 2 2 5" xfId="15660" xr:uid="{63D75A20-A92F-45FB-9231-AF871BC66AE2}"/>
    <cellStyle name="Normal 12 2 4 2 3" xfId="28306" xr:uid="{48CCE47D-7B3B-4DAC-A2F7-9884E9B4A253}"/>
    <cellStyle name="Normal 12 2 4 2 4" xfId="19877" xr:uid="{E72D9728-4AA1-451D-A943-E04D6D4245F3}"/>
    <cellStyle name="Normal 12 2 4 2 5" xfId="36735" xr:uid="{2AC28A68-5464-4921-A803-1A248A5D8DED}"/>
    <cellStyle name="Normal 12 2 4 2 6" xfId="11442" xr:uid="{75DB54A3-B47D-403B-B82A-54B5C8B24C72}"/>
    <cellStyle name="Normal 12 2 4 3" xfId="5080" xr:uid="{00000000-0005-0000-0000-00000D0E0000}"/>
    <cellStyle name="Normal 12 2 4 3 2" xfId="30379" xr:uid="{4876CC61-5C05-43A4-BABD-0F03ED1C2136}"/>
    <cellStyle name="Normal 12 2 4 3 3" xfId="21950" xr:uid="{675A9848-6733-463B-B795-34BD65EBBC64}"/>
    <cellStyle name="Normal 12 2 4 3 4" xfId="38807" xr:uid="{D0E216F0-4F52-4FD6-A079-ACB07DB50B19}"/>
    <cellStyle name="Normal 12 2 4 3 5" xfId="13515" xr:uid="{2FEC0F5F-8135-4EFB-AB25-2932052B0EA5}"/>
    <cellStyle name="Normal 12 2 4 4" xfId="26161" xr:uid="{2378E1FF-75CB-4C36-B2AC-434BB39A59BF}"/>
    <cellStyle name="Normal 12 2 4 5" xfId="17732" xr:uid="{C641DF68-D0B6-45EB-9B45-3A6EFBA2A156}"/>
    <cellStyle name="Normal 12 2 4 6" xfId="34590" xr:uid="{55523988-9A6A-4D36-A281-0A421B3A7B5A}"/>
    <cellStyle name="Normal 12 2 4 7" xfId="9297" xr:uid="{70D26A06-4F4E-4F88-9CFC-C8C533B9AA6B}"/>
    <cellStyle name="Normal 12 2 5" xfId="1184" xr:uid="{00000000-0005-0000-0000-00000E0E0000}"/>
    <cellStyle name="Normal 12 2 5 2" xfId="3415" xr:uid="{00000000-0005-0000-0000-00000F0E0000}"/>
    <cellStyle name="Normal 12 2 5 2 2" xfId="7638" xr:uid="{00000000-0005-0000-0000-0000100E0000}"/>
    <cellStyle name="Normal 12 2 5 2 2 2" xfId="32937" xr:uid="{9E552818-A57A-4C24-B849-10ED23E6EB42}"/>
    <cellStyle name="Normal 12 2 5 2 2 3" xfId="24508" xr:uid="{AFB7C211-6A24-4F98-A29C-052B54733FB4}"/>
    <cellStyle name="Normal 12 2 5 2 2 4" xfId="41365" xr:uid="{5931A3F7-9D25-4233-A7D6-0B88B2B59F16}"/>
    <cellStyle name="Normal 12 2 5 2 2 5" xfId="16073" xr:uid="{CE9E548A-4E85-4808-9354-95B94C35AAF7}"/>
    <cellStyle name="Normal 12 2 5 2 3" xfId="28719" xr:uid="{1ED71CC9-4540-46D8-A92E-E5F31CE3ECB3}"/>
    <cellStyle name="Normal 12 2 5 2 4" xfId="20290" xr:uid="{A55FBDF5-5FAF-492F-A116-8BC7021A16E7}"/>
    <cellStyle name="Normal 12 2 5 2 5" xfId="37148" xr:uid="{1E5CA867-7B32-4AAD-97B7-4F1855AA9CE9}"/>
    <cellStyle name="Normal 12 2 5 2 6" xfId="11855" xr:uid="{C2D0DE37-4EAD-4169-8FDF-A3D85CEDF62D}"/>
    <cellStyle name="Normal 12 2 5 3" xfId="5493" xr:uid="{00000000-0005-0000-0000-0000110E0000}"/>
    <cellStyle name="Normal 12 2 5 3 2" xfId="30792" xr:uid="{8D7D29F4-C7CF-4BFD-85B0-21DD28DBDFFC}"/>
    <cellStyle name="Normal 12 2 5 3 3" xfId="22363" xr:uid="{BFADA347-7D11-4558-B37D-382A2E6A0879}"/>
    <cellStyle name="Normal 12 2 5 3 4" xfId="39220" xr:uid="{260B13A8-AD54-4FDD-A288-C6D8E27FC06D}"/>
    <cellStyle name="Normal 12 2 5 3 5" xfId="13928" xr:uid="{A9FCFE55-D1AA-472C-9F1A-39E6DB8AC3F1}"/>
    <cellStyle name="Normal 12 2 5 4" xfId="26574" xr:uid="{46E0BB84-E69B-48EC-BA5F-91B2C5681AE5}"/>
    <cellStyle name="Normal 12 2 5 5" xfId="18145" xr:uid="{CA36F38B-3B28-4200-A1E9-0B53DDF7BA33}"/>
    <cellStyle name="Normal 12 2 5 6" xfId="35003" xr:uid="{108A7481-506A-40BF-9CB1-2D991B656CA4}"/>
    <cellStyle name="Normal 12 2 5 7" xfId="9710" xr:uid="{1333C654-AEE5-45A5-8266-4158EABEC13B}"/>
    <cellStyle name="Normal 12 2 6" xfId="1598" xr:uid="{00000000-0005-0000-0000-0000120E0000}"/>
    <cellStyle name="Normal 12 2 6 2" xfId="3828" xr:uid="{00000000-0005-0000-0000-0000130E0000}"/>
    <cellStyle name="Normal 12 2 6 2 2" xfId="8051" xr:uid="{00000000-0005-0000-0000-0000140E0000}"/>
    <cellStyle name="Normal 12 2 6 2 2 2" xfId="33350" xr:uid="{554580A0-B7E8-4603-AE6B-9547AEDE24BE}"/>
    <cellStyle name="Normal 12 2 6 2 2 3" xfId="24921" xr:uid="{93ACD7A0-21EB-4358-8BAB-CA0DD5A72BBE}"/>
    <cellStyle name="Normal 12 2 6 2 2 4" xfId="41778" xr:uid="{9C14E40D-221F-4FF9-BDFB-D9F498C015F8}"/>
    <cellStyle name="Normal 12 2 6 2 2 5" xfId="16486" xr:uid="{4EA0F722-28B8-4304-BC8E-32DCFE2AA535}"/>
    <cellStyle name="Normal 12 2 6 2 3" xfId="29132" xr:uid="{F07D36CA-B500-4C74-A320-BA2191B73A33}"/>
    <cellStyle name="Normal 12 2 6 2 4" xfId="20703" xr:uid="{BBDD1A76-E796-4EF1-9AFA-045887FE01D7}"/>
    <cellStyle name="Normal 12 2 6 2 5" xfId="37561" xr:uid="{C712E4DD-BB17-43D5-8A7E-0E6017ED90F8}"/>
    <cellStyle name="Normal 12 2 6 2 6" xfId="12268" xr:uid="{7DDFDEDE-D451-4023-8861-2B626727E87D}"/>
    <cellStyle name="Normal 12 2 6 3" xfId="5906" xr:uid="{00000000-0005-0000-0000-0000150E0000}"/>
    <cellStyle name="Normal 12 2 6 3 2" xfId="31205" xr:uid="{D289ADE0-460D-40AF-B50E-38C19B4AECAC}"/>
    <cellStyle name="Normal 12 2 6 3 3" xfId="22776" xr:uid="{E1A3FA5E-2C71-446B-B903-658099A22B97}"/>
    <cellStyle name="Normal 12 2 6 3 4" xfId="39633" xr:uid="{9ECB28E7-36BA-4941-AF4C-9B0F331EDD2A}"/>
    <cellStyle name="Normal 12 2 6 3 5" xfId="14341" xr:uid="{570CB4D0-9566-490E-B5ED-14B83F34E9B4}"/>
    <cellStyle name="Normal 12 2 6 4" xfId="26987" xr:uid="{963CD4F4-5CAA-4D6A-B05F-DE68AAC915A6}"/>
    <cellStyle name="Normal 12 2 6 5" xfId="18558" xr:uid="{4D6B5934-A1CD-4065-AC58-3D015D1EECC9}"/>
    <cellStyle name="Normal 12 2 6 6" xfId="35416" xr:uid="{34BDD660-53AA-488A-936D-2CEA90A07E74}"/>
    <cellStyle name="Normal 12 2 6 7" xfId="10123" xr:uid="{AC5072F1-C1E4-4261-9F69-C158DAFF23D7}"/>
    <cellStyle name="Normal 12 2 7" xfId="2012" xr:uid="{00000000-0005-0000-0000-0000160E0000}"/>
    <cellStyle name="Normal 12 2 7 2" xfId="4241" xr:uid="{00000000-0005-0000-0000-0000170E0000}"/>
    <cellStyle name="Normal 12 2 7 2 2" xfId="8464" xr:uid="{00000000-0005-0000-0000-0000180E0000}"/>
    <cellStyle name="Normal 12 2 7 2 2 2" xfId="33763" xr:uid="{80631F1F-429F-4E96-A620-57C85A4F36E5}"/>
    <cellStyle name="Normal 12 2 7 2 2 3" xfId="25334" xr:uid="{2192A33A-0DAE-4FD0-94A5-D576EFF6C74D}"/>
    <cellStyle name="Normal 12 2 7 2 2 4" xfId="42191" xr:uid="{4B3A0E3F-5EFC-4FF6-B62A-7CC08E29EA2F}"/>
    <cellStyle name="Normal 12 2 7 2 2 5" xfId="16899" xr:uid="{1F1F9246-79F9-42DC-A293-B039E18BD9AA}"/>
    <cellStyle name="Normal 12 2 7 2 3" xfId="29545" xr:uid="{F6ABB0EF-FB58-41C7-B2D9-148491FA96BA}"/>
    <cellStyle name="Normal 12 2 7 2 4" xfId="21116" xr:uid="{0C06C075-748D-4BE2-B3DE-5FD677CB0486}"/>
    <cellStyle name="Normal 12 2 7 2 5" xfId="37974" xr:uid="{5C3CE1EE-A447-486F-9089-3E6F8795736A}"/>
    <cellStyle name="Normal 12 2 7 2 6" xfId="12681" xr:uid="{C805EBAD-8F8C-40C0-8275-C2D1E02F28E2}"/>
    <cellStyle name="Normal 12 2 7 3" xfId="6319" xr:uid="{00000000-0005-0000-0000-0000190E0000}"/>
    <cellStyle name="Normal 12 2 7 3 2" xfId="31618" xr:uid="{AEFE7C87-C55C-4DC9-B08E-465CEBDA3D24}"/>
    <cellStyle name="Normal 12 2 7 3 3" xfId="23189" xr:uid="{41389714-35A0-4CAC-A84C-69CFE498F7A6}"/>
    <cellStyle name="Normal 12 2 7 3 4" xfId="40046" xr:uid="{C81292CD-3F00-4E92-8F39-A76CE64AC5D5}"/>
    <cellStyle name="Normal 12 2 7 3 5" xfId="14754" xr:uid="{50C8E98B-7313-400A-9079-CAB03D658A6A}"/>
    <cellStyle name="Normal 12 2 7 4" xfId="27400" xr:uid="{5EF4F29C-648D-4A79-B1B6-8D2B5A7A8F78}"/>
    <cellStyle name="Normal 12 2 7 5" xfId="18971" xr:uid="{B9CB392E-C925-4F46-97EB-7FCB6EE963C7}"/>
    <cellStyle name="Normal 12 2 7 6" xfId="35829" xr:uid="{DADD8E78-66E6-4B60-B3CB-AA5E878AA1B5}"/>
    <cellStyle name="Normal 12 2 7 7" xfId="10536" xr:uid="{1DFA2BAD-43CC-42C7-8EFA-511EABD6A689}"/>
    <cellStyle name="Normal 12 2 8" xfId="2448" xr:uid="{00000000-0005-0000-0000-00001A0E0000}"/>
    <cellStyle name="Normal 12 2 8 2" xfId="6732" xr:uid="{00000000-0005-0000-0000-00001B0E0000}"/>
    <cellStyle name="Normal 12 2 8 2 2" xfId="32031" xr:uid="{93105C0A-D3FA-4CC1-81BB-79E49BCF859A}"/>
    <cellStyle name="Normal 12 2 8 2 3" xfId="23602" xr:uid="{78C0D509-8B67-461C-97EF-BCAE61E87B11}"/>
    <cellStyle name="Normal 12 2 8 2 4" xfId="40459" xr:uid="{7F308D41-13D2-4ACB-B565-ED89E3FEE8D0}"/>
    <cellStyle name="Normal 12 2 8 2 5" xfId="15167" xr:uid="{FF9087D5-F2D0-4206-A061-08F4C618076D}"/>
    <cellStyle name="Normal 12 2 8 3" xfId="27813" xr:uid="{060EF478-6D00-4CB1-81E5-F2CA4CBE4940}"/>
    <cellStyle name="Normal 12 2 8 4" xfId="19384" xr:uid="{2B0F4D16-A642-49E5-BB76-0DB266E97FC0}"/>
    <cellStyle name="Normal 12 2 8 5" xfId="36242" xr:uid="{1900D06D-84FD-4082-87EF-21EBBE2C5D1D}"/>
    <cellStyle name="Normal 12 2 8 6" xfId="10949" xr:uid="{46ED39BE-3280-4447-9ED6-F7E574804BF3}"/>
    <cellStyle name="Normal 12 2 9" xfId="4666" xr:uid="{00000000-0005-0000-0000-00001C0E0000}"/>
    <cellStyle name="Normal 12 2 9 2" xfId="29965" xr:uid="{1DA2EC8B-B6BD-429B-9987-6DDD1A210F35}"/>
    <cellStyle name="Normal 12 2 9 3" xfId="21536" xr:uid="{0613B2C6-602A-4C57-B095-A4947020DB9A}"/>
    <cellStyle name="Normal 12 2 9 4" xfId="38393" xr:uid="{5BE71710-4D53-4E7B-BB61-064DBBB6202B}"/>
    <cellStyle name="Normal 12 2 9 5" xfId="13101" xr:uid="{DC41CE4C-269C-4B5A-8A4B-C059D5D1E8A6}"/>
    <cellStyle name="Normal 12 3" xfId="264" xr:uid="{00000000-0005-0000-0000-00001D0E0000}"/>
    <cellStyle name="Normal 12 3 10" xfId="17322" xr:uid="{8CE81283-71E2-41EB-A045-D05616E8DC83}"/>
    <cellStyle name="Normal 12 3 11" xfId="34180" xr:uid="{8B2A7030-B855-4A20-9903-C1FA968F907F}"/>
    <cellStyle name="Normal 12 3 12" xfId="8887" xr:uid="{580FBF82-6E1C-4982-8AF0-FB50B34CD7CF}"/>
    <cellStyle name="Normal 12 3 2" xfId="265" xr:uid="{00000000-0005-0000-0000-00001E0E0000}"/>
    <cellStyle name="Normal 12 3 2 10" xfId="34181" xr:uid="{FA551470-EBF5-4A49-B22A-67E96D199B17}"/>
    <cellStyle name="Normal 12 3 2 11" xfId="8888" xr:uid="{8F2D7DDD-4327-4E38-8F05-911055A88818}"/>
    <cellStyle name="Normal 12 3 2 2" xfId="766" xr:uid="{00000000-0005-0000-0000-00001F0E0000}"/>
    <cellStyle name="Normal 12 3 2 2 2" xfId="3007" xr:uid="{00000000-0005-0000-0000-0000200E0000}"/>
    <cellStyle name="Normal 12 3 2 2 2 2" xfId="7230" xr:uid="{00000000-0005-0000-0000-0000210E0000}"/>
    <cellStyle name="Normal 12 3 2 2 2 2 2" xfId="32529" xr:uid="{F36838EB-0D6E-4804-982C-E310C50F1705}"/>
    <cellStyle name="Normal 12 3 2 2 2 2 3" xfId="24100" xr:uid="{D120A903-C49F-44F3-A22F-E65A5A5247F9}"/>
    <cellStyle name="Normal 12 3 2 2 2 2 4" xfId="40957" xr:uid="{3616E0F5-1B9A-4703-A0A0-8D58F8D8150C}"/>
    <cellStyle name="Normal 12 3 2 2 2 2 5" xfId="15665" xr:uid="{61F9638C-FD67-4A14-A0D2-A8BB1C886259}"/>
    <cellStyle name="Normal 12 3 2 2 2 3" xfId="28311" xr:uid="{51E5FB06-C3BD-4B4D-97CB-771C8144CD90}"/>
    <cellStyle name="Normal 12 3 2 2 2 4" xfId="19882" xr:uid="{0E7C3183-4080-4646-B3EE-991113CD0A49}"/>
    <cellStyle name="Normal 12 3 2 2 2 5" xfId="36740" xr:uid="{28796393-C1FE-4183-9223-87BA4715B627}"/>
    <cellStyle name="Normal 12 3 2 2 2 6" xfId="11447" xr:uid="{F92052E5-5B8D-4BAF-B912-543E5236F6B9}"/>
    <cellStyle name="Normal 12 3 2 2 3" xfId="5085" xr:uid="{00000000-0005-0000-0000-0000220E0000}"/>
    <cellStyle name="Normal 12 3 2 2 3 2" xfId="30384" xr:uid="{85F6CD3A-8A01-4DDC-9A5A-6FADA5E08D22}"/>
    <cellStyle name="Normal 12 3 2 2 3 3" xfId="21955" xr:uid="{7F07C748-6A43-4B7D-8809-526D9CE904E9}"/>
    <cellStyle name="Normal 12 3 2 2 3 4" xfId="38812" xr:uid="{ACE14438-450A-4B68-B50F-3E00FDA79FC5}"/>
    <cellStyle name="Normal 12 3 2 2 3 5" xfId="13520" xr:uid="{88689F8D-4470-41DA-990A-8470BF300EBC}"/>
    <cellStyle name="Normal 12 3 2 2 4" xfId="26166" xr:uid="{5ADAB7A2-577E-4BB6-B1D8-A557D812E577}"/>
    <cellStyle name="Normal 12 3 2 2 5" xfId="17737" xr:uid="{B665560C-DBCB-438C-ACE4-C1AEDEB214DB}"/>
    <cellStyle name="Normal 12 3 2 2 6" xfId="34595" xr:uid="{9D3F0C34-FC07-4B23-935E-AAEF83E9CA38}"/>
    <cellStyle name="Normal 12 3 2 2 7" xfId="9302" xr:uid="{B0CC9277-F0B2-42A0-82D9-459BF0A3E9CE}"/>
    <cellStyle name="Normal 12 3 2 3" xfId="1189" xr:uid="{00000000-0005-0000-0000-0000230E0000}"/>
    <cellStyle name="Normal 12 3 2 3 2" xfId="3420" xr:uid="{00000000-0005-0000-0000-0000240E0000}"/>
    <cellStyle name="Normal 12 3 2 3 2 2" xfId="7643" xr:uid="{00000000-0005-0000-0000-0000250E0000}"/>
    <cellStyle name="Normal 12 3 2 3 2 2 2" xfId="32942" xr:uid="{B3A99AE3-39EE-4F92-867D-0970C1E8E9B7}"/>
    <cellStyle name="Normal 12 3 2 3 2 2 3" xfId="24513" xr:uid="{489BACCC-D7B3-475D-922B-162842720F5A}"/>
    <cellStyle name="Normal 12 3 2 3 2 2 4" xfId="41370" xr:uid="{1B9BD23B-7CD9-4879-8909-18E17543A8B3}"/>
    <cellStyle name="Normal 12 3 2 3 2 2 5" xfId="16078" xr:uid="{74BB68E3-2F9A-4428-9760-96DDC275C78E}"/>
    <cellStyle name="Normal 12 3 2 3 2 3" xfId="28724" xr:uid="{5D9275BC-4D6D-47E8-9D8D-7B7B7A7B1C4A}"/>
    <cellStyle name="Normal 12 3 2 3 2 4" xfId="20295" xr:uid="{78EF2322-1CF7-466C-91FB-AB002F70AED1}"/>
    <cellStyle name="Normal 12 3 2 3 2 5" xfId="37153" xr:uid="{024E4F04-219F-4762-B4E0-2BABC1C28446}"/>
    <cellStyle name="Normal 12 3 2 3 2 6" xfId="11860" xr:uid="{52E36302-93A1-4294-BBA2-0579B01F14F1}"/>
    <cellStyle name="Normal 12 3 2 3 3" xfId="5498" xr:uid="{00000000-0005-0000-0000-0000260E0000}"/>
    <cellStyle name="Normal 12 3 2 3 3 2" xfId="30797" xr:uid="{9111FF3E-BF23-4FD5-8E95-A4B7D37DA424}"/>
    <cellStyle name="Normal 12 3 2 3 3 3" xfId="22368" xr:uid="{2BDBAD1D-87FD-410F-B3F7-EE553617FD75}"/>
    <cellStyle name="Normal 12 3 2 3 3 4" xfId="39225" xr:uid="{55C7984A-A80E-4DD1-BEFA-B47486E5AF4F}"/>
    <cellStyle name="Normal 12 3 2 3 3 5" xfId="13933" xr:uid="{649C3056-8FBC-477C-A067-35B2DD0111A0}"/>
    <cellStyle name="Normal 12 3 2 3 4" xfId="26579" xr:uid="{5D065202-0B69-4689-A21E-8E79C449C7E0}"/>
    <cellStyle name="Normal 12 3 2 3 5" xfId="18150" xr:uid="{8D0FD6CC-815D-4E41-9610-0B509D78C83A}"/>
    <cellStyle name="Normal 12 3 2 3 6" xfId="35008" xr:uid="{92D5AF89-7FBF-4764-B4A7-C58F90F40622}"/>
    <cellStyle name="Normal 12 3 2 3 7" xfId="9715" xr:uid="{ABD2B92C-38B6-4751-876B-82776551B3F2}"/>
    <cellStyle name="Normal 12 3 2 4" xfId="1603" xr:uid="{00000000-0005-0000-0000-0000270E0000}"/>
    <cellStyle name="Normal 12 3 2 4 2" xfId="3833" xr:uid="{00000000-0005-0000-0000-0000280E0000}"/>
    <cellStyle name="Normal 12 3 2 4 2 2" xfId="8056" xr:uid="{00000000-0005-0000-0000-0000290E0000}"/>
    <cellStyle name="Normal 12 3 2 4 2 2 2" xfId="33355" xr:uid="{9EFE2B32-7DE8-4443-883B-803A52AA4FE8}"/>
    <cellStyle name="Normal 12 3 2 4 2 2 3" xfId="24926" xr:uid="{15C4AD6C-8A69-47FD-9BB4-FD63DEB5295B}"/>
    <cellStyle name="Normal 12 3 2 4 2 2 4" xfId="41783" xr:uid="{DCBF6296-59EA-43E5-BAC1-3D46608DA80E}"/>
    <cellStyle name="Normal 12 3 2 4 2 2 5" xfId="16491" xr:uid="{A121982E-24D8-4739-AA37-C0C5EF5DD8FA}"/>
    <cellStyle name="Normal 12 3 2 4 2 3" xfId="29137" xr:uid="{8E0E9960-E82B-4290-A487-094FE4CB8144}"/>
    <cellStyle name="Normal 12 3 2 4 2 4" xfId="20708" xr:uid="{528086CF-B52D-4886-A744-9081FD46769E}"/>
    <cellStyle name="Normal 12 3 2 4 2 5" xfId="37566" xr:uid="{B4B0B7D0-DFB0-4BA6-A496-3A85850FACEA}"/>
    <cellStyle name="Normal 12 3 2 4 2 6" xfId="12273" xr:uid="{312AFA25-0F61-4D6E-8307-4062675ABE07}"/>
    <cellStyle name="Normal 12 3 2 4 3" xfId="5911" xr:uid="{00000000-0005-0000-0000-00002A0E0000}"/>
    <cellStyle name="Normal 12 3 2 4 3 2" xfId="31210" xr:uid="{E4605287-6C1D-4F44-A56D-286907E6BBAF}"/>
    <cellStyle name="Normal 12 3 2 4 3 3" xfId="22781" xr:uid="{A4DA1C3B-DC15-4458-8179-C3BE8881ABE1}"/>
    <cellStyle name="Normal 12 3 2 4 3 4" xfId="39638" xr:uid="{989353AB-8DD7-41BF-8402-C78565F8D1DE}"/>
    <cellStyle name="Normal 12 3 2 4 3 5" xfId="14346" xr:uid="{45102974-0E7B-4820-87F2-8E5A510706D7}"/>
    <cellStyle name="Normal 12 3 2 4 4" xfId="26992" xr:uid="{E10C7532-EE2E-404A-87A8-D5D39840ADD5}"/>
    <cellStyle name="Normal 12 3 2 4 5" xfId="18563" xr:uid="{DB25A929-2044-4EE4-94AB-BABE9B0E4328}"/>
    <cellStyle name="Normal 12 3 2 4 6" xfId="35421" xr:uid="{94F3581C-5FE3-4519-B6B3-2440AF643C28}"/>
    <cellStyle name="Normal 12 3 2 4 7" xfId="10128" xr:uid="{4D5F8D94-3F3E-4424-86F0-06ECC7E1D011}"/>
    <cellStyle name="Normal 12 3 2 5" xfId="2017" xr:uid="{00000000-0005-0000-0000-00002B0E0000}"/>
    <cellStyle name="Normal 12 3 2 5 2" xfId="4246" xr:uid="{00000000-0005-0000-0000-00002C0E0000}"/>
    <cellStyle name="Normal 12 3 2 5 2 2" xfId="8469" xr:uid="{00000000-0005-0000-0000-00002D0E0000}"/>
    <cellStyle name="Normal 12 3 2 5 2 2 2" xfId="33768" xr:uid="{30BBE50F-4FCB-4626-99A2-1D0781087A51}"/>
    <cellStyle name="Normal 12 3 2 5 2 2 3" xfId="25339" xr:uid="{3D4501C9-765C-4B2A-81DC-D41CF1B0A6B5}"/>
    <cellStyle name="Normal 12 3 2 5 2 2 4" xfId="42196" xr:uid="{09DEE891-A9DE-4905-84E0-568E217FAE53}"/>
    <cellStyle name="Normal 12 3 2 5 2 2 5" xfId="16904" xr:uid="{E2CBA101-2D22-4DB6-9E92-94FD8DF2C51F}"/>
    <cellStyle name="Normal 12 3 2 5 2 3" xfId="29550" xr:uid="{AC7C1893-04C3-4BD1-83BE-F55E3C152989}"/>
    <cellStyle name="Normal 12 3 2 5 2 4" xfId="21121" xr:uid="{CB02CC7B-B474-4DDB-B05E-6313AFC8F4F4}"/>
    <cellStyle name="Normal 12 3 2 5 2 5" xfId="37979" xr:uid="{5BD2928D-8CA4-4F4D-A43D-E9134289FD55}"/>
    <cellStyle name="Normal 12 3 2 5 2 6" xfId="12686" xr:uid="{592F127B-7832-453B-A1F7-9D32AB4260DC}"/>
    <cellStyle name="Normal 12 3 2 5 3" xfId="6324" xr:uid="{00000000-0005-0000-0000-00002E0E0000}"/>
    <cellStyle name="Normal 12 3 2 5 3 2" xfId="31623" xr:uid="{6F5DBA4A-A0B7-4446-8401-B6025E8B038C}"/>
    <cellStyle name="Normal 12 3 2 5 3 3" xfId="23194" xr:uid="{18DFEE02-AB13-470B-9B8F-582588E4762B}"/>
    <cellStyle name="Normal 12 3 2 5 3 4" xfId="40051" xr:uid="{8AD6D29B-CCC5-4ECB-8EB0-91868871993D}"/>
    <cellStyle name="Normal 12 3 2 5 3 5" xfId="14759" xr:uid="{B8539096-EE40-4D37-A011-6B9B244D27BE}"/>
    <cellStyle name="Normal 12 3 2 5 4" xfId="27405" xr:uid="{1C939A38-A914-4196-A9AE-3905716B2EFB}"/>
    <cellStyle name="Normal 12 3 2 5 5" xfId="18976" xr:uid="{B8329582-E8C7-4E5F-9169-1698D711E8EF}"/>
    <cellStyle name="Normal 12 3 2 5 6" xfId="35834" xr:uid="{F1A9372A-1C2B-4C07-BC57-4D11306E16FF}"/>
    <cellStyle name="Normal 12 3 2 5 7" xfId="10541" xr:uid="{2817582C-0047-43EB-AF55-F445455E34B6}"/>
    <cellStyle name="Normal 12 3 2 6" xfId="2453" xr:uid="{00000000-0005-0000-0000-00002F0E0000}"/>
    <cellStyle name="Normal 12 3 2 6 2" xfId="6737" xr:uid="{00000000-0005-0000-0000-0000300E0000}"/>
    <cellStyle name="Normal 12 3 2 6 2 2" xfId="32036" xr:uid="{465CBF28-E3A4-4A02-B024-D1C973E4F01A}"/>
    <cellStyle name="Normal 12 3 2 6 2 3" xfId="23607" xr:uid="{119BE544-BCC3-4100-8F34-A188CE1A4C6C}"/>
    <cellStyle name="Normal 12 3 2 6 2 4" xfId="40464" xr:uid="{4A111CEF-39D6-439F-9F55-002FBD6B2CB7}"/>
    <cellStyle name="Normal 12 3 2 6 2 5" xfId="15172" xr:uid="{D07B52D5-E949-4339-A769-ABE53A84CC43}"/>
    <cellStyle name="Normal 12 3 2 6 3" xfId="27818" xr:uid="{7B11DD67-55DD-4B6C-AC9E-F363BDED15F1}"/>
    <cellStyle name="Normal 12 3 2 6 4" xfId="19389" xr:uid="{A8752F9B-24D4-49A3-9673-39DE1F8ECDC7}"/>
    <cellStyle name="Normal 12 3 2 6 5" xfId="36247" xr:uid="{4B3949A3-FAB3-49C5-8C1C-7E1C6DCC370D}"/>
    <cellStyle name="Normal 12 3 2 6 6" xfId="10954" xr:uid="{B2C01EA1-A062-461D-8D3D-D6B58071ED8C}"/>
    <cellStyle name="Normal 12 3 2 7" xfId="4671" xr:uid="{00000000-0005-0000-0000-0000310E0000}"/>
    <cellStyle name="Normal 12 3 2 7 2" xfId="29970" xr:uid="{CA6E0662-A509-437C-B75B-4D29014FDE84}"/>
    <cellStyle name="Normal 12 3 2 7 3" xfId="21541" xr:uid="{F9256978-35C5-4A3B-AB2F-DBE5C14E6DCD}"/>
    <cellStyle name="Normal 12 3 2 7 4" xfId="38398" xr:uid="{E6AF65DE-7043-4895-BF9B-6081DF9A5439}"/>
    <cellStyle name="Normal 12 3 2 7 5" xfId="13106" xr:uid="{1B9D5ADE-FC7C-42CD-A0D3-159C5B2C43B5}"/>
    <cellStyle name="Normal 12 3 2 8" xfId="25752" xr:uid="{191A717A-9C94-418B-93EE-6B9332E6593A}"/>
    <cellStyle name="Normal 12 3 2 9" xfId="17323" xr:uid="{2B471FDF-5224-4658-A8A6-C0B665FB013A}"/>
    <cellStyle name="Normal 12 3 3" xfId="765" xr:uid="{00000000-0005-0000-0000-0000320E0000}"/>
    <cellStyle name="Normal 12 3 3 2" xfId="3006" xr:uid="{00000000-0005-0000-0000-0000330E0000}"/>
    <cellStyle name="Normal 12 3 3 2 2" xfId="7229" xr:uid="{00000000-0005-0000-0000-0000340E0000}"/>
    <cellStyle name="Normal 12 3 3 2 2 2" xfId="32528" xr:uid="{0599D795-55D5-418C-8AA6-E8C33F02ED57}"/>
    <cellStyle name="Normal 12 3 3 2 2 3" xfId="24099" xr:uid="{B0CA723E-C169-4C1F-91B3-3BA109A81505}"/>
    <cellStyle name="Normal 12 3 3 2 2 4" xfId="40956" xr:uid="{772F038E-34C8-467E-BF15-2EB5DA40DC57}"/>
    <cellStyle name="Normal 12 3 3 2 2 5" xfId="15664" xr:uid="{E763DBD8-86CF-46B0-B633-97A21BD885E3}"/>
    <cellStyle name="Normal 12 3 3 2 3" xfId="28310" xr:uid="{B1ABE79E-FA3F-4E2C-B417-4842D846795B}"/>
    <cellStyle name="Normal 12 3 3 2 4" xfId="19881" xr:uid="{4BBAD98B-ED98-4117-9090-C6DA6B181430}"/>
    <cellStyle name="Normal 12 3 3 2 5" xfId="36739" xr:uid="{13C4C775-5C12-44EE-BC7E-71D19D6C79B2}"/>
    <cellStyle name="Normal 12 3 3 2 6" xfId="11446" xr:uid="{0CAD1F61-5518-4A3B-8FD3-9136AD92CA0D}"/>
    <cellStyle name="Normal 12 3 3 3" xfId="5084" xr:uid="{00000000-0005-0000-0000-0000350E0000}"/>
    <cellStyle name="Normal 12 3 3 3 2" xfId="30383" xr:uid="{3D93B01C-39CC-4016-88B0-519C3B918DAA}"/>
    <cellStyle name="Normal 12 3 3 3 3" xfId="21954" xr:uid="{C9EAE000-FC1A-42E7-AC00-177E399478EC}"/>
    <cellStyle name="Normal 12 3 3 3 4" xfId="38811" xr:uid="{F50C5F34-26FA-4369-9E64-B99262EC10E5}"/>
    <cellStyle name="Normal 12 3 3 3 5" xfId="13519" xr:uid="{0139324A-1911-49FC-BF35-4D5EB50A1B48}"/>
    <cellStyle name="Normal 12 3 3 4" xfId="26165" xr:uid="{F185884D-626D-4D28-A070-EAEF1F6D143D}"/>
    <cellStyle name="Normal 12 3 3 5" xfId="17736" xr:uid="{093FC2D2-9BBF-4AD0-9C33-5D1923F52FB8}"/>
    <cellStyle name="Normal 12 3 3 6" xfId="34594" xr:uid="{6B23D042-B0AE-4DBB-948B-3C84AD5B569E}"/>
    <cellStyle name="Normal 12 3 3 7" xfId="9301" xr:uid="{FB0F62C1-8CA4-479F-8801-4B8F6FCD76EC}"/>
    <cellStyle name="Normal 12 3 4" xfId="1188" xr:uid="{00000000-0005-0000-0000-0000360E0000}"/>
    <cellStyle name="Normal 12 3 4 2" xfId="3419" xr:uid="{00000000-0005-0000-0000-0000370E0000}"/>
    <cellStyle name="Normal 12 3 4 2 2" xfId="7642" xr:uid="{00000000-0005-0000-0000-0000380E0000}"/>
    <cellStyle name="Normal 12 3 4 2 2 2" xfId="32941" xr:uid="{4BA44BC7-101C-4004-A619-293465936E1C}"/>
    <cellStyle name="Normal 12 3 4 2 2 3" xfId="24512" xr:uid="{6C982C0F-DF01-4A42-9F56-A77114F7432C}"/>
    <cellStyle name="Normal 12 3 4 2 2 4" xfId="41369" xr:uid="{E3823278-DC77-4CF6-A792-64F47B5F3F4A}"/>
    <cellStyle name="Normal 12 3 4 2 2 5" xfId="16077" xr:uid="{208A2059-3833-4CA4-98F6-426AEC010CEE}"/>
    <cellStyle name="Normal 12 3 4 2 3" xfId="28723" xr:uid="{49A7709C-714F-40B0-8780-DBA0E2C68994}"/>
    <cellStyle name="Normal 12 3 4 2 4" xfId="20294" xr:uid="{650F0B83-A7A1-454F-BB95-1FEA07F6B11A}"/>
    <cellStyle name="Normal 12 3 4 2 5" xfId="37152" xr:uid="{7C2026B3-0740-446D-B22D-41A7D140D6C4}"/>
    <cellStyle name="Normal 12 3 4 2 6" xfId="11859" xr:uid="{B0DE2B29-3479-4517-99C2-E3B1FBCB47F0}"/>
    <cellStyle name="Normal 12 3 4 3" xfId="5497" xr:uid="{00000000-0005-0000-0000-0000390E0000}"/>
    <cellStyle name="Normal 12 3 4 3 2" xfId="30796" xr:uid="{2C26634B-7AB0-4435-96BB-5DB720D5DB6B}"/>
    <cellStyle name="Normal 12 3 4 3 3" xfId="22367" xr:uid="{D66B0D4B-3395-4537-A721-7896C169B06E}"/>
    <cellStyle name="Normal 12 3 4 3 4" xfId="39224" xr:uid="{1004D1F2-951F-4A91-97BE-93A9FED96D69}"/>
    <cellStyle name="Normal 12 3 4 3 5" xfId="13932" xr:uid="{37099008-3507-4D78-83F2-7E1920195E27}"/>
    <cellStyle name="Normal 12 3 4 4" xfId="26578" xr:uid="{F69F2D74-94C4-440F-A7DC-25C84D1A8CE6}"/>
    <cellStyle name="Normal 12 3 4 5" xfId="18149" xr:uid="{7DD8811F-BA6E-4646-A71F-CAB10512395F}"/>
    <cellStyle name="Normal 12 3 4 6" xfId="35007" xr:uid="{9C21C3A6-8F97-44A5-B83E-1F0FCF7109F3}"/>
    <cellStyle name="Normal 12 3 4 7" xfId="9714" xr:uid="{39ADDFCB-951B-4AAA-8977-6F0FF0332D58}"/>
    <cellStyle name="Normal 12 3 5" xfId="1602" xr:uid="{00000000-0005-0000-0000-00003A0E0000}"/>
    <cellStyle name="Normal 12 3 5 2" xfId="3832" xr:uid="{00000000-0005-0000-0000-00003B0E0000}"/>
    <cellStyle name="Normal 12 3 5 2 2" xfId="8055" xr:uid="{00000000-0005-0000-0000-00003C0E0000}"/>
    <cellStyle name="Normal 12 3 5 2 2 2" xfId="33354" xr:uid="{260A0961-CBFD-496D-9DCE-F655DD9FD0A2}"/>
    <cellStyle name="Normal 12 3 5 2 2 3" xfId="24925" xr:uid="{893E73A4-F7B7-4942-851E-0DD469629ED7}"/>
    <cellStyle name="Normal 12 3 5 2 2 4" xfId="41782" xr:uid="{8CB92CFD-2D4C-44AA-A68C-78F5F545B23C}"/>
    <cellStyle name="Normal 12 3 5 2 2 5" xfId="16490" xr:uid="{55CDD508-4482-4D40-AE6B-6C54D83052ED}"/>
    <cellStyle name="Normal 12 3 5 2 3" xfId="29136" xr:uid="{6CFAF599-FFB5-4C25-B2B1-E77D929FAF09}"/>
    <cellStyle name="Normal 12 3 5 2 4" xfId="20707" xr:uid="{3DF0EE11-2517-46D1-B1F6-5EB6C8536457}"/>
    <cellStyle name="Normal 12 3 5 2 5" xfId="37565" xr:uid="{A777D736-69B5-4142-AD7A-624CA9FFC1BE}"/>
    <cellStyle name="Normal 12 3 5 2 6" xfId="12272" xr:uid="{A301B6D7-7DE9-46A9-B123-7E6FF525F620}"/>
    <cellStyle name="Normal 12 3 5 3" xfId="5910" xr:uid="{00000000-0005-0000-0000-00003D0E0000}"/>
    <cellStyle name="Normal 12 3 5 3 2" xfId="31209" xr:uid="{2B1FB85D-2BD0-488D-A3D4-FA5C3B68AA5A}"/>
    <cellStyle name="Normal 12 3 5 3 3" xfId="22780" xr:uid="{5161A8E6-42EB-4C85-B587-C38906E47B84}"/>
    <cellStyle name="Normal 12 3 5 3 4" xfId="39637" xr:uid="{049739E2-A620-4545-83A6-4AA0ECE4B4B1}"/>
    <cellStyle name="Normal 12 3 5 3 5" xfId="14345" xr:uid="{CDBD749B-8F4F-405B-AEC4-35CEFC1B56A0}"/>
    <cellStyle name="Normal 12 3 5 4" xfId="26991" xr:uid="{EBAD90E5-07A7-4F83-9F3F-06386E9AFFDB}"/>
    <cellStyle name="Normal 12 3 5 5" xfId="18562" xr:uid="{C7027D8A-3ABA-471F-8A4E-9AABBB7BCAB4}"/>
    <cellStyle name="Normal 12 3 5 6" xfId="35420" xr:uid="{E4FE9B89-D7CB-4B3D-B640-669C8CFEC5FD}"/>
    <cellStyle name="Normal 12 3 5 7" xfId="10127" xr:uid="{3F4D7BF0-DBC0-4523-B84C-135C75305C1A}"/>
    <cellStyle name="Normal 12 3 6" xfId="2016" xr:uid="{00000000-0005-0000-0000-00003E0E0000}"/>
    <cellStyle name="Normal 12 3 6 2" xfId="4245" xr:uid="{00000000-0005-0000-0000-00003F0E0000}"/>
    <cellStyle name="Normal 12 3 6 2 2" xfId="8468" xr:uid="{00000000-0005-0000-0000-0000400E0000}"/>
    <cellStyle name="Normal 12 3 6 2 2 2" xfId="33767" xr:uid="{2373AFD2-7B2D-4E97-933E-234D5E966893}"/>
    <cellStyle name="Normal 12 3 6 2 2 3" xfId="25338" xr:uid="{E694952A-6847-41C7-BB97-97B2C3BC3BE6}"/>
    <cellStyle name="Normal 12 3 6 2 2 4" xfId="42195" xr:uid="{E6376FF1-DC1B-46A8-92F8-C819FA554071}"/>
    <cellStyle name="Normal 12 3 6 2 2 5" xfId="16903" xr:uid="{CC4849D8-115A-4B81-8B51-47B265AE236B}"/>
    <cellStyle name="Normal 12 3 6 2 3" xfId="29549" xr:uid="{4189E50F-1A36-4747-BD42-2183C6DF2E27}"/>
    <cellStyle name="Normal 12 3 6 2 4" xfId="21120" xr:uid="{B02C4A88-ECF3-42F4-A420-0D68BC7D9A56}"/>
    <cellStyle name="Normal 12 3 6 2 5" xfId="37978" xr:uid="{55B04BDF-B31B-4DCF-AA1C-8CF0FFC738C2}"/>
    <cellStyle name="Normal 12 3 6 2 6" xfId="12685" xr:uid="{B126AEBA-B16D-4899-AAB5-6C2AA0480C66}"/>
    <cellStyle name="Normal 12 3 6 3" xfId="6323" xr:uid="{00000000-0005-0000-0000-0000410E0000}"/>
    <cellStyle name="Normal 12 3 6 3 2" xfId="31622" xr:uid="{A4E842D7-2663-4CBD-A13D-CFB1131AF0CA}"/>
    <cellStyle name="Normal 12 3 6 3 3" xfId="23193" xr:uid="{E6DDEDA0-BA49-4EE5-88C7-1279DD91B348}"/>
    <cellStyle name="Normal 12 3 6 3 4" xfId="40050" xr:uid="{33CFAC70-2A65-4CA2-AE7B-4A998ADBBD21}"/>
    <cellStyle name="Normal 12 3 6 3 5" xfId="14758" xr:uid="{E9C5C15A-694A-4F52-8CCE-6D6056959D7B}"/>
    <cellStyle name="Normal 12 3 6 4" xfId="27404" xr:uid="{C9A7F67F-A8D7-41A3-836C-C9640DE9A437}"/>
    <cellStyle name="Normal 12 3 6 5" xfId="18975" xr:uid="{28283305-6446-41CB-A66C-9FEC64A5712B}"/>
    <cellStyle name="Normal 12 3 6 6" xfId="35833" xr:uid="{0F05F800-C5EE-465A-9281-C41DC6DFCEAA}"/>
    <cellStyle name="Normal 12 3 6 7" xfId="10540" xr:uid="{B70A3D76-503C-4020-815D-3B98FFEB9E03}"/>
    <cellStyle name="Normal 12 3 7" xfId="2452" xr:uid="{00000000-0005-0000-0000-0000420E0000}"/>
    <cellStyle name="Normal 12 3 7 2" xfId="6736" xr:uid="{00000000-0005-0000-0000-0000430E0000}"/>
    <cellStyle name="Normal 12 3 7 2 2" xfId="32035" xr:uid="{16E24A7D-5B51-4D1A-8EFA-60F31713F582}"/>
    <cellStyle name="Normal 12 3 7 2 3" xfId="23606" xr:uid="{30D69A7D-611A-4DAB-BDA8-0FDF5D6426FD}"/>
    <cellStyle name="Normal 12 3 7 2 4" xfId="40463" xr:uid="{663F05AF-D52C-4367-82BF-AAD723483BC4}"/>
    <cellStyle name="Normal 12 3 7 2 5" xfId="15171" xr:uid="{9003A32F-4035-4BBE-9AC0-535AEBC3F793}"/>
    <cellStyle name="Normal 12 3 7 3" xfId="27817" xr:uid="{668A3FC7-7071-40A1-BCBC-CB6CB197C2BC}"/>
    <cellStyle name="Normal 12 3 7 4" xfId="19388" xr:uid="{37C76C07-C66A-44B9-B527-B820BEB85945}"/>
    <cellStyle name="Normal 12 3 7 5" xfId="36246" xr:uid="{D821E2BC-A248-487B-B019-CED41DCEB89C}"/>
    <cellStyle name="Normal 12 3 7 6" xfId="10953" xr:uid="{EBCF3033-0EB4-4083-80D9-3240BE1AA891}"/>
    <cellStyle name="Normal 12 3 8" xfId="4670" xr:uid="{00000000-0005-0000-0000-0000440E0000}"/>
    <cellStyle name="Normal 12 3 8 2" xfId="29969" xr:uid="{10DE7B77-B680-44F6-BF04-4F455314222C}"/>
    <cellStyle name="Normal 12 3 8 3" xfId="21540" xr:uid="{81371B7D-04C3-41DC-8B67-20119A69BA23}"/>
    <cellStyle name="Normal 12 3 8 4" xfId="38397" xr:uid="{275A4928-A608-46F5-B7BF-16D574342AE0}"/>
    <cellStyle name="Normal 12 3 8 5" xfId="13105" xr:uid="{5BC34AE5-F06D-4773-8DF4-3D3A7E89591D}"/>
    <cellStyle name="Normal 12 3 9" xfId="25751" xr:uid="{A8A44A8C-10A5-4B96-86F0-637F0106CAE1}"/>
    <cellStyle name="Normal 12 4" xfId="266" xr:uid="{00000000-0005-0000-0000-0000450E0000}"/>
    <cellStyle name="Normal 12 4 10" xfId="34182" xr:uid="{49E46680-73BC-4994-BBC8-0714F20751FF}"/>
    <cellStyle name="Normal 12 4 11" xfId="8889" xr:uid="{20DCA4E9-0968-4E48-A47A-9036A2C7FE72}"/>
    <cellStyle name="Normal 12 4 2" xfId="767" xr:uid="{00000000-0005-0000-0000-0000460E0000}"/>
    <cellStyle name="Normal 12 4 2 2" xfId="3008" xr:uid="{00000000-0005-0000-0000-0000470E0000}"/>
    <cellStyle name="Normal 12 4 2 2 2" xfId="7231" xr:uid="{00000000-0005-0000-0000-0000480E0000}"/>
    <cellStyle name="Normal 12 4 2 2 2 2" xfId="32530" xr:uid="{F7E1FA55-7BF7-4F76-B7A1-04445260917B}"/>
    <cellStyle name="Normal 12 4 2 2 2 3" xfId="24101" xr:uid="{7B29DAE8-386E-473D-B940-6D6D2212942B}"/>
    <cellStyle name="Normal 12 4 2 2 2 4" xfId="40958" xr:uid="{ED0DA655-1B92-4D34-97FA-36A08AFDE2F9}"/>
    <cellStyle name="Normal 12 4 2 2 2 5" xfId="15666" xr:uid="{70F6E5B6-A47E-4CA6-9441-B015C99D9436}"/>
    <cellStyle name="Normal 12 4 2 2 3" xfId="28312" xr:uid="{F3145EA5-FA19-429D-8A52-F021DBE76769}"/>
    <cellStyle name="Normal 12 4 2 2 4" xfId="19883" xr:uid="{F788506B-196C-4EC4-8D36-6CA670BBDE83}"/>
    <cellStyle name="Normal 12 4 2 2 5" xfId="36741" xr:uid="{6EAB76F7-0AA3-4D05-9047-5E6997CED6E7}"/>
    <cellStyle name="Normal 12 4 2 2 6" xfId="11448" xr:uid="{73A5D52C-0130-47FF-A660-8B3E52BD2039}"/>
    <cellStyle name="Normal 12 4 2 3" xfId="5086" xr:uid="{00000000-0005-0000-0000-0000490E0000}"/>
    <cellStyle name="Normal 12 4 2 3 2" xfId="30385" xr:uid="{7841B6AF-E228-475E-855B-8F2A223FDC39}"/>
    <cellStyle name="Normal 12 4 2 3 3" xfId="21956" xr:uid="{FFE869AD-9786-4F8D-8EB5-03B48F341542}"/>
    <cellStyle name="Normal 12 4 2 3 4" xfId="38813" xr:uid="{F35F6858-B324-4600-820B-392AA82C54F1}"/>
    <cellStyle name="Normal 12 4 2 3 5" xfId="13521" xr:uid="{77E54AB2-F6DA-4456-BF55-2B6159DE171A}"/>
    <cellStyle name="Normal 12 4 2 4" xfId="26167" xr:uid="{7B9FF61F-624B-44FB-8794-89021F49A48E}"/>
    <cellStyle name="Normal 12 4 2 5" xfId="17738" xr:uid="{9953D0EC-9715-433C-BDF2-95456ACD6B00}"/>
    <cellStyle name="Normal 12 4 2 6" xfId="34596" xr:uid="{CC195C9E-CE28-46BD-BF14-B8F620AC5FF0}"/>
    <cellStyle name="Normal 12 4 2 7" xfId="9303" xr:uid="{B9ABF623-0753-40B2-B52E-C09DB96BFF10}"/>
    <cellStyle name="Normal 12 4 3" xfId="1190" xr:uid="{00000000-0005-0000-0000-00004A0E0000}"/>
    <cellStyle name="Normal 12 4 3 2" xfId="3421" xr:uid="{00000000-0005-0000-0000-00004B0E0000}"/>
    <cellStyle name="Normal 12 4 3 2 2" xfId="7644" xr:uid="{00000000-0005-0000-0000-00004C0E0000}"/>
    <cellStyle name="Normal 12 4 3 2 2 2" xfId="32943" xr:uid="{A40B3117-5A27-4F84-A174-957933B914ED}"/>
    <cellStyle name="Normal 12 4 3 2 2 3" xfId="24514" xr:uid="{5A62E45A-51D3-4AE5-95D6-FB80288A9BBF}"/>
    <cellStyle name="Normal 12 4 3 2 2 4" xfId="41371" xr:uid="{CC1751CA-1C71-419D-98A2-7CDE3685ADB0}"/>
    <cellStyle name="Normal 12 4 3 2 2 5" xfId="16079" xr:uid="{41DD818A-D369-4CAC-AAB0-E81F24D23B36}"/>
    <cellStyle name="Normal 12 4 3 2 3" xfId="28725" xr:uid="{F727B34E-1AD6-485C-B22D-B22727AD503A}"/>
    <cellStyle name="Normal 12 4 3 2 4" xfId="20296" xr:uid="{7CD8CC93-CE3B-492E-B3E5-40DEFD2905E2}"/>
    <cellStyle name="Normal 12 4 3 2 5" xfId="37154" xr:uid="{ADA58530-17D7-4EAD-B7C0-084364DB7359}"/>
    <cellStyle name="Normal 12 4 3 2 6" xfId="11861" xr:uid="{F6565F87-64BB-48BA-B480-E2FD2F7539AD}"/>
    <cellStyle name="Normal 12 4 3 3" xfId="5499" xr:uid="{00000000-0005-0000-0000-00004D0E0000}"/>
    <cellStyle name="Normal 12 4 3 3 2" xfId="30798" xr:uid="{3BFBF2BB-8C05-4FD6-AC79-8E1319506AA7}"/>
    <cellStyle name="Normal 12 4 3 3 3" xfId="22369" xr:uid="{5E8C09B5-FB27-48E9-8C0D-A23AE494B81B}"/>
    <cellStyle name="Normal 12 4 3 3 4" xfId="39226" xr:uid="{172B99D6-616B-40AC-AB51-78EF6867C41B}"/>
    <cellStyle name="Normal 12 4 3 3 5" xfId="13934" xr:uid="{3DBE638B-A3E7-42B7-BE35-2E94BA4BDAF9}"/>
    <cellStyle name="Normal 12 4 3 4" xfId="26580" xr:uid="{6211856C-6637-42C5-83C2-3D78D10E6660}"/>
    <cellStyle name="Normal 12 4 3 5" xfId="18151" xr:uid="{A106CCF0-A076-409D-A02B-9E2F2B1A40F5}"/>
    <cellStyle name="Normal 12 4 3 6" xfId="35009" xr:uid="{71D7D960-2FCF-4D92-BB6F-BAC526AAA927}"/>
    <cellStyle name="Normal 12 4 3 7" xfId="9716" xr:uid="{3E62DAF9-23B8-4E1A-A187-4DABB8E9AEDB}"/>
    <cellStyle name="Normal 12 4 4" xfId="1604" xr:uid="{00000000-0005-0000-0000-00004E0E0000}"/>
    <cellStyle name="Normal 12 4 4 2" xfId="3834" xr:uid="{00000000-0005-0000-0000-00004F0E0000}"/>
    <cellStyle name="Normal 12 4 4 2 2" xfId="8057" xr:uid="{00000000-0005-0000-0000-0000500E0000}"/>
    <cellStyle name="Normal 12 4 4 2 2 2" xfId="33356" xr:uid="{6337CD37-7DD2-4AD4-B13E-D2E5EBB959C9}"/>
    <cellStyle name="Normal 12 4 4 2 2 3" xfId="24927" xr:uid="{EB5FFCA5-6BC6-433F-8E6D-FDC76A6CF8A5}"/>
    <cellStyle name="Normal 12 4 4 2 2 4" xfId="41784" xr:uid="{5EC6306E-4BBF-4F7B-9608-AED8BE305404}"/>
    <cellStyle name="Normal 12 4 4 2 2 5" xfId="16492" xr:uid="{75F510BC-8A5D-4449-B1B6-5DCEBDDE3CC8}"/>
    <cellStyle name="Normal 12 4 4 2 3" xfId="29138" xr:uid="{EA815047-316D-4366-9033-93A247D17853}"/>
    <cellStyle name="Normal 12 4 4 2 4" xfId="20709" xr:uid="{263FA0D1-B3BB-4731-93BB-4D15F7EB979D}"/>
    <cellStyle name="Normal 12 4 4 2 5" xfId="37567" xr:uid="{E116BA2F-20D6-4027-A721-0AFEF17C942B}"/>
    <cellStyle name="Normal 12 4 4 2 6" xfId="12274" xr:uid="{485B365A-7C21-4E3B-A962-04F0DE118046}"/>
    <cellStyle name="Normal 12 4 4 3" xfId="5912" xr:uid="{00000000-0005-0000-0000-0000510E0000}"/>
    <cellStyle name="Normal 12 4 4 3 2" xfId="31211" xr:uid="{5DDF6613-03FA-4C7B-9EDE-4C158DE4C90C}"/>
    <cellStyle name="Normal 12 4 4 3 3" xfId="22782" xr:uid="{B6246DB4-601F-4819-9971-B4EA124579EF}"/>
    <cellStyle name="Normal 12 4 4 3 4" xfId="39639" xr:uid="{66671EB3-3E75-4C4C-BC1B-4C2E794FA0B0}"/>
    <cellStyle name="Normal 12 4 4 3 5" xfId="14347" xr:uid="{AE13D04C-342A-4894-8F50-D9D2C6A486A9}"/>
    <cellStyle name="Normal 12 4 4 4" xfId="26993" xr:uid="{FC7D3F69-0A3B-40F5-9AE4-AA3E6B8DBA19}"/>
    <cellStyle name="Normal 12 4 4 5" xfId="18564" xr:uid="{7F6B13FF-614C-4266-8F93-784DA158088D}"/>
    <cellStyle name="Normal 12 4 4 6" xfId="35422" xr:uid="{CC262E4F-E7DA-414D-8635-4A2BE350F507}"/>
    <cellStyle name="Normal 12 4 4 7" xfId="10129" xr:uid="{7E2A7617-ADE7-4C9F-8D61-D2E73D4CDE01}"/>
    <cellStyle name="Normal 12 4 5" xfId="2018" xr:uid="{00000000-0005-0000-0000-0000520E0000}"/>
    <cellStyle name="Normal 12 4 5 2" xfId="4247" xr:uid="{00000000-0005-0000-0000-0000530E0000}"/>
    <cellStyle name="Normal 12 4 5 2 2" xfId="8470" xr:uid="{00000000-0005-0000-0000-0000540E0000}"/>
    <cellStyle name="Normal 12 4 5 2 2 2" xfId="33769" xr:uid="{E3BC0635-2F43-4183-81F9-41B54CDEC925}"/>
    <cellStyle name="Normal 12 4 5 2 2 3" xfId="25340" xr:uid="{69F30F59-412B-4429-9B7F-14F874E21225}"/>
    <cellStyle name="Normal 12 4 5 2 2 4" xfId="42197" xr:uid="{1CB2A292-2A67-4D26-B413-E074C8479609}"/>
    <cellStyle name="Normal 12 4 5 2 2 5" xfId="16905" xr:uid="{B5455EBB-E68A-46F9-A09D-701B3E27A30A}"/>
    <cellStyle name="Normal 12 4 5 2 3" xfId="29551" xr:uid="{7E8D43B9-BB28-46DB-A871-BCFF258EB47B}"/>
    <cellStyle name="Normal 12 4 5 2 4" xfId="21122" xr:uid="{DE1F8D1C-AE57-4CF4-8F2A-29E160AFC587}"/>
    <cellStyle name="Normal 12 4 5 2 5" xfId="37980" xr:uid="{77CCDD68-0EEA-4D1B-A65B-9BE022442276}"/>
    <cellStyle name="Normal 12 4 5 2 6" xfId="12687" xr:uid="{C4735B58-48A3-4D2C-AA97-B7EC769EBEE8}"/>
    <cellStyle name="Normal 12 4 5 3" xfId="6325" xr:uid="{00000000-0005-0000-0000-0000550E0000}"/>
    <cellStyle name="Normal 12 4 5 3 2" xfId="31624" xr:uid="{034370B2-9638-42C3-BB4E-EEE3490C7251}"/>
    <cellStyle name="Normal 12 4 5 3 3" xfId="23195" xr:uid="{04AF7CC2-9C43-4F1D-B178-FE843A7A6A63}"/>
    <cellStyle name="Normal 12 4 5 3 4" xfId="40052" xr:uid="{0186945F-AF2E-4937-BCEF-A9666200D757}"/>
    <cellStyle name="Normal 12 4 5 3 5" xfId="14760" xr:uid="{34F8A395-DD40-45D4-B1A8-5E2C12C73C4B}"/>
    <cellStyle name="Normal 12 4 5 4" xfId="27406" xr:uid="{16B8020F-6CE1-4854-85E5-CD51F60A3FB0}"/>
    <cellStyle name="Normal 12 4 5 5" xfId="18977" xr:uid="{C052115D-86A8-4191-BCD7-A3FCC91EC2FB}"/>
    <cellStyle name="Normal 12 4 5 6" xfId="35835" xr:uid="{AFE51B6E-BBCA-4F87-BA6D-E19E20931077}"/>
    <cellStyle name="Normal 12 4 5 7" xfId="10542" xr:uid="{3F11D0EA-E961-4D4E-B6D1-339A87457459}"/>
    <cellStyle name="Normal 12 4 6" xfId="2454" xr:uid="{00000000-0005-0000-0000-0000560E0000}"/>
    <cellStyle name="Normal 12 4 6 2" xfId="6738" xr:uid="{00000000-0005-0000-0000-0000570E0000}"/>
    <cellStyle name="Normal 12 4 6 2 2" xfId="32037" xr:uid="{1A8C2466-DA3B-4916-886D-F80FAAA2A3AF}"/>
    <cellStyle name="Normal 12 4 6 2 3" xfId="23608" xr:uid="{A8D56F55-B3BF-4E7B-AADD-38729E9780BE}"/>
    <cellStyle name="Normal 12 4 6 2 4" xfId="40465" xr:uid="{46761EAE-5756-4373-A804-912DEF7A943A}"/>
    <cellStyle name="Normal 12 4 6 2 5" xfId="15173" xr:uid="{5A6DF5DF-922B-4288-A2A8-F58E146C0E57}"/>
    <cellStyle name="Normal 12 4 6 3" xfId="27819" xr:uid="{237FA928-C597-4DDD-A215-FA77D158BD22}"/>
    <cellStyle name="Normal 12 4 6 4" xfId="19390" xr:uid="{38765519-7A86-4A7A-8A69-DAC8449EC08E}"/>
    <cellStyle name="Normal 12 4 6 5" xfId="36248" xr:uid="{722ED7E5-C160-4F10-BF4B-957FC7C292B5}"/>
    <cellStyle name="Normal 12 4 6 6" xfId="10955" xr:uid="{CB36C15F-A8C5-45AD-B70B-7BC70538CDC2}"/>
    <cellStyle name="Normal 12 4 7" xfId="4672" xr:uid="{00000000-0005-0000-0000-0000580E0000}"/>
    <cellStyle name="Normal 12 4 7 2" xfId="29971" xr:uid="{F6B1D347-AA59-447F-B859-4FD62838AA4B}"/>
    <cellStyle name="Normal 12 4 7 3" xfId="21542" xr:uid="{FFA37885-5F3A-47FC-B93B-FE83537CE974}"/>
    <cellStyle name="Normal 12 4 7 4" xfId="38399" xr:uid="{55FAA054-8DA0-4EAB-9D79-E06D5E6D1C07}"/>
    <cellStyle name="Normal 12 4 7 5" xfId="13107" xr:uid="{4CC5B1FC-B6BA-4E71-BB29-866A7E84B34D}"/>
    <cellStyle name="Normal 12 4 8" xfId="25753" xr:uid="{A8057BDB-9B2D-4720-B666-C646E9C3B977}"/>
    <cellStyle name="Normal 12 4 9" xfId="17324" xr:uid="{012862E5-7C8D-41B9-B7B9-0EBAB858FB5D}"/>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32523" xr:uid="{CC5FBCD3-B9F0-4CC9-A241-A99C82C1D8DD}"/>
    <cellStyle name="Normal 12 6 2 2 3" xfId="24094" xr:uid="{293EB8EB-95EE-4A29-8585-CBB50359B164}"/>
    <cellStyle name="Normal 12 6 2 2 4" xfId="40951" xr:uid="{53DB3A0D-9D8E-4CEB-BC98-81ADB36CB554}"/>
    <cellStyle name="Normal 12 6 2 2 5" xfId="15659" xr:uid="{BAC52A35-7742-4DCE-9E25-CA4C1B5A6EDE}"/>
    <cellStyle name="Normal 12 6 2 3" xfId="28305" xr:uid="{E625DE0D-2399-4362-BDF2-1A0CA8890407}"/>
    <cellStyle name="Normal 12 6 2 4" xfId="19876" xr:uid="{19155C77-653F-496E-B04C-CB59E6BA01FF}"/>
    <cellStyle name="Normal 12 6 2 5" xfId="36734" xr:uid="{88125ECA-C76A-4633-B317-B70D35F09906}"/>
    <cellStyle name="Normal 12 6 2 6" xfId="11441" xr:uid="{F70A42BE-077F-437A-AF3B-71B1EFB98B73}"/>
    <cellStyle name="Normal 12 6 3" xfId="5079" xr:uid="{00000000-0005-0000-0000-00005D0E0000}"/>
    <cellStyle name="Normal 12 6 3 2" xfId="30378" xr:uid="{453C24C3-FD76-4F06-BFE0-0A41E8D82BF3}"/>
    <cellStyle name="Normal 12 6 3 3" xfId="21949" xr:uid="{643084D8-2F81-45E2-B261-AB4256135E51}"/>
    <cellStyle name="Normal 12 6 3 4" xfId="38806" xr:uid="{A7C3A504-D66C-4117-917D-565AFBFD3343}"/>
    <cellStyle name="Normal 12 6 3 5" xfId="13514" xr:uid="{0E43E771-8978-40EB-95A2-BDE704EEA295}"/>
    <cellStyle name="Normal 12 6 4" xfId="26160" xr:uid="{A037C3D5-8BBE-474F-AD5A-1B4F85188FF4}"/>
    <cellStyle name="Normal 12 6 5" xfId="17731" xr:uid="{036F7F03-AB32-40F3-B6E0-9714172C6DA0}"/>
    <cellStyle name="Normal 12 6 6" xfId="34589" xr:uid="{94DA460C-863B-4AAD-A0CA-F8E4A70B182E}"/>
    <cellStyle name="Normal 12 6 7" xfId="9296" xr:uid="{9EF5964B-5819-4D74-A6DB-0814F15FD282}"/>
    <cellStyle name="Normal 12 7" xfId="1183" xr:uid="{00000000-0005-0000-0000-00005E0E0000}"/>
    <cellStyle name="Normal 12 7 2" xfId="3414" xr:uid="{00000000-0005-0000-0000-00005F0E0000}"/>
    <cellStyle name="Normal 12 7 2 2" xfId="7637" xr:uid="{00000000-0005-0000-0000-0000600E0000}"/>
    <cellStyle name="Normal 12 7 2 2 2" xfId="32936" xr:uid="{7D0199DA-D5EE-4625-A0F8-1DD6A740311F}"/>
    <cellStyle name="Normal 12 7 2 2 3" xfId="24507" xr:uid="{C1884D3D-B052-4E71-8395-E3CC28690356}"/>
    <cellStyle name="Normal 12 7 2 2 4" xfId="41364" xr:uid="{9E96C963-8D09-44EE-A896-FFF46398B8E3}"/>
    <cellStyle name="Normal 12 7 2 2 5" xfId="16072" xr:uid="{9372DED3-80C6-421F-B04D-76A19712E0F9}"/>
    <cellStyle name="Normal 12 7 2 3" xfId="28718" xr:uid="{2619AEC1-185D-4F46-9AD7-41DDC8E262A9}"/>
    <cellStyle name="Normal 12 7 2 4" xfId="20289" xr:uid="{039310AD-034D-450F-816C-F8159A73C482}"/>
    <cellStyle name="Normal 12 7 2 5" xfId="37147" xr:uid="{A1D11F95-73C1-4947-B0C2-DAE3C42E799D}"/>
    <cellStyle name="Normal 12 7 2 6" xfId="11854" xr:uid="{E88C2C2B-8CE5-4C13-9CD8-5D72F2A18C2D}"/>
    <cellStyle name="Normal 12 7 3" xfId="5492" xr:uid="{00000000-0005-0000-0000-0000610E0000}"/>
    <cellStyle name="Normal 12 7 3 2" xfId="30791" xr:uid="{9E3763F8-78E1-4EF3-96CC-D1DFDBCE5EF9}"/>
    <cellStyle name="Normal 12 7 3 3" xfId="22362" xr:uid="{0D028412-35D7-43E6-A5AF-3171AA59B21F}"/>
    <cellStyle name="Normal 12 7 3 4" xfId="39219" xr:uid="{DB1420D0-3323-4629-992A-5554860FE04C}"/>
    <cellStyle name="Normal 12 7 3 5" xfId="13927" xr:uid="{6D4D7578-33DE-4A83-B92F-E7C23C1DA9E4}"/>
    <cellStyle name="Normal 12 7 4" xfId="26573" xr:uid="{08816330-DE75-414F-A892-91FB7E73C0E5}"/>
    <cellStyle name="Normal 12 7 5" xfId="18144" xr:uid="{ACD53586-9A83-4482-BC0B-761DC91E3316}"/>
    <cellStyle name="Normal 12 7 6" xfId="35002" xr:uid="{9B586519-6878-4F96-B9D6-180F5F184B0B}"/>
    <cellStyle name="Normal 12 7 7" xfId="9709" xr:uid="{551B652C-0BC3-4B8E-BB21-8648006B4348}"/>
    <cellStyle name="Normal 12 8" xfId="1597" xr:uid="{00000000-0005-0000-0000-0000620E0000}"/>
    <cellStyle name="Normal 12 8 2" xfId="3827" xr:uid="{00000000-0005-0000-0000-0000630E0000}"/>
    <cellStyle name="Normal 12 8 2 2" xfId="8050" xr:uid="{00000000-0005-0000-0000-0000640E0000}"/>
    <cellStyle name="Normal 12 8 2 2 2" xfId="33349" xr:uid="{13DE6374-1D3C-467A-B0FD-FB2E08364EEA}"/>
    <cellStyle name="Normal 12 8 2 2 3" xfId="24920" xr:uid="{AADC15FB-345B-47D1-8368-47EE204E953A}"/>
    <cellStyle name="Normal 12 8 2 2 4" xfId="41777" xr:uid="{A6B6CB77-8BD8-44A5-B58E-5C0411340180}"/>
    <cellStyle name="Normal 12 8 2 2 5" xfId="16485" xr:uid="{BF332153-7D58-4420-A932-22A907654FE7}"/>
    <cellStyle name="Normal 12 8 2 3" xfId="29131" xr:uid="{DB707FAE-AD9A-47C9-9EF7-21334CDE704A}"/>
    <cellStyle name="Normal 12 8 2 4" xfId="20702" xr:uid="{136D6949-26D5-45F1-B344-6473FB569B1C}"/>
    <cellStyle name="Normal 12 8 2 5" xfId="37560" xr:uid="{B506D2BA-D6D2-4BCA-98B0-FF41B0FC4245}"/>
    <cellStyle name="Normal 12 8 2 6" xfId="12267" xr:uid="{6E3C74D1-0D8A-448C-93E4-F4363E27500B}"/>
    <cellStyle name="Normal 12 8 3" xfId="5905" xr:uid="{00000000-0005-0000-0000-0000650E0000}"/>
    <cellStyle name="Normal 12 8 3 2" xfId="31204" xr:uid="{C9D711F0-A574-460B-84A8-60E0CF8C46C0}"/>
    <cellStyle name="Normal 12 8 3 3" xfId="22775" xr:uid="{5364E0A9-0B5B-4DDB-96C8-ED1162DEC26E}"/>
    <cellStyle name="Normal 12 8 3 4" xfId="39632" xr:uid="{14D85BB2-18D4-4063-9FA1-6CB3539E5C12}"/>
    <cellStyle name="Normal 12 8 3 5" xfId="14340" xr:uid="{CFE81CD4-B308-4427-B7D9-72F6680249A6}"/>
    <cellStyle name="Normal 12 8 4" xfId="26986" xr:uid="{EA453A08-5EEC-4A86-B736-B286D05F7631}"/>
    <cellStyle name="Normal 12 8 5" xfId="18557" xr:uid="{7D9EAC33-2127-4927-9A33-6DCA5D3CCBEB}"/>
    <cellStyle name="Normal 12 8 6" xfId="35415" xr:uid="{9B36AE2B-10A2-40B4-95F8-BB8B36090E25}"/>
    <cellStyle name="Normal 12 8 7" xfId="10122" xr:uid="{CDA1B15A-8001-4DED-A14C-1EB8FCC7AE92}"/>
    <cellStyle name="Normal 12 9" xfId="2011" xr:uid="{00000000-0005-0000-0000-0000660E0000}"/>
    <cellStyle name="Normal 12 9 2" xfId="4240" xr:uid="{00000000-0005-0000-0000-0000670E0000}"/>
    <cellStyle name="Normal 12 9 2 2" xfId="8463" xr:uid="{00000000-0005-0000-0000-0000680E0000}"/>
    <cellStyle name="Normal 12 9 2 2 2" xfId="33762" xr:uid="{CECD2FDE-6DC9-42B8-B222-7C3133A98417}"/>
    <cellStyle name="Normal 12 9 2 2 3" xfId="25333" xr:uid="{9ADD240F-04CB-4A71-BCFB-3CDE690646E9}"/>
    <cellStyle name="Normal 12 9 2 2 4" xfId="42190" xr:uid="{02B4A5AB-AB5A-4655-82F1-DCDB88D3B221}"/>
    <cellStyle name="Normal 12 9 2 2 5" xfId="16898" xr:uid="{3DD51098-27D0-4E27-851A-80D163211D7D}"/>
    <cellStyle name="Normal 12 9 2 3" xfId="29544" xr:uid="{B412BE11-24F5-4E78-BB6B-A93C73F964D0}"/>
    <cellStyle name="Normal 12 9 2 4" xfId="21115" xr:uid="{DA0E8E09-4699-4AEB-80C4-2DD8EA0F6924}"/>
    <cellStyle name="Normal 12 9 2 5" xfId="37973" xr:uid="{9C96F2CD-5CED-4B04-B0DE-D5F43D245010}"/>
    <cellStyle name="Normal 12 9 2 6" xfId="12680" xr:uid="{44F545AA-D8B4-4422-85E4-4206D6E506B7}"/>
    <cellStyle name="Normal 12 9 3" xfId="6318" xr:uid="{00000000-0005-0000-0000-0000690E0000}"/>
    <cellStyle name="Normal 12 9 3 2" xfId="31617" xr:uid="{2CF5B105-4379-4EC6-AE68-FD06DA7A4115}"/>
    <cellStyle name="Normal 12 9 3 3" xfId="23188" xr:uid="{DB3073C8-B77D-4195-AD5D-C77E1E942C7B}"/>
    <cellStyle name="Normal 12 9 3 4" xfId="40045" xr:uid="{5638650A-14F4-43C3-A95F-92831D4E98E3}"/>
    <cellStyle name="Normal 12 9 3 5" xfId="14753" xr:uid="{6F23525D-589F-4F87-8649-364DAC93106D}"/>
    <cellStyle name="Normal 12 9 4" xfId="27399" xr:uid="{483F4431-E468-43D5-B817-6681C32DFAF8}"/>
    <cellStyle name="Normal 12 9 5" xfId="18970" xr:uid="{F148ACAA-71CD-4EE7-9400-6B421F785179}"/>
    <cellStyle name="Normal 12 9 6" xfId="35828" xr:uid="{3C9237D1-B35D-426A-B82D-9DF3B4613727}"/>
    <cellStyle name="Normal 12 9 7" xfId="10535" xr:uid="{D93C3C86-9D31-4B41-B271-26AF4747EAF2}"/>
    <cellStyle name="Normal 13" xfId="268" xr:uid="{00000000-0005-0000-0000-00006A0E0000}"/>
    <cellStyle name="Normal 13 2" xfId="269" xr:uid="{00000000-0005-0000-0000-00006B0E0000}"/>
    <cellStyle name="Normal 14" xfId="270" xr:uid="{00000000-0005-0000-0000-00006C0E0000}"/>
    <cellStyle name="Normal 14 10" xfId="34183" xr:uid="{868FB338-CA4B-4970-95F3-F739F83AC1FE}"/>
    <cellStyle name="Normal 14 11" xfId="8890" xr:uid="{9CCF730D-774E-4B0A-A4C4-CFDB47ECBC52}"/>
    <cellStyle name="Normal 14 2" xfId="768" xr:uid="{00000000-0005-0000-0000-00006D0E0000}"/>
    <cellStyle name="Normal 14 2 2" xfId="3009" xr:uid="{00000000-0005-0000-0000-00006E0E0000}"/>
    <cellStyle name="Normal 14 2 2 2" xfId="7232" xr:uid="{00000000-0005-0000-0000-00006F0E0000}"/>
    <cellStyle name="Normal 14 2 2 2 2" xfId="32531" xr:uid="{A6498E73-4CCF-4925-94FE-C9FA1DFD7B82}"/>
    <cellStyle name="Normal 14 2 2 2 3" xfId="24102" xr:uid="{9E1B669F-E702-4FA3-BF4D-10A50DE412C4}"/>
    <cellStyle name="Normal 14 2 2 2 4" xfId="40959" xr:uid="{58667786-0F3F-4537-B601-1F82CDA95883}"/>
    <cellStyle name="Normal 14 2 2 2 5" xfId="15667" xr:uid="{EB402DDF-D238-44D1-BEC5-FC46C2F7B0A3}"/>
    <cellStyle name="Normal 14 2 2 3" xfId="28313" xr:uid="{D39D3EC8-E5CC-4762-9F19-C8EBA92C1A1A}"/>
    <cellStyle name="Normal 14 2 2 4" xfId="19884" xr:uid="{ECD8340A-AD0D-4320-ABA1-426691DA33B0}"/>
    <cellStyle name="Normal 14 2 2 5" xfId="36742" xr:uid="{CDD02F1D-EFA6-4262-8455-62050EB97882}"/>
    <cellStyle name="Normal 14 2 2 6" xfId="11449" xr:uid="{E57AED4C-978E-4B62-B9E1-2E4918B1023F}"/>
    <cellStyle name="Normal 14 2 3" xfId="5087" xr:uid="{00000000-0005-0000-0000-0000700E0000}"/>
    <cellStyle name="Normal 14 2 3 2" xfId="30386" xr:uid="{2754BF2C-9489-4E31-80B5-94B92F4DAD57}"/>
    <cellStyle name="Normal 14 2 3 3" xfId="21957" xr:uid="{3D408A0D-B61D-4996-843A-E778DCCF1B32}"/>
    <cellStyle name="Normal 14 2 3 4" xfId="38814" xr:uid="{ED4246DA-8DE6-4966-88B0-F071C188E270}"/>
    <cellStyle name="Normal 14 2 3 5" xfId="13522" xr:uid="{024994A6-EC5F-4E50-8FBA-8C2172036AB9}"/>
    <cellStyle name="Normal 14 2 4" xfId="26168" xr:uid="{0D68A66E-CC63-4692-A122-A97F9D6E2AF3}"/>
    <cellStyle name="Normal 14 2 5" xfId="17739" xr:uid="{2BEB91B4-100E-45D6-B359-14BA1AA47D7D}"/>
    <cellStyle name="Normal 14 2 6" xfId="34597" xr:uid="{6B16F39A-2129-4998-9DD5-83D35D086E7A}"/>
    <cellStyle name="Normal 14 2 7" xfId="9304" xr:uid="{1943BF9E-19A2-4BB3-91B5-FCB187DEBBBE}"/>
    <cellStyle name="Normal 14 3" xfId="1191" xr:uid="{00000000-0005-0000-0000-0000710E0000}"/>
    <cellStyle name="Normal 14 3 2" xfId="3422" xr:uid="{00000000-0005-0000-0000-0000720E0000}"/>
    <cellStyle name="Normal 14 3 2 2" xfId="7645" xr:uid="{00000000-0005-0000-0000-0000730E0000}"/>
    <cellStyle name="Normal 14 3 2 2 2" xfId="32944" xr:uid="{D78E7395-E57C-4C22-9E3C-BB4E1AEDF833}"/>
    <cellStyle name="Normal 14 3 2 2 3" xfId="24515" xr:uid="{35F94D78-0315-4A35-82C3-DB8E2B2B6C32}"/>
    <cellStyle name="Normal 14 3 2 2 4" xfId="41372" xr:uid="{EC4F2DAA-C402-46F9-9E6A-5E990191F99E}"/>
    <cellStyle name="Normal 14 3 2 2 5" xfId="16080" xr:uid="{66B296A6-AB69-464F-BAA4-4A9A7A49EFFF}"/>
    <cellStyle name="Normal 14 3 2 3" xfId="28726" xr:uid="{0EA742E7-E952-4252-94F4-D89BACE8B7EB}"/>
    <cellStyle name="Normal 14 3 2 4" xfId="20297" xr:uid="{D4B7227B-6739-4252-AD6E-294955131A4D}"/>
    <cellStyle name="Normal 14 3 2 5" xfId="37155" xr:uid="{284643B8-28C7-4134-8C1E-BE5D52EC5C3C}"/>
    <cellStyle name="Normal 14 3 2 6" xfId="11862" xr:uid="{13204290-DD44-43E6-8930-F15F59897365}"/>
    <cellStyle name="Normal 14 3 3" xfId="5500" xr:uid="{00000000-0005-0000-0000-0000740E0000}"/>
    <cellStyle name="Normal 14 3 3 2" xfId="30799" xr:uid="{13E3E889-52B6-474A-A335-841BC7674F44}"/>
    <cellStyle name="Normal 14 3 3 3" xfId="22370" xr:uid="{1E1EFEC8-BAC4-49F4-B4E8-118F804840A3}"/>
    <cellStyle name="Normal 14 3 3 4" xfId="39227" xr:uid="{52217518-F177-4F5B-A50A-554F44394AE5}"/>
    <cellStyle name="Normal 14 3 3 5" xfId="13935" xr:uid="{68259C9D-326F-431B-8FF8-D172911C46E5}"/>
    <cellStyle name="Normal 14 3 4" xfId="26581" xr:uid="{27DD09FB-F41E-4897-A7C2-7DDB4EE71B78}"/>
    <cellStyle name="Normal 14 3 5" xfId="18152" xr:uid="{5E1CB7BE-7E9A-47F2-B701-D735A07180EB}"/>
    <cellStyle name="Normal 14 3 6" xfId="35010" xr:uid="{6138429F-00F0-48A5-899B-4A459EEFBB37}"/>
    <cellStyle name="Normal 14 3 7" xfId="9717" xr:uid="{9391497C-68B6-4C2C-8ADB-7B54ACC20EDE}"/>
    <cellStyle name="Normal 14 4" xfId="1605" xr:uid="{00000000-0005-0000-0000-0000750E0000}"/>
    <cellStyle name="Normal 14 4 2" xfId="3835" xr:uid="{00000000-0005-0000-0000-0000760E0000}"/>
    <cellStyle name="Normal 14 4 2 2" xfId="8058" xr:uid="{00000000-0005-0000-0000-0000770E0000}"/>
    <cellStyle name="Normal 14 4 2 2 2" xfId="33357" xr:uid="{4BCB3141-F651-42F7-A1A7-262A6F198441}"/>
    <cellStyle name="Normal 14 4 2 2 3" xfId="24928" xr:uid="{3F7102E7-B122-4F71-8AA1-4B5BF0A51EA5}"/>
    <cellStyle name="Normal 14 4 2 2 4" xfId="41785" xr:uid="{8AD104B8-7F98-4124-8D5A-9914AA54F2D8}"/>
    <cellStyle name="Normal 14 4 2 2 5" xfId="16493" xr:uid="{E3B3C7A6-308C-48C3-A81E-03C37986CAEA}"/>
    <cellStyle name="Normal 14 4 2 3" xfId="29139" xr:uid="{5B3834D6-5BC1-4307-AF35-29678474513E}"/>
    <cellStyle name="Normal 14 4 2 4" xfId="20710" xr:uid="{A0366477-6D50-4092-8558-2D93649C0025}"/>
    <cellStyle name="Normal 14 4 2 5" xfId="37568" xr:uid="{C6632C72-A90A-4690-8D27-C09233EB354F}"/>
    <cellStyle name="Normal 14 4 2 6" xfId="12275" xr:uid="{EFCB0414-89EA-428D-BA11-09E505B5A45D}"/>
    <cellStyle name="Normal 14 4 3" xfId="5913" xr:uid="{00000000-0005-0000-0000-0000780E0000}"/>
    <cellStyle name="Normal 14 4 3 2" xfId="31212" xr:uid="{8EBC4E7A-4CD0-49BD-8B11-C79307F0CC0E}"/>
    <cellStyle name="Normal 14 4 3 3" xfId="22783" xr:uid="{6D4CA06F-65DD-4DE9-8CF9-0DBB521ADE12}"/>
    <cellStyle name="Normal 14 4 3 4" xfId="39640" xr:uid="{0587862E-69B1-4F1A-BAF3-730726E1C55C}"/>
    <cellStyle name="Normal 14 4 3 5" xfId="14348" xr:uid="{F1386FC6-5AA9-45D5-8A9E-9D51CEBDFEAD}"/>
    <cellStyle name="Normal 14 4 4" xfId="26994" xr:uid="{0FF1757F-19DD-4525-8FF5-A92B587A4A93}"/>
    <cellStyle name="Normal 14 4 5" xfId="18565" xr:uid="{3B8C70EE-B993-49F7-BF64-1A06F3AB5F0D}"/>
    <cellStyle name="Normal 14 4 6" xfId="35423" xr:uid="{DBB722C7-A693-411B-901A-740341A190ED}"/>
    <cellStyle name="Normal 14 4 7" xfId="10130" xr:uid="{9FDDBBEC-622A-423D-AA1D-69A4DA984151}"/>
    <cellStyle name="Normal 14 5" xfId="2019" xr:uid="{00000000-0005-0000-0000-0000790E0000}"/>
    <cellStyle name="Normal 14 5 2" xfId="4248" xr:uid="{00000000-0005-0000-0000-00007A0E0000}"/>
    <cellStyle name="Normal 14 5 2 2" xfId="8471" xr:uid="{00000000-0005-0000-0000-00007B0E0000}"/>
    <cellStyle name="Normal 14 5 2 2 2" xfId="33770" xr:uid="{F829D28F-AAC4-48B6-B6BF-FDC2EC00E745}"/>
    <cellStyle name="Normal 14 5 2 2 3" xfId="25341" xr:uid="{EACD98CA-5BE3-4114-A4DF-E286B0DF6F7E}"/>
    <cellStyle name="Normal 14 5 2 2 4" xfId="42198" xr:uid="{5E8E8149-31E6-46A4-A9A4-D803C73A0AF6}"/>
    <cellStyle name="Normal 14 5 2 2 5" xfId="16906" xr:uid="{0BDA0472-123D-449E-B779-6D4D1A4622DD}"/>
    <cellStyle name="Normal 14 5 2 3" xfId="29552" xr:uid="{B2ED04E9-FC6F-48F2-A0FF-3D43E6E4490F}"/>
    <cellStyle name="Normal 14 5 2 4" xfId="21123" xr:uid="{3CA9CF9A-AFB1-4506-952E-F849E37B549C}"/>
    <cellStyle name="Normal 14 5 2 5" xfId="37981" xr:uid="{8493A73F-3DA4-4797-9AC8-655CC0850559}"/>
    <cellStyle name="Normal 14 5 2 6" xfId="12688" xr:uid="{59A5B9F0-FDD0-41F6-B204-4F2AD7D554CD}"/>
    <cellStyle name="Normal 14 5 3" xfId="6326" xr:uid="{00000000-0005-0000-0000-00007C0E0000}"/>
    <cellStyle name="Normal 14 5 3 2" xfId="31625" xr:uid="{A7B613CA-EB19-4ECA-A72A-CF779B1F8971}"/>
    <cellStyle name="Normal 14 5 3 3" xfId="23196" xr:uid="{9CBCEF27-3C34-410B-B5D2-8D1B5E139225}"/>
    <cellStyle name="Normal 14 5 3 4" xfId="40053" xr:uid="{B31C07B0-7977-4CDF-86AC-FA410FA406E7}"/>
    <cellStyle name="Normal 14 5 3 5" xfId="14761" xr:uid="{C83FFA6B-9060-492F-88DA-25F2AF2AD6B7}"/>
    <cellStyle name="Normal 14 5 4" xfId="27407" xr:uid="{D1FE1C93-42E5-4DE4-AEFE-950F98EC2C93}"/>
    <cellStyle name="Normal 14 5 5" xfId="18978" xr:uid="{43C44484-17C0-40A2-A2BA-C7A0A6F141AD}"/>
    <cellStyle name="Normal 14 5 6" xfId="35836" xr:uid="{4C4CF7C4-41CB-44B6-9C51-A4FD61BC7DF7}"/>
    <cellStyle name="Normal 14 5 7" xfId="10543" xr:uid="{DC13CA97-23CC-4FD6-AFD0-83C955C45B9F}"/>
    <cellStyle name="Normal 14 6" xfId="2455" xr:uid="{00000000-0005-0000-0000-00007D0E0000}"/>
    <cellStyle name="Normal 14 6 2" xfId="6739" xr:uid="{00000000-0005-0000-0000-00007E0E0000}"/>
    <cellStyle name="Normal 14 6 2 2" xfId="32038" xr:uid="{222E993A-CDA3-440E-BD43-00A64A935264}"/>
    <cellStyle name="Normal 14 6 2 3" xfId="23609" xr:uid="{CE15B0F4-CE4E-470D-B70B-0DBBADABB8FF}"/>
    <cellStyle name="Normal 14 6 2 4" xfId="40466" xr:uid="{8D34F3F7-DAF1-4921-836D-E2642D0ACE36}"/>
    <cellStyle name="Normal 14 6 2 5" xfId="15174" xr:uid="{69F02284-898A-4D1C-BF72-29177D3C3B9C}"/>
    <cellStyle name="Normal 14 6 3" xfId="27820" xr:uid="{7B58FF9F-E62B-4328-95D7-EBD9D2831853}"/>
    <cellStyle name="Normal 14 6 4" xfId="19391" xr:uid="{ABC695D3-A806-4CA3-99C4-B8093421D132}"/>
    <cellStyle name="Normal 14 6 5" xfId="36249" xr:uid="{1472BEDB-41B7-4BDA-BBE8-2B27EE05543C}"/>
    <cellStyle name="Normal 14 6 6" xfId="10956" xr:uid="{771710A0-4241-4001-9711-86107AD5F167}"/>
    <cellStyle name="Normal 14 7" xfId="4673" xr:uid="{00000000-0005-0000-0000-00007F0E0000}"/>
    <cellStyle name="Normal 14 7 2" xfId="29972" xr:uid="{0153D889-26F3-4D90-803D-224306EF229A}"/>
    <cellStyle name="Normal 14 7 3" xfId="21543" xr:uid="{8538F8F0-D8C2-412A-B625-AB76924B8BE7}"/>
    <cellStyle name="Normal 14 7 4" xfId="38400" xr:uid="{278EBB37-CB2A-46BF-B102-F4F38A95B46E}"/>
    <cellStyle name="Normal 14 7 5" xfId="13108" xr:uid="{96FE1398-4F43-4737-87B5-6886DDD915EC}"/>
    <cellStyle name="Normal 14 8" xfId="25754" xr:uid="{CCE183B3-D2B0-4A36-96CB-BA47819179AA}"/>
    <cellStyle name="Normal 14 9" xfId="17325" xr:uid="{A7C981ED-F1A5-4C93-9CBC-F45AE898217F}"/>
    <cellStyle name="Normal 15" xfId="4496" xr:uid="{00000000-0005-0000-0000-0000800E0000}"/>
    <cellStyle name="Normal 15 2" xfId="29798" xr:uid="{C8757DC1-C835-4200-8800-F8CA230DC9C1}"/>
    <cellStyle name="Normal 15 3" xfId="21369" xr:uid="{27B5D57A-C0A4-48CC-B631-93D025BE9877}"/>
    <cellStyle name="Normal 15 4" xfId="38226" xr:uid="{F45FC5A8-E5C5-4DC6-9218-846EADCE4EC1}"/>
    <cellStyle name="Normal 15 5" xfId="12934" xr:uid="{874DE215-5ECF-4367-BBF8-83872038B8E0}"/>
    <cellStyle name="Normal 15 6" xfId="42443" xr:uid="{8D61A028-F490-4AA1-BE11-651F01B5BB01}"/>
    <cellStyle name="Normal 16" xfId="4500" xr:uid="{00000000-0005-0000-0000-0000810E0000}"/>
    <cellStyle name="Normal 16 2" xfId="8716" xr:uid="{00000000-0005-0000-0000-0000820E0000}"/>
    <cellStyle name="Normal 16 2 2" xfId="29801" xr:uid="{39D8D0AD-0CA6-4CA5-87B5-37ABA6ECD90E}"/>
    <cellStyle name="Normal 16 2 3" xfId="17151" xr:uid="{DD4A2C90-5964-47F8-9C68-6A94D02346EA}"/>
    <cellStyle name="Normal 16 3" xfId="8719" xr:uid="{3DE1BEEB-61FA-4094-B10F-9E0444F68763}"/>
    <cellStyle name="Normal 16 3 2" xfId="17154" xr:uid="{C19A66C1-794A-4687-827B-C1DF62520157}"/>
    <cellStyle name="Normal 16 4" xfId="21372" xr:uid="{CB8122D6-A3DF-45AC-A54A-1D85BBBD0D62}"/>
    <cellStyle name="Normal 16 5" xfId="38229" xr:uid="{07AB04D6-D1B9-41A5-A6D4-776B71CC13F5}"/>
    <cellStyle name="Normal 16 6" xfId="12937" xr:uid="{153A9F66-1DF1-4E77-B9A6-F0F109FFF2C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33771" xr:uid="{18CA6A4E-3754-46B1-8DD3-0E166A8EB7AB}"/>
    <cellStyle name="Normal 2 4 2 10 2 2 3" xfId="25342" xr:uid="{0E518B3F-7C94-47D0-9479-05808B812FEB}"/>
    <cellStyle name="Normal 2 4 2 10 2 2 4" xfId="42199" xr:uid="{ED0983E9-6CD2-4BEE-84CC-CFAAC0877365}"/>
    <cellStyle name="Normal 2 4 2 10 2 2 5" xfId="16907" xr:uid="{F2BF945F-03AB-4EC6-9BD6-0ED0E94A8D17}"/>
    <cellStyle name="Normal 2 4 2 10 2 3" xfId="29553" xr:uid="{1CBE201C-E42E-4B66-8C4A-E0198A645B20}"/>
    <cellStyle name="Normal 2 4 2 10 2 4" xfId="21124" xr:uid="{F629B4A9-4EB1-4490-8FD9-4B1BB8914CCD}"/>
    <cellStyle name="Normal 2 4 2 10 2 5" xfId="37982" xr:uid="{19297E5C-5908-4318-AC9D-9F0D32326685}"/>
    <cellStyle name="Normal 2 4 2 10 2 6" xfId="12689" xr:uid="{CD9C425D-A236-4804-A71F-6B88543054D8}"/>
    <cellStyle name="Normal 2 4 2 10 3" xfId="6327" xr:uid="{00000000-0005-0000-0000-0000910E0000}"/>
    <cellStyle name="Normal 2 4 2 10 3 2" xfId="31626" xr:uid="{94CC8CC5-0B26-410B-B7AB-9A4647F7301A}"/>
    <cellStyle name="Normal 2 4 2 10 3 3" xfId="23197" xr:uid="{B7B0B72C-F105-477C-8E12-5FDB725FF097}"/>
    <cellStyle name="Normal 2 4 2 10 3 4" xfId="40054" xr:uid="{BA206AE2-C436-42D9-B707-B31DCDEC6507}"/>
    <cellStyle name="Normal 2 4 2 10 3 5" xfId="14762" xr:uid="{B59000B6-FADC-4B52-9C74-6DA544F47FA1}"/>
    <cellStyle name="Normal 2 4 2 10 4" xfId="27408" xr:uid="{8AA83D8D-8930-44EB-A4A9-E3324F425E7B}"/>
    <cellStyle name="Normal 2 4 2 10 5" xfId="18979" xr:uid="{1FF484B8-F844-4E71-84D6-E887779DE5A1}"/>
    <cellStyle name="Normal 2 4 2 10 6" xfId="35837" xr:uid="{5179BB1C-43FC-4A2A-B120-999FD51B9D4C}"/>
    <cellStyle name="Normal 2 4 2 10 7" xfId="10544" xr:uid="{C0DDF97C-7428-47BD-B625-264FA02E9D3F}"/>
    <cellStyle name="Normal 2 4 2 11" xfId="2456" xr:uid="{00000000-0005-0000-0000-0000920E0000}"/>
    <cellStyle name="Normal 2 4 2 11 2" xfId="6740" xr:uid="{00000000-0005-0000-0000-0000930E0000}"/>
    <cellStyle name="Normal 2 4 2 11 2 2" xfId="32039" xr:uid="{1560A512-AED5-47E3-B2D2-2759223A407E}"/>
    <cellStyle name="Normal 2 4 2 11 2 3" xfId="23610" xr:uid="{1E1C805D-155F-4F53-81DF-825042D3B185}"/>
    <cellStyle name="Normal 2 4 2 11 2 4" xfId="40467" xr:uid="{918EC920-DF33-462D-983F-7F2E2166A170}"/>
    <cellStyle name="Normal 2 4 2 11 2 5" xfId="15175" xr:uid="{F48B4FC7-FB44-4755-89F3-B326224815DD}"/>
    <cellStyle name="Normal 2 4 2 11 3" xfId="27821" xr:uid="{9262F5DA-7AA2-4764-AD59-8D2630AF4513}"/>
    <cellStyle name="Normal 2 4 2 11 4" xfId="19392" xr:uid="{2C4E6248-AD67-40DE-B6F7-494ACFE77888}"/>
    <cellStyle name="Normal 2 4 2 11 5" xfId="36250" xr:uid="{D79936F3-45D3-4C8E-BFD8-5C4BB5782056}"/>
    <cellStyle name="Normal 2 4 2 11 6" xfId="10957" xr:uid="{027A438F-617C-4EF4-A80E-F717D1614E24}"/>
    <cellStyle name="Normal 2 4 2 12" xfId="4674" xr:uid="{00000000-0005-0000-0000-0000940E0000}"/>
    <cellStyle name="Normal 2 4 2 12 2" xfId="29973" xr:uid="{2F45C8DD-588A-42CA-9EFE-90C68A3F1AFD}"/>
    <cellStyle name="Normal 2 4 2 12 3" xfId="21544" xr:uid="{9D1880A0-BB7A-42D5-A47D-218E58B6D17A}"/>
    <cellStyle name="Normal 2 4 2 12 4" xfId="38401" xr:uid="{9E68F3B6-E682-465B-917A-03051CC4B338}"/>
    <cellStyle name="Normal 2 4 2 12 5" xfId="13109" xr:uid="{E2B53A57-6174-4515-B5D2-95FCD1AD7458}"/>
    <cellStyle name="Normal 2 4 2 13" xfId="25755" xr:uid="{ED70CE5C-CBBA-4761-8E62-55A5B3D12E85}"/>
    <cellStyle name="Normal 2 4 2 14" xfId="17326" xr:uid="{424D2014-8EE7-4C85-91EE-669C46EA8CDB}"/>
    <cellStyle name="Normal 2 4 2 15" xfId="34184" xr:uid="{A95D2A3F-AD29-490C-82E9-D19B93F9B970}"/>
    <cellStyle name="Normal 2 4 2 16" xfId="8891" xr:uid="{951A7717-A3AF-4495-9D52-E2AAA023F12E}"/>
    <cellStyle name="Normal 2 4 2 2" xfId="280" xr:uid="{00000000-0005-0000-0000-0000950E0000}"/>
    <cellStyle name="Normal 2 4 2 3" xfId="281" xr:uid="{00000000-0005-0000-0000-0000960E0000}"/>
    <cellStyle name="Normal 2 4 2 3 10" xfId="4675" xr:uid="{00000000-0005-0000-0000-0000970E0000}"/>
    <cellStyle name="Normal 2 4 2 3 10 2" xfId="29974" xr:uid="{448E7F11-62FA-41F9-8836-72638A71C40D}"/>
    <cellStyle name="Normal 2 4 2 3 10 3" xfId="21545" xr:uid="{A6FBA18E-AA0C-4214-B9B8-B31A755FB0E4}"/>
    <cellStyle name="Normal 2 4 2 3 10 4" xfId="38402" xr:uid="{705DF0E3-2001-4F52-B07B-7C764F59AE52}"/>
    <cellStyle name="Normal 2 4 2 3 10 5" xfId="13110" xr:uid="{DF372414-3A54-4B6A-9C08-7B861D054B62}"/>
    <cellStyle name="Normal 2 4 2 3 11" xfId="25756" xr:uid="{5EF86F29-A01F-4F32-9870-46DB53C0C4F4}"/>
    <cellStyle name="Normal 2 4 2 3 12" xfId="17327" xr:uid="{02A6C92C-51A1-448E-BB49-CD60DED0D40A}"/>
    <cellStyle name="Normal 2 4 2 3 13" xfId="34185" xr:uid="{05E88700-7A45-46C4-A019-0C9D13386653}"/>
    <cellStyle name="Normal 2 4 2 3 14" xfId="8892" xr:uid="{90AE0123-77A0-420F-ABF7-F896C1F9FB79}"/>
    <cellStyle name="Normal 2 4 2 3 2" xfId="282" xr:uid="{00000000-0005-0000-0000-0000980E0000}"/>
    <cellStyle name="Normal 2 4 2 3 2 10" xfId="25757" xr:uid="{58242F6D-2B30-4494-A1C8-F612F20D6368}"/>
    <cellStyle name="Normal 2 4 2 3 2 11" xfId="17328" xr:uid="{3F3A139B-CF29-4BDE-BD68-A2B5B84E3F07}"/>
    <cellStyle name="Normal 2 4 2 3 2 12" xfId="34186" xr:uid="{A204D6E1-7B30-43A5-833D-5E1F12F9AF4A}"/>
    <cellStyle name="Normal 2 4 2 3 2 13" xfId="8893" xr:uid="{459CDA35-AF7E-4DC0-9A83-A0F16ABDC476}"/>
    <cellStyle name="Normal 2 4 2 3 2 2" xfId="283" xr:uid="{00000000-0005-0000-0000-0000990E0000}"/>
    <cellStyle name="Normal 2 4 2 3 2 2 10" xfId="17329" xr:uid="{34FC1662-7A51-4049-A211-2FCE07DF9DB5}"/>
    <cellStyle name="Normal 2 4 2 3 2 2 11" xfId="34187" xr:uid="{FCE90B63-C355-4877-BB75-F41C9700B7A3}"/>
    <cellStyle name="Normal 2 4 2 3 2 2 12" xfId="8894" xr:uid="{E1C40868-63DB-48B6-A14E-E03C65C14606}"/>
    <cellStyle name="Normal 2 4 2 3 2 2 2" xfId="284" xr:uid="{00000000-0005-0000-0000-00009A0E0000}"/>
    <cellStyle name="Normal 2 4 2 3 2 2 2 10" xfId="34188" xr:uid="{A0D4DED7-44AD-47A0-A1FB-232CF8C4103C}"/>
    <cellStyle name="Normal 2 4 2 3 2 2 2 11" xfId="8895" xr:uid="{1B812174-A9B4-4E9C-94F5-1E8318637862}"/>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32536" xr:uid="{F686F908-FE68-4CBD-ADA8-E7FA044042EE}"/>
    <cellStyle name="Normal 2 4 2 3 2 2 2 2 2 2 3" xfId="24107" xr:uid="{EC4CB914-54D8-4EAA-9860-F48F9C07AE14}"/>
    <cellStyle name="Normal 2 4 2 3 2 2 2 2 2 2 4" xfId="40964" xr:uid="{1616008D-52EA-4313-9799-4DCAD0FA1F50}"/>
    <cellStyle name="Normal 2 4 2 3 2 2 2 2 2 2 5" xfId="15672" xr:uid="{6F993632-BB2A-4A9A-B990-CE329896E2F2}"/>
    <cellStyle name="Normal 2 4 2 3 2 2 2 2 2 3" xfId="28318" xr:uid="{88E96B5E-FA11-4EAE-9F97-E7C1FE17E0C2}"/>
    <cellStyle name="Normal 2 4 2 3 2 2 2 2 2 4" xfId="19889" xr:uid="{6E72F49C-4744-4BF8-92C5-35D85D1F701F}"/>
    <cellStyle name="Normal 2 4 2 3 2 2 2 2 2 5" xfId="36747" xr:uid="{48177B63-9A9C-4574-9CB0-8FF1C57776E0}"/>
    <cellStyle name="Normal 2 4 2 3 2 2 2 2 2 6" xfId="11454" xr:uid="{0A73DA95-4638-4A72-AA9C-9451F6BBA7E5}"/>
    <cellStyle name="Normal 2 4 2 3 2 2 2 2 3" xfId="5092" xr:uid="{00000000-0005-0000-0000-00009E0E0000}"/>
    <cellStyle name="Normal 2 4 2 3 2 2 2 2 3 2" xfId="30391" xr:uid="{842DD30D-08C1-41B9-ADD2-916DBB9C4E74}"/>
    <cellStyle name="Normal 2 4 2 3 2 2 2 2 3 3" xfId="21962" xr:uid="{AB58AD79-B316-4DE6-8614-10AABE082928}"/>
    <cellStyle name="Normal 2 4 2 3 2 2 2 2 3 4" xfId="38819" xr:uid="{54020021-05BD-48CE-B524-9A414DDC185E}"/>
    <cellStyle name="Normal 2 4 2 3 2 2 2 2 3 5" xfId="13527" xr:uid="{2AA2E60E-9E69-4197-9E80-99B1BCE92157}"/>
    <cellStyle name="Normal 2 4 2 3 2 2 2 2 4" xfId="26173" xr:uid="{8EC6A1F2-B11A-4978-BC78-C2577F8658EA}"/>
    <cellStyle name="Normal 2 4 2 3 2 2 2 2 5" xfId="17744" xr:uid="{A4071867-6380-4F63-B165-FACBBA886F59}"/>
    <cellStyle name="Normal 2 4 2 3 2 2 2 2 6" xfId="34602" xr:uid="{0940705F-59CC-4284-BEAC-49AAF85A194D}"/>
    <cellStyle name="Normal 2 4 2 3 2 2 2 2 7" xfId="9309" xr:uid="{ACB976AA-2A6F-465A-A244-EBA8069A5AF6}"/>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32949" xr:uid="{270F6903-16AF-48C0-996E-17C73F13434C}"/>
    <cellStyle name="Normal 2 4 2 3 2 2 2 3 2 2 3" xfId="24520" xr:uid="{70C2A02A-0C71-4A25-B2BD-E81BCB935930}"/>
    <cellStyle name="Normal 2 4 2 3 2 2 2 3 2 2 4" xfId="41377" xr:uid="{4AE0D8D5-2A1C-43A9-889B-442091C48CEE}"/>
    <cellStyle name="Normal 2 4 2 3 2 2 2 3 2 2 5" xfId="16085" xr:uid="{714B95FD-B9E4-45C4-A0E2-B95C41AE92F7}"/>
    <cellStyle name="Normal 2 4 2 3 2 2 2 3 2 3" xfId="28731" xr:uid="{833ECB94-DDAC-4BF9-8CB2-586BA19A9467}"/>
    <cellStyle name="Normal 2 4 2 3 2 2 2 3 2 4" xfId="20302" xr:uid="{5E012E71-1F5E-4B95-BD65-32D3746E038F}"/>
    <cellStyle name="Normal 2 4 2 3 2 2 2 3 2 5" xfId="37160" xr:uid="{841DEA8E-465A-4B7E-B767-E8339863930A}"/>
    <cellStyle name="Normal 2 4 2 3 2 2 2 3 2 6" xfId="11867" xr:uid="{FB9F8117-FE57-487B-BDA3-4DB0049CCAFD}"/>
    <cellStyle name="Normal 2 4 2 3 2 2 2 3 3" xfId="5505" xr:uid="{00000000-0005-0000-0000-0000A20E0000}"/>
    <cellStyle name="Normal 2 4 2 3 2 2 2 3 3 2" xfId="30804" xr:uid="{92F588F6-6712-4DD1-A4A5-D9C8574607A3}"/>
    <cellStyle name="Normal 2 4 2 3 2 2 2 3 3 3" xfId="22375" xr:uid="{1F118C4C-5E4E-4B3E-B7E9-0FE30E8801DD}"/>
    <cellStyle name="Normal 2 4 2 3 2 2 2 3 3 4" xfId="39232" xr:uid="{CD1B0EBF-B6FE-431A-825E-3B2E85512CD9}"/>
    <cellStyle name="Normal 2 4 2 3 2 2 2 3 3 5" xfId="13940" xr:uid="{C82DED7D-7AD4-4A5C-8334-94428779F813}"/>
    <cellStyle name="Normal 2 4 2 3 2 2 2 3 4" xfId="26586" xr:uid="{61505A3D-8E42-41ED-B59F-E0D875EF5405}"/>
    <cellStyle name="Normal 2 4 2 3 2 2 2 3 5" xfId="18157" xr:uid="{55B2C15A-3ACD-4E90-850E-811FE9D98DD3}"/>
    <cellStyle name="Normal 2 4 2 3 2 2 2 3 6" xfId="35015" xr:uid="{125FADC5-2464-4DD0-8167-08825F77BB47}"/>
    <cellStyle name="Normal 2 4 2 3 2 2 2 3 7" xfId="9722" xr:uid="{56C32F3D-9164-46AF-A82D-822206C96884}"/>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33362" xr:uid="{6CE8FAF0-A256-4264-84B5-48C226471E07}"/>
    <cellStyle name="Normal 2 4 2 3 2 2 2 4 2 2 3" xfId="24933" xr:uid="{CAF89456-20CF-40F9-A09A-3047280FB3B7}"/>
    <cellStyle name="Normal 2 4 2 3 2 2 2 4 2 2 4" xfId="41790" xr:uid="{682EC3A1-632A-450D-A9AD-63EF62CF3EB2}"/>
    <cellStyle name="Normal 2 4 2 3 2 2 2 4 2 2 5" xfId="16498" xr:uid="{DFEF5280-DA0F-4338-ADCE-E87B37F733AA}"/>
    <cellStyle name="Normal 2 4 2 3 2 2 2 4 2 3" xfId="29144" xr:uid="{53AE7089-8E43-4238-8519-E4F49DD66A53}"/>
    <cellStyle name="Normal 2 4 2 3 2 2 2 4 2 4" xfId="20715" xr:uid="{EB470A18-AAFE-42E0-80B6-DE331329FF70}"/>
    <cellStyle name="Normal 2 4 2 3 2 2 2 4 2 5" xfId="37573" xr:uid="{38857737-DC0B-4E15-A927-92FDA2D212F0}"/>
    <cellStyle name="Normal 2 4 2 3 2 2 2 4 2 6" xfId="12280" xr:uid="{C3126F02-FF79-4A7A-A974-2DE256AC4F25}"/>
    <cellStyle name="Normal 2 4 2 3 2 2 2 4 3" xfId="5918" xr:uid="{00000000-0005-0000-0000-0000A60E0000}"/>
    <cellStyle name="Normal 2 4 2 3 2 2 2 4 3 2" xfId="31217" xr:uid="{AD7CDF52-0A25-4F29-AD9B-6AA8E2D273DB}"/>
    <cellStyle name="Normal 2 4 2 3 2 2 2 4 3 3" xfId="22788" xr:uid="{E27D8527-603B-4EFB-977F-7286DAD6EFBC}"/>
    <cellStyle name="Normal 2 4 2 3 2 2 2 4 3 4" xfId="39645" xr:uid="{96E11E13-1C59-49FC-B157-34F38385CA72}"/>
    <cellStyle name="Normal 2 4 2 3 2 2 2 4 3 5" xfId="14353" xr:uid="{F097EB23-0684-4A80-B12C-4C6124B38AA6}"/>
    <cellStyle name="Normal 2 4 2 3 2 2 2 4 4" xfId="26999" xr:uid="{1A760D02-1C3D-4A4B-A70B-34C29B39B66B}"/>
    <cellStyle name="Normal 2 4 2 3 2 2 2 4 5" xfId="18570" xr:uid="{590FF0EA-DE54-45C0-A20C-27FACE3E186B}"/>
    <cellStyle name="Normal 2 4 2 3 2 2 2 4 6" xfId="35428" xr:uid="{74CF776F-13EF-413E-9188-ADEE15A9FBE3}"/>
    <cellStyle name="Normal 2 4 2 3 2 2 2 4 7" xfId="10135" xr:uid="{4CEB44B9-67B6-4298-AD3C-82DC88BB47FE}"/>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33775" xr:uid="{480968C1-5B42-42D3-B0B5-4C8091BA1EEA}"/>
    <cellStyle name="Normal 2 4 2 3 2 2 2 5 2 2 3" xfId="25346" xr:uid="{489143CF-1AC2-4B2A-9432-D7170D89D5DB}"/>
    <cellStyle name="Normal 2 4 2 3 2 2 2 5 2 2 4" xfId="42203" xr:uid="{642B1D09-7397-4DA1-A012-C4053CFBB8C2}"/>
    <cellStyle name="Normal 2 4 2 3 2 2 2 5 2 2 5" xfId="16911" xr:uid="{3BADB5A7-9F7A-4521-B099-1BE5914FCC6A}"/>
    <cellStyle name="Normal 2 4 2 3 2 2 2 5 2 3" xfId="29557" xr:uid="{3157E50F-A317-425B-9A4D-F233ECDDD689}"/>
    <cellStyle name="Normal 2 4 2 3 2 2 2 5 2 4" xfId="21128" xr:uid="{A304FDAF-492D-4A3F-8C51-B6AAD8E186D1}"/>
    <cellStyle name="Normal 2 4 2 3 2 2 2 5 2 5" xfId="37986" xr:uid="{22882B04-279F-4607-80A3-1B8B373CDBFD}"/>
    <cellStyle name="Normal 2 4 2 3 2 2 2 5 2 6" xfId="12693" xr:uid="{8D7B1C70-0EAF-4EE5-8BFC-DCDCCFE69C27}"/>
    <cellStyle name="Normal 2 4 2 3 2 2 2 5 3" xfId="6331" xr:uid="{00000000-0005-0000-0000-0000AA0E0000}"/>
    <cellStyle name="Normal 2 4 2 3 2 2 2 5 3 2" xfId="31630" xr:uid="{B4E2D14D-A863-4327-BBD9-11DF3AABD15B}"/>
    <cellStyle name="Normal 2 4 2 3 2 2 2 5 3 3" xfId="23201" xr:uid="{11A71142-6EB2-4894-82E7-A9E221207F6B}"/>
    <cellStyle name="Normal 2 4 2 3 2 2 2 5 3 4" xfId="40058" xr:uid="{695EB0C4-5061-47A9-B437-99E06F25470A}"/>
    <cellStyle name="Normal 2 4 2 3 2 2 2 5 3 5" xfId="14766" xr:uid="{46DAF719-D439-43B2-8F1D-BB5298F78F64}"/>
    <cellStyle name="Normal 2 4 2 3 2 2 2 5 4" xfId="27412" xr:uid="{7FA7B541-B815-4928-BEF6-9DD920712A4B}"/>
    <cellStyle name="Normal 2 4 2 3 2 2 2 5 5" xfId="18983" xr:uid="{A2B3D026-1D5C-4DA3-9DAD-8E4DB72EDB42}"/>
    <cellStyle name="Normal 2 4 2 3 2 2 2 5 6" xfId="35841" xr:uid="{77B7ACEE-41E7-40B5-8C91-2857A420ECAB}"/>
    <cellStyle name="Normal 2 4 2 3 2 2 2 5 7" xfId="10548" xr:uid="{ABBC06F7-2037-45D8-98DD-91DB410C72D4}"/>
    <cellStyle name="Normal 2 4 2 3 2 2 2 6" xfId="2460" xr:uid="{00000000-0005-0000-0000-0000AB0E0000}"/>
    <cellStyle name="Normal 2 4 2 3 2 2 2 6 2" xfId="6744" xr:uid="{00000000-0005-0000-0000-0000AC0E0000}"/>
    <cellStyle name="Normal 2 4 2 3 2 2 2 6 2 2" xfId="32043" xr:uid="{886D4B5C-12D7-4479-845F-4948DFCB3CC4}"/>
    <cellStyle name="Normal 2 4 2 3 2 2 2 6 2 3" xfId="23614" xr:uid="{DDD6CF42-BE8C-4E3A-8A2F-175657D41D20}"/>
    <cellStyle name="Normal 2 4 2 3 2 2 2 6 2 4" xfId="40471" xr:uid="{8A85A229-D13A-42EC-A4C2-4CB604B534D8}"/>
    <cellStyle name="Normal 2 4 2 3 2 2 2 6 2 5" xfId="15179" xr:uid="{CB109584-0269-43EE-A49D-D1FB4B657871}"/>
    <cellStyle name="Normal 2 4 2 3 2 2 2 6 3" xfId="27825" xr:uid="{C2746460-74EA-46A8-84EB-7E1AB0F00D15}"/>
    <cellStyle name="Normal 2 4 2 3 2 2 2 6 4" xfId="19396" xr:uid="{1DF17884-61A6-4B5C-9B26-45E8F113BA7D}"/>
    <cellStyle name="Normal 2 4 2 3 2 2 2 6 5" xfId="36254" xr:uid="{002E123B-72BD-4201-B422-A4E3CD403CDC}"/>
    <cellStyle name="Normal 2 4 2 3 2 2 2 6 6" xfId="10961" xr:uid="{4D7C6CBE-811F-4290-9A8D-EA8FDE3FA68A}"/>
    <cellStyle name="Normal 2 4 2 3 2 2 2 7" xfId="4678" xr:uid="{00000000-0005-0000-0000-0000AD0E0000}"/>
    <cellStyle name="Normal 2 4 2 3 2 2 2 7 2" xfId="29977" xr:uid="{1199F36D-D507-4AEA-A0CE-2C9753B8E5C6}"/>
    <cellStyle name="Normal 2 4 2 3 2 2 2 7 3" xfId="21548" xr:uid="{27764722-894A-4C6C-B3A7-4C15059CEC4E}"/>
    <cellStyle name="Normal 2 4 2 3 2 2 2 7 4" xfId="38405" xr:uid="{C4171CE6-B891-433D-84CF-670B10E68A75}"/>
    <cellStyle name="Normal 2 4 2 3 2 2 2 7 5" xfId="13113" xr:uid="{54FD11E6-9C6E-4EFD-9280-40A2925BFCE8}"/>
    <cellStyle name="Normal 2 4 2 3 2 2 2 8" xfId="25759" xr:uid="{6569DA39-2346-42A9-8AD9-44F5F0BAEBE2}"/>
    <cellStyle name="Normal 2 4 2 3 2 2 2 9" xfId="17330" xr:uid="{36208AA5-D705-4B9D-94FE-DE8FE47CD20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32535" xr:uid="{52CF3FC1-7A14-45CB-B317-81B04DE9ABAB}"/>
    <cellStyle name="Normal 2 4 2 3 2 2 3 2 2 3" xfId="24106" xr:uid="{B22522CA-738A-402B-AEEA-DB143B2BC405}"/>
    <cellStyle name="Normal 2 4 2 3 2 2 3 2 2 4" xfId="40963" xr:uid="{B253CEB2-8959-4F9E-9225-179B48EF9F3B}"/>
    <cellStyle name="Normal 2 4 2 3 2 2 3 2 2 5" xfId="15671" xr:uid="{2D3AAECF-AA66-4777-A005-000B5F762904}"/>
    <cellStyle name="Normal 2 4 2 3 2 2 3 2 3" xfId="28317" xr:uid="{699B6948-753E-4973-BCC9-C7CEFFFBB2FA}"/>
    <cellStyle name="Normal 2 4 2 3 2 2 3 2 4" xfId="19888" xr:uid="{A2DA45B4-9AFB-4A82-996C-6D55C6185219}"/>
    <cellStyle name="Normal 2 4 2 3 2 2 3 2 5" xfId="36746" xr:uid="{877738FF-A8BF-41BE-BC45-576214653C2E}"/>
    <cellStyle name="Normal 2 4 2 3 2 2 3 2 6" xfId="11453" xr:uid="{24C4C3ED-B49A-4E71-B7EB-925285589C24}"/>
    <cellStyle name="Normal 2 4 2 3 2 2 3 3" xfId="5091" xr:uid="{00000000-0005-0000-0000-0000B10E0000}"/>
    <cellStyle name="Normal 2 4 2 3 2 2 3 3 2" xfId="30390" xr:uid="{333955AB-BD0A-4A85-B587-FB0221BB0C46}"/>
    <cellStyle name="Normal 2 4 2 3 2 2 3 3 3" xfId="21961" xr:uid="{3EEEB857-A7D9-43CD-86C7-63A646733E96}"/>
    <cellStyle name="Normal 2 4 2 3 2 2 3 3 4" xfId="38818" xr:uid="{44C7AF00-DE80-48B9-9F1A-6726966BA3AE}"/>
    <cellStyle name="Normal 2 4 2 3 2 2 3 3 5" xfId="13526" xr:uid="{9C88C5DA-2D6F-4AA5-BE61-2E6D38432E8C}"/>
    <cellStyle name="Normal 2 4 2 3 2 2 3 4" xfId="26172" xr:uid="{E8FDF406-D2A8-44C1-9209-A3558539867F}"/>
    <cellStyle name="Normal 2 4 2 3 2 2 3 5" xfId="17743" xr:uid="{99213E6C-01FC-45B2-BC8F-E28CF5188F95}"/>
    <cellStyle name="Normal 2 4 2 3 2 2 3 6" xfId="34601" xr:uid="{DD574FD7-F0CB-4A86-AF11-9F6A346D4747}"/>
    <cellStyle name="Normal 2 4 2 3 2 2 3 7" xfId="9308" xr:uid="{8F946852-412D-45B8-8706-CD5C2A94E87A}"/>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32948" xr:uid="{85C20204-FE22-47B5-AE60-8BF16DD41D1E}"/>
    <cellStyle name="Normal 2 4 2 3 2 2 4 2 2 3" xfId="24519" xr:uid="{664A9E30-E7F8-449E-B0F4-E95DD1E74379}"/>
    <cellStyle name="Normal 2 4 2 3 2 2 4 2 2 4" xfId="41376" xr:uid="{3CA2B9ED-59B6-4CEB-A7A9-A8D98CAE86A7}"/>
    <cellStyle name="Normal 2 4 2 3 2 2 4 2 2 5" xfId="16084" xr:uid="{9F44189C-90E8-4873-81F2-1471B7F61E24}"/>
    <cellStyle name="Normal 2 4 2 3 2 2 4 2 3" xfId="28730" xr:uid="{43163047-FD45-4868-9ADD-E498CD88897A}"/>
    <cellStyle name="Normal 2 4 2 3 2 2 4 2 4" xfId="20301" xr:uid="{EE0BB4F5-836C-459D-BA1B-6370A3A676BC}"/>
    <cellStyle name="Normal 2 4 2 3 2 2 4 2 5" xfId="37159" xr:uid="{31AAAEE2-28FF-433C-BACD-9E02777A9F8B}"/>
    <cellStyle name="Normal 2 4 2 3 2 2 4 2 6" xfId="11866" xr:uid="{5F611496-7501-4D5F-B3CB-731C4461C01B}"/>
    <cellStyle name="Normal 2 4 2 3 2 2 4 3" xfId="5504" xr:uid="{00000000-0005-0000-0000-0000B50E0000}"/>
    <cellStyle name="Normal 2 4 2 3 2 2 4 3 2" xfId="30803" xr:uid="{6A086734-B9BA-4822-BF6C-CC54B51387BB}"/>
    <cellStyle name="Normal 2 4 2 3 2 2 4 3 3" xfId="22374" xr:uid="{94D9C272-E501-4BB9-9970-A7341148F798}"/>
    <cellStyle name="Normal 2 4 2 3 2 2 4 3 4" xfId="39231" xr:uid="{222BDB72-8C3A-493D-85E3-D3D41CCB821E}"/>
    <cellStyle name="Normal 2 4 2 3 2 2 4 3 5" xfId="13939" xr:uid="{33607ED5-F2D8-4C20-9703-558588705828}"/>
    <cellStyle name="Normal 2 4 2 3 2 2 4 4" xfId="26585" xr:uid="{3484C9DF-3AF4-4794-9AF0-17904A0FB0DE}"/>
    <cellStyle name="Normal 2 4 2 3 2 2 4 5" xfId="18156" xr:uid="{4DB5D8CC-C099-4FF9-B48B-4C9FDB990051}"/>
    <cellStyle name="Normal 2 4 2 3 2 2 4 6" xfId="35014" xr:uid="{5748EEE3-ADC8-4BC3-8BE2-E2DFC1C3B51C}"/>
    <cellStyle name="Normal 2 4 2 3 2 2 4 7" xfId="9721" xr:uid="{ADED07EB-2945-4A3A-B74C-9494968CF5C8}"/>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33361" xr:uid="{FEA49433-201A-4A30-AB86-D2F56F7CE4E5}"/>
    <cellStyle name="Normal 2 4 2 3 2 2 5 2 2 3" xfId="24932" xr:uid="{9AAD29A9-3885-4ABC-95FF-5829768C8B30}"/>
    <cellStyle name="Normal 2 4 2 3 2 2 5 2 2 4" xfId="41789" xr:uid="{A75E864F-F7AF-4759-A82A-DC95C9F39028}"/>
    <cellStyle name="Normal 2 4 2 3 2 2 5 2 2 5" xfId="16497" xr:uid="{89D8FD2E-97EB-44DD-98B8-C6AA2D505E01}"/>
    <cellStyle name="Normal 2 4 2 3 2 2 5 2 3" xfId="29143" xr:uid="{10674BA3-2432-413F-A38E-CA79C373218C}"/>
    <cellStyle name="Normal 2 4 2 3 2 2 5 2 4" xfId="20714" xr:uid="{FB3F659C-010B-445D-A3C3-F607647382C7}"/>
    <cellStyle name="Normal 2 4 2 3 2 2 5 2 5" xfId="37572" xr:uid="{7D804FB4-00B3-4E18-ACF2-876A88DA2C1E}"/>
    <cellStyle name="Normal 2 4 2 3 2 2 5 2 6" xfId="12279" xr:uid="{921E989C-4E93-490F-97D4-66F11AA8DB91}"/>
    <cellStyle name="Normal 2 4 2 3 2 2 5 3" xfId="5917" xr:uid="{00000000-0005-0000-0000-0000B90E0000}"/>
    <cellStyle name="Normal 2 4 2 3 2 2 5 3 2" xfId="31216" xr:uid="{69F1B7EF-5A03-42CE-8D8E-02DDB032D00D}"/>
    <cellStyle name="Normal 2 4 2 3 2 2 5 3 3" xfId="22787" xr:uid="{9E876D98-544E-4008-A6CA-DF4F9C4D2955}"/>
    <cellStyle name="Normal 2 4 2 3 2 2 5 3 4" xfId="39644" xr:uid="{C6DA371B-A432-4CFC-812B-4F3BBD3B550F}"/>
    <cellStyle name="Normal 2 4 2 3 2 2 5 3 5" xfId="14352" xr:uid="{DCF50416-5925-4B58-BF2C-BCD9C4399D3D}"/>
    <cellStyle name="Normal 2 4 2 3 2 2 5 4" xfId="26998" xr:uid="{2733468F-F8E7-4AF3-8614-C85AE90987BF}"/>
    <cellStyle name="Normal 2 4 2 3 2 2 5 5" xfId="18569" xr:uid="{30AF3FF8-1572-4189-A7B3-A574207859F8}"/>
    <cellStyle name="Normal 2 4 2 3 2 2 5 6" xfId="35427" xr:uid="{7AA7CF75-2E7C-41F6-9127-3FBB05490F0E}"/>
    <cellStyle name="Normal 2 4 2 3 2 2 5 7" xfId="10134" xr:uid="{AAFCD8A7-C24E-49DB-B731-81A2938BDEE1}"/>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33774" xr:uid="{B7986E0C-2F85-48D6-89E5-BD536072F25E}"/>
    <cellStyle name="Normal 2 4 2 3 2 2 6 2 2 3" xfId="25345" xr:uid="{16A10934-7107-4EB6-B439-E43B98BF1261}"/>
    <cellStyle name="Normal 2 4 2 3 2 2 6 2 2 4" xfId="42202" xr:uid="{84E2A606-4018-477E-A3BA-971963B29FCF}"/>
    <cellStyle name="Normal 2 4 2 3 2 2 6 2 2 5" xfId="16910" xr:uid="{53100DA2-BF2B-40EF-B3EE-0010E66BD9B9}"/>
    <cellStyle name="Normal 2 4 2 3 2 2 6 2 3" xfId="29556" xr:uid="{53178B32-BBE7-4D66-8FE4-551CB8452A35}"/>
    <cellStyle name="Normal 2 4 2 3 2 2 6 2 4" xfId="21127" xr:uid="{7AEBDF45-11EF-4D36-96E5-EF7234101DCD}"/>
    <cellStyle name="Normal 2 4 2 3 2 2 6 2 5" xfId="37985" xr:uid="{C75B025D-463B-4745-8B7F-577CADB15795}"/>
    <cellStyle name="Normal 2 4 2 3 2 2 6 2 6" xfId="12692" xr:uid="{0EFD3379-5F57-4CB8-99E3-6417E13C7459}"/>
    <cellStyle name="Normal 2 4 2 3 2 2 6 3" xfId="6330" xr:uid="{00000000-0005-0000-0000-0000BD0E0000}"/>
    <cellStyle name="Normal 2 4 2 3 2 2 6 3 2" xfId="31629" xr:uid="{634C22DE-B9FC-491A-9744-2CA5F05CFCE7}"/>
    <cellStyle name="Normal 2 4 2 3 2 2 6 3 3" xfId="23200" xr:uid="{5A5DC877-8A8D-47D0-8E77-3D54B44C1DD7}"/>
    <cellStyle name="Normal 2 4 2 3 2 2 6 3 4" xfId="40057" xr:uid="{1233BBE6-07CF-4681-9898-86CFDA7CAE7B}"/>
    <cellStyle name="Normal 2 4 2 3 2 2 6 3 5" xfId="14765" xr:uid="{4C2D49FE-6593-415F-B699-D0026AFAE23D}"/>
    <cellStyle name="Normal 2 4 2 3 2 2 6 4" xfId="27411" xr:uid="{8AFFA81B-C18D-4552-A7BF-27B18FB872B3}"/>
    <cellStyle name="Normal 2 4 2 3 2 2 6 5" xfId="18982" xr:uid="{4F0F759B-169A-4ADC-835C-AE4BC6FA2155}"/>
    <cellStyle name="Normal 2 4 2 3 2 2 6 6" xfId="35840" xr:uid="{60C7F1DF-1706-422F-8620-16CF6538EF52}"/>
    <cellStyle name="Normal 2 4 2 3 2 2 6 7" xfId="10547" xr:uid="{0902AF9E-21D0-4826-9372-87D08051BBBC}"/>
    <cellStyle name="Normal 2 4 2 3 2 2 7" xfId="2459" xr:uid="{00000000-0005-0000-0000-0000BE0E0000}"/>
    <cellStyle name="Normal 2 4 2 3 2 2 7 2" xfId="6743" xr:uid="{00000000-0005-0000-0000-0000BF0E0000}"/>
    <cellStyle name="Normal 2 4 2 3 2 2 7 2 2" xfId="32042" xr:uid="{ED24911C-310A-4E9F-A144-0CEE593E2EF5}"/>
    <cellStyle name="Normal 2 4 2 3 2 2 7 2 3" xfId="23613" xr:uid="{196A9565-32F3-4429-A519-4BDC4ADE2204}"/>
    <cellStyle name="Normal 2 4 2 3 2 2 7 2 4" xfId="40470" xr:uid="{70DE7A00-5D21-4A9C-A2FD-829F954877D3}"/>
    <cellStyle name="Normal 2 4 2 3 2 2 7 2 5" xfId="15178" xr:uid="{9170D546-B8C6-4A47-8F94-2F4FB5D979A3}"/>
    <cellStyle name="Normal 2 4 2 3 2 2 7 3" xfId="27824" xr:uid="{B1B14E81-A07C-43FC-B9E3-1360B6866EA5}"/>
    <cellStyle name="Normal 2 4 2 3 2 2 7 4" xfId="19395" xr:uid="{C39CB373-B9EF-467A-914D-FF3F7B3B4208}"/>
    <cellStyle name="Normal 2 4 2 3 2 2 7 5" xfId="36253" xr:uid="{0B1C6629-19E9-46B5-BBE8-E480754F5C01}"/>
    <cellStyle name="Normal 2 4 2 3 2 2 7 6" xfId="10960" xr:uid="{B4825E19-2A0B-4EB9-B896-0BE7A77008EB}"/>
    <cellStyle name="Normal 2 4 2 3 2 2 8" xfId="4677" xr:uid="{00000000-0005-0000-0000-0000C00E0000}"/>
    <cellStyle name="Normal 2 4 2 3 2 2 8 2" xfId="29976" xr:uid="{363A57D8-42D2-4A4A-A3A4-0697AE1CFD46}"/>
    <cellStyle name="Normal 2 4 2 3 2 2 8 3" xfId="21547" xr:uid="{5DC548EC-ACF2-4AA9-9A5E-0176744A8356}"/>
    <cellStyle name="Normal 2 4 2 3 2 2 8 4" xfId="38404" xr:uid="{9FDEF739-E3BC-40E5-8ADA-F0ABB6EF7721}"/>
    <cellStyle name="Normal 2 4 2 3 2 2 8 5" xfId="13112" xr:uid="{4C5C587E-55B1-447B-B414-F5D0B7E541DE}"/>
    <cellStyle name="Normal 2 4 2 3 2 2 9" xfId="25758" xr:uid="{9ABC0962-5065-42AD-AC8D-F14ECFA2F442}"/>
    <cellStyle name="Normal 2 4 2 3 2 3" xfId="285" xr:uid="{00000000-0005-0000-0000-0000C10E0000}"/>
    <cellStyle name="Normal 2 4 2 3 2 3 10" xfId="34189" xr:uid="{EFC9B094-C4AC-45E1-8976-5A4864D8E1A6}"/>
    <cellStyle name="Normal 2 4 2 3 2 3 11" xfId="8896" xr:uid="{2AE4C4BC-2039-4D69-9D96-DA2AF39D6ED8}"/>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32537" xr:uid="{165AED94-F0D9-4CD6-8A6F-69A63E8850B8}"/>
    <cellStyle name="Normal 2 4 2 3 2 3 2 2 2 3" xfId="24108" xr:uid="{1B6B3E86-A1F6-4371-B1C1-7C58A5F21DFA}"/>
    <cellStyle name="Normal 2 4 2 3 2 3 2 2 2 4" xfId="40965" xr:uid="{465990C4-2418-4467-B00D-D6FE396A328D}"/>
    <cellStyle name="Normal 2 4 2 3 2 3 2 2 2 5" xfId="15673" xr:uid="{DE5C6A02-9612-42AE-8790-5FE73A66F970}"/>
    <cellStyle name="Normal 2 4 2 3 2 3 2 2 3" xfId="28319" xr:uid="{A64B6992-37AF-4D96-A81E-130AE7E3A908}"/>
    <cellStyle name="Normal 2 4 2 3 2 3 2 2 4" xfId="19890" xr:uid="{8ABA04E0-EBCB-41F7-83F3-7B94A88755CD}"/>
    <cellStyle name="Normal 2 4 2 3 2 3 2 2 5" xfId="36748" xr:uid="{3C2A4051-9E51-42CD-B2C8-68FD0C62975C}"/>
    <cellStyle name="Normal 2 4 2 3 2 3 2 2 6" xfId="11455" xr:uid="{5555832A-DD6F-48B1-9C80-C40C91BEB8DD}"/>
    <cellStyle name="Normal 2 4 2 3 2 3 2 3" xfId="5093" xr:uid="{00000000-0005-0000-0000-0000C50E0000}"/>
    <cellStyle name="Normal 2 4 2 3 2 3 2 3 2" xfId="30392" xr:uid="{EEECB212-299E-408C-B4C7-1F63E2A5C7BA}"/>
    <cellStyle name="Normal 2 4 2 3 2 3 2 3 3" xfId="21963" xr:uid="{19F346FA-31F2-4767-A9D4-8E5D9D9054D6}"/>
    <cellStyle name="Normal 2 4 2 3 2 3 2 3 4" xfId="38820" xr:uid="{D4ADC8A5-CDEC-4579-9767-5DC319CE4465}"/>
    <cellStyle name="Normal 2 4 2 3 2 3 2 3 5" xfId="13528" xr:uid="{82F97B67-41DF-4D6E-ABE5-7396C30E7A61}"/>
    <cellStyle name="Normal 2 4 2 3 2 3 2 4" xfId="26174" xr:uid="{46CDDB0A-80D9-4CAD-B79A-16BCC232B38F}"/>
    <cellStyle name="Normal 2 4 2 3 2 3 2 5" xfId="17745" xr:uid="{15773FE5-7253-44B9-98DD-F232CCFF8C90}"/>
    <cellStyle name="Normal 2 4 2 3 2 3 2 6" xfId="34603" xr:uid="{7AA8DDE9-3588-4148-8137-C114C893DB7C}"/>
    <cellStyle name="Normal 2 4 2 3 2 3 2 7" xfId="9310" xr:uid="{2088A593-9B8C-409B-A523-5AD44D82CA14}"/>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32950" xr:uid="{7D85E5AB-9261-44E8-9455-F1187E3833A3}"/>
    <cellStyle name="Normal 2 4 2 3 2 3 3 2 2 3" xfId="24521" xr:uid="{AB685B76-EDF6-4414-B3A4-FCF9E4618961}"/>
    <cellStyle name="Normal 2 4 2 3 2 3 3 2 2 4" xfId="41378" xr:uid="{86986E3C-EA66-4584-8005-88AB07F460F2}"/>
    <cellStyle name="Normal 2 4 2 3 2 3 3 2 2 5" xfId="16086" xr:uid="{078B8880-03F2-4A56-B263-5E6B34F29D02}"/>
    <cellStyle name="Normal 2 4 2 3 2 3 3 2 3" xfId="28732" xr:uid="{6B79D44F-FB90-4A54-810C-C03409053D3C}"/>
    <cellStyle name="Normal 2 4 2 3 2 3 3 2 4" xfId="20303" xr:uid="{861FC63F-9571-4102-8135-3C00AF8B1D04}"/>
    <cellStyle name="Normal 2 4 2 3 2 3 3 2 5" xfId="37161" xr:uid="{E75DFAA7-81DF-4B03-9966-D0A853677357}"/>
    <cellStyle name="Normal 2 4 2 3 2 3 3 2 6" xfId="11868" xr:uid="{241AC1EB-139E-434A-936B-470FADC1F134}"/>
    <cellStyle name="Normal 2 4 2 3 2 3 3 3" xfId="5506" xr:uid="{00000000-0005-0000-0000-0000C90E0000}"/>
    <cellStyle name="Normal 2 4 2 3 2 3 3 3 2" xfId="30805" xr:uid="{363609CA-D1DC-4613-A836-1E9A8FE8B6FA}"/>
    <cellStyle name="Normal 2 4 2 3 2 3 3 3 3" xfId="22376" xr:uid="{808C9D12-621E-4A4B-B910-053A9BFEBF13}"/>
    <cellStyle name="Normal 2 4 2 3 2 3 3 3 4" xfId="39233" xr:uid="{868D8EDB-418E-4D87-ADB4-EEF10867CE00}"/>
    <cellStyle name="Normal 2 4 2 3 2 3 3 3 5" xfId="13941" xr:uid="{4694907B-7C58-4338-9671-459B89032C95}"/>
    <cellStyle name="Normal 2 4 2 3 2 3 3 4" xfId="26587" xr:uid="{6AACA5B1-FC6C-42CE-8D49-9900BC7E4790}"/>
    <cellStyle name="Normal 2 4 2 3 2 3 3 5" xfId="18158" xr:uid="{65F156FE-EB1E-4B7E-9865-AE75D711A8CF}"/>
    <cellStyle name="Normal 2 4 2 3 2 3 3 6" xfId="35016" xr:uid="{15E44A93-D99F-44D4-A003-29762ED85ADF}"/>
    <cellStyle name="Normal 2 4 2 3 2 3 3 7" xfId="9723" xr:uid="{E38202B4-971A-4B10-BC43-56366AC45E7F}"/>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33363" xr:uid="{B6CE8A49-DD6F-41C2-97FB-7FD89C19FA8D}"/>
    <cellStyle name="Normal 2 4 2 3 2 3 4 2 2 3" xfId="24934" xr:uid="{517AD539-E9FF-4285-924B-9D407960E3F8}"/>
    <cellStyle name="Normal 2 4 2 3 2 3 4 2 2 4" xfId="41791" xr:uid="{8A95EDD5-8114-4658-B583-D41D3DCB04AE}"/>
    <cellStyle name="Normal 2 4 2 3 2 3 4 2 2 5" xfId="16499" xr:uid="{BC0AA6D5-2F3E-4674-BB08-8E948AA6A3A1}"/>
    <cellStyle name="Normal 2 4 2 3 2 3 4 2 3" xfId="29145" xr:uid="{5B9516FC-8FE6-4F01-B574-ADA7F048C48C}"/>
    <cellStyle name="Normal 2 4 2 3 2 3 4 2 4" xfId="20716" xr:uid="{58361A6F-3297-46B4-8118-C0481B8C6B57}"/>
    <cellStyle name="Normal 2 4 2 3 2 3 4 2 5" xfId="37574" xr:uid="{8C55C50E-BA0D-40DB-93FB-4C0EEE0AC6A0}"/>
    <cellStyle name="Normal 2 4 2 3 2 3 4 2 6" xfId="12281" xr:uid="{68322E44-7EE6-4427-8A0F-7B8007907B98}"/>
    <cellStyle name="Normal 2 4 2 3 2 3 4 3" xfId="5919" xr:uid="{00000000-0005-0000-0000-0000CD0E0000}"/>
    <cellStyle name="Normal 2 4 2 3 2 3 4 3 2" xfId="31218" xr:uid="{4900B879-9724-42AB-9BA6-90F0BEFE3E1C}"/>
    <cellStyle name="Normal 2 4 2 3 2 3 4 3 3" xfId="22789" xr:uid="{309CC6F4-DFB6-43F4-966D-A2375AD1BCB0}"/>
    <cellStyle name="Normal 2 4 2 3 2 3 4 3 4" xfId="39646" xr:uid="{02E8218B-3E6C-4D87-8338-D32DC90B1033}"/>
    <cellStyle name="Normal 2 4 2 3 2 3 4 3 5" xfId="14354" xr:uid="{DB1BEA74-52FE-45D6-AEE7-B0D5B8F0AAFB}"/>
    <cellStyle name="Normal 2 4 2 3 2 3 4 4" xfId="27000" xr:uid="{1C86C5FD-75C3-486D-BF37-AEB8761F5B33}"/>
    <cellStyle name="Normal 2 4 2 3 2 3 4 5" xfId="18571" xr:uid="{38BD3CC9-25F4-4CB8-A4F9-02165E9CAB85}"/>
    <cellStyle name="Normal 2 4 2 3 2 3 4 6" xfId="35429" xr:uid="{50B5A7F4-C307-42E1-8892-4D3BA5C75E43}"/>
    <cellStyle name="Normal 2 4 2 3 2 3 4 7" xfId="10136" xr:uid="{04E6506F-9378-41A9-80A2-9280A09A35D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33776" xr:uid="{4CF375E1-E5B7-40FF-A27A-1A9FFF4CA4FD}"/>
    <cellStyle name="Normal 2 4 2 3 2 3 5 2 2 3" xfId="25347" xr:uid="{8E00E2DE-2266-4C88-99D3-E6488306C75A}"/>
    <cellStyle name="Normal 2 4 2 3 2 3 5 2 2 4" xfId="42204" xr:uid="{BF3B5C2F-6DEF-427B-BE17-2D1545356AD0}"/>
    <cellStyle name="Normal 2 4 2 3 2 3 5 2 2 5" xfId="16912" xr:uid="{6AEA0696-9495-4169-971F-D8FE67908DB7}"/>
    <cellStyle name="Normal 2 4 2 3 2 3 5 2 3" xfId="29558" xr:uid="{E036E81E-0C8E-4614-B83D-0FF5EB544B55}"/>
    <cellStyle name="Normal 2 4 2 3 2 3 5 2 4" xfId="21129" xr:uid="{E0131512-75E5-410E-B518-46C6B224613B}"/>
    <cellStyle name="Normal 2 4 2 3 2 3 5 2 5" xfId="37987" xr:uid="{4BD61B74-9AA4-4D0B-AE13-B62756DD4CC6}"/>
    <cellStyle name="Normal 2 4 2 3 2 3 5 2 6" xfId="12694" xr:uid="{1E104258-EC9A-4B7C-B296-BF426D138560}"/>
    <cellStyle name="Normal 2 4 2 3 2 3 5 3" xfId="6332" xr:uid="{00000000-0005-0000-0000-0000D10E0000}"/>
    <cellStyle name="Normal 2 4 2 3 2 3 5 3 2" xfId="31631" xr:uid="{04402382-A317-4327-9113-9CB1E4719105}"/>
    <cellStyle name="Normal 2 4 2 3 2 3 5 3 3" xfId="23202" xr:uid="{583AC91B-2428-4192-B8F8-D7B5A3E0206A}"/>
    <cellStyle name="Normal 2 4 2 3 2 3 5 3 4" xfId="40059" xr:uid="{875EE6D9-DB6E-45BA-8773-DBEA4C74E442}"/>
    <cellStyle name="Normal 2 4 2 3 2 3 5 3 5" xfId="14767" xr:uid="{F5DBDCF4-2EAC-44BB-A550-755CA60ED0D2}"/>
    <cellStyle name="Normal 2 4 2 3 2 3 5 4" xfId="27413" xr:uid="{E9F0B742-0307-4631-A6A1-436F0A02622F}"/>
    <cellStyle name="Normal 2 4 2 3 2 3 5 5" xfId="18984" xr:uid="{C7BE17EA-8EDC-4FF4-90C8-53D892871E74}"/>
    <cellStyle name="Normal 2 4 2 3 2 3 5 6" xfId="35842" xr:uid="{854B33B5-0F2B-4EDC-A89B-4961FAE31DD5}"/>
    <cellStyle name="Normal 2 4 2 3 2 3 5 7" xfId="10549" xr:uid="{3D8E55FE-5280-4576-8678-114CCD631FC0}"/>
    <cellStyle name="Normal 2 4 2 3 2 3 6" xfId="2461" xr:uid="{00000000-0005-0000-0000-0000D20E0000}"/>
    <cellStyle name="Normal 2 4 2 3 2 3 6 2" xfId="6745" xr:uid="{00000000-0005-0000-0000-0000D30E0000}"/>
    <cellStyle name="Normal 2 4 2 3 2 3 6 2 2" xfId="32044" xr:uid="{6C4FEAC1-B397-46C5-B617-25BFD175AD9A}"/>
    <cellStyle name="Normal 2 4 2 3 2 3 6 2 3" xfId="23615" xr:uid="{3FE131F0-51C2-4A81-9A58-1C5813FC2A66}"/>
    <cellStyle name="Normal 2 4 2 3 2 3 6 2 4" xfId="40472" xr:uid="{3171284D-64BB-41C2-B788-94D57A9017A4}"/>
    <cellStyle name="Normal 2 4 2 3 2 3 6 2 5" xfId="15180" xr:uid="{AB97ECB8-B872-47D4-BC3B-BFD6B27576D8}"/>
    <cellStyle name="Normal 2 4 2 3 2 3 6 3" xfId="27826" xr:uid="{D89C126F-5093-4EEC-90A6-1C025F611B8A}"/>
    <cellStyle name="Normal 2 4 2 3 2 3 6 4" xfId="19397" xr:uid="{094C79E0-4C01-43B4-9990-823B94A12A1C}"/>
    <cellStyle name="Normal 2 4 2 3 2 3 6 5" xfId="36255" xr:uid="{55003116-DF8D-4F5F-9708-605D030EBEE5}"/>
    <cellStyle name="Normal 2 4 2 3 2 3 6 6" xfId="10962" xr:uid="{63F74635-65A2-4649-A3A5-9833638B9A1F}"/>
    <cellStyle name="Normal 2 4 2 3 2 3 7" xfId="4679" xr:uid="{00000000-0005-0000-0000-0000D40E0000}"/>
    <cellStyle name="Normal 2 4 2 3 2 3 7 2" xfId="29978" xr:uid="{8C723BF1-E283-420B-8C97-3EAABDB72AFD}"/>
    <cellStyle name="Normal 2 4 2 3 2 3 7 3" xfId="21549" xr:uid="{05963A87-4073-4A8C-947C-4A1886A8C85A}"/>
    <cellStyle name="Normal 2 4 2 3 2 3 7 4" xfId="38406" xr:uid="{006EFD86-54A6-4AF8-BF47-D8D2B91A0192}"/>
    <cellStyle name="Normal 2 4 2 3 2 3 7 5" xfId="13114" xr:uid="{C751204B-AA2F-4527-804C-CE4BB9041549}"/>
    <cellStyle name="Normal 2 4 2 3 2 3 8" xfId="25760" xr:uid="{60D3436E-91B9-4D3E-AB82-1A8B95DBA797}"/>
    <cellStyle name="Normal 2 4 2 3 2 3 9" xfId="17331" xr:uid="{5E35B4E8-39B6-4B1A-8DD7-8BD0DC4B38B9}"/>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32534" xr:uid="{00CA0017-9D17-41AE-87F8-F8E25D15B5E5}"/>
    <cellStyle name="Normal 2 4 2 3 2 4 2 2 3" xfId="24105" xr:uid="{18DCC29C-5EE8-4CE6-BAF9-609A7142FD4F}"/>
    <cellStyle name="Normal 2 4 2 3 2 4 2 2 4" xfId="40962" xr:uid="{E50D8E97-FB9C-4138-B7EB-5FE13FB0582F}"/>
    <cellStyle name="Normal 2 4 2 3 2 4 2 2 5" xfId="15670" xr:uid="{74A18545-1EF4-4C81-8A6F-56C28F229EFC}"/>
    <cellStyle name="Normal 2 4 2 3 2 4 2 3" xfId="28316" xr:uid="{407640D6-7B1A-4F12-A164-A1315BEC9CC3}"/>
    <cellStyle name="Normal 2 4 2 3 2 4 2 4" xfId="19887" xr:uid="{C30C284E-9A67-43E3-B010-EC9268CD08F3}"/>
    <cellStyle name="Normal 2 4 2 3 2 4 2 5" xfId="36745" xr:uid="{571075DC-A46A-49FA-9F1E-A57C3579AF46}"/>
    <cellStyle name="Normal 2 4 2 3 2 4 2 6" xfId="11452" xr:uid="{638BA6F4-C3B6-4D3C-BA9B-E727FAB9A791}"/>
    <cellStyle name="Normal 2 4 2 3 2 4 3" xfId="5090" xr:uid="{00000000-0005-0000-0000-0000D80E0000}"/>
    <cellStyle name="Normal 2 4 2 3 2 4 3 2" xfId="30389" xr:uid="{3A892B31-983A-4C5C-BC93-8D606C6E5B9E}"/>
    <cellStyle name="Normal 2 4 2 3 2 4 3 3" xfId="21960" xr:uid="{CA906B75-CE5F-4650-BA1E-06775A2133B8}"/>
    <cellStyle name="Normal 2 4 2 3 2 4 3 4" xfId="38817" xr:uid="{9AA94E58-C816-417A-9F16-DB9295546934}"/>
    <cellStyle name="Normal 2 4 2 3 2 4 3 5" xfId="13525" xr:uid="{A75377AD-0CF8-428E-B88C-8A49D0999726}"/>
    <cellStyle name="Normal 2 4 2 3 2 4 4" xfId="26171" xr:uid="{00B6CA72-13EF-4B72-8E0C-394F0B15ECF8}"/>
    <cellStyle name="Normal 2 4 2 3 2 4 5" xfId="17742" xr:uid="{E3BA7479-EE20-4B38-965F-A9083C7A577C}"/>
    <cellStyle name="Normal 2 4 2 3 2 4 6" xfId="34600" xr:uid="{0AECCE26-7442-4219-AB60-A3478573C1DD}"/>
    <cellStyle name="Normal 2 4 2 3 2 4 7" xfId="9307" xr:uid="{B282898C-6055-479A-9C81-6D5432D4685E}"/>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32947" xr:uid="{14B6B677-D5A0-49AF-B67F-269B0FB8C0F8}"/>
    <cellStyle name="Normal 2 4 2 3 2 5 2 2 3" xfId="24518" xr:uid="{2B4B3156-D62E-4FFF-94DE-E28B5ADABF93}"/>
    <cellStyle name="Normal 2 4 2 3 2 5 2 2 4" xfId="41375" xr:uid="{678CB6EA-8AD2-4957-AE2C-4BA0BFB0A869}"/>
    <cellStyle name="Normal 2 4 2 3 2 5 2 2 5" xfId="16083" xr:uid="{4BB76E92-1F4A-477A-B3EF-2600572BFCED}"/>
    <cellStyle name="Normal 2 4 2 3 2 5 2 3" xfId="28729" xr:uid="{535E58A7-9532-41DB-8A57-A099F38F14B5}"/>
    <cellStyle name="Normal 2 4 2 3 2 5 2 4" xfId="20300" xr:uid="{D89306B4-3318-46BA-8891-EA9FCAC68A8D}"/>
    <cellStyle name="Normal 2 4 2 3 2 5 2 5" xfId="37158" xr:uid="{69843B0B-4419-45B6-ADB2-3E9A75AB85A6}"/>
    <cellStyle name="Normal 2 4 2 3 2 5 2 6" xfId="11865" xr:uid="{186898C3-DAC0-4CC5-BEC4-989EA14D6699}"/>
    <cellStyle name="Normal 2 4 2 3 2 5 3" xfId="5503" xr:uid="{00000000-0005-0000-0000-0000DC0E0000}"/>
    <cellStyle name="Normal 2 4 2 3 2 5 3 2" xfId="30802" xr:uid="{9708E5D5-3364-4A85-9925-75F6827E8B20}"/>
    <cellStyle name="Normal 2 4 2 3 2 5 3 3" xfId="22373" xr:uid="{5D9C3137-26DE-42AA-A383-8F0D3DF9254A}"/>
    <cellStyle name="Normal 2 4 2 3 2 5 3 4" xfId="39230" xr:uid="{66D89FE1-F466-4B24-8717-E555F77CB1E9}"/>
    <cellStyle name="Normal 2 4 2 3 2 5 3 5" xfId="13938" xr:uid="{66FDC96D-CEB6-47FC-B85D-BAEE17CF57AA}"/>
    <cellStyle name="Normal 2 4 2 3 2 5 4" xfId="26584" xr:uid="{F9A8F1A9-7124-475C-810F-E89B90FAD67E}"/>
    <cellStyle name="Normal 2 4 2 3 2 5 5" xfId="18155" xr:uid="{016FEF4A-0F9A-48B9-9DBC-02E983906983}"/>
    <cellStyle name="Normal 2 4 2 3 2 5 6" xfId="35013" xr:uid="{928F26A3-47BD-4507-AB91-90A8F6C86D8E}"/>
    <cellStyle name="Normal 2 4 2 3 2 5 7" xfId="9720" xr:uid="{08BD9527-0EB3-4DBF-8228-645C8C5EAFF7}"/>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33360" xr:uid="{AFF82CEF-23F3-4465-8A2B-2C61FBAB5A9A}"/>
    <cellStyle name="Normal 2 4 2 3 2 6 2 2 3" xfId="24931" xr:uid="{03CFCDB6-C5D5-4260-AE54-6D96682C874B}"/>
    <cellStyle name="Normal 2 4 2 3 2 6 2 2 4" xfId="41788" xr:uid="{9FDA303C-591E-4B67-B328-EACE1B908D6D}"/>
    <cellStyle name="Normal 2 4 2 3 2 6 2 2 5" xfId="16496" xr:uid="{AFD26AAB-E9C1-4A4C-B5BA-246F6FE5BF1D}"/>
    <cellStyle name="Normal 2 4 2 3 2 6 2 3" xfId="29142" xr:uid="{E9A8657E-920C-47D9-A030-2B6DF93872DA}"/>
    <cellStyle name="Normal 2 4 2 3 2 6 2 4" xfId="20713" xr:uid="{5B01BEF8-AF65-443E-A965-9D5AA9CA294E}"/>
    <cellStyle name="Normal 2 4 2 3 2 6 2 5" xfId="37571" xr:uid="{B250BB90-8109-43BD-999D-92C6ADDAB01D}"/>
    <cellStyle name="Normal 2 4 2 3 2 6 2 6" xfId="12278" xr:uid="{1C25C88A-61F0-40CB-AF4C-998A09F13DDD}"/>
    <cellStyle name="Normal 2 4 2 3 2 6 3" xfId="5916" xr:uid="{00000000-0005-0000-0000-0000E00E0000}"/>
    <cellStyle name="Normal 2 4 2 3 2 6 3 2" xfId="31215" xr:uid="{D73B11C3-CAA7-4983-821E-F071BE0679DC}"/>
    <cellStyle name="Normal 2 4 2 3 2 6 3 3" xfId="22786" xr:uid="{1BE7B3EA-EE9F-4DA7-8604-AAC4A1082574}"/>
    <cellStyle name="Normal 2 4 2 3 2 6 3 4" xfId="39643" xr:uid="{A5BC6CC5-EABB-4653-A374-05F79E671897}"/>
    <cellStyle name="Normal 2 4 2 3 2 6 3 5" xfId="14351" xr:uid="{3D15CD5B-70F2-4F5E-913E-6888A9067CE7}"/>
    <cellStyle name="Normal 2 4 2 3 2 6 4" xfId="26997" xr:uid="{4C2567E6-7600-4776-A221-EC4A20D186FD}"/>
    <cellStyle name="Normal 2 4 2 3 2 6 5" xfId="18568" xr:uid="{C4669441-D4DD-4F6A-8E19-4EBD0E43CAD7}"/>
    <cellStyle name="Normal 2 4 2 3 2 6 6" xfId="35426" xr:uid="{5EA6D00E-35E2-475E-B65F-D139CA5541B4}"/>
    <cellStyle name="Normal 2 4 2 3 2 6 7" xfId="10133" xr:uid="{EBB611A3-AF33-4CFC-9684-47037ACF9B14}"/>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33773" xr:uid="{1CA2B06E-849B-4FC2-839D-4F22F3CDFA30}"/>
    <cellStyle name="Normal 2 4 2 3 2 7 2 2 3" xfId="25344" xr:uid="{FC536205-113E-4853-873B-4D7CA74AC913}"/>
    <cellStyle name="Normal 2 4 2 3 2 7 2 2 4" xfId="42201" xr:uid="{53B79DA7-5104-4766-82CF-0BD688DC96F2}"/>
    <cellStyle name="Normal 2 4 2 3 2 7 2 2 5" xfId="16909" xr:uid="{C0B0D394-4E12-4417-90DF-A18E1D98BF34}"/>
    <cellStyle name="Normal 2 4 2 3 2 7 2 3" xfId="29555" xr:uid="{B1607F9D-FA4D-48CD-B0FD-17D541399905}"/>
    <cellStyle name="Normal 2 4 2 3 2 7 2 4" xfId="21126" xr:uid="{00E2EA9D-2CE2-4E0C-991F-1AED2854B4E4}"/>
    <cellStyle name="Normal 2 4 2 3 2 7 2 5" xfId="37984" xr:uid="{13BD23ED-001B-4C71-8B65-7EC98EF1A36B}"/>
    <cellStyle name="Normal 2 4 2 3 2 7 2 6" xfId="12691" xr:uid="{699EB5BC-50E5-46E0-B01F-36305230E483}"/>
    <cellStyle name="Normal 2 4 2 3 2 7 3" xfId="6329" xr:uid="{00000000-0005-0000-0000-0000E40E0000}"/>
    <cellStyle name="Normal 2 4 2 3 2 7 3 2" xfId="31628" xr:uid="{2F08D6EF-BF94-405E-A190-AD7571F1561B}"/>
    <cellStyle name="Normal 2 4 2 3 2 7 3 3" xfId="23199" xr:uid="{EC559E09-A097-4AF0-BD3C-D4EA6D3B2C28}"/>
    <cellStyle name="Normal 2 4 2 3 2 7 3 4" xfId="40056" xr:uid="{6414A46D-4CD8-4C9A-A347-330754C72BC5}"/>
    <cellStyle name="Normal 2 4 2 3 2 7 3 5" xfId="14764" xr:uid="{1BCB8EF3-7E89-4F36-AE67-CCC00148A5FD}"/>
    <cellStyle name="Normal 2 4 2 3 2 7 4" xfId="27410" xr:uid="{9FE69F55-74C0-4E5D-8070-BF106A6EBF24}"/>
    <cellStyle name="Normal 2 4 2 3 2 7 5" xfId="18981" xr:uid="{71D923D4-32A3-47B1-910C-DDF900F1628A}"/>
    <cellStyle name="Normal 2 4 2 3 2 7 6" xfId="35839" xr:uid="{AA65BC6C-9460-44A2-A564-4DC367D1E645}"/>
    <cellStyle name="Normal 2 4 2 3 2 7 7" xfId="10546" xr:uid="{67F41C0F-BBCA-40C1-91CA-8738C943B445}"/>
    <cellStyle name="Normal 2 4 2 3 2 8" xfId="2458" xr:uid="{00000000-0005-0000-0000-0000E50E0000}"/>
    <cellStyle name="Normal 2 4 2 3 2 8 2" xfId="6742" xr:uid="{00000000-0005-0000-0000-0000E60E0000}"/>
    <cellStyle name="Normal 2 4 2 3 2 8 2 2" xfId="32041" xr:uid="{C441469E-13B9-4839-8B5F-E1DD9160C4CA}"/>
    <cellStyle name="Normal 2 4 2 3 2 8 2 3" xfId="23612" xr:uid="{DC2E55CA-CB0D-4D38-BFAE-60C4EFC10F0C}"/>
    <cellStyle name="Normal 2 4 2 3 2 8 2 4" xfId="40469" xr:uid="{F3D00222-7CCE-453B-8E23-0FA840CAFB37}"/>
    <cellStyle name="Normal 2 4 2 3 2 8 2 5" xfId="15177" xr:uid="{3F649866-4353-4FBE-9782-C73DE3E98C22}"/>
    <cellStyle name="Normal 2 4 2 3 2 8 3" xfId="27823" xr:uid="{5574C3C2-77AF-4342-9F40-C0D7C7035367}"/>
    <cellStyle name="Normal 2 4 2 3 2 8 4" xfId="19394" xr:uid="{3524BC4F-41F5-4DCF-9637-31DC8F6C0C99}"/>
    <cellStyle name="Normal 2 4 2 3 2 8 5" xfId="36252" xr:uid="{1A154ADD-21B8-4F61-91A5-7D886CFA5FCC}"/>
    <cellStyle name="Normal 2 4 2 3 2 8 6" xfId="10959" xr:uid="{03026657-939F-451D-9140-DB5FA78678B6}"/>
    <cellStyle name="Normal 2 4 2 3 2 9" xfId="4676" xr:uid="{00000000-0005-0000-0000-0000E70E0000}"/>
    <cellStyle name="Normal 2 4 2 3 2 9 2" xfId="29975" xr:uid="{02BB602B-56DE-476D-885C-1FC63BDC9D4C}"/>
    <cellStyle name="Normal 2 4 2 3 2 9 3" xfId="21546" xr:uid="{694EA593-5AAE-4829-A22A-F125126665B0}"/>
    <cellStyle name="Normal 2 4 2 3 2 9 4" xfId="38403" xr:uid="{3C7EDCFE-5DC3-48B9-86D2-0227E6B6AFF4}"/>
    <cellStyle name="Normal 2 4 2 3 2 9 5" xfId="13111" xr:uid="{8D7E168F-1A44-4468-B765-8B53363C15A2}"/>
    <cellStyle name="Normal 2 4 2 3 3" xfId="286" xr:uid="{00000000-0005-0000-0000-0000E80E0000}"/>
    <cellStyle name="Normal 2 4 2 3 3 10" xfId="17332" xr:uid="{77F63E87-CDAF-41F0-BE4B-65EC074D0652}"/>
    <cellStyle name="Normal 2 4 2 3 3 11" xfId="34190" xr:uid="{B51DADED-CA43-4D9F-8F4F-24804330CF8B}"/>
    <cellStyle name="Normal 2 4 2 3 3 12" xfId="8897" xr:uid="{E49528BF-AEE5-4051-B0C1-BF7B9EEBF9D1}"/>
    <cellStyle name="Normal 2 4 2 3 3 2" xfId="287" xr:uid="{00000000-0005-0000-0000-0000E90E0000}"/>
    <cellStyle name="Normal 2 4 2 3 3 2 10" xfId="34191" xr:uid="{D345F3D0-F565-438C-BC1F-D204B753C23E}"/>
    <cellStyle name="Normal 2 4 2 3 3 2 11" xfId="8898" xr:uid="{4ECCA278-007D-46D4-9CC7-4D8EB6433044}"/>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32539" xr:uid="{0778FC0A-8EF6-4DCF-A12B-5235B7F6F379}"/>
    <cellStyle name="Normal 2 4 2 3 3 2 2 2 2 3" xfId="24110" xr:uid="{6B556302-C1F0-4061-8DB3-351220E69CA6}"/>
    <cellStyle name="Normal 2 4 2 3 3 2 2 2 2 4" xfId="40967" xr:uid="{235CB3E7-67F0-4080-80D7-6E052FA51290}"/>
    <cellStyle name="Normal 2 4 2 3 3 2 2 2 2 5" xfId="15675" xr:uid="{08C6BB98-6187-46E7-AF87-9B5A8019BF50}"/>
    <cellStyle name="Normal 2 4 2 3 3 2 2 2 3" xfId="28321" xr:uid="{6EE1192E-82B4-49B2-A27C-BF981D18EA44}"/>
    <cellStyle name="Normal 2 4 2 3 3 2 2 2 4" xfId="19892" xr:uid="{A2B4967A-AAB2-479F-AACF-3AE419169DC7}"/>
    <cellStyle name="Normal 2 4 2 3 3 2 2 2 5" xfId="36750" xr:uid="{9DC4D849-8481-49D7-846C-C90DEBA5EBD5}"/>
    <cellStyle name="Normal 2 4 2 3 3 2 2 2 6" xfId="11457" xr:uid="{5F946D83-D69C-4E39-83FD-B80A617DA38C}"/>
    <cellStyle name="Normal 2 4 2 3 3 2 2 3" xfId="5095" xr:uid="{00000000-0005-0000-0000-0000ED0E0000}"/>
    <cellStyle name="Normal 2 4 2 3 3 2 2 3 2" xfId="30394" xr:uid="{DB7300BA-92F1-49A0-9CB8-8D9634B77FD0}"/>
    <cellStyle name="Normal 2 4 2 3 3 2 2 3 3" xfId="21965" xr:uid="{FDF63C64-8176-4A58-A410-A70D90AEA32F}"/>
    <cellStyle name="Normal 2 4 2 3 3 2 2 3 4" xfId="38822" xr:uid="{F9D8D017-C417-41D2-8FF9-A314BF2B009E}"/>
    <cellStyle name="Normal 2 4 2 3 3 2 2 3 5" xfId="13530" xr:uid="{A842FDBC-40D6-44C9-B42F-A73039EA38F2}"/>
    <cellStyle name="Normal 2 4 2 3 3 2 2 4" xfId="26176" xr:uid="{B0C11179-E69A-4EBF-9C61-8AC179690CB6}"/>
    <cellStyle name="Normal 2 4 2 3 3 2 2 5" xfId="17747" xr:uid="{E817270F-6F86-4AAE-A8F7-BE8A8B74B304}"/>
    <cellStyle name="Normal 2 4 2 3 3 2 2 6" xfId="34605" xr:uid="{AE35A53D-DF15-4FE0-8B49-0EE3034AD693}"/>
    <cellStyle name="Normal 2 4 2 3 3 2 2 7" xfId="9312" xr:uid="{E78A9F03-D944-4285-9EAC-45843247F254}"/>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32952" xr:uid="{571BAAFE-49BE-4A44-8E65-66B89562FDA8}"/>
    <cellStyle name="Normal 2 4 2 3 3 2 3 2 2 3" xfId="24523" xr:uid="{1D8743B5-AC48-48A4-8AE7-6874F48C4141}"/>
    <cellStyle name="Normal 2 4 2 3 3 2 3 2 2 4" xfId="41380" xr:uid="{D52C4C10-4071-49C0-BFEF-D7824EC9B9B0}"/>
    <cellStyle name="Normal 2 4 2 3 3 2 3 2 2 5" xfId="16088" xr:uid="{36A333E6-3CB9-42B7-89C1-D175F99C817F}"/>
    <cellStyle name="Normal 2 4 2 3 3 2 3 2 3" xfId="28734" xr:uid="{C26B99F3-9D2B-4DB2-A505-E7FB53E12E09}"/>
    <cellStyle name="Normal 2 4 2 3 3 2 3 2 4" xfId="20305" xr:uid="{191F16D6-415E-4795-BFFC-F92258A8E231}"/>
    <cellStyle name="Normal 2 4 2 3 3 2 3 2 5" xfId="37163" xr:uid="{FBD77740-7A0B-41B5-8B1A-64B03A0055FE}"/>
    <cellStyle name="Normal 2 4 2 3 3 2 3 2 6" xfId="11870" xr:uid="{637F7E55-B5C8-4BDA-A36A-1996D312EC22}"/>
    <cellStyle name="Normal 2 4 2 3 3 2 3 3" xfId="5508" xr:uid="{00000000-0005-0000-0000-0000F10E0000}"/>
    <cellStyle name="Normal 2 4 2 3 3 2 3 3 2" xfId="30807" xr:uid="{D0C1A7BA-0685-43F3-8510-4EBEC2A446BA}"/>
    <cellStyle name="Normal 2 4 2 3 3 2 3 3 3" xfId="22378" xr:uid="{436F0587-1130-44D0-BA69-5AD8747C349B}"/>
    <cellStyle name="Normal 2 4 2 3 3 2 3 3 4" xfId="39235" xr:uid="{F468D22D-F825-40C4-A55A-E90193EC1DDA}"/>
    <cellStyle name="Normal 2 4 2 3 3 2 3 3 5" xfId="13943" xr:uid="{090357AB-0AD6-4DF5-B0B7-86058F8392C6}"/>
    <cellStyle name="Normal 2 4 2 3 3 2 3 4" xfId="26589" xr:uid="{DB78B379-C644-46D5-AD8C-D6A65E3FE681}"/>
    <cellStyle name="Normal 2 4 2 3 3 2 3 5" xfId="18160" xr:uid="{90C62B3B-03E5-457D-BA7B-C27CC3F8D57E}"/>
    <cellStyle name="Normal 2 4 2 3 3 2 3 6" xfId="35018" xr:uid="{0C467AAA-D6D7-4FA5-BEC8-FE9A085B4810}"/>
    <cellStyle name="Normal 2 4 2 3 3 2 3 7" xfId="9725" xr:uid="{4D0F2007-81B2-4E81-B76A-8B2C0D17E084}"/>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33365" xr:uid="{EA1AFB63-C688-4001-BD4E-8798D096CC55}"/>
    <cellStyle name="Normal 2 4 2 3 3 2 4 2 2 3" xfId="24936" xr:uid="{5CFDC00D-79FB-4594-9A74-189380F07077}"/>
    <cellStyle name="Normal 2 4 2 3 3 2 4 2 2 4" xfId="41793" xr:uid="{D50DFF3F-A41A-4AD7-82C8-0E13376368E5}"/>
    <cellStyle name="Normal 2 4 2 3 3 2 4 2 2 5" xfId="16501" xr:uid="{FAF461A5-E3AF-4662-8347-023C91D77721}"/>
    <cellStyle name="Normal 2 4 2 3 3 2 4 2 3" xfId="29147" xr:uid="{B66A93A2-C21E-4FFA-AF1F-8AD1CF965EE4}"/>
    <cellStyle name="Normal 2 4 2 3 3 2 4 2 4" xfId="20718" xr:uid="{FD6A0699-C4B6-4610-B95F-1B8A1E36D028}"/>
    <cellStyle name="Normal 2 4 2 3 3 2 4 2 5" xfId="37576" xr:uid="{D9273611-E08D-4D8C-8600-66897E0A263E}"/>
    <cellStyle name="Normal 2 4 2 3 3 2 4 2 6" xfId="12283" xr:uid="{8FB35FA3-C9E9-47F9-A959-7629CF1C5B69}"/>
    <cellStyle name="Normal 2 4 2 3 3 2 4 3" xfId="5921" xr:uid="{00000000-0005-0000-0000-0000F50E0000}"/>
    <cellStyle name="Normal 2 4 2 3 3 2 4 3 2" xfId="31220" xr:uid="{78D60024-D9BA-416A-9F6B-0F66E7C425BD}"/>
    <cellStyle name="Normal 2 4 2 3 3 2 4 3 3" xfId="22791" xr:uid="{35EDBB9A-39FB-488A-91BB-EC5128D9BEE7}"/>
    <cellStyle name="Normal 2 4 2 3 3 2 4 3 4" xfId="39648" xr:uid="{89FE64D5-EA54-4DCF-AF69-653B8BED6B7B}"/>
    <cellStyle name="Normal 2 4 2 3 3 2 4 3 5" xfId="14356" xr:uid="{9F791118-222A-4DC0-AAED-BB31BC338DCA}"/>
    <cellStyle name="Normal 2 4 2 3 3 2 4 4" xfId="27002" xr:uid="{C7D71ADA-A45C-4C18-A219-6268D126FC07}"/>
    <cellStyle name="Normal 2 4 2 3 3 2 4 5" xfId="18573" xr:uid="{3B77A74E-6A92-4375-8C98-92F756E81671}"/>
    <cellStyle name="Normal 2 4 2 3 3 2 4 6" xfId="35431" xr:uid="{464A2F41-3C36-4F8D-9029-8C768A643C79}"/>
    <cellStyle name="Normal 2 4 2 3 3 2 4 7" xfId="10138" xr:uid="{1564CD32-F62B-4A88-AD9B-D63DE30EB205}"/>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33778" xr:uid="{0F5190AF-C139-4D59-A866-CDB40D57F934}"/>
    <cellStyle name="Normal 2 4 2 3 3 2 5 2 2 3" xfId="25349" xr:uid="{DB51AAAD-2992-4746-9C60-E0AB78BC3A4B}"/>
    <cellStyle name="Normal 2 4 2 3 3 2 5 2 2 4" xfId="42206" xr:uid="{F11AC3A9-987F-4166-9113-F06BB61FFF8E}"/>
    <cellStyle name="Normal 2 4 2 3 3 2 5 2 2 5" xfId="16914" xr:uid="{53FF30EE-CE55-4355-BBBC-E34CAFBD8B57}"/>
    <cellStyle name="Normal 2 4 2 3 3 2 5 2 3" xfId="29560" xr:uid="{6E00205D-4934-4B80-AC70-7B3223832A51}"/>
    <cellStyle name="Normal 2 4 2 3 3 2 5 2 4" xfId="21131" xr:uid="{A84F0978-5E41-4179-B322-1CC693ECEFD2}"/>
    <cellStyle name="Normal 2 4 2 3 3 2 5 2 5" xfId="37989" xr:uid="{5454D672-EB85-4AF9-85DB-100E92C570FE}"/>
    <cellStyle name="Normal 2 4 2 3 3 2 5 2 6" xfId="12696" xr:uid="{C43578CC-5A63-49B9-AFA5-53217FDDA787}"/>
    <cellStyle name="Normal 2 4 2 3 3 2 5 3" xfId="6334" xr:uid="{00000000-0005-0000-0000-0000F90E0000}"/>
    <cellStyle name="Normal 2 4 2 3 3 2 5 3 2" xfId="31633" xr:uid="{2425D1EA-DAF1-448B-BFD1-C9B143FBAC3B}"/>
    <cellStyle name="Normal 2 4 2 3 3 2 5 3 3" xfId="23204" xr:uid="{65EF34BA-4E6B-4C7F-A8A8-12FB2D0B7559}"/>
    <cellStyle name="Normal 2 4 2 3 3 2 5 3 4" xfId="40061" xr:uid="{E788E000-3BB5-4668-8EB3-CEC875080AB9}"/>
    <cellStyle name="Normal 2 4 2 3 3 2 5 3 5" xfId="14769" xr:uid="{97EAB594-C52E-40C7-9109-3862F6F20BE5}"/>
    <cellStyle name="Normal 2 4 2 3 3 2 5 4" xfId="27415" xr:uid="{E790ECB8-A322-4489-80AE-290CA122013A}"/>
    <cellStyle name="Normal 2 4 2 3 3 2 5 5" xfId="18986" xr:uid="{90C62FCA-E1E2-4625-840A-B6524B61DF61}"/>
    <cellStyle name="Normal 2 4 2 3 3 2 5 6" xfId="35844" xr:uid="{BF6B808F-F291-4C8D-9CDB-D32E9FE11A4E}"/>
    <cellStyle name="Normal 2 4 2 3 3 2 5 7" xfId="10551" xr:uid="{4CA05FE7-E110-4CE6-BF65-23E77A55CBFF}"/>
    <cellStyle name="Normal 2 4 2 3 3 2 6" xfId="2463" xr:uid="{00000000-0005-0000-0000-0000FA0E0000}"/>
    <cellStyle name="Normal 2 4 2 3 3 2 6 2" xfId="6747" xr:uid="{00000000-0005-0000-0000-0000FB0E0000}"/>
    <cellStyle name="Normal 2 4 2 3 3 2 6 2 2" xfId="32046" xr:uid="{846FB88B-EAC9-49B2-B7C1-FFA3F7707334}"/>
    <cellStyle name="Normal 2 4 2 3 3 2 6 2 3" xfId="23617" xr:uid="{B4AE4798-F5B7-4B12-8D0A-804E7F1DDBA2}"/>
    <cellStyle name="Normal 2 4 2 3 3 2 6 2 4" xfId="40474" xr:uid="{8EE9E159-C43E-486C-A85B-C1582A51E3CF}"/>
    <cellStyle name="Normal 2 4 2 3 3 2 6 2 5" xfId="15182" xr:uid="{1638DD86-A1AF-45A4-A4D7-DB06BECFEF8A}"/>
    <cellStyle name="Normal 2 4 2 3 3 2 6 3" xfId="27828" xr:uid="{28DD3839-7E51-4C1A-BD14-41BB13BD4870}"/>
    <cellStyle name="Normal 2 4 2 3 3 2 6 4" xfId="19399" xr:uid="{F30F8E07-49AC-4FAE-86EC-FA8AC04FED05}"/>
    <cellStyle name="Normal 2 4 2 3 3 2 6 5" xfId="36257" xr:uid="{F33927D1-9CF5-4585-8483-6080202B46E1}"/>
    <cellStyle name="Normal 2 4 2 3 3 2 6 6" xfId="10964" xr:uid="{7C8F3340-C2EF-4076-885D-C38EE390B6C7}"/>
    <cellStyle name="Normal 2 4 2 3 3 2 7" xfId="4681" xr:uid="{00000000-0005-0000-0000-0000FC0E0000}"/>
    <cellStyle name="Normal 2 4 2 3 3 2 7 2" xfId="29980" xr:uid="{1162D4EB-C647-4862-AD70-274471A440D1}"/>
    <cellStyle name="Normal 2 4 2 3 3 2 7 3" xfId="21551" xr:uid="{A899F557-0294-4726-9F0F-7CBA215B667A}"/>
    <cellStyle name="Normal 2 4 2 3 3 2 7 4" xfId="38408" xr:uid="{767A4FFB-F2C1-4015-B479-C087DFA6D396}"/>
    <cellStyle name="Normal 2 4 2 3 3 2 7 5" xfId="13116" xr:uid="{4B7A5325-E576-40BD-AD16-E068F23CA3B2}"/>
    <cellStyle name="Normal 2 4 2 3 3 2 8" xfId="25762" xr:uid="{D3065EAC-F6EE-4211-BD4B-3698F0C57156}"/>
    <cellStyle name="Normal 2 4 2 3 3 2 9" xfId="17333" xr:uid="{E262EB39-BC8E-40C8-BC86-4DBE0091D17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32538" xr:uid="{A16D11C3-CECE-4E69-BF62-5FA102C65A81}"/>
    <cellStyle name="Normal 2 4 2 3 3 3 2 2 3" xfId="24109" xr:uid="{6AA3CA98-CF88-40DD-8974-11452989D232}"/>
    <cellStyle name="Normal 2 4 2 3 3 3 2 2 4" xfId="40966" xr:uid="{B368C987-8301-4D03-9ED1-3BA2FF72770E}"/>
    <cellStyle name="Normal 2 4 2 3 3 3 2 2 5" xfId="15674" xr:uid="{5FA0B9F6-9063-4E4C-A7D8-80A1BBED102F}"/>
    <cellStyle name="Normal 2 4 2 3 3 3 2 3" xfId="28320" xr:uid="{A85C6055-82E6-4BF4-8E0C-C03B5C8AE4CB}"/>
    <cellStyle name="Normal 2 4 2 3 3 3 2 4" xfId="19891" xr:uid="{0B222255-C877-4897-83CD-CC759398CFFC}"/>
    <cellStyle name="Normal 2 4 2 3 3 3 2 5" xfId="36749" xr:uid="{307DEA0B-9E8B-49BC-BFFF-78B6669C68CF}"/>
    <cellStyle name="Normal 2 4 2 3 3 3 2 6" xfId="11456" xr:uid="{682406D3-3585-41F9-BD68-29E6DA3DE642}"/>
    <cellStyle name="Normal 2 4 2 3 3 3 3" xfId="5094" xr:uid="{00000000-0005-0000-0000-0000000F0000}"/>
    <cellStyle name="Normal 2 4 2 3 3 3 3 2" xfId="30393" xr:uid="{27BEEC2B-0976-479C-9AB1-E22170EB3E1E}"/>
    <cellStyle name="Normal 2 4 2 3 3 3 3 3" xfId="21964" xr:uid="{02AD5559-EEF7-4C2A-8BFB-DDF1007C471A}"/>
    <cellStyle name="Normal 2 4 2 3 3 3 3 4" xfId="38821" xr:uid="{29530C3A-9DD1-4D6B-BC06-335F303FE246}"/>
    <cellStyle name="Normal 2 4 2 3 3 3 3 5" xfId="13529" xr:uid="{C957CB3D-F921-47C7-8A52-7FFE9AC8F4A2}"/>
    <cellStyle name="Normal 2 4 2 3 3 3 4" xfId="26175" xr:uid="{ECEB21A8-4794-4225-A114-947F032E0610}"/>
    <cellStyle name="Normal 2 4 2 3 3 3 5" xfId="17746" xr:uid="{E61729D3-C19A-4CD4-A78F-6C06A085349B}"/>
    <cellStyle name="Normal 2 4 2 3 3 3 6" xfId="34604" xr:uid="{D3299686-0BB7-400C-B2D4-20D3F2A60D69}"/>
    <cellStyle name="Normal 2 4 2 3 3 3 7" xfId="9311" xr:uid="{4F9B3038-E6B6-4C3D-88A5-66D288C2C1DF}"/>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32951" xr:uid="{7F4871CD-6154-4DD5-8DE0-B5219249A9F2}"/>
    <cellStyle name="Normal 2 4 2 3 3 4 2 2 3" xfId="24522" xr:uid="{888F00CD-B51A-4D16-9E4D-CA7C6333C679}"/>
    <cellStyle name="Normal 2 4 2 3 3 4 2 2 4" xfId="41379" xr:uid="{914A9E83-C60A-4AAF-9330-AD3D1D9E4762}"/>
    <cellStyle name="Normal 2 4 2 3 3 4 2 2 5" xfId="16087" xr:uid="{D25A4E04-3B9A-4E06-B85C-A33B7B32B1A4}"/>
    <cellStyle name="Normal 2 4 2 3 3 4 2 3" xfId="28733" xr:uid="{1A8EA3D6-054C-42AF-8FBE-A8F433B09EEC}"/>
    <cellStyle name="Normal 2 4 2 3 3 4 2 4" xfId="20304" xr:uid="{1F1CB9CA-8051-4701-8DB9-C88469CD7F00}"/>
    <cellStyle name="Normal 2 4 2 3 3 4 2 5" xfId="37162" xr:uid="{D065D06A-5F59-48F5-BEFC-E77B9DF0DB77}"/>
    <cellStyle name="Normal 2 4 2 3 3 4 2 6" xfId="11869" xr:uid="{4FFA6B56-E8AE-4921-8A76-ECBC973C7BDD}"/>
    <cellStyle name="Normal 2 4 2 3 3 4 3" xfId="5507" xr:uid="{00000000-0005-0000-0000-0000040F0000}"/>
    <cellStyle name="Normal 2 4 2 3 3 4 3 2" xfId="30806" xr:uid="{F33F4253-EB1D-4992-85C2-A1459E5330D7}"/>
    <cellStyle name="Normal 2 4 2 3 3 4 3 3" xfId="22377" xr:uid="{438774FF-06C9-4C72-828A-6460B7F99DC1}"/>
    <cellStyle name="Normal 2 4 2 3 3 4 3 4" xfId="39234" xr:uid="{3A58C387-0687-4BD5-B746-A7317DBE2D56}"/>
    <cellStyle name="Normal 2 4 2 3 3 4 3 5" xfId="13942" xr:uid="{B887114B-F14C-4180-8E3E-FCF0FBA92A6C}"/>
    <cellStyle name="Normal 2 4 2 3 3 4 4" xfId="26588" xr:uid="{DFA5398A-6FAA-4D94-9467-4595AE7788D2}"/>
    <cellStyle name="Normal 2 4 2 3 3 4 5" xfId="18159" xr:uid="{40E62AC7-733C-4BEF-AD6C-68EEE93EF528}"/>
    <cellStyle name="Normal 2 4 2 3 3 4 6" xfId="35017" xr:uid="{4C356B17-61EA-4706-A952-95EFB3583DDB}"/>
    <cellStyle name="Normal 2 4 2 3 3 4 7" xfId="9724" xr:uid="{7C3D97A6-EE4F-4427-84EA-70F883DDE2A9}"/>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33364" xr:uid="{CAE01B1E-0A11-4683-AF5B-1B717BE10192}"/>
    <cellStyle name="Normal 2 4 2 3 3 5 2 2 3" xfId="24935" xr:uid="{153669F7-A6CF-496F-9886-CB176C5AD13A}"/>
    <cellStyle name="Normal 2 4 2 3 3 5 2 2 4" xfId="41792" xr:uid="{DB9B00BE-50F1-4F50-B0AA-55D76DDDDFB8}"/>
    <cellStyle name="Normal 2 4 2 3 3 5 2 2 5" xfId="16500" xr:uid="{50799A51-98A8-4C5D-82C9-18B4CD6388C9}"/>
    <cellStyle name="Normal 2 4 2 3 3 5 2 3" xfId="29146" xr:uid="{4042A002-B0DD-4D25-AB17-D3166BA42B34}"/>
    <cellStyle name="Normal 2 4 2 3 3 5 2 4" xfId="20717" xr:uid="{0C1FFD27-BEBC-432F-B4BA-775A73E82975}"/>
    <cellStyle name="Normal 2 4 2 3 3 5 2 5" xfId="37575" xr:uid="{FD534CF0-AE02-452B-A4A6-925DECB6C028}"/>
    <cellStyle name="Normal 2 4 2 3 3 5 2 6" xfId="12282" xr:uid="{7716262E-EA30-4F23-B847-84946C7007C2}"/>
    <cellStyle name="Normal 2 4 2 3 3 5 3" xfId="5920" xr:uid="{00000000-0005-0000-0000-0000080F0000}"/>
    <cellStyle name="Normal 2 4 2 3 3 5 3 2" xfId="31219" xr:uid="{14774BCF-8E44-4A21-9EBD-67B58E85BC31}"/>
    <cellStyle name="Normal 2 4 2 3 3 5 3 3" xfId="22790" xr:uid="{40DB6A4D-03A6-49F5-ACA2-1EAFC33C2B8C}"/>
    <cellStyle name="Normal 2 4 2 3 3 5 3 4" xfId="39647" xr:uid="{DB4B92BC-B0C6-4FBB-8A1D-B7239A7DD894}"/>
    <cellStyle name="Normal 2 4 2 3 3 5 3 5" xfId="14355" xr:uid="{71D384FB-4442-4E36-A8D3-FCB94EB06389}"/>
    <cellStyle name="Normal 2 4 2 3 3 5 4" xfId="27001" xr:uid="{0AEF039A-47C2-42A5-B2C4-8F9AAE4545E8}"/>
    <cellStyle name="Normal 2 4 2 3 3 5 5" xfId="18572" xr:uid="{4349E35E-C20F-4340-8B82-F915D627D998}"/>
    <cellStyle name="Normal 2 4 2 3 3 5 6" xfId="35430" xr:uid="{EF5A5810-2827-4860-A9E9-65D1593244A7}"/>
    <cellStyle name="Normal 2 4 2 3 3 5 7" xfId="10137" xr:uid="{856ACFDD-9338-4581-A4DF-2CF9B23D21E5}"/>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33777" xr:uid="{902F763C-2C88-489E-93ED-E2DADA08F79C}"/>
    <cellStyle name="Normal 2 4 2 3 3 6 2 2 3" xfId="25348" xr:uid="{E51CE667-18D8-427D-AAE1-198892D3438E}"/>
    <cellStyle name="Normal 2 4 2 3 3 6 2 2 4" xfId="42205" xr:uid="{0E259F9B-83E3-4883-974A-BB3457ECDECE}"/>
    <cellStyle name="Normal 2 4 2 3 3 6 2 2 5" xfId="16913" xr:uid="{EEF3F90A-A1A6-4399-9DD9-504C65CD7C5F}"/>
    <cellStyle name="Normal 2 4 2 3 3 6 2 3" xfId="29559" xr:uid="{AF635DDA-1933-4915-89E4-49EAB7C9E8C2}"/>
    <cellStyle name="Normal 2 4 2 3 3 6 2 4" xfId="21130" xr:uid="{42C2E1E4-8272-4A2A-B57E-FB179EE9150A}"/>
    <cellStyle name="Normal 2 4 2 3 3 6 2 5" xfId="37988" xr:uid="{9E8936E4-7764-4B95-8CFF-61A0B1FA5E70}"/>
    <cellStyle name="Normal 2 4 2 3 3 6 2 6" xfId="12695" xr:uid="{CDE379D1-4B87-40E0-943C-FD220D41BD21}"/>
    <cellStyle name="Normal 2 4 2 3 3 6 3" xfId="6333" xr:uid="{00000000-0005-0000-0000-00000C0F0000}"/>
    <cellStyle name="Normal 2 4 2 3 3 6 3 2" xfId="31632" xr:uid="{7896F452-EBC7-4635-8CD5-3ADD03600D9B}"/>
    <cellStyle name="Normal 2 4 2 3 3 6 3 3" xfId="23203" xr:uid="{E0DD7D0C-FFE7-4542-BA89-9899EFADCCBF}"/>
    <cellStyle name="Normal 2 4 2 3 3 6 3 4" xfId="40060" xr:uid="{290E98CF-865B-4F66-9D1B-E8C1199C97FF}"/>
    <cellStyle name="Normal 2 4 2 3 3 6 3 5" xfId="14768" xr:uid="{2ACDEEAC-3AC6-49CF-90D1-B05789709E1E}"/>
    <cellStyle name="Normal 2 4 2 3 3 6 4" xfId="27414" xr:uid="{CA8C007D-3102-44C9-B89B-ECD11597680F}"/>
    <cellStyle name="Normal 2 4 2 3 3 6 5" xfId="18985" xr:uid="{188E2DFB-12C6-4147-ACF8-92A003FCE093}"/>
    <cellStyle name="Normal 2 4 2 3 3 6 6" xfId="35843" xr:uid="{FB12F759-92EA-406C-AA3C-90748969D592}"/>
    <cellStyle name="Normal 2 4 2 3 3 6 7" xfId="10550" xr:uid="{9ED17E25-F5A4-41AA-B004-99475A54CBE5}"/>
    <cellStyle name="Normal 2 4 2 3 3 7" xfId="2462" xr:uid="{00000000-0005-0000-0000-00000D0F0000}"/>
    <cellStyle name="Normal 2 4 2 3 3 7 2" xfId="6746" xr:uid="{00000000-0005-0000-0000-00000E0F0000}"/>
    <cellStyle name="Normal 2 4 2 3 3 7 2 2" xfId="32045" xr:uid="{89759F7E-A8C1-43C8-A6EC-E0868139FEE7}"/>
    <cellStyle name="Normal 2 4 2 3 3 7 2 3" xfId="23616" xr:uid="{4B9C9177-09E2-4CF7-96F4-BB86D62E28F7}"/>
    <cellStyle name="Normal 2 4 2 3 3 7 2 4" xfId="40473" xr:uid="{84BCAD8D-A3A0-428B-86E6-1A8CD923DC72}"/>
    <cellStyle name="Normal 2 4 2 3 3 7 2 5" xfId="15181" xr:uid="{AD643897-529A-491E-A346-9422CD0B713A}"/>
    <cellStyle name="Normal 2 4 2 3 3 7 3" xfId="27827" xr:uid="{E939FDC6-64CB-4375-AE49-5E78D97BA280}"/>
    <cellStyle name="Normal 2 4 2 3 3 7 4" xfId="19398" xr:uid="{56DBC69F-F6D9-4655-B0F4-23B4B31AADF4}"/>
    <cellStyle name="Normal 2 4 2 3 3 7 5" xfId="36256" xr:uid="{6754D572-5603-41A8-8233-7620CE787200}"/>
    <cellStyle name="Normal 2 4 2 3 3 7 6" xfId="10963" xr:uid="{0F769E3D-3AC2-4B90-B59E-A4D5FD0045B2}"/>
    <cellStyle name="Normal 2 4 2 3 3 8" xfId="4680" xr:uid="{00000000-0005-0000-0000-00000F0F0000}"/>
    <cellStyle name="Normal 2 4 2 3 3 8 2" xfId="29979" xr:uid="{2E7A6899-EE86-447D-BDEB-74F353EE7E76}"/>
    <cellStyle name="Normal 2 4 2 3 3 8 3" xfId="21550" xr:uid="{FCD70FBE-778B-477F-BC0E-0027FDA58AEE}"/>
    <cellStyle name="Normal 2 4 2 3 3 8 4" xfId="38407" xr:uid="{BC69AF6E-FD4A-401A-B29A-EDC3DE12882F}"/>
    <cellStyle name="Normal 2 4 2 3 3 8 5" xfId="13115" xr:uid="{F560033A-843D-46B2-BAEE-E7845A13320F}"/>
    <cellStyle name="Normal 2 4 2 3 3 9" xfId="25761" xr:uid="{82C0EC6F-5028-4DB5-BEB6-432264F611D9}"/>
    <cellStyle name="Normal 2 4 2 3 4" xfId="288" xr:uid="{00000000-0005-0000-0000-0000100F0000}"/>
    <cellStyle name="Normal 2 4 2 3 4 10" xfId="34192" xr:uid="{1464F037-3CB9-40EE-ACFD-8C2D5000FAB0}"/>
    <cellStyle name="Normal 2 4 2 3 4 11" xfId="8899" xr:uid="{7E1AC9B7-41C9-4988-896C-3E14148A57F4}"/>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32540" xr:uid="{FE760D68-479F-4EF9-835E-4C93DFF50356}"/>
    <cellStyle name="Normal 2 4 2 3 4 2 2 2 3" xfId="24111" xr:uid="{B5BCB1FA-F137-4D0D-B18C-279568B8F495}"/>
    <cellStyle name="Normal 2 4 2 3 4 2 2 2 4" xfId="40968" xr:uid="{3AF77B84-2C61-4882-B17A-3E7FFDD91FBF}"/>
    <cellStyle name="Normal 2 4 2 3 4 2 2 2 5" xfId="15676" xr:uid="{D8BCF0E7-13FC-4C89-B654-DCDBB70E4737}"/>
    <cellStyle name="Normal 2 4 2 3 4 2 2 3" xfId="28322" xr:uid="{972477A2-6C92-4795-ABC3-F69F1C54CB1E}"/>
    <cellStyle name="Normal 2 4 2 3 4 2 2 4" xfId="19893" xr:uid="{0716D088-14D3-4F9D-A592-7E72B56B670B}"/>
    <cellStyle name="Normal 2 4 2 3 4 2 2 5" xfId="36751" xr:uid="{C7D42FE1-BBE8-407C-94E7-31E08FF55EC7}"/>
    <cellStyle name="Normal 2 4 2 3 4 2 2 6" xfId="11458" xr:uid="{CBD9B6DC-6E11-4EAC-8E60-DB4BD38ECB1A}"/>
    <cellStyle name="Normal 2 4 2 3 4 2 3" xfId="5096" xr:uid="{00000000-0005-0000-0000-0000140F0000}"/>
    <cellStyle name="Normal 2 4 2 3 4 2 3 2" xfId="30395" xr:uid="{9134BBCE-3052-46A4-ABDE-5DB5FAD6F560}"/>
    <cellStyle name="Normal 2 4 2 3 4 2 3 3" xfId="21966" xr:uid="{53AB9230-5297-4C31-8AE7-134C1A4D40F4}"/>
    <cellStyle name="Normal 2 4 2 3 4 2 3 4" xfId="38823" xr:uid="{5DB80301-2EA6-4218-A787-1813EDD71405}"/>
    <cellStyle name="Normal 2 4 2 3 4 2 3 5" xfId="13531" xr:uid="{E02DE2C8-D77B-45D5-BDF3-B9DE0F700A31}"/>
    <cellStyle name="Normal 2 4 2 3 4 2 4" xfId="26177" xr:uid="{DF6741A0-B559-4A71-A8E9-4E91B4867AE6}"/>
    <cellStyle name="Normal 2 4 2 3 4 2 5" xfId="17748" xr:uid="{E01091BD-96B2-4F8C-BCFE-0DD78B7366D8}"/>
    <cellStyle name="Normal 2 4 2 3 4 2 6" xfId="34606" xr:uid="{4A3EF243-1F2A-427C-9A2B-EF36AA2B6781}"/>
    <cellStyle name="Normal 2 4 2 3 4 2 7" xfId="9313" xr:uid="{421EC434-7317-4E7B-B8AC-06E339BA93B5}"/>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32953" xr:uid="{9956736B-33FC-49C2-9E67-AB569F04CAA0}"/>
    <cellStyle name="Normal 2 4 2 3 4 3 2 2 3" xfId="24524" xr:uid="{B09D7FCD-2A1C-443B-AE11-2C46FC89F8C4}"/>
    <cellStyle name="Normal 2 4 2 3 4 3 2 2 4" xfId="41381" xr:uid="{6F5F3333-941D-441D-88B7-746325554667}"/>
    <cellStyle name="Normal 2 4 2 3 4 3 2 2 5" xfId="16089" xr:uid="{CB39B541-63F6-44E4-BC95-2A4ECC13BCC1}"/>
    <cellStyle name="Normal 2 4 2 3 4 3 2 3" xfId="28735" xr:uid="{EA5649F9-D8B3-4740-B0F9-A4061FED2FD8}"/>
    <cellStyle name="Normal 2 4 2 3 4 3 2 4" xfId="20306" xr:uid="{FECAC358-E456-426C-802F-D9D5AE48F62C}"/>
    <cellStyle name="Normal 2 4 2 3 4 3 2 5" xfId="37164" xr:uid="{1899CCC5-CED3-4367-915E-178A0EF32AE0}"/>
    <cellStyle name="Normal 2 4 2 3 4 3 2 6" xfId="11871" xr:uid="{D185DA04-EC46-41B0-B3C3-61F2B940F1DC}"/>
    <cellStyle name="Normal 2 4 2 3 4 3 3" xfId="5509" xr:uid="{00000000-0005-0000-0000-0000180F0000}"/>
    <cellStyle name="Normal 2 4 2 3 4 3 3 2" xfId="30808" xr:uid="{B0DD2C65-7E23-4096-9E68-4692D82DD100}"/>
    <cellStyle name="Normal 2 4 2 3 4 3 3 3" xfId="22379" xr:uid="{0A56EDC2-6951-4520-A98C-B5889152E669}"/>
    <cellStyle name="Normal 2 4 2 3 4 3 3 4" xfId="39236" xr:uid="{99F122F0-B658-4A0E-A304-5913AFF69720}"/>
    <cellStyle name="Normal 2 4 2 3 4 3 3 5" xfId="13944" xr:uid="{97CC796F-03AA-4A79-9F21-7A47EC4F64F7}"/>
    <cellStyle name="Normal 2 4 2 3 4 3 4" xfId="26590" xr:uid="{B3894951-DABE-4971-9B5E-CFA59B0FAE46}"/>
    <cellStyle name="Normal 2 4 2 3 4 3 5" xfId="18161" xr:uid="{3B9B7F47-6384-43BA-8049-E2D4CDA0E2AA}"/>
    <cellStyle name="Normal 2 4 2 3 4 3 6" xfId="35019" xr:uid="{B755E9AE-77EA-4CA3-B6BA-B57763A79466}"/>
    <cellStyle name="Normal 2 4 2 3 4 3 7" xfId="9726" xr:uid="{45C0EA1E-076F-49E6-91C9-B51F09B9F58A}"/>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33366" xr:uid="{0A03CBE1-FE6D-431C-9A2F-EFCB084109D4}"/>
    <cellStyle name="Normal 2 4 2 3 4 4 2 2 3" xfId="24937" xr:uid="{33D4C852-7E08-40F9-9A99-845F74863506}"/>
    <cellStyle name="Normal 2 4 2 3 4 4 2 2 4" xfId="41794" xr:uid="{D4A05AA8-4F90-49E1-8B34-F471ACDBDD29}"/>
    <cellStyle name="Normal 2 4 2 3 4 4 2 2 5" xfId="16502" xr:uid="{7B67ECE4-5EF4-4796-8A85-865A0F0E548E}"/>
    <cellStyle name="Normal 2 4 2 3 4 4 2 3" xfId="29148" xr:uid="{8E89CDAB-CBD3-4237-A862-D66535019EEF}"/>
    <cellStyle name="Normal 2 4 2 3 4 4 2 4" xfId="20719" xr:uid="{6770B2AB-3F1B-4F9B-A04D-CC4FF6A15EB1}"/>
    <cellStyle name="Normal 2 4 2 3 4 4 2 5" xfId="37577" xr:uid="{612FC7EA-6E50-4793-92A2-F5063C5BDFE5}"/>
    <cellStyle name="Normal 2 4 2 3 4 4 2 6" xfId="12284" xr:uid="{001F7FD9-85FE-48AF-84D9-E2A36445ED9C}"/>
    <cellStyle name="Normal 2 4 2 3 4 4 3" xfId="5922" xr:uid="{00000000-0005-0000-0000-00001C0F0000}"/>
    <cellStyle name="Normal 2 4 2 3 4 4 3 2" xfId="31221" xr:uid="{8FEFBA2A-08BF-4E91-B090-6D925832C340}"/>
    <cellStyle name="Normal 2 4 2 3 4 4 3 3" xfId="22792" xr:uid="{1467290B-72A2-4505-9E41-F0C9F391D04A}"/>
    <cellStyle name="Normal 2 4 2 3 4 4 3 4" xfId="39649" xr:uid="{1DA18F85-FFD6-405A-8B3F-56F5F6C3384B}"/>
    <cellStyle name="Normal 2 4 2 3 4 4 3 5" xfId="14357" xr:uid="{D0FE2173-3069-4AF1-8699-08DEBF3EC94A}"/>
    <cellStyle name="Normal 2 4 2 3 4 4 4" xfId="27003" xr:uid="{675D6A39-7E55-4CB2-A644-79DC1CF408F5}"/>
    <cellStyle name="Normal 2 4 2 3 4 4 5" xfId="18574" xr:uid="{CC4790F9-67AF-47CE-BD0B-E4FB4F37B0B4}"/>
    <cellStyle name="Normal 2 4 2 3 4 4 6" xfId="35432" xr:uid="{F7668765-14FA-4FDC-A5B9-8493AFA06408}"/>
    <cellStyle name="Normal 2 4 2 3 4 4 7" xfId="10139" xr:uid="{FB38AF38-4850-4F2A-937B-B9D0B1178F15}"/>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33779" xr:uid="{0D87D07E-5BAA-43EA-8BB9-927575E8B706}"/>
    <cellStyle name="Normal 2 4 2 3 4 5 2 2 3" xfId="25350" xr:uid="{7B449CD5-3421-4180-A245-6C6F3F0A3E2A}"/>
    <cellStyle name="Normal 2 4 2 3 4 5 2 2 4" xfId="42207" xr:uid="{F6912704-68CE-4C22-AA8D-77C02F5AD73E}"/>
    <cellStyle name="Normal 2 4 2 3 4 5 2 2 5" xfId="16915" xr:uid="{1436D799-3F84-4711-8091-C16FECC1B856}"/>
    <cellStyle name="Normal 2 4 2 3 4 5 2 3" xfId="29561" xr:uid="{86BF9A3E-AE08-4BE6-8E99-D6363156C3D8}"/>
    <cellStyle name="Normal 2 4 2 3 4 5 2 4" xfId="21132" xr:uid="{F40BE490-46C8-44BB-9E14-173672BF8652}"/>
    <cellStyle name="Normal 2 4 2 3 4 5 2 5" xfId="37990" xr:uid="{E142F6F3-26D5-401D-9C75-78748C379B7F}"/>
    <cellStyle name="Normal 2 4 2 3 4 5 2 6" xfId="12697" xr:uid="{5BA42E57-5EB6-4E2D-81FA-39CA00B7313B}"/>
    <cellStyle name="Normal 2 4 2 3 4 5 3" xfId="6335" xr:uid="{00000000-0005-0000-0000-0000200F0000}"/>
    <cellStyle name="Normal 2 4 2 3 4 5 3 2" xfId="31634" xr:uid="{62A2514D-7284-4D42-B326-D6C8C5111D7F}"/>
    <cellStyle name="Normal 2 4 2 3 4 5 3 3" xfId="23205" xr:uid="{2F657153-A010-4EA1-8230-AB4E0CDFBB30}"/>
    <cellStyle name="Normal 2 4 2 3 4 5 3 4" xfId="40062" xr:uid="{A7BAB07E-0E41-4657-837D-7C3B2731D8A6}"/>
    <cellStyle name="Normal 2 4 2 3 4 5 3 5" xfId="14770" xr:uid="{5CEBE406-B3D7-4B09-908E-DE530B50EC16}"/>
    <cellStyle name="Normal 2 4 2 3 4 5 4" xfId="27416" xr:uid="{A4624CCF-5B62-49D2-A336-1573767B8D9C}"/>
    <cellStyle name="Normal 2 4 2 3 4 5 5" xfId="18987" xr:uid="{2D189523-BEC5-4DD7-B7C7-2AD52AA0F929}"/>
    <cellStyle name="Normal 2 4 2 3 4 5 6" xfId="35845" xr:uid="{2329B282-95AE-425A-8F02-E03100C9C6F3}"/>
    <cellStyle name="Normal 2 4 2 3 4 5 7" xfId="10552" xr:uid="{185C905A-0AC6-4735-9753-01AA82117384}"/>
    <cellStyle name="Normal 2 4 2 3 4 6" xfId="2464" xr:uid="{00000000-0005-0000-0000-0000210F0000}"/>
    <cellStyle name="Normal 2 4 2 3 4 6 2" xfId="6748" xr:uid="{00000000-0005-0000-0000-0000220F0000}"/>
    <cellStyle name="Normal 2 4 2 3 4 6 2 2" xfId="32047" xr:uid="{3EE44E3D-2DFE-4444-B207-A60964124D22}"/>
    <cellStyle name="Normal 2 4 2 3 4 6 2 3" xfId="23618" xr:uid="{0BC7D837-93F7-47A7-B40A-C9FCC8796659}"/>
    <cellStyle name="Normal 2 4 2 3 4 6 2 4" xfId="40475" xr:uid="{4A8D0A86-6405-4F65-B38E-C9979EF2C1ED}"/>
    <cellStyle name="Normal 2 4 2 3 4 6 2 5" xfId="15183" xr:uid="{BD6DBB9C-BF7F-4B2C-AC9A-01A7FCF872A6}"/>
    <cellStyle name="Normal 2 4 2 3 4 6 3" xfId="27829" xr:uid="{94461747-4387-4A98-BF4B-3404C092CE22}"/>
    <cellStyle name="Normal 2 4 2 3 4 6 4" xfId="19400" xr:uid="{0E79BC99-7015-4EDA-8AA6-F031A532A6CB}"/>
    <cellStyle name="Normal 2 4 2 3 4 6 5" xfId="36258" xr:uid="{C807C20E-ABC2-4D71-BBA5-81EE2FB80B30}"/>
    <cellStyle name="Normal 2 4 2 3 4 6 6" xfId="10965" xr:uid="{EACE052A-723A-4FCC-90FB-4EA2E9087AB0}"/>
    <cellStyle name="Normal 2 4 2 3 4 7" xfId="4682" xr:uid="{00000000-0005-0000-0000-0000230F0000}"/>
    <cellStyle name="Normal 2 4 2 3 4 7 2" xfId="29981" xr:uid="{3BFD9454-55D5-47CE-A28E-DD5168311C40}"/>
    <cellStyle name="Normal 2 4 2 3 4 7 3" xfId="21552" xr:uid="{D7AB3D77-4F89-47BD-8843-396C2ADF3847}"/>
    <cellStyle name="Normal 2 4 2 3 4 7 4" xfId="38409" xr:uid="{4A8B58C5-442C-4497-8534-E73375327CD2}"/>
    <cellStyle name="Normal 2 4 2 3 4 7 5" xfId="13117" xr:uid="{7A45C879-1C61-4ED0-8FDF-398A91386245}"/>
    <cellStyle name="Normal 2 4 2 3 4 8" xfId="25763" xr:uid="{C94B4765-56B2-46F1-B921-447D18622754}"/>
    <cellStyle name="Normal 2 4 2 3 4 9" xfId="17334" xr:uid="{934C1E27-0F81-4A16-A0FA-09EB4BF2810C}"/>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32533" xr:uid="{BD375C11-D3E2-4F9C-8BF8-411BE6BFEFD7}"/>
    <cellStyle name="Normal 2 4 2 3 5 2 2 3" xfId="24104" xr:uid="{80570367-82AB-45DD-8D5F-DB0078083231}"/>
    <cellStyle name="Normal 2 4 2 3 5 2 2 4" xfId="40961" xr:uid="{A5A99D85-7443-4C76-A542-9B4BC58D5E70}"/>
    <cellStyle name="Normal 2 4 2 3 5 2 2 5" xfId="15669" xr:uid="{9D762F79-69DA-4A62-A4B9-F7908F5675E7}"/>
    <cellStyle name="Normal 2 4 2 3 5 2 3" xfId="28315" xr:uid="{16158292-C9BC-465D-AE5D-4A49F8E98DC8}"/>
    <cellStyle name="Normal 2 4 2 3 5 2 4" xfId="19886" xr:uid="{72DDDD58-5998-4947-89EE-5439FB96D4A0}"/>
    <cellStyle name="Normal 2 4 2 3 5 2 5" xfId="36744" xr:uid="{C6738C01-2B6A-4481-AF3C-EBB3DD1E5BB9}"/>
    <cellStyle name="Normal 2 4 2 3 5 2 6" xfId="11451" xr:uid="{6707530E-494C-45BF-8FF8-6DA0502CBFCB}"/>
    <cellStyle name="Normal 2 4 2 3 5 3" xfId="5089" xr:uid="{00000000-0005-0000-0000-0000270F0000}"/>
    <cellStyle name="Normal 2 4 2 3 5 3 2" xfId="30388" xr:uid="{39BAF7B6-C47B-43E1-A4B0-695487255B4D}"/>
    <cellStyle name="Normal 2 4 2 3 5 3 3" xfId="21959" xr:uid="{E1394EE9-E314-4E82-BECF-92E173A9ED71}"/>
    <cellStyle name="Normal 2 4 2 3 5 3 4" xfId="38816" xr:uid="{B1A8FA6C-2ACC-48AD-8982-7DB496CF96AA}"/>
    <cellStyle name="Normal 2 4 2 3 5 3 5" xfId="13524" xr:uid="{28403A2D-8968-4EFE-99BE-88AACA70FDF1}"/>
    <cellStyle name="Normal 2 4 2 3 5 4" xfId="26170" xr:uid="{F990F361-583E-4B81-834F-4C283F81DE13}"/>
    <cellStyle name="Normal 2 4 2 3 5 5" xfId="17741" xr:uid="{61B57D84-8073-45A7-88E4-DA97496FBCDA}"/>
    <cellStyle name="Normal 2 4 2 3 5 6" xfId="34599" xr:uid="{E941B9C0-8EA1-4928-AE16-B0AB2AFFDF75}"/>
    <cellStyle name="Normal 2 4 2 3 5 7" xfId="9306" xr:uid="{7B73D8CF-FFC9-48CD-9350-527225C77625}"/>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32946" xr:uid="{CC0A1947-B6AB-43A5-A461-84044B8B4B7F}"/>
    <cellStyle name="Normal 2 4 2 3 6 2 2 3" xfId="24517" xr:uid="{79BA7CFB-1B9E-4E1A-91B7-44485AC0C769}"/>
    <cellStyle name="Normal 2 4 2 3 6 2 2 4" xfId="41374" xr:uid="{4FDE7A55-1344-4695-B16E-17346182EF46}"/>
    <cellStyle name="Normal 2 4 2 3 6 2 2 5" xfId="16082" xr:uid="{66C9F2AE-5B97-4402-8C75-4AA705543FFD}"/>
    <cellStyle name="Normal 2 4 2 3 6 2 3" xfId="28728" xr:uid="{66493F76-3105-45AE-8335-53128E9FFEB4}"/>
    <cellStyle name="Normal 2 4 2 3 6 2 4" xfId="20299" xr:uid="{33137898-5671-48C5-A4ED-DFEA57EF4287}"/>
    <cellStyle name="Normal 2 4 2 3 6 2 5" xfId="37157" xr:uid="{674DE189-FA9E-4BD6-B944-222358091683}"/>
    <cellStyle name="Normal 2 4 2 3 6 2 6" xfId="11864" xr:uid="{028FF70F-8FAE-4FAE-9AA4-604D69DB06D7}"/>
    <cellStyle name="Normal 2 4 2 3 6 3" xfId="5502" xr:uid="{00000000-0005-0000-0000-00002B0F0000}"/>
    <cellStyle name="Normal 2 4 2 3 6 3 2" xfId="30801" xr:uid="{00D0DE07-690A-4C19-B4B0-4BED180CC2B7}"/>
    <cellStyle name="Normal 2 4 2 3 6 3 3" xfId="22372" xr:uid="{53FDA251-148E-46F3-B3E5-7738F8E0F395}"/>
    <cellStyle name="Normal 2 4 2 3 6 3 4" xfId="39229" xr:uid="{7EBC7A4E-DDEB-4992-879A-110A1CE2EF74}"/>
    <cellStyle name="Normal 2 4 2 3 6 3 5" xfId="13937" xr:uid="{B141F6E0-3900-481A-B6EC-36F6DF97F32C}"/>
    <cellStyle name="Normal 2 4 2 3 6 4" xfId="26583" xr:uid="{F7611026-BA71-4663-BEE2-EECADE9CC7D2}"/>
    <cellStyle name="Normal 2 4 2 3 6 5" xfId="18154" xr:uid="{BE703A43-56A9-4842-8122-CA209E28A754}"/>
    <cellStyle name="Normal 2 4 2 3 6 6" xfId="35012" xr:uid="{CCD296A7-1F1C-410D-AF6B-5B4ABF9657C8}"/>
    <cellStyle name="Normal 2 4 2 3 6 7" xfId="9719" xr:uid="{8C3C7FF0-60ED-4611-99A2-2F3C64AFD233}"/>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33359" xr:uid="{69147409-84E4-4769-AE06-BC67DBF5A210}"/>
    <cellStyle name="Normal 2 4 2 3 7 2 2 3" xfId="24930" xr:uid="{8448F4B5-D345-414A-9FC9-CA59427E92F1}"/>
    <cellStyle name="Normal 2 4 2 3 7 2 2 4" xfId="41787" xr:uid="{58BE6E73-B8E1-4DBF-B368-643E69277632}"/>
    <cellStyle name="Normal 2 4 2 3 7 2 2 5" xfId="16495" xr:uid="{13699269-01CC-41B6-91A9-E68997EDBB5D}"/>
    <cellStyle name="Normal 2 4 2 3 7 2 3" xfId="29141" xr:uid="{5166E2DC-49CA-42DC-8F3E-EFF3A7390545}"/>
    <cellStyle name="Normal 2 4 2 3 7 2 4" xfId="20712" xr:uid="{5ECE8619-4A09-4A72-92A9-18B1853E3780}"/>
    <cellStyle name="Normal 2 4 2 3 7 2 5" xfId="37570" xr:uid="{399F17C0-75A2-48C0-A281-CDF8FAF3DF77}"/>
    <cellStyle name="Normal 2 4 2 3 7 2 6" xfId="12277" xr:uid="{650136CC-18C3-4D83-BB21-F5428412F794}"/>
    <cellStyle name="Normal 2 4 2 3 7 3" xfId="5915" xr:uid="{00000000-0005-0000-0000-00002F0F0000}"/>
    <cellStyle name="Normal 2 4 2 3 7 3 2" xfId="31214" xr:uid="{C9C69A19-BF14-4810-A53A-7A9C34CA6469}"/>
    <cellStyle name="Normal 2 4 2 3 7 3 3" xfId="22785" xr:uid="{C43513B1-C993-4A12-9AC5-8A77FF036322}"/>
    <cellStyle name="Normal 2 4 2 3 7 3 4" xfId="39642" xr:uid="{F4FAC613-8E55-46BB-8C18-01C81E47A7F4}"/>
    <cellStyle name="Normal 2 4 2 3 7 3 5" xfId="14350" xr:uid="{4C8D0CF4-5A1F-4B7F-8B46-5E07184D92DF}"/>
    <cellStyle name="Normal 2 4 2 3 7 4" xfId="26996" xr:uid="{3698CA9D-FB26-4B00-AC7F-1DC5802F2878}"/>
    <cellStyle name="Normal 2 4 2 3 7 5" xfId="18567" xr:uid="{97FEBE36-5175-4B3E-BECA-90AF6739A863}"/>
    <cellStyle name="Normal 2 4 2 3 7 6" xfId="35425" xr:uid="{2826D7A2-0E39-496E-BED4-231DF6009B51}"/>
    <cellStyle name="Normal 2 4 2 3 7 7" xfId="10132" xr:uid="{59C123DC-3613-4954-A7F8-727C12CFB32D}"/>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33772" xr:uid="{359FDEBF-BF9E-4AA1-96A7-E763DD01D5E4}"/>
    <cellStyle name="Normal 2 4 2 3 8 2 2 3" xfId="25343" xr:uid="{B08C0CF1-9BF0-4CC8-8E37-C9B1A7F6F54B}"/>
    <cellStyle name="Normal 2 4 2 3 8 2 2 4" xfId="42200" xr:uid="{AE23C692-95BC-4F03-AC4E-2227C685E0A4}"/>
    <cellStyle name="Normal 2 4 2 3 8 2 2 5" xfId="16908" xr:uid="{88B654A0-FC42-4D7F-AE76-662E4389BB17}"/>
    <cellStyle name="Normal 2 4 2 3 8 2 3" xfId="29554" xr:uid="{FD5A4AAE-42DB-4883-A1C1-266F233C5341}"/>
    <cellStyle name="Normal 2 4 2 3 8 2 4" xfId="21125" xr:uid="{617E9F91-7785-49F8-B650-F9710AE38D61}"/>
    <cellStyle name="Normal 2 4 2 3 8 2 5" xfId="37983" xr:uid="{4798EF3F-69C0-48DE-B0E9-063A88D0CAFF}"/>
    <cellStyle name="Normal 2 4 2 3 8 2 6" xfId="12690" xr:uid="{CADD6BD0-90CE-426E-A9A0-3DAF69D09FBC}"/>
    <cellStyle name="Normal 2 4 2 3 8 3" xfId="6328" xr:uid="{00000000-0005-0000-0000-0000330F0000}"/>
    <cellStyle name="Normal 2 4 2 3 8 3 2" xfId="31627" xr:uid="{9C7168A8-8BB4-4DB8-9913-C71B2795F259}"/>
    <cellStyle name="Normal 2 4 2 3 8 3 3" xfId="23198" xr:uid="{ABBBC3B5-AFFF-4AC5-8F97-AF31045AACE5}"/>
    <cellStyle name="Normal 2 4 2 3 8 3 4" xfId="40055" xr:uid="{0E826332-2490-465F-98AE-67734E616221}"/>
    <cellStyle name="Normal 2 4 2 3 8 3 5" xfId="14763" xr:uid="{0DF887B6-1698-49D0-9F97-80C49049D497}"/>
    <cellStyle name="Normal 2 4 2 3 8 4" xfId="27409" xr:uid="{119266C8-251A-4165-A5E7-D61572B869E7}"/>
    <cellStyle name="Normal 2 4 2 3 8 5" xfId="18980" xr:uid="{B4E58CFA-B68A-4439-8E8F-2FB157AB3B93}"/>
    <cellStyle name="Normal 2 4 2 3 8 6" xfId="35838" xr:uid="{41A21530-B478-46C4-B4C2-F2E60190D086}"/>
    <cellStyle name="Normal 2 4 2 3 8 7" xfId="10545" xr:uid="{B4D7CA59-E3F5-4C18-B999-8F9178E5C7EE}"/>
    <cellStyle name="Normal 2 4 2 3 9" xfId="2457" xr:uid="{00000000-0005-0000-0000-0000340F0000}"/>
    <cellStyle name="Normal 2 4 2 3 9 2" xfId="6741" xr:uid="{00000000-0005-0000-0000-0000350F0000}"/>
    <cellStyle name="Normal 2 4 2 3 9 2 2" xfId="32040" xr:uid="{E0892965-CEE1-4970-A300-073E906D6BDD}"/>
    <cellStyle name="Normal 2 4 2 3 9 2 3" xfId="23611" xr:uid="{637C9847-BDB4-4169-BD40-5555048BF628}"/>
    <cellStyle name="Normal 2 4 2 3 9 2 4" xfId="40468" xr:uid="{519B1E85-B38E-4DE6-A5E3-19F85FE4BF2F}"/>
    <cellStyle name="Normal 2 4 2 3 9 2 5" xfId="15176" xr:uid="{BA6E1351-25EE-4EAF-AED8-DBC8D64FD199}"/>
    <cellStyle name="Normal 2 4 2 3 9 3" xfId="27822" xr:uid="{FE9A49CF-4CFA-45B4-AC20-556EE44FFF9A}"/>
    <cellStyle name="Normal 2 4 2 3 9 4" xfId="19393" xr:uid="{25842FC4-6B41-45D1-91C7-74C1C311834D}"/>
    <cellStyle name="Normal 2 4 2 3 9 5" xfId="36251" xr:uid="{B18CD89F-5C63-4147-9051-A494DCA1AD81}"/>
    <cellStyle name="Normal 2 4 2 3 9 6" xfId="10958" xr:uid="{C659AFF0-155A-49A5-922E-831B9588A17E}"/>
    <cellStyle name="Normal 2 4 2 4" xfId="289" xr:uid="{00000000-0005-0000-0000-0000360F0000}"/>
    <cellStyle name="Normal 2 4 2 4 10" xfId="25764" xr:uid="{111728A5-A1E3-4104-BE73-6F6BC14DCB61}"/>
    <cellStyle name="Normal 2 4 2 4 11" xfId="17335" xr:uid="{71DBA54A-82E0-4A08-9955-EF4C4F6608CB}"/>
    <cellStyle name="Normal 2 4 2 4 12" xfId="34193" xr:uid="{46E9FBA3-20B3-4C46-A3BC-2504CB2B2E1B}"/>
    <cellStyle name="Normal 2 4 2 4 13" xfId="8900" xr:uid="{CFA5BD4D-6B05-4BE1-93B4-0CEAD6420E2F}"/>
    <cellStyle name="Normal 2 4 2 4 2" xfId="290" xr:uid="{00000000-0005-0000-0000-0000370F0000}"/>
    <cellStyle name="Normal 2 4 2 4 2 10" xfId="17336" xr:uid="{77AEFE21-06A5-4945-9D9C-97C95F9D6417}"/>
    <cellStyle name="Normal 2 4 2 4 2 11" xfId="34194" xr:uid="{9A7704AF-5B8E-48A2-A602-EF298EFB32C2}"/>
    <cellStyle name="Normal 2 4 2 4 2 12" xfId="8901" xr:uid="{78CC912A-4C01-4D77-92BD-1B479CE76A44}"/>
    <cellStyle name="Normal 2 4 2 4 2 2" xfId="291" xr:uid="{00000000-0005-0000-0000-0000380F0000}"/>
    <cellStyle name="Normal 2 4 2 4 2 2 10" xfId="34195" xr:uid="{2EF7D35A-AD29-44E8-90E7-AE874E0E5874}"/>
    <cellStyle name="Normal 2 4 2 4 2 2 11" xfId="8902" xr:uid="{198925C1-1151-47A4-BE60-0CC0D80128DC}"/>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32543" xr:uid="{652FB562-1491-478D-B031-D7D91A531B92}"/>
    <cellStyle name="Normal 2 4 2 4 2 2 2 2 2 3" xfId="24114" xr:uid="{F747E178-7720-4E2A-BD11-585E2E8ECC4C}"/>
    <cellStyle name="Normal 2 4 2 4 2 2 2 2 2 4" xfId="40971" xr:uid="{2E76EBBB-5C44-409D-B5C0-75B7EF55573C}"/>
    <cellStyle name="Normal 2 4 2 4 2 2 2 2 2 5" xfId="15679" xr:uid="{4C39EDB0-D56A-485D-95ED-353E47F4D6AD}"/>
    <cellStyle name="Normal 2 4 2 4 2 2 2 2 3" xfId="28325" xr:uid="{74DA48B7-1BEC-485A-96BD-BE63BCC87BC3}"/>
    <cellStyle name="Normal 2 4 2 4 2 2 2 2 4" xfId="19896" xr:uid="{46EFACC5-DBF2-4683-A522-01B6B123E51B}"/>
    <cellStyle name="Normal 2 4 2 4 2 2 2 2 5" xfId="36754" xr:uid="{8AE90C91-FF75-4471-A75F-8A30A46D0C9D}"/>
    <cellStyle name="Normal 2 4 2 4 2 2 2 2 6" xfId="11461" xr:uid="{6E23E05F-DE42-410B-AB95-61A9E7768A62}"/>
    <cellStyle name="Normal 2 4 2 4 2 2 2 3" xfId="5099" xr:uid="{00000000-0005-0000-0000-00003C0F0000}"/>
    <cellStyle name="Normal 2 4 2 4 2 2 2 3 2" xfId="30398" xr:uid="{B2E91B1D-44DA-494C-9122-F001A4A58034}"/>
    <cellStyle name="Normal 2 4 2 4 2 2 2 3 3" xfId="21969" xr:uid="{B3853425-CD3E-4975-B05A-D468BC711534}"/>
    <cellStyle name="Normal 2 4 2 4 2 2 2 3 4" xfId="38826" xr:uid="{62F9CE10-7AA3-4814-9FA4-0F9457AAB956}"/>
    <cellStyle name="Normal 2 4 2 4 2 2 2 3 5" xfId="13534" xr:uid="{EDB9FE57-6216-49A8-A34D-107E2F01249A}"/>
    <cellStyle name="Normal 2 4 2 4 2 2 2 4" xfId="26180" xr:uid="{75E6305C-8AEE-4B60-BB5D-125107FC581E}"/>
    <cellStyle name="Normal 2 4 2 4 2 2 2 5" xfId="17751" xr:uid="{C53A202D-114D-4AA3-B45D-AFFD1F5C8A97}"/>
    <cellStyle name="Normal 2 4 2 4 2 2 2 6" xfId="34609" xr:uid="{3C502F59-06D6-47F0-8798-60B773CF8714}"/>
    <cellStyle name="Normal 2 4 2 4 2 2 2 7" xfId="9316" xr:uid="{2E93C77A-1ECF-446C-A00E-3812341F84D4}"/>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32956" xr:uid="{5B239036-3D91-4514-85D6-52F9A85F390A}"/>
    <cellStyle name="Normal 2 4 2 4 2 2 3 2 2 3" xfId="24527" xr:uid="{138A04AD-B3CE-4237-9831-3DB986153E12}"/>
    <cellStyle name="Normal 2 4 2 4 2 2 3 2 2 4" xfId="41384" xr:uid="{A0344E03-54D9-428B-808A-A7CDDCBB4A03}"/>
    <cellStyle name="Normal 2 4 2 4 2 2 3 2 2 5" xfId="16092" xr:uid="{B24F92D6-0640-4EF4-BF05-6B2BAF28A4BB}"/>
    <cellStyle name="Normal 2 4 2 4 2 2 3 2 3" xfId="28738" xr:uid="{C344D80E-0825-42FA-A70D-9F0652249DDE}"/>
    <cellStyle name="Normal 2 4 2 4 2 2 3 2 4" xfId="20309" xr:uid="{C17F6DBB-8D9F-4683-8BA9-78FDE3179FA8}"/>
    <cellStyle name="Normal 2 4 2 4 2 2 3 2 5" xfId="37167" xr:uid="{11CCC5E0-8B8E-4CEC-A6E2-D0577FA9E666}"/>
    <cellStyle name="Normal 2 4 2 4 2 2 3 2 6" xfId="11874" xr:uid="{C9C8E438-F9DB-4884-9BE9-49E8E791CE5A}"/>
    <cellStyle name="Normal 2 4 2 4 2 2 3 3" xfId="5512" xr:uid="{00000000-0005-0000-0000-0000400F0000}"/>
    <cellStyle name="Normal 2 4 2 4 2 2 3 3 2" xfId="30811" xr:uid="{81DC7FB7-3742-411B-96E2-47E42EF4B1C3}"/>
    <cellStyle name="Normal 2 4 2 4 2 2 3 3 3" xfId="22382" xr:uid="{311E402D-F362-4ED9-98AD-AD781B6CD884}"/>
    <cellStyle name="Normal 2 4 2 4 2 2 3 3 4" xfId="39239" xr:uid="{D9A46447-31CC-4F5E-9BD0-C596ECB21EE0}"/>
    <cellStyle name="Normal 2 4 2 4 2 2 3 3 5" xfId="13947" xr:uid="{1EEECB9A-36AC-4872-9BB2-94285180D7E2}"/>
    <cellStyle name="Normal 2 4 2 4 2 2 3 4" xfId="26593" xr:uid="{1F85A594-C8D8-4AE6-8217-BB5C642D7BA1}"/>
    <cellStyle name="Normal 2 4 2 4 2 2 3 5" xfId="18164" xr:uid="{0BDF7ECE-07E2-45EF-B900-70769500F833}"/>
    <cellStyle name="Normal 2 4 2 4 2 2 3 6" xfId="35022" xr:uid="{8447E279-4791-4234-839E-4442ADF59ADF}"/>
    <cellStyle name="Normal 2 4 2 4 2 2 3 7" xfId="9729" xr:uid="{F33197A7-CBD6-46E2-9A70-0C7FC41BD17B}"/>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33369" xr:uid="{531196FC-94FD-451B-8EC4-B94BB4684D02}"/>
    <cellStyle name="Normal 2 4 2 4 2 2 4 2 2 3" xfId="24940" xr:uid="{B5E4A5EB-BFE3-40DC-A973-BF403AFDACA2}"/>
    <cellStyle name="Normal 2 4 2 4 2 2 4 2 2 4" xfId="41797" xr:uid="{89EC7606-3AC3-4A96-9161-81237B5D5B5B}"/>
    <cellStyle name="Normal 2 4 2 4 2 2 4 2 2 5" xfId="16505" xr:uid="{D47801A4-FD2D-45FD-854A-C6DEF2E869E6}"/>
    <cellStyle name="Normal 2 4 2 4 2 2 4 2 3" xfId="29151" xr:uid="{53D2836A-76E8-438F-93A0-D3DF26DAEF07}"/>
    <cellStyle name="Normal 2 4 2 4 2 2 4 2 4" xfId="20722" xr:uid="{1153860B-D867-4221-A763-EBD682F32DED}"/>
    <cellStyle name="Normal 2 4 2 4 2 2 4 2 5" xfId="37580" xr:uid="{86400320-31FB-49CB-A0A0-05986D30901F}"/>
    <cellStyle name="Normal 2 4 2 4 2 2 4 2 6" xfId="12287" xr:uid="{AE180D13-0A2C-4939-A64F-275E83FE4C40}"/>
    <cellStyle name="Normal 2 4 2 4 2 2 4 3" xfId="5925" xr:uid="{00000000-0005-0000-0000-0000440F0000}"/>
    <cellStyle name="Normal 2 4 2 4 2 2 4 3 2" xfId="31224" xr:uid="{DB3C2CDE-4D47-4679-93BD-98C59D01C45E}"/>
    <cellStyle name="Normal 2 4 2 4 2 2 4 3 3" xfId="22795" xr:uid="{C5454F9B-A6C4-4628-8749-559B66C6B571}"/>
    <cellStyle name="Normal 2 4 2 4 2 2 4 3 4" xfId="39652" xr:uid="{AAB1D1CC-DAEB-4B5E-9D2F-74B9147C6AC7}"/>
    <cellStyle name="Normal 2 4 2 4 2 2 4 3 5" xfId="14360" xr:uid="{47859704-F68A-4FF2-A7E0-6E88521DE6B7}"/>
    <cellStyle name="Normal 2 4 2 4 2 2 4 4" xfId="27006" xr:uid="{FCC13B7D-EC7B-403C-8811-1D2FFCF4E4D3}"/>
    <cellStyle name="Normal 2 4 2 4 2 2 4 5" xfId="18577" xr:uid="{4818C756-C701-4C45-BE91-7BA2B4D4CCBA}"/>
    <cellStyle name="Normal 2 4 2 4 2 2 4 6" xfId="35435" xr:uid="{67687297-91FD-470E-B665-560ACEB7F276}"/>
    <cellStyle name="Normal 2 4 2 4 2 2 4 7" xfId="10142" xr:uid="{00C98BEE-32B3-4B42-8779-1B167CFA733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33782" xr:uid="{E0E1F9B1-DDC8-4343-8F98-07F269D311B8}"/>
    <cellStyle name="Normal 2 4 2 4 2 2 5 2 2 3" xfId="25353" xr:uid="{B8C1A43C-24AA-4924-9DAE-9D891A5F0E44}"/>
    <cellStyle name="Normal 2 4 2 4 2 2 5 2 2 4" xfId="42210" xr:uid="{3E95E5BD-FBFE-4AA9-933B-F96EE20FE741}"/>
    <cellStyle name="Normal 2 4 2 4 2 2 5 2 2 5" xfId="16918" xr:uid="{CC5B794D-C32F-42F1-A8F6-173C1318DDA8}"/>
    <cellStyle name="Normal 2 4 2 4 2 2 5 2 3" xfId="29564" xr:uid="{1DF91319-633E-496D-8B3C-A6A9AAFD0D73}"/>
    <cellStyle name="Normal 2 4 2 4 2 2 5 2 4" xfId="21135" xr:uid="{FEBA01D6-2F1E-4C6D-8722-50B0119DB3B5}"/>
    <cellStyle name="Normal 2 4 2 4 2 2 5 2 5" xfId="37993" xr:uid="{84C3B09D-3D3B-47D2-921D-45B13735D656}"/>
    <cellStyle name="Normal 2 4 2 4 2 2 5 2 6" xfId="12700" xr:uid="{8CC9548D-4B7C-4D00-898B-E0EE97EF4300}"/>
    <cellStyle name="Normal 2 4 2 4 2 2 5 3" xfId="6338" xr:uid="{00000000-0005-0000-0000-0000480F0000}"/>
    <cellStyle name="Normal 2 4 2 4 2 2 5 3 2" xfId="31637" xr:uid="{CD818B09-42E6-424E-AEF8-516FD2E7CC3D}"/>
    <cellStyle name="Normal 2 4 2 4 2 2 5 3 3" xfId="23208" xr:uid="{A0D74FB3-FFF5-4387-A6E5-D2D0AACC1264}"/>
    <cellStyle name="Normal 2 4 2 4 2 2 5 3 4" xfId="40065" xr:uid="{54090BB2-1401-492D-8B28-C8722F3F9D1A}"/>
    <cellStyle name="Normal 2 4 2 4 2 2 5 3 5" xfId="14773" xr:uid="{790FF835-7179-4CAD-AEB6-205C8F3B228C}"/>
    <cellStyle name="Normal 2 4 2 4 2 2 5 4" xfId="27419" xr:uid="{4D48327A-6906-4F46-8B57-8733D2F0AE70}"/>
    <cellStyle name="Normal 2 4 2 4 2 2 5 5" xfId="18990" xr:uid="{DE6557FD-ED55-45E4-BA8F-652068B5D06A}"/>
    <cellStyle name="Normal 2 4 2 4 2 2 5 6" xfId="35848" xr:uid="{2194F296-C2C4-4B1E-A82A-8886F4FB8606}"/>
    <cellStyle name="Normal 2 4 2 4 2 2 5 7" xfId="10555" xr:uid="{C8C26D9B-B752-444F-8A40-A16823705CD6}"/>
    <cellStyle name="Normal 2 4 2 4 2 2 6" xfId="2467" xr:uid="{00000000-0005-0000-0000-0000490F0000}"/>
    <cellStyle name="Normal 2 4 2 4 2 2 6 2" xfId="6751" xr:uid="{00000000-0005-0000-0000-00004A0F0000}"/>
    <cellStyle name="Normal 2 4 2 4 2 2 6 2 2" xfId="32050" xr:uid="{8B97024B-F7A3-4AF8-B487-06A88E811CAD}"/>
    <cellStyle name="Normal 2 4 2 4 2 2 6 2 3" xfId="23621" xr:uid="{07E05C77-CA63-4764-8DD1-3CA134A165CE}"/>
    <cellStyle name="Normal 2 4 2 4 2 2 6 2 4" xfId="40478" xr:uid="{A50A4D18-F045-4A42-8FBB-C4431A466707}"/>
    <cellStyle name="Normal 2 4 2 4 2 2 6 2 5" xfId="15186" xr:uid="{E6A2C911-8227-4FB4-8A14-4DD5CDD0A649}"/>
    <cellStyle name="Normal 2 4 2 4 2 2 6 3" xfId="27832" xr:uid="{531E92B5-FCD3-41FF-BBEF-BB1081632AF4}"/>
    <cellStyle name="Normal 2 4 2 4 2 2 6 4" xfId="19403" xr:uid="{B369A9AA-32FC-477F-9AEC-F2CFD8A97D3C}"/>
    <cellStyle name="Normal 2 4 2 4 2 2 6 5" xfId="36261" xr:uid="{AAD7F695-8399-4235-B2AD-9BEC956A039E}"/>
    <cellStyle name="Normal 2 4 2 4 2 2 6 6" xfId="10968" xr:uid="{93055B78-7E0C-4E6A-838F-832A9268A9B3}"/>
    <cellStyle name="Normal 2 4 2 4 2 2 7" xfId="4685" xr:uid="{00000000-0005-0000-0000-00004B0F0000}"/>
    <cellStyle name="Normal 2 4 2 4 2 2 7 2" xfId="29984" xr:uid="{2E4BCDA3-1084-4D2F-B97A-4D43B107781B}"/>
    <cellStyle name="Normal 2 4 2 4 2 2 7 3" xfId="21555" xr:uid="{42197DC3-C16A-477F-A83A-02C18CBAC261}"/>
    <cellStyle name="Normal 2 4 2 4 2 2 7 4" xfId="38412" xr:uid="{27AD1014-2242-4F33-9931-829690672512}"/>
    <cellStyle name="Normal 2 4 2 4 2 2 7 5" xfId="13120" xr:uid="{A3B76D85-F5BB-4792-B5F4-3F8679DB70FF}"/>
    <cellStyle name="Normal 2 4 2 4 2 2 8" xfId="25766" xr:uid="{4EBC7584-E7CC-4C69-8706-127E2C3EA320}"/>
    <cellStyle name="Normal 2 4 2 4 2 2 9" xfId="17337" xr:uid="{53D01FC8-90C6-451B-BDFF-DDCA282F9628}"/>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32542" xr:uid="{4C472592-78EC-4876-8BBF-48F90E830DB4}"/>
    <cellStyle name="Normal 2 4 2 4 2 3 2 2 3" xfId="24113" xr:uid="{E3522011-D366-4331-B913-152575F776CD}"/>
    <cellStyle name="Normal 2 4 2 4 2 3 2 2 4" xfId="40970" xr:uid="{8E6373DB-0F79-45C8-A555-AFE88728EE3A}"/>
    <cellStyle name="Normal 2 4 2 4 2 3 2 2 5" xfId="15678" xr:uid="{A3BA89E9-BB52-4B94-B4CB-83704693E845}"/>
    <cellStyle name="Normal 2 4 2 4 2 3 2 3" xfId="28324" xr:uid="{C7A07C91-1EA2-4565-A281-71C75345C81D}"/>
    <cellStyle name="Normal 2 4 2 4 2 3 2 4" xfId="19895" xr:uid="{8E891BC3-1D3D-49D6-9D18-F903CF954B08}"/>
    <cellStyle name="Normal 2 4 2 4 2 3 2 5" xfId="36753" xr:uid="{352DEE30-1B75-49E1-827A-DD1F7EBCBC45}"/>
    <cellStyle name="Normal 2 4 2 4 2 3 2 6" xfId="11460" xr:uid="{E387A758-E3D3-4268-9016-6827AD2F4741}"/>
    <cellStyle name="Normal 2 4 2 4 2 3 3" xfId="5098" xr:uid="{00000000-0005-0000-0000-00004F0F0000}"/>
    <cellStyle name="Normal 2 4 2 4 2 3 3 2" xfId="30397" xr:uid="{2ABA09E5-41B0-4B14-A77A-82D9DF6EFAB3}"/>
    <cellStyle name="Normal 2 4 2 4 2 3 3 3" xfId="21968" xr:uid="{FE96C6E8-20C2-4BE5-BD63-233DFD17543A}"/>
    <cellStyle name="Normal 2 4 2 4 2 3 3 4" xfId="38825" xr:uid="{A0A69279-0B80-4FB5-B3CA-911B5FF72633}"/>
    <cellStyle name="Normal 2 4 2 4 2 3 3 5" xfId="13533" xr:uid="{28201CFE-7ABA-4A08-8EBD-D5D53A76412A}"/>
    <cellStyle name="Normal 2 4 2 4 2 3 4" xfId="26179" xr:uid="{9AC2EA65-FEA0-4D92-AB5E-AF90BF8014C4}"/>
    <cellStyle name="Normal 2 4 2 4 2 3 5" xfId="17750" xr:uid="{CD8F9279-D797-402A-9B1F-FBA05E4D808F}"/>
    <cellStyle name="Normal 2 4 2 4 2 3 6" xfId="34608" xr:uid="{1A478C47-3063-4E8E-9939-BFB6CD7AF9F4}"/>
    <cellStyle name="Normal 2 4 2 4 2 3 7" xfId="9315" xr:uid="{3A2DCC43-E2D3-4C1C-A370-3E62698264C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32955" xr:uid="{E2A332EC-2BB2-41A2-8FF6-90C2641231EF}"/>
    <cellStyle name="Normal 2 4 2 4 2 4 2 2 3" xfId="24526" xr:uid="{0B651ADC-15CD-4CEC-96D6-F2B256BFB149}"/>
    <cellStyle name="Normal 2 4 2 4 2 4 2 2 4" xfId="41383" xr:uid="{879BB13B-6676-48ED-95DE-C12496A36738}"/>
    <cellStyle name="Normal 2 4 2 4 2 4 2 2 5" xfId="16091" xr:uid="{F77814A2-294A-4AF6-9E5A-4D1FDDBFFEEE}"/>
    <cellStyle name="Normal 2 4 2 4 2 4 2 3" xfId="28737" xr:uid="{9A546536-6860-441E-9B76-DDABCCCD2536}"/>
    <cellStyle name="Normal 2 4 2 4 2 4 2 4" xfId="20308" xr:uid="{604E66CB-0144-4769-915B-2A49188A34C1}"/>
    <cellStyle name="Normal 2 4 2 4 2 4 2 5" xfId="37166" xr:uid="{CC19C8C8-CAAC-4D7F-B790-466F9177742E}"/>
    <cellStyle name="Normal 2 4 2 4 2 4 2 6" xfId="11873" xr:uid="{22AC1D18-58DF-4E53-B93D-82D9333D1BAB}"/>
    <cellStyle name="Normal 2 4 2 4 2 4 3" xfId="5511" xr:uid="{00000000-0005-0000-0000-0000530F0000}"/>
    <cellStyle name="Normal 2 4 2 4 2 4 3 2" xfId="30810" xr:uid="{FA3FEA38-C7DC-4FF3-A624-3045893D7AF1}"/>
    <cellStyle name="Normal 2 4 2 4 2 4 3 3" xfId="22381" xr:uid="{6744E57E-24A8-4277-832E-4034F387F4C4}"/>
    <cellStyle name="Normal 2 4 2 4 2 4 3 4" xfId="39238" xr:uid="{BFAFE5E2-0B14-4B5D-84B5-D37CF1332813}"/>
    <cellStyle name="Normal 2 4 2 4 2 4 3 5" xfId="13946" xr:uid="{2E484B1D-8932-4F65-A814-E79A34DACFBB}"/>
    <cellStyle name="Normal 2 4 2 4 2 4 4" xfId="26592" xr:uid="{4A7C3372-6AF7-4A2F-ADDD-510729310FFD}"/>
    <cellStyle name="Normal 2 4 2 4 2 4 5" xfId="18163" xr:uid="{B4407985-AAC3-43AD-AEFA-AB96369C35D0}"/>
    <cellStyle name="Normal 2 4 2 4 2 4 6" xfId="35021" xr:uid="{168312B4-CB26-4766-9D82-9D0FF1459CB2}"/>
    <cellStyle name="Normal 2 4 2 4 2 4 7" xfId="9728" xr:uid="{83CA8993-CA74-447B-9974-9C2BCB79217A}"/>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33368" xr:uid="{2801745C-2C33-4304-88D9-C76C9C5C1408}"/>
    <cellStyle name="Normal 2 4 2 4 2 5 2 2 3" xfId="24939" xr:uid="{1976F5E4-A8DD-44CB-BFA9-50301E1C67B5}"/>
    <cellStyle name="Normal 2 4 2 4 2 5 2 2 4" xfId="41796" xr:uid="{7B00FFA1-2684-4B5D-A8FB-CF9F64FC2C28}"/>
    <cellStyle name="Normal 2 4 2 4 2 5 2 2 5" xfId="16504" xr:uid="{C440A1C3-9165-4090-96B4-0A117FA5026C}"/>
    <cellStyle name="Normal 2 4 2 4 2 5 2 3" xfId="29150" xr:uid="{FFFE0011-DAC3-4D7F-A87C-19BD100B03E3}"/>
    <cellStyle name="Normal 2 4 2 4 2 5 2 4" xfId="20721" xr:uid="{78C5A331-ED72-40B6-B4E4-3DCD047C4D85}"/>
    <cellStyle name="Normal 2 4 2 4 2 5 2 5" xfId="37579" xr:uid="{B8746B66-32E0-49DE-891E-8C6C12958991}"/>
    <cellStyle name="Normal 2 4 2 4 2 5 2 6" xfId="12286" xr:uid="{46C99E70-1981-4DA6-AF78-311EFB19BF1D}"/>
    <cellStyle name="Normal 2 4 2 4 2 5 3" xfId="5924" xr:uid="{00000000-0005-0000-0000-0000570F0000}"/>
    <cellStyle name="Normal 2 4 2 4 2 5 3 2" xfId="31223" xr:uid="{D8465007-CC3F-4143-BAF2-9A5497C31C3D}"/>
    <cellStyle name="Normal 2 4 2 4 2 5 3 3" xfId="22794" xr:uid="{FDE765C9-0D0C-4DA4-B612-ADB37CDFD289}"/>
    <cellStyle name="Normal 2 4 2 4 2 5 3 4" xfId="39651" xr:uid="{7BF25453-28A9-4711-B6AB-7DB11018F240}"/>
    <cellStyle name="Normal 2 4 2 4 2 5 3 5" xfId="14359" xr:uid="{EE7713DC-BE41-444F-852D-F7DB68640087}"/>
    <cellStyle name="Normal 2 4 2 4 2 5 4" xfId="27005" xr:uid="{D6A2EEC4-20CD-460C-9E9C-52DBEE128995}"/>
    <cellStyle name="Normal 2 4 2 4 2 5 5" xfId="18576" xr:uid="{74486974-7EF4-46DD-830E-B6A4509BB5F3}"/>
    <cellStyle name="Normal 2 4 2 4 2 5 6" xfId="35434" xr:uid="{7D61DFAF-CA90-4448-A679-384809FF1F95}"/>
    <cellStyle name="Normal 2 4 2 4 2 5 7" xfId="10141" xr:uid="{8CB1DB4F-2A9D-4579-9167-806C0C7A17E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33781" xr:uid="{042ACC7F-2CFA-4953-BB0E-B6C9E930AFBC}"/>
    <cellStyle name="Normal 2 4 2 4 2 6 2 2 3" xfId="25352" xr:uid="{B4205BE7-1A7B-409E-BDB7-6B0D009FCE76}"/>
    <cellStyle name="Normal 2 4 2 4 2 6 2 2 4" xfId="42209" xr:uid="{ABC48D41-A4F8-473D-8373-DA39A86F9CE6}"/>
    <cellStyle name="Normal 2 4 2 4 2 6 2 2 5" xfId="16917" xr:uid="{FC68A06C-37B5-40D2-A383-84EEA3CE93AA}"/>
    <cellStyle name="Normal 2 4 2 4 2 6 2 3" xfId="29563" xr:uid="{74CCC46C-3E59-439F-B51F-B2FB161D83D3}"/>
    <cellStyle name="Normal 2 4 2 4 2 6 2 4" xfId="21134" xr:uid="{9228392A-AC1A-4AA8-ADFF-4D0423335498}"/>
    <cellStyle name="Normal 2 4 2 4 2 6 2 5" xfId="37992" xr:uid="{347447AA-C794-48DD-BEF6-3F41AF794062}"/>
    <cellStyle name="Normal 2 4 2 4 2 6 2 6" xfId="12699" xr:uid="{0AF5F870-8374-409B-A533-C3BB44A0C3F6}"/>
    <cellStyle name="Normal 2 4 2 4 2 6 3" xfId="6337" xr:uid="{00000000-0005-0000-0000-00005B0F0000}"/>
    <cellStyle name="Normal 2 4 2 4 2 6 3 2" xfId="31636" xr:uid="{ED17CADD-ABDC-40AA-B3F9-95212CCE968C}"/>
    <cellStyle name="Normal 2 4 2 4 2 6 3 3" xfId="23207" xr:uid="{C01627AD-61C8-4714-879D-98C755FED2A3}"/>
    <cellStyle name="Normal 2 4 2 4 2 6 3 4" xfId="40064" xr:uid="{81840F19-18A9-4A50-A7E3-1E032162305A}"/>
    <cellStyle name="Normal 2 4 2 4 2 6 3 5" xfId="14772" xr:uid="{2518E5A4-1144-4A53-89B5-0C7F5E07E6D2}"/>
    <cellStyle name="Normal 2 4 2 4 2 6 4" xfId="27418" xr:uid="{9BAEFDDF-2ADC-4C90-B57B-44D3F91FD840}"/>
    <cellStyle name="Normal 2 4 2 4 2 6 5" xfId="18989" xr:uid="{2BA7F9FC-9C61-4FE6-833E-F4B56FA9B3D7}"/>
    <cellStyle name="Normal 2 4 2 4 2 6 6" xfId="35847" xr:uid="{192F7E30-38F8-402F-8991-2097F471ECE2}"/>
    <cellStyle name="Normal 2 4 2 4 2 6 7" xfId="10554" xr:uid="{D2C6D12F-1634-4499-8774-0E4FE5493CAB}"/>
    <cellStyle name="Normal 2 4 2 4 2 7" xfId="2466" xr:uid="{00000000-0005-0000-0000-00005C0F0000}"/>
    <cellStyle name="Normal 2 4 2 4 2 7 2" xfId="6750" xr:uid="{00000000-0005-0000-0000-00005D0F0000}"/>
    <cellStyle name="Normal 2 4 2 4 2 7 2 2" xfId="32049" xr:uid="{FAD3B3C8-0CE1-4A9B-8F0D-2CBC17D727A5}"/>
    <cellStyle name="Normal 2 4 2 4 2 7 2 3" xfId="23620" xr:uid="{36057765-C64B-47FC-A763-2F0EEBAAD4B5}"/>
    <cellStyle name="Normal 2 4 2 4 2 7 2 4" xfId="40477" xr:uid="{7ADDB0E2-4D69-45A5-833A-C5F61F2AEC49}"/>
    <cellStyle name="Normal 2 4 2 4 2 7 2 5" xfId="15185" xr:uid="{7E3E2B11-42D9-494F-97CC-8B5AB00A52A7}"/>
    <cellStyle name="Normal 2 4 2 4 2 7 3" xfId="27831" xr:uid="{36499B31-6171-4752-B117-17622C585A52}"/>
    <cellStyle name="Normal 2 4 2 4 2 7 4" xfId="19402" xr:uid="{A858BEDC-E669-430A-A16C-EA050F6FF951}"/>
    <cellStyle name="Normal 2 4 2 4 2 7 5" xfId="36260" xr:uid="{CFA7466C-10C2-4EE8-89FB-C18BFEFCA213}"/>
    <cellStyle name="Normal 2 4 2 4 2 7 6" xfId="10967" xr:uid="{18882CEF-781F-4026-A54C-004380174078}"/>
    <cellStyle name="Normal 2 4 2 4 2 8" xfId="4684" xr:uid="{00000000-0005-0000-0000-00005E0F0000}"/>
    <cellStyle name="Normal 2 4 2 4 2 8 2" xfId="29983" xr:uid="{7206D304-F5C9-49C2-839A-6897ACCAD3F0}"/>
    <cellStyle name="Normal 2 4 2 4 2 8 3" xfId="21554" xr:uid="{50F4F5AE-EDF5-4DFA-ADF3-B5A861D1B44C}"/>
    <cellStyle name="Normal 2 4 2 4 2 8 4" xfId="38411" xr:uid="{9A7B0D31-0E35-4BB4-88AB-E92FC5C2538B}"/>
    <cellStyle name="Normal 2 4 2 4 2 8 5" xfId="13119" xr:uid="{22C06CA4-3E61-4480-B0C5-88F4B1864D00}"/>
    <cellStyle name="Normal 2 4 2 4 2 9" xfId="25765" xr:uid="{A256987A-4243-4F67-A1A2-EF127CB0F612}"/>
    <cellStyle name="Normal 2 4 2 4 3" xfId="292" xr:uid="{00000000-0005-0000-0000-00005F0F0000}"/>
    <cellStyle name="Normal 2 4 2 4 3 10" xfId="34196" xr:uid="{8D085737-C847-448F-ADF7-BABAFD7749AA}"/>
    <cellStyle name="Normal 2 4 2 4 3 11" xfId="8903" xr:uid="{489EFBB4-8273-446A-95CE-183BC309254E}"/>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32544" xr:uid="{9AD91291-A460-4974-A7D9-D9E537A8591A}"/>
    <cellStyle name="Normal 2 4 2 4 3 2 2 2 3" xfId="24115" xr:uid="{D2A9D2C8-4615-465D-9EAB-83EB40EB017D}"/>
    <cellStyle name="Normal 2 4 2 4 3 2 2 2 4" xfId="40972" xr:uid="{486C9C8D-2EBE-400A-94AC-868C8C210970}"/>
    <cellStyle name="Normal 2 4 2 4 3 2 2 2 5" xfId="15680" xr:uid="{413759E7-C605-47FD-AC25-125F546A22CC}"/>
    <cellStyle name="Normal 2 4 2 4 3 2 2 3" xfId="28326" xr:uid="{D328867B-A97F-4748-A216-AD628E537A12}"/>
    <cellStyle name="Normal 2 4 2 4 3 2 2 4" xfId="19897" xr:uid="{87F83F92-3BD8-4F38-8FFA-59C5CA3C08DD}"/>
    <cellStyle name="Normal 2 4 2 4 3 2 2 5" xfId="36755" xr:uid="{D5438DC2-B396-4588-A09D-EEC36058504E}"/>
    <cellStyle name="Normal 2 4 2 4 3 2 2 6" xfId="11462" xr:uid="{56A20FCB-FAB9-44C9-AF73-0840F7F41A8A}"/>
    <cellStyle name="Normal 2 4 2 4 3 2 3" xfId="5100" xr:uid="{00000000-0005-0000-0000-0000630F0000}"/>
    <cellStyle name="Normal 2 4 2 4 3 2 3 2" xfId="30399" xr:uid="{449FC32E-3EEE-4633-8553-2EDA9CF9FC83}"/>
    <cellStyle name="Normal 2 4 2 4 3 2 3 3" xfId="21970" xr:uid="{4D4126A2-458E-43E9-A335-407DA9312370}"/>
    <cellStyle name="Normal 2 4 2 4 3 2 3 4" xfId="38827" xr:uid="{12341386-4861-41D9-B459-DF254D2B43CD}"/>
    <cellStyle name="Normal 2 4 2 4 3 2 3 5" xfId="13535" xr:uid="{67FCE8B7-FCDA-4A5F-B0F7-1CA783AF2F29}"/>
    <cellStyle name="Normal 2 4 2 4 3 2 4" xfId="26181" xr:uid="{ED15275B-F92F-4928-A98C-2F924E01280F}"/>
    <cellStyle name="Normal 2 4 2 4 3 2 5" xfId="17752" xr:uid="{4860E7F3-2AAA-4781-AEB4-6CDCEA2068AA}"/>
    <cellStyle name="Normal 2 4 2 4 3 2 6" xfId="34610" xr:uid="{89701322-C348-4FC4-ADDD-DA8C3A06D52D}"/>
    <cellStyle name="Normal 2 4 2 4 3 2 7" xfId="9317" xr:uid="{D06985E8-1480-49C4-A18B-6846CAA142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32957" xr:uid="{B9A347C4-4D9A-4813-B642-74FC211EC709}"/>
    <cellStyle name="Normal 2 4 2 4 3 3 2 2 3" xfId="24528" xr:uid="{6E171117-7288-4BF5-9474-FA77283418AE}"/>
    <cellStyle name="Normal 2 4 2 4 3 3 2 2 4" xfId="41385" xr:uid="{170CAC89-A39C-4D87-971D-0C6ABD560C0B}"/>
    <cellStyle name="Normal 2 4 2 4 3 3 2 2 5" xfId="16093" xr:uid="{8A0D2A0A-9BB8-475C-AB4A-3D0D1EFAFC5E}"/>
    <cellStyle name="Normal 2 4 2 4 3 3 2 3" xfId="28739" xr:uid="{310DB7B0-959E-4A6A-BA7D-1C4ECA29AD19}"/>
    <cellStyle name="Normal 2 4 2 4 3 3 2 4" xfId="20310" xr:uid="{962B7AEA-5093-48C1-9A6D-919EB477DDAC}"/>
    <cellStyle name="Normal 2 4 2 4 3 3 2 5" xfId="37168" xr:uid="{BF159927-3901-42CF-97FE-7735BD659163}"/>
    <cellStyle name="Normal 2 4 2 4 3 3 2 6" xfId="11875" xr:uid="{9ED337D6-2AA5-4C64-BA85-EF9D8BA75AFB}"/>
    <cellStyle name="Normal 2 4 2 4 3 3 3" xfId="5513" xr:uid="{00000000-0005-0000-0000-0000670F0000}"/>
    <cellStyle name="Normal 2 4 2 4 3 3 3 2" xfId="30812" xr:uid="{4D95166F-1649-49FB-B604-F51CF9A79F4A}"/>
    <cellStyle name="Normal 2 4 2 4 3 3 3 3" xfId="22383" xr:uid="{2CF40D78-0E43-499C-9129-5E41A9719173}"/>
    <cellStyle name="Normal 2 4 2 4 3 3 3 4" xfId="39240" xr:uid="{58137824-8820-44C4-ADCD-F2F12F251703}"/>
    <cellStyle name="Normal 2 4 2 4 3 3 3 5" xfId="13948" xr:uid="{5754153A-B1E6-4ED7-AF13-97E3D8509475}"/>
    <cellStyle name="Normal 2 4 2 4 3 3 4" xfId="26594" xr:uid="{6227AC6C-CF5E-4353-AD69-3C34E6BD5A24}"/>
    <cellStyle name="Normal 2 4 2 4 3 3 5" xfId="18165" xr:uid="{B9CF5513-9A85-49D1-AD2A-B21D5830FA79}"/>
    <cellStyle name="Normal 2 4 2 4 3 3 6" xfId="35023" xr:uid="{D1699FAA-13B0-4611-91B5-6E334F6CC52B}"/>
    <cellStyle name="Normal 2 4 2 4 3 3 7" xfId="9730" xr:uid="{BFE7DE37-A486-418D-AF28-F4FF4AC46BA3}"/>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33370" xr:uid="{9AC419F8-C5EA-4372-825B-066E2D479C91}"/>
    <cellStyle name="Normal 2 4 2 4 3 4 2 2 3" xfId="24941" xr:uid="{E70EF320-3070-4038-B331-EF4B5C96AA69}"/>
    <cellStyle name="Normal 2 4 2 4 3 4 2 2 4" xfId="41798" xr:uid="{2B3A9648-0734-4D6E-B156-7C420B3EF599}"/>
    <cellStyle name="Normal 2 4 2 4 3 4 2 2 5" xfId="16506" xr:uid="{32682BAE-59A5-404E-B961-1369EFD56587}"/>
    <cellStyle name="Normal 2 4 2 4 3 4 2 3" xfId="29152" xr:uid="{E54F5B96-1B56-4799-8229-531A905560D1}"/>
    <cellStyle name="Normal 2 4 2 4 3 4 2 4" xfId="20723" xr:uid="{F8D022BC-841E-4D07-88E9-8C1DE804A716}"/>
    <cellStyle name="Normal 2 4 2 4 3 4 2 5" xfId="37581" xr:uid="{7F782F95-6620-4B5E-A9F9-2E0BC6572F4B}"/>
    <cellStyle name="Normal 2 4 2 4 3 4 2 6" xfId="12288" xr:uid="{257AD79E-8585-4B35-A5F3-DD7D036201D7}"/>
    <cellStyle name="Normal 2 4 2 4 3 4 3" xfId="5926" xr:uid="{00000000-0005-0000-0000-00006B0F0000}"/>
    <cellStyle name="Normal 2 4 2 4 3 4 3 2" xfId="31225" xr:uid="{709462C1-17AF-4B0B-B913-4B67D809D33B}"/>
    <cellStyle name="Normal 2 4 2 4 3 4 3 3" xfId="22796" xr:uid="{B8498AC0-0932-47BE-83B3-77712DF19785}"/>
    <cellStyle name="Normal 2 4 2 4 3 4 3 4" xfId="39653" xr:uid="{F64785C4-9F08-4388-B8BF-28AC74E7EE56}"/>
    <cellStyle name="Normal 2 4 2 4 3 4 3 5" xfId="14361" xr:uid="{611CED8C-0EC4-42F8-BDED-2D610F5CC6EA}"/>
    <cellStyle name="Normal 2 4 2 4 3 4 4" xfId="27007" xr:uid="{1E1522DA-F0C0-40C3-865D-6E20F5A95EF8}"/>
    <cellStyle name="Normal 2 4 2 4 3 4 5" xfId="18578" xr:uid="{8740F15C-1474-48E9-8D8D-1DD0705793F1}"/>
    <cellStyle name="Normal 2 4 2 4 3 4 6" xfId="35436" xr:uid="{EF8F5767-DA87-43C3-824A-ADE8AF88F96E}"/>
    <cellStyle name="Normal 2 4 2 4 3 4 7" xfId="10143" xr:uid="{58EB815E-AF73-425C-8CA4-F4CDE1BE1B5F}"/>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33783" xr:uid="{9380E57A-3D85-4B38-9255-8F1E40CC3C6A}"/>
    <cellStyle name="Normal 2 4 2 4 3 5 2 2 3" xfId="25354" xr:uid="{26A13D92-DE81-4D1B-8CC9-5D3636560BF4}"/>
    <cellStyle name="Normal 2 4 2 4 3 5 2 2 4" xfId="42211" xr:uid="{A5C00126-BC1D-49C4-ABD2-5A8210150625}"/>
    <cellStyle name="Normal 2 4 2 4 3 5 2 2 5" xfId="16919" xr:uid="{18247CBD-E6F8-46FB-9FA6-E10731AA8289}"/>
    <cellStyle name="Normal 2 4 2 4 3 5 2 3" xfId="29565" xr:uid="{42E28DE4-230D-4467-B065-E2BA888DE7E6}"/>
    <cellStyle name="Normal 2 4 2 4 3 5 2 4" xfId="21136" xr:uid="{11A64A94-A162-4860-B013-BEA51A92DE91}"/>
    <cellStyle name="Normal 2 4 2 4 3 5 2 5" xfId="37994" xr:uid="{9010C8C9-A044-47A1-9996-D8B17B34A754}"/>
    <cellStyle name="Normal 2 4 2 4 3 5 2 6" xfId="12701" xr:uid="{98CB8C75-D2F7-45CB-BBA0-D93964171F0E}"/>
    <cellStyle name="Normal 2 4 2 4 3 5 3" xfId="6339" xr:uid="{00000000-0005-0000-0000-00006F0F0000}"/>
    <cellStyle name="Normal 2 4 2 4 3 5 3 2" xfId="31638" xr:uid="{3BE980F8-0881-41C1-BE12-2A69B7D49885}"/>
    <cellStyle name="Normal 2 4 2 4 3 5 3 3" xfId="23209" xr:uid="{B59B47B5-58E1-4245-BB97-B62A5793420B}"/>
    <cellStyle name="Normal 2 4 2 4 3 5 3 4" xfId="40066" xr:uid="{C6DBE3E1-8816-468E-B827-43AD8629A1FB}"/>
    <cellStyle name="Normal 2 4 2 4 3 5 3 5" xfId="14774" xr:uid="{F4F6D69D-29F2-4153-B226-F27F76EDE365}"/>
    <cellStyle name="Normal 2 4 2 4 3 5 4" xfId="27420" xr:uid="{B8FB209A-A9CF-41F4-9410-E55E8648DB06}"/>
    <cellStyle name="Normal 2 4 2 4 3 5 5" xfId="18991" xr:uid="{28D1D838-1267-46D3-8826-73B5BDA1F795}"/>
    <cellStyle name="Normal 2 4 2 4 3 5 6" xfId="35849" xr:uid="{69DD584C-ABDC-4F00-94EC-EFAB1B5D2813}"/>
    <cellStyle name="Normal 2 4 2 4 3 5 7" xfId="10556" xr:uid="{8670F844-2404-47C2-9EFA-227920C2BD80}"/>
    <cellStyle name="Normal 2 4 2 4 3 6" xfId="2468" xr:uid="{00000000-0005-0000-0000-0000700F0000}"/>
    <cellStyle name="Normal 2 4 2 4 3 6 2" xfId="6752" xr:uid="{00000000-0005-0000-0000-0000710F0000}"/>
    <cellStyle name="Normal 2 4 2 4 3 6 2 2" xfId="32051" xr:uid="{6D5CD8FC-C668-4EB3-9CF9-C0604BBA794B}"/>
    <cellStyle name="Normal 2 4 2 4 3 6 2 3" xfId="23622" xr:uid="{7853FFFC-5B0E-47CC-8E56-C98886F3E10C}"/>
    <cellStyle name="Normal 2 4 2 4 3 6 2 4" xfId="40479" xr:uid="{D1F09A9E-3A19-4C2A-A56C-1569BB68AE03}"/>
    <cellStyle name="Normal 2 4 2 4 3 6 2 5" xfId="15187" xr:uid="{0FFF9632-81B6-43BF-BCFF-A36DCADF0154}"/>
    <cellStyle name="Normal 2 4 2 4 3 6 3" xfId="27833" xr:uid="{9ADD0FB6-E3C0-43A4-9F44-BD5B9AEC2476}"/>
    <cellStyle name="Normal 2 4 2 4 3 6 4" xfId="19404" xr:uid="{BF34AA58-883C-438E-8813-3B283CF4E762}"/>
    <cellStyle name="Normal 2 4 2 4 3 6 5" xfId="36262" xr:uid="{9BF65160-C2CF-4388-B1C6-6EEE54D6AEDD}"/>
    <cellStyle name="Normal 2 4 2 4 3 6 6" xfId="10969" xr:uid="{E3A550F6-9105-4C1C-82B8-C15F1247C263}"/>
    <cellStyle name="Normal 2 4 2 4 3 7" xfId="4686" xr:uid="{00000000-0005-0000-0000-0000720F0000}"/>
    <cellStyle name="Normal 2 4 2 4 3 7 2" xfId="29985" xr:uid="{45D7ED2D-EEA2-4650-9097-F49383509E02}"/>
    <cellStyle name="Normal 2 4 2 4 3 7 3" xfId="21556" xr:uid="{63B5DA8D-89FE-479C-8B74-9B401A2648AE}"/>
    <cellStyle name="Normal 2 4 2 4 3 7 4" xfId="38413" xr:uid="{4799A51F-3C92-4371-9E13-315EBC23C1FD}"/>
    <cellStyle name="Normal 2 4 2 4 3 7 5" xfId="13121" xr:uid="{6EE264B6-1E2C-45E1-8750-B6A44A12A515}"/>
    <cellStyle name="Normal 2 4 2 4 3 8" xfId="25767" xr:uid="{C7369442-D723-4D71-BAD6-54569B8C45BC}"/>
    <cellStyle name="Normal 2 4 2 4 3 9" xfId="17338" xr:uid="{823B0E04-250B-45ED-9A13-C31817552ACB}"/>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32541" xr:uid="{7C711E9C-26BB-413D-BA2D-32D36DF4095E}"/>
    <cellStyle name="Normal 2 4 2 4 4 2 2 3" xfId="24112" xr:uid="{89741836-0156-4920-9D02-43EA22A81CD5}"/>
    <cellStyle name="Normal 2 4 2 4 4 2 2 4" xfId="40969" xr:uid="{3908B84D-7446-46A3-B12C-6E003AE01D0A}"/>
    <cellStyle name="Normal 2 4 2 4 4 2 2 5" xfId="15677" xr:uid="{FB8FEA35-28D4-4CED-8D93-811AF781E0A4}"/>
    <cellStyle name="Normal 2 4 2 4 4 2 3" xfId="28323" xr:uid="{7C4CFE42-7704-4608-B4D4-4A80F10A0319}"/>
    <cellStyle name="Normal 2 4 2 4 4 2 4" xfId="19894" xr:uid="{8B365570-6AC1-485F-977E-5E664BD1EAF0}"/>
    <cellStyle name="Normal 2 4 2 4 4 2 5" xfId="36752" xr:uid="{BD30EC35-26D7-4691-8BE9-2F70EC6AB90A}"/>
    <cellStyle name="Normal 2 4 2 4 4 2 6" xfId="11459" xr:uid="{01E0B60B-2EC1-47CE-942B-8782E357A315}"/>
    <cellStyle name="Normal 2 4 2 4 4 3" xfId="5097" xr:uid="{00000000-0005-0000-0000-0000760F0000}"/>
    <cellStyle name="Normal 2 4 2 4 4 3 2" xfId="30396" xr:uid="{13F1C460-E7EB-4C34-AE86-E4B1894C02AA}"/>
    <cellStyle name="Normal 2 4 2 4 4 3 3" xfId="21967" xr:uid="{3C390637-559A-4F1A-8073-316E43DC071F}"/>
    <cellStyle name="Normal 2 4 2 4 4 3 4" xfId="38824" xr:uid="{974D1771-F280-4507-9754-F8496C9C6692}"/>
    <cellStyle name="Normal 2 4 2 4 4 3 5" xfId="13532" xr:uid="{E864C14A-7E15-4ECF-98B1-CACE0087ACBF}"/>
    <cellStyle name="Normal 2 4 2 4 4 4" xfId="26178" xr:uid="{FC6CA2DD-701A-4053-B164-1C774CD8FBF2}"/>
    <cellStyle name="Normal 2 4 2 4 4 5" xfId="17749" xr:uid="{24EE6D2E-B996-440E-8D8E-468C009A7E71}"/>
    <cellStyle name="Normal 2 4 2 4 4 6" xfId="34607" xr:uid="{CC15A9F2-A08D-43EE-ACF5-AAB0A400C3EB}"/>
    <cellStyle name="Normal 2 4 2 4 4 7" xfId="9314" xr:uid="{C22C8C8E-DF9D-4B41-AA1D-FF2063E8019C}"/>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32954" xr:uid="{210A3D91-C24C-4D7E-8041-458BDDAFE7C2}"/>
    <cellStyle name="Normal 2 4 2 4 5 2 2 3" xfId="24525" xr:uid="{9EA28473-98F2-411A-ADF4-E3EC66E70A82}"/>
    <cellStyle name="Normal 2 4 2 4 5 2 2 4" xfId="41382" xr:uid="{BF82489F-9942-420B-B8EC-363A1BFFFFC4}"/>
    <cellStyle name="Normal 2 4 2 4 5 2 2 5" xfId="16090" xr:uid="{67ECA564-F8CB-49F3-BC00-4C5C4B67B23B}"/>
    <cellStyle name="Normal 2 4 2 4 5 2 3" xfId="28736" xr:uid="{81DFFDDD-B755-49C7-A50E-661CB9F17E3C}"/>
    <cellStyle name="Normal 2 4 2 4 5 2 4" xfId="20307" xr:uid="{609B01E2-14AA-4B03-A2F2-225F2EAE04AC}"/>
    <cellStyle name="Normal 2 4 2 4 5 2 5" xfId="37165" xr:uid="{D6CD1B33-4A61-4E08-9B14-C602BB82CF6E}"/>
    <cellStyle name="Normal 2 4 2 4 5 2 6" xfId="11872" xr:uid="{FB1BA25C-72AF-4ED2-8CAD-115DFD1F0D8B}"/>
    <cellStyle name="Normal 2 4 2 4 5 3" xfId="5510" xr:uid="{00000000-0005-0000-0000-00007A0F0000}"/>
    <cellStyle name="Normal 2 4 2 4 5 3 2" xfId="30809" xr:uid="{238B1B69-C663-4C5E-9922-F5B9601EEC19}"/>
    <cellStyle name="Normal 2 4 2 4 5 3 3" xfId="22380" xr:uid="{FD6551C6-A78E-44C6-9855-33073470EAE2}"/>
    <cellStyle name="Normal 2 4 2 4 5 3 4" xfId="39237" xr:uid="{F6D7F615-B84E-4E85-9774-136CE4BB3F1D}"/>
    <cellStyle name="Normal 2 4 2 4 5 3 5" xfId="13945" xr:uid="{4267C520-7AE5-4916-96BE-DF74B1F09EF1}"/>
    <cellStyle name="Normal 2 4 2 4 5 4" xfId="26591" xr:uid="{D1D6EBA9-7E6B-4270-A2B1-0E17AE631323}"/>
    <cellStyle name="Normal 2 4 2 4 5 5" xfId="18162" xr:uid="{3F24C873-BB8C-4B13-A0B3-6764406BF7A8}"/>
    <cellStyle name="Normal 2 4 2 4 5 6" xfId="35020" xr:uid="{C5FEE653-4716-4AB3-A249-61F4393E89A5}"/>
    <cellStyle name="Normal 2 4 2 4 5 7" xfId="9727" xr:uid="{E184417D-ED79-4C77-98DD-45B992EFDD9D}"/>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33367" xr:uid="{4CE5B3B6-0ABA-45E8-84E7-E90A105464EC}"/>
    <cellStyle name="Normal 2 4 2 4 6 2 2 3" xfId="24938" xr:uid="{B88C61AC-3EBA-43E2-AA20-D8D08DAB2B81}"/>
    <cellStyle name="Normal 2 4 2 4 6 2 2 4" xfId="41795" xr:uid="{F7FF11D8-0C20-4E88-8DE9-0648AB95B52D}"/>
    <cellStyle name="Normal 2 4 2 4 6 2 2 5" xfId="16503" xr:uid="{E3119686-C178-48BA-8795-985703539792}"/>
    <cellStyle name="Normal 2 4 2 4 6 2 3" xfId="29149" xr:uid="{446881AB-D800-4F36-A2F5-0A3824845BED}"/>
    <cellStyle name="Normal 2 4 2 4 6 2 4" xfId="20720" xr:uid="{E375F6A4-9420-4579-AD12-EF5099D81ACC}"/>
    <cellStyle name="Normal 2 4 2 4 6 2 5" xfId="37578" xr:uid="{13DBBDD4-DFAB-4E68-A930-7556CFCB199A}"/>
    <cellStyle name="Normal 2 4 2 4 6 2 6" xfId="12285" xr:uid="{4DC78A49-19CE-4610-B127-3F4C2675A966}"/>
    <cellStyle name="Normal 2 4 2 4 6 3" xfId="5923" xr:uid="{00000000-0005-0000-0000-00007E0F0000}"/>
    <cellStyle name="Normal 2 4 2 4 6 3 2" xfId="31222" xr:uid="{D6F45440-DCDD-463A-8570-82A6EB3E1A93}"/>
    <cellStyle name="Normal 2 4 2 4 6 3 3" xfId="22793" xr:uid="{6B839F5D-0E0A-4F4B-BA0E-DE709E929911}"/>
    <cellStyle name="Normal 2 4 2 4 6 3 4" xfId="39650" xr:uid="{B9E7B136-26AB-4192-9D6A-620BAABD00B0}"/>
    <cellStyle name="Normal 2 4 2 4 6 3 5" xfId="14358" xr:uid="{B6A3EFE3-C559-4F30-8CC5-3F4FE6B65AA1}"/>
    <cellStyle name="Normal 2 4 2 4 6 4" xfId="27004" xr:uid="{CBA35C7E-7584-4620-86B6-8263C8029F30}"/>
    <cellStyle name="Normal 2 4 2 4 6 5" xfId="18575" xr:uid="{31C1D519-39A4-4D29-8794-F91BECAE20FF}"/>
    <cellStyle name="Normal 2 4 2 4 6 6" xfId="35433" xr:uid="{B3E5B14F-6BEC-4A06-9A57-9BCD01902A4C}"/>
    <cellStyle name="Normal 2 4 2 4 6 7" xfId="10140" xr:uid="{73FE9717-2BC9-4D6D-AAD4-FAB1E32967FA}"/>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33780" xr:uid="{9C51B60B-18C3-4D86-83BE-DE6807F806C5}"/>
    <cellStyle name="Normal 2 4 2 4 7 2 2 3" xfId="25351" xr:uid="{FA9A1340-31FB-496C-A94B-227D7AA0B836}"/>
    <cellStyle name="Normal 2 4 2 4 7 2 2 4" xfId="42208" xr:uid="{55F90431-382E-46A2-AC71-F4C8E11A234F}"/>
    <cellStyle name="Normal 2 4 2 4 7 2 2 5" xfId="16916" xr:uid="{15CD4547-6C66-443C-B475-BDDCB70C5069}"/>
    <cellStyle name="Normal 2 4 2 4 7 2 3" xfId="29562" xr:uid="{5B1C32FB-0736-4B2F-81DA-DB5AB5140CE9}"/>
    <cellStyle name="Normal 2 4 2 4 7 2 4" xfId="21133" xr:uid="{888BB3CA-30BC-42D6-A6F0-25A41BBD5E0B}"/>
    <cellStyle name="Normal 2 4 2 4 7 2 5" xfId="37991" xr:uid="{6047BD4A-42AC-43C2-9D9B-BBFE0AEDF8AE}"/>
    <cellStyle name="Normal 2 4 2 4 7 2 6" xfId="12698" xr:uid="{49B77BAE-63DA-463B-B684-5578A5DBB4DE}"/>
    <cellStyle name="Normal 2 4 2 4 7 3" xfId="6336" xr:uid="{00000000-0005-0000-0000-0000820F0000}"/>
    <cellStyle name="Normal 2 4 2 4 7 3 2" xfId="31635" xr:uid="{2F70AC1E-59CE-47FD-9CEC-EAAC63C4C378}"/>
    <cellStyle name="Normal 2 4 2 4 7 3 3" xfId="23206" xr:uid="{EFEF7CED-42EC-4784-B812-2F58B53369A8}"/>
    <cellStyle name="Normal 2 4 2 4 7 3 4" xfId="40063" xr:uid="{3719EE63-8487-4B3E-A899-1879DE74BD28}"/>
    <cellStyle name="Normal 2 4 2 4 7 3 5" xfId="14771" xr:uid="{1939B10B-7FFF-4243-A849-FC9F708495C2}"/>
    <cellStyle name="Normal 2 4 2 4 7 4" xfId="27417" xr:uid="{5BD944CF-677F-4824-8FDB-FC6EE954B94C}"/>
    <cellStyle name="Normal 2 4 2 4 7 5" xfId="18988" xr:uid="{042F593E-B5A9-425E-A693-33E8B3D1F436}"/>
    <cellStyle name="Normal 2 4 2 4 7 6" xfId="35846" xr:uid="{8BE5A24D-28C1-451E-9B9E-EC6567AED714}"/>
    <cellStyle name="Normal 2 4 2 4 7 7" xfId="10553" xr:uid="{0235B1F2-0794-4206-9014-79A71BE9E002}"/>
    <cellStyle name="Normal 2 4 2 4 8" xfId="2465" xr:uid="{00000000-0005-0000-0000-0000830F0000}"/>
    <cellStyle name="Normal 2 4 2 4 8 2" xfId="6749" xr:uid="{00000000-0005-0000-0000-0000840F0000}"/>
    <cellStyle name="Normal 2 4 2 4 8 2 2" xfId="32048" xr:uid="{2237F4E7-601D-4629-817F-A1DE1514946E}"/>
    <cellStyle name="Normal 2 4 2 4 8 2 3" xfId="23619" xr:uid="{2DDD6EC0-5F1F-4ADE-824B-CF5FC461CF74}"/>
    <cellStyle name="Normal 2 4 2 4 8 2 4" xfId="40476" xr:uid="{D03BED23-6883-4D46-B13C-77BE4FFE4807}"/>
    <cellStyle name="Normal 2 4 2 4 8 2 5" xfId="15184" xr:uid="{9C16AC96-B6F4-4BC0-BF79-85B6B4184B44}"/>
    <cellStyle name="Normal 2 4 2 4 8 3" xfId="27830" xr:uid="{A8EB7798-A785-4CCA-8531-91C7AC802B7B}"/>
    <cellStyle name="Normal 2 4 2 4 8 4" xfId="19401" xr:uid="{4098B063-ED39-427C-9A23-20E7F77DE6CE}"/>
    <cellStyle name="Normal 2 4 2 4 8 5" xfId="36259" xr:uid="{A0ECDBC6-0110-47A0-B741-A412F6DF476E}"/>
    <cellStyle name="Normal 2 4 2 4 8 6" xfId="10966" xr:uid="{AA96EB82-6DA7-43A9-8069-B57A2406327A}"/>
    <cellStyle name="Normal 2 4 2 4 9" xfId="4683" xr:uid="{00000000-0005-0000-0000-0000850F0000}"/>
    <cellStyle name="Normal 2 4 2 4 9 2" xfId="29982" xr:uid="{E8BB062E-2DD7-4A4A-BDE9-AE63B03EBC5A}"/>
    <cellStyle name="Normal 2 4 2 4 9 3" xfId="21553" xr:uid="{90F77B8A-B4F6-4BB3-9A8C-AE85624F269D}"/>
    <cellStyle name="Normal 2 4 2 4 9 4" xfId="38410" xr:uid="{C6E6F52B-4934-4DE1-9589-B795F2031357}"/>
    <cellStyle name="Normal 2 4 2 4 9 5" xfId="13118" xr:uid="{1C81E38D-EB3A-40DE-A951-0AA3E07913E4}"/>
    <cellStyle name="Normal 2 4 2 5" xfId="293" xr:uid="{00000000-0005-0000-0000-0000860F0000}"/>
    <cellStyle name="Normal 2 4 2 5 10" xfId="17339" xr:uid="{FE5D84B8-D84E-4F4B-952F-B929D337FE9B}"/>
    <cellStyle name="Normal 2 4 2 5 11" xfId="34197" xr:uid="{6DB0ECCD-D752-410F-B2A3-E57194D4BF44}"/>
    <cellStyle name="Normal 2 4 2 5 12" xfId="8904" xr:uid="{661C689B-0C79-413D-B482-CC9041247D76}"/>
    <cellStyle name="Normal 2 4 2 5 2" xfId="294" xr:uid="{00000000-0005-0000-0000-0000870F0000}"/>
    <cellStyle name="Normal 2 4 2 5 2 10" xfId="34198" xr:uid="{0C1A798F-4F42-4CE1-9536-786CF3DD5BF6}"/>
    <cellStyle name="Normal 2 4 2 5 2 11" xfId="8905" xr:uid="{D1008E59-A07B-48BD-BC70-4D2FDCE57784}"/>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32546" xr:uid="{9A290C69-621B-4C86-8EB4-136F1D875283}"/>
    <cellStyle name="Normal 2 4 2 5 2 2 2 2 3" xfId="24117" xr:uid="{F158F947-BF80-425A-A7B6-D752E92709E8}"/>
    <cellStyle name="Normal 2 4 2 5 2 2 2 2 4" xfId="40974" xr:uid="{46B67A70-9D33-4A21-93B9-55871D3ACC01}"/>
    <cellStyle name="Normal 2 4 2 5 2 2 2 2 5" xfId="15682" xr:uid="{B0D3333B-312C-4580-95C0-453E9FFE35D3}"/>
    <cellStyle name="Normal 2 4 2 5 2 2 2 3" xfId="28328" xr:uid="{B9EF3CB9-D80E-4A7F-A1F8-874C9BDC5E60}"/>
    <cellStyle name="Normal 2 4 2 5 2 2 2 4" xfId="19899" xr:uid="{7DCFD428-58E0-4478-9A81-E902811D0560}"/>
    <cellStyle name="Normal 2 4 2 5 2 2 2 5" xfId="36757" xr:uid="{44B9CC96-602D-4F02-AE7C-2B7AD26D22BD}"/>
    <cellStyle name="Normal 2 4 2 5 2 2 2 6" xfId="11464" xr:uid="{C52042E9-D493-4AB9-8C16-A2691A2DA735}"/>
    <cellStyle name="Normal 2 4 2 5 2 2 3" xfId="5102" xr:uid="{00000000-0005-0000-0000-00008B0F0000}"/>
    <cellStyle name="Normal 2 4 2 5 2 2 3 2" xfId="30401" xr:uid="{0F82F989-5235-494A-AD79-03D0430283E0}"/>
    <cellStyle name="Normal 2 4 2 5 2 2 3 3" xfId="21972" xr:uid="{1183EFFF-A187-45EB-9929-6E93805FBEF0}"/>
    <cellStyle name="Normal 2 4 2 5 2 2 3 4" xfId="38829" xr:uid="{848CAF4B-F243-4EF1-A7E1-894D774E6DC6}"/>
    <cellStyle name="Normal 2 4 2 5 2 2 3 5" xfId="13537" xr:uid="{37F84630-DB08-465C-947F-AC4BBAFC2673}"/>
    <cellStyle name="Normal 2 4 2 5 2 2 4" xfId="26183" xr:uid="{8D9DB852-B3C1-40D4-897C-25A28102C7F4}"/>
    <cellStyle name="Normal 2 4 2 5 2 2 5" xfId="17754" xr:uid="{2559FA37-F978-4A79-8695-8442F9F7A9DD}"/>
    <cellStyle name="Normal 2 4 2 5 2 2 6" xfId="34612" xr:uid="{AD93C8FB-AA51-4F66-B20C-82CFD81A9967}"/>
    <cellStyle name="Normal 2 4 2 5 2 2 7" xfId="9319" xr:uid="{65C8AE6D-46AA-4B46-974A-29008EAE8D8E}"/>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32959" xr:uid="{16E63E3A-04DB-4033-A4B0-B0175CC393FA}"/>
    <cellStyle name="Normal 2 4 2 5 2 3 2 2 3" xfId="24530" xr:uid="{235D7311-6BA2-4C65-9EDD-B652357938A4}"/>
    <cellStyle name="Normal 2 4 2 5 2 3 2 2 4" xfId="41387" xr:uid="{5ED19AFF-4956-472D-A129-FCAE126A60A8}"/>
    <cellStyle name="Normal 2 4 2 5 2 3 2 2 5" xfId="16095" xr:uid="{914264B1-CECF-4208-B98D-FCA92AD5A5A8}"/>
    <cellStyle name="Normal 2 4 2 5 2 3 2 3" xfId="28741" xr:uid="{F9B485B9-731A-4C05-9EE9-EA0122ECB5E1}"/>
    <cellStyle name="Normal 2 4 2 5 2 3 2 4" xfId="20312" xr:uid="{BD28660D-A37F-4336-AA84-E2682E0BB6A8}"/>
    <cellStyle name="Normal 2 4 2 5 2 3 2 5" xfId="37170" xr:uid="{B3D682DB-B8E3-46D9-AEBE-F48D534BE3AA}"/>
    <cellStyle name="Normal 2 4 2 5 2 3 2 6" xfId="11877" xr:uid="{E41582CD-5D0D-4840-9C6C-7B600F65C131}"/>
    <cellStyle name="Normal 2 4 2 5 2 3 3" xfId="5515" xr:uid="{00000000-0005-0000-0000-00008F0F0000}"/>
    <cellStyle name="Normal 2 4 2 5 2 3 3 2" xfId="30814" xr:uid="{7AC11F4F-4684-4F50-B7FA-63AAE1128E7E}"/>
    <cellStyle name="Normal 2 4 2 5 2 3 3 3" xfId="22385" xr:uid="{A7AF4CF8-CECB-4491-A6F2-D75B230DB435}"/>
    <cellStyle name="Normal 2 4 2 5 2 3 3 4" xfId="39242" xr:uid="{58A30FB5-42F1-41B3-9C4B-BC2BBFAD3CDE}"/>
    <cellStyle name="Normal 2 4 2 5 2 3 3 5" xfId="13950" xr:uid="{8B9938BD-B20D-456D-86FD-08BD2AD4D46B}"/>
    <cellStyle name="Normal 2 4 2 5 2 3 4" xfId="26596" xr:uid="{CC23B873-2F5F-40DF-BC35-5E00AEAC3C39}"/>
    <cellStyle name="Normal 2 4 2 5 2 3 5" xfId="18167" xr:uid="{6CE9A02A-D448-4E74-A6E6-883BDE0BD827}"/>
    <cellStyle name="Normal 2 4 2 5 2 3 6" xfId="35025" xr:uid="{651605EA-C63C-4D03-9B29-115206270155}"/>
    <cellStyle name="Normal 2 4 2 5 2 3 7" xfId="9732" xr:uid="{15610410-A344-4FE9-A3F3-EE5B91555E3A}"/>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33372" xr:uid="{B10BD5C7-EEAF-4429-B352-236B9A52D9CB}"/>
    <cellStyle name="Normal 2 4 2 5 2 4 2 2 3" xfId="24943" xr:uid="{27B4AC2C-53A3-4FC3-B9D6-6E82A4484157}"/>
    <cellStyle name="Normal 2 4 2 5 2 4 2 2 4" xfId="41800" xr:uid="{C5481862-D711-4ACA-9F01-E68B31DFB83E}"/>
    <cellStyle name="Normal 2 4 2 5 2 4 2 2 5" xfId="16508" xr:uid="{631BC99F-7298-474D-B297-D861F50C8B9C}"/>
    <cellStyle name="Normal 2 4 2 5 2 4 2 3" xfId="29154" xr:uid="{6847E10A-3789-4EEF-90D0-B484E2544BE9}"/>
    <cellStyle name="Normal 2 4 2 5 2 4 2 4" xfId="20725" xr:uid="{F732C9E0-731B-424E-A974-DD36D384BE2A}"/>
    <cellStyle name="Normal 2 4 2 5 2 4 2 5" xfId="37583" xr:uid="{10E715C6-4E46-4A25-A285-43E85F0EBB94}"/>
    <cellStyle name="Normal 2 4 2 5 2 4 2 6" xfId="12290" xr:uid="{0DF194FC-A32B-49A8-8143-A5D8D385E70C}"/>
    <cellStyle name="Normal 2 4 2 5 2 4 3" xfId="5928" xr:uid="{00000000-0005-0000-0000-0000930F0000}"/>
    <cellStyle name="Normal 2 4 2 5 2 4 3 2" xfId="31227" xr:uid="{88848F09-6F46-47E3-9A53-D41C7B417EDD}"/>
    <cellStyle name="Normal 2 4 2 5 2 4 3 3" xfId="22798" xr:uid="{9120A5C0-39C5-461C-A82F-2C99B4484C9F}"/>
    <cellStyle name="Normal 2 4 2 5 2 4 3 4" xfId="39655" xr:uid="{73CF29A9-3A23-45EF-ADAA-DD29AECFB941}"/>
    <cellStyle name="Normal 2 4 2 5 2 4 3 5" xfId="14363" xr:uid="{E125F96E-B7C4-4988-87E6-57674756551C}"/>
    <cellStyle name="Normal 2 4 2 5 2 4 4" xfId="27009" xr:uid="{38BC4D69-9B04-4B09-AB4B-91983091E758}"/>
    <cellStyle name="Normal 2 4 2 5 2 4 5" xfId="18580" xr:uid="{396EE9D9-874A-4697-AAD4-4389692C48ED}"/>
    <cellStyle name="Normal 2 4 2 5 2 4 6" xfId="35438" xr:uid="{E1E379F6-BA7D-42C4-96A1-6367BF1A2F5A}"/>
    <cellStyle name="Normal 2 4 2 5 2 4 7" xfId="10145" xr:uid="{6522271F-821A-48BD-A06F-4AB49255585F}"/>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33785" xr:uid="{6F5CE91E-DADF-463E-9595-9E3A7FF97924}"/>
    <cellStyle name="Normal 2 4 2 5 2 5 2 2 3" xfId="25356" xr:uid="{7D56B65C-042A-44F3-95A1-8788FCAC827F}"/>
    <cellStyle name="Normal 2 4 2 5 2 5 2 2 4" xfId="42213" xr:uid="{3622D449-B29C-4537-8735-20339A89227E}"/>
    <cellStyle name="Normal 2 4 2 5 2 5 2 2 5" xfId="16921" xr:uid="{844D547C-BF72-400B-8871-151E2D58E383}"/>
    <cellStyle name="Normal 2 4 2 5 2 5 2 3" xfId="29567" xr:uid="{7A421CFD-C4AB-41A9-8AAC-D2C4680A87C8}"/>
    <cellStyle name="Normal 2 4 2 5 2 5 2 4" xfId="21138" xr:uid="{FFF9175F-0335-46CC-8303-C75122D02246}"/>
    <cellStyle name="Normal 2 4 2 5 2 5 2 5" xfId="37996" xr:uid="{5C4E7C07-4F6E-4D41-A186-ED972C035B6A}"/>
    <cellStyle name="Normal 2 4 2 5 2 5 2 6" xfId="12703" xr:uid="{B8D00FDA-755D-45EE-A646-7ABD09B7C800}"/>
    <cellStyle name="Normal 2 4 2 5 2 5 3" xfId="6341" xr:uid="{00000000-0005-0000-0000-0000970F0000}"/>
    <cellStyle name="Normal 2 4 2 5 2 5 3 2" xfId="31640" xr:uid="{6A399354-5B09-4F44-A4E4-DBE5630BA547}"/>
    <cellStyle name="Normal 2 4 2 5 2 5 3 3" xfId="23211" xr:uid="{2B5BB83F-3ECE-4E11-A6EB-5E0E596F115D}"/>
    <cellStyle name="Normal 2 4 2 5 2 5 3 4" xfId="40068" xr:uid="{384307C5-1038-4BAF-BB28-928BB56EB092}"/>
    <cellStyle name="Normal 2 4 2 5 2 5 3 5" xfId="14776" xr:uid="{B6435BC5-8CA7-4E8C-A136-63F68F417502}"/>
    <cellStyle name="Normal 2 4 2 5 2 5 4" xfId="27422" xr:uid="{E6A822AC-4D1C-479C-A9CF-271FA9E0718D}"/>
    <cellStyle name="Normal 2 4 2 5 2 5 5" xfId="18993" xr:uid="{068464D8-5B2B-4AC2-BA40-9E9EFA300E36}"/>
    <cellStyle name="Normal 2 4 2 5 2 5 6" xfId="35851" xr:uid="{7B3C8398-EDE8-4A86-AA56-14D4FCE3F88A}"/>
    <cellStyle name="Normal 2 4 2 5 2 5 7" xfId="10558" xr:uid="{3D8168FA-0ADA-4E84-83B5-71AB3C6D9F8B}"/>
    <cellStyle name="Normal 2 4 2 5 2 6" xfId="2470" xr:uid="{00000000-0005-0000-0000-0000980F0000}"/>
    <cellStyle name="Normal 2 4 2 5 2 6 2" xfId="6754" xr:uid="{00000000-0005-0000-0000-0000990F0000}"/>
    <cellStyle name="Normal 2 4 2 5 2 6 2 2" xfId="32053" xr:uid="{530F6463-B6E4-416D-B3AD-FE3170E27F7E}"/>
    <cellStyle name="Normal 2 4 2 5 2 6 2 3" xfId="23624" xr:uid="{534FFC41-1691-4792-8447-82FB59C03755}"/>
    <cellStyle name="Normal 2 4 2 5 2 6 2 4" xfId="40481" xr:uid="{9FA98A56-933D-48FD-8216-0DE7C5B44FF4}"/>
    <cellStyle name="Normal 2 4 2 5 2 6 2 5" xfId="15189" xr:uid="{76ED90F7-726C-4710-9F7D-7B42935830E1}"/>
    <cellStyle name="Normal 2 4 2 5 2 6 3" xfId="27835" xr:uid="{42D3C0CB-9D9B-45D9-896F-A351826B817F}"/>
    <cellStyle name="Normal 2 4 2 5 2 6 4" xfId="19406" xr:uid="{6685EB32-5343-4A3D-80AB-3E248B7BA2F7}"/>
    <cellStyle name="Normal 2 4 2 5 2 6 5" xfId="36264" xr:uid="{4233354E-0040-4EE6-AE80-CE27F055C7E7}"/>
    <cellStyle name="Normal 2 4 2 5 2 6 6" xfId="10971" xr:uid="{9D9FE2DF-4D80-4AAD-980A-1B942DFD534E}"/>
    <cellStyle name="Normal 2 4 2 5 2 7" xfId="4688" xr:uid="{00000000-0005-0000-0000-00009A0F0000}"/>
    <cellStyle name="Normal 2 4 2 5 2 7 2" xfId="29987" xr:uid="{241D8D08-64B8-4E5D-828E-35B82DBF9A05}"/>
    <cellStyle name="Normal 2 4 2 5 2 7 3" xfId="21558" xr:uid="{03DB32C7-F80D-4F2B-8990-4DA39576BC14}"/>
    <cellStyle name="Normal 2 4 2 5 2 7 4" xfId="38415" xr:uid="{42A96DF5-6C1B-4EA3-9985-90ADA52FDEB8}"/>
    <cellStyle name="Normal 2 4 2 5 2 7 5" xfId="13123" xr:uid="{2EF6EB42-6714-415A-B599-599B8A941188}"/>
    <cellStyle name="Normal 2 4 2 5 2 8" xfId="25769" xr:uid="{12DF4A55-4ED0-4A61-B51F-9D5FBA8AC50B}"/>
    <cellStyle name="Normal 2 4 2 5 2 9" xfId="17340" xr:uid="{EB0EEA87-7669-472F-9797-B0EA83E65DB7}"/>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32545" xr:uid="{353A6F5D-78CE-4F84-B4F6-2FC013E7BC68}"/>
    <cellStyle name="Normal 2 4 2 5 3 2 2 3" xfId="24116" xr:uid="{D64F0C4A-77A5-4CC0-BEBB-ED26A94C84E7}"/>
    <cellStyle name="Normal 2 4 2 5 3 2 2 4" xfId="40973" xr:uid="{DF0E7447-F72F-4598-BAE4-5C9B47205FF1}"/>
    <cellStyle name="Normal 2 4 2 5 3 2 2 5" xfId="15681" xr:uid="{121544D5-2C4C-4947-8C83-E14B41A02A89}"/>
    <cellStyle name="Normal 2 4 2 5 3 2 3" xfId="28327" xr:uid="{BF12F99D-CC6F-49FA-86A2-77DEB44028FE}"/>
    <cellStyle name="Normal 2 4 2 5 3 2 4" xfId="19898" xr:uid="{CFF86456-3FD9-4398-966F-BD611C2D185A}"/>
    <cellStyle name="Normal 2 4 2 5 3 2 5" xfId="36756" xr:uid="{F9FD347D-C953-4855-984E-D2DE1EACAA51}"/>
    <cellStyle name="Normal 2 4 2 5 3 2 6" xfId="11463" xr:uid="{4D5F7728-4485-4B57-88F8-D7C06A1530AD}"/>
    <cellStyle name="Normal 2 4 2 5 3 3" xfId="5101" xr:uid="{00000000-0005-0000-0000-00009E0F0000}"/>
    <cellStyle name="Normal 2 4 2 5 3 3 2" xfId="30400" xr:uid="{56220657-1D1A-45D7-9DC7-D4FF0584E9A4}"/>
    <cellStyle name="Normal 2 4 2 5 3 3 3" xfId="21971" xr:uid="{6440D073-DFF6-435A-9CAE-7BE732814359}"/>
    <cellStyle name="Normal 2 4 2 5 3 3 4" xfId="38828" xr:uid="{599928E9-3249-4DF5-9238-9E455FAD60C8}"/>
    <cellStyle name="Normal 2 4 2 5 3 3 5" xfId="13536" xr:uid="{644C877D-0A0F-4B5B-B8A5-AD72E567AE23}"/>
    <cellStyle name="Normal 2 4 2 5 3 4" xfId="26182" xr:uid="{0F65DBDB-E079-4334-A96F-E9D4732F36D9}"/>
    <cellStyle name="Normal 2 4 2 5 3 5" xfId="17753" xr:uid="{BE0A7782-B074-4C76-946A-6DD952278641}"/>
    <cellStyle name="Normal 2 4 2 5 3 6" xfId="34611" xr:uid="{45C28FE4-7BC8-418F-8D97-D8BC31E51678}"/>
    <cellStyle name="Normal 2 4 2 5 3 7" xfId="9318" xr:uid="{0A79E386-4873-475F-8781-44E6B4F3BD06}"/>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32958" xr:uid="{A0225FD5-B69A-4F01-9DAF-A5D1815BCBF4}"/>
    <cellStyle name="Normal 2 4 2 5 4 2 2 3" xfId="24529" xr:uid="{FE5F2EC0-F40E-4340-AC7B-67D7EF38B868}"/>
    <cellStyle name="Normal 2 4 2 5 4 2 2 4" xfId="41386" xr:uid="{21BFFDA1-8120-4E72-B3D9-F920ACA8C2D3}"/>
    <cellStyle name="Normal 2 4 2 5 4 2 2 5" xfId="16094" xr:uid="{1EFCE4F0-4D85-4507-9E29-CC43C0F7A89B}"/>
    <cellStyle name="Normal 2 4 2 5 4 2 3" xfId="28740" xr:uid="{10E930C8-FFE0-4287-8665-986797301252}"/>
    <cellStyle name="Normal 2 4 2 5 4 2 4" xfId="20311" xr:uid="{60F6FB88-8DD1-4BC4-9169-4D1AEED52DC4}"/>
    <cellStyle name="Normal 2 4 2 5 4 2 5" xfId="37169" xr:uid="{208F27D1-DF18-42C1-BF91-17346DDC68D0}"/>
    <cellStyle name="Normal 2 4 2 5 4 2 6" xfId="11876" xr:uid="{2D432FC2-466E-4B03-8999-432616B9D432}"/>
    <cellStyle name="Normal 2 4 2 5 4 3" xfId="5514" xr:uid="{00000000-0005-0000-0000-0000A20F0000}"/>
    <cellStyle name="Normal 2 4 2 5 4 3 2" xfId="30813" xr:uid="{A2FB1483-F846-4019-8AE4-D267AA2125B9}"/>
    <cellStyle name="Normal 2 4 2 5 4 3 3" xfId="22384" xr:uid="{FC9859D4-BB33-4E5A-966B-DE5EE2757629}"/>
    <cellStyle name="Normal 2 4 2 5 4 3 4" xfId="39241" xr:uid="{5285E707-D84C-4C17-8C4B-9D09A608F79C}"/>
    <cellStyle name="Normal 2 4 2 5 4 3 5" xfId="13949" xr:uid="{23B477AD-2A5C-40CB-A52F-BEA264593A29}"/>
    <cellStyle name="Normal 2 4 2 5 4 4" xfId="26595" xr:uid="{0DFEFDCC-AE78-4539-BF29-0B2087E13AE6}"/>
    <cellStyle name="Normal 2 4 2 5 4 5" xfId="18166" xr:uid="{B239B790-6DE2-416C-A66F-1553A80B1E10}"/>
    <cellStyle name="Normal 2 4 2 5 4 6" xfId="35024" xr:uid="{1C00D4F6-0806-468C-8B46-F279E7F93277}"/>
    <cellStyle name="Normal 2 4 2 5 4 7" xfId="9731" xr:uid="{D2520467-34B9-4974-89CC-3716D02C905A}"/>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33371" xr:uid="{B9F38BB0-6F99-422C-99C6-C2C032C5258C}"/>
    <cellStyle name="Normal 2 4 2 5 5 2 2 3" xfId="24942" xr:uid="{50A1CB52-F607-42C9-B41B-B7DBC9DDBBCE}"/>
    <cellStyle name="Normal 2 4 2 5 5 2 2 4" xfId="41799" xr:uid="{DBC7D075-F684-420D-A25A-9A466AEAF5C1}"/>
    <cellStyle name="Normal 2 4 2 5 5 2 2 5" xfId="16507" xr:uid="{EFEE19DB-88F7-4AEF-9297-CAA7D1919FD0}"/>
    <cellStyle name="Normal 2 4 2 5 5 2 3" xfId="29153" xr:uid="{39476FA1-E249-492D-A1E3-FD5D9287940F}"/>
    <cellStyle name="Normal 2 4 2 5 5 2 4" xfId="20724" xr:uid="{9A7F2AA0-05A4-45DF-80E0-366C4FCFC709}"/>
    <cellStyle name="Normal 2 4 2 5 5 2 5" xfId="37582" xr:uid="{0BC752E6-0151-4822-AAC9-EC7004A952E4}"/>
    <cellStyle name="Normal 2 4 2 5 5 2 6" xfId="12289" xr:uid="{BA907CD4-D7B2-4524-931B-19FF674A5351}"/>
    <cellStyle name="Normal 2 4 2 5 5 3" xfId="5927" xr:uid="{00000000-0005-0000-0000-0000A60F0000}"/>
    <cellStyle name="Normal 2 4 2 5 5 3 2" xfId="31226" xr:uid="{A8BC165F-E7D5-432C-9252-9794D53F4A6F}"/>
    <cellStyle name="Normal 2 4 2 5 5 3 3" xfId="22797" xr:uid="{7BD4B861-A9F6-4FCA-A41C-37E3D85259F5}"/>
    <cellStyle name="Normal 2 4 2 5 5 3 4" xfId="39654" xr:uid="{A6B2CB0E-A62A-4F24-9CED-6370AF219930}"/>
    <cellStyle name="Normal 2 4 2 5 5 3 5" xfId="14362" xr:uid="{95D7B0A5-A54C-4C45-8160-03EDE5353C21}"/>
    <cellStyle name="Normal 2 4 2 5 5 4" xfId="27008" xr:uid="{D6186219-4032-4EF5-AB99-276C42BED4B3}"/>
    <cellStyle name="Normal 2 4 2 5 5 5" xfId="18579" xr:uid="{B66F95EE-A976-44D4-AB92-3A2BC1A4496B}"/>
    <cellStyle name="Normal 2 4 2 5 5 6" xfId="35437" xr:uid="{F6B6ED4F-BD32-4AAF-AAFB-B14BF2B30569}"/>
    <cellStyle name="Normal 2 4 2 5 5 7" xfId="10144" xr:uid="{93664901-C4D1-41B5-AB95-171CE0E10AA3}"/>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33784" xr:uid="{A968F405-8583-44C1-B162-025A695E5333}"/>
    <cellStyle name="Normal 2 4 2 5 6 2 2 3" xfId="25355" xr:uid="{B93B94CB-62AA-4374-B529-FB0D1C251353}"/>
    <cellStyle name="Normal 2 4 2 5 6 2 2 4" xfId="42212" xr:uid="{BA0BDE97-9B5C-4C70-A21E-20EB46661292}"/>
    <cellStyle name="Normal 2 4 2 5 6 2 2 5" xfId="16920" xr:uid="{E273E5E1-647A-4F7B-B87B-B11CF1DE0B28}"/>
    <cellStyle name="Normal 2 4 2 5 6 2 3" xfId="29566" xr:uid="{BB00B03F-977F-4AE4-8C11-DD720B6DC6EB}"/>
    <cellStyle name="Normal 2 4 2 5 6 2 4" xfId="21137" xr:uid="{29735EEF-8DD5-4F02-B60B-513480504AB4}"/>
    <cellStyle name="Normal 2 4 2 5 6 2 5" xfId="37995" xr:uid="{96A23D34-5AAF-4591-921E-09305DC44734}"/>
    <cellStyle name="Normal 2 4 2 5 6 2 6" xfId="12702" xr:uid="{2C583CCA-286E-4530-9706-B87BF76C04E1}"/>
    <cellStyle name="Normal 2 4 2 5 6 3" xfId="6340" xr:uid="{00000000-0005-0000-0000-0000AA0F0000}"/>
    <cellStyle name="Normal 2 4 2 5 6 3 2" xfId="31639" xr:uid="{C2255DD2-5EAF-456E-99FF-55C90092E664}"/>
    <cellStyle name="Normal 2 4 2 5 6 3 3" xfId="23210" xr:uid="{B99408D8-E819-4B7D-85EE-68F8869390C5}"/>
    <cellStyle name="Normal 2 4 2 5 6 3 4" xfId="40067" xr:uid="{BB29DA75-07A2-4476-A4B4-D4C465916DC2}"/>
    <cellStyle name="Normal 2 4 2 5 6 3 5" xfId="14775" xr:uid="{5E94B50D-A415-4832-B55F-3804DB8E26EB}"/>
    <cellStyle name="Normal 2 4 2 5 6 4" xfId="27421" xr:uid="{51D71AED-98FD-4974-8084-A182598E417C}"/>
    <cellStyle name="Normal 2 4 2 5 6 5" xfId="18992" xr:uid="{301E9582-9299-4FAC-82BA-17C5B43F78FA}"/>
    <cellStyle name="Normal 2 4 2 5 6 6" xfId="35850" xr:uid="{39026F75-1B7B-4F11-B73F-5E51B68579D6}"/>
    <cellStyle name="Normal 2 4 2 5 6 7" xfId="10557" xr:uid="{A1A89357-4094-44BA-8E36-A9CB18F9B31B}"/>
    <cellStyle name="Normal 2 4 2 5 7" xfId="2469" xr:uid="{00000000-0005-0000-0000-0000AB0F0000}"/>
    <cellStyle name="Normal 2 4 2 5 7 2" xfId="6753" xr:uid="{00000000-0005-0000-0000-0000AC0F0000}"/>
    <cellStyle name="Normal 2 4 2 5 7 2 2" xfId="32052" xr:uid="{ABF6D186-E7BF-4D75-9330-AB655934ABFB}"/>
    <cellStyle name="Normal 2 4 2 5 7 2 3" xfId="23623" xr:uid="{C39FF952-7FD0-4834-BC6E-AE875C59044A}"/>
    <cellStyle name="Normal 2 4 2 5 7 2 4" xfId="40480" xr:uid="{08437D6D-6EA9-4721-86A0-1D76914AFABD}"/>
    <cellStyle name="Normal 2 4 2 5 7 2 5" xfId="15188" xr:uid="{FE3129D2-B911-4EC6-A610-D359E18B0331}"/>
    <cellStyle name="Normal 2 4 2 5 7 3" xfId="27834" xr:uid="{13573272-38E9-4DCC-A5C6-89A6A54E6212}"/>
    <cellStyle name="Normal 2 4 2 5 7 4" xfId="19405" xr:uid="{A0C49139-97C2-4C28-B33F-91EFAAC2A488}"/>
    <cellStyle name="Normal 2 4 2 5 7 5" xfId="36263" xr:uid="{A49D6689-A885-4680-9523-3FC2799EBAD1}"/>
    <cellStyle name="Normal 2 4 2 5 7 6" xfId="10970" xr:uid="{F7D305B7-330F-48A8-8810-962C00752DC0}"/>
    <cellStyle name="Normal 2 4 2 5 8" xfId="4687" xr:uid="{00000000-0005-0000-0000-0000AD0F0000}"/>
    <cellStyle name="Normal 2 4 2 5 8 2" xfId="29986" xr:uid="{8810D3B1-13A8-42B2-BD8D-FE78C827F9B4}"/>
    <cellStyle name="Normal 2 4 2 5 8 3" xfId="21557" xr:uid="{71C40533-A344-4B4D-AF6E-E44E0E1206E6}"/>
    <cellStyle name="Normal 2 4 2 5 8 4" xfId="38414" xr:uid="{E075A6DD-101A-4C26-AEE5-539616FEEC6E}"/>
    <cellStyle name="Normal 2 4 2 5 8 5" xfId="13122" xr:uid="{682B7C28-8300-41AA-8D4E-62F792A74ACF}"/>
    <cellStyle name="Normal 2 4 2 5 9" xfId="25768" xr:uid="{CDB5FFCF-4BE2-40CC-B77C-6A87143B60DB}"/>
    <cellStyle name="Normal 2 4 2 6" xfId="295" xr:uid="{00000000-0005-0000-0000-0000AE0F0000}"/>
    <cellStyle name="Normal 2 4 2 6 10" xfId="34199" xr:uid="{E2CF9F40-6D9E-47D5-9B03-701BEA965FFE}"/>
    <cellStyle name="Normal 2 4 2 6 11" xfId="8906" xr:uid="{EF5E8157-E664-466A-B92D-196975C65FEC}"/>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32547" xr:uid="{D63407CF-3E0C-412B-8F97-725AAF143D9D}"/>
    <cellStyle name="Normal 2 4 2 6 2 2 2 3" xfId="24118" xr:uid="{44A3D699-11BF-444D-AD36-BCBF81E7CFC8}"/>
    <cellStyle name="Normal 2 4 2 6 2 2 2 4" xfId="40975" xr:uid="{17CD3FAE-9FFE-40E9-B11B-C7B4F56AB91A}"/>
    <cellStyle name="Normal 2 4 2 6 2 2 2 5" xfId="15683" xr:uid="{A6019256-14F8-4040-AA3D-19C7C09F2B60}"/>
    <cellStyle name="Normal 2 4 2 6 2 2 3" xfId="28329" xr:uid="{323DBE78-B2A5-435D-A3BA-543CFAEA3155}"/>
    <cellStyle name="Normal 2 4 2 6 2 2 4" xfId="19900" xr:uid="{F25BDF95-6575-4C51-B285-638A9A6B13E2}"/>
    <cellStyle name="Normal 2 4 2 6 2 2 5" xfId="36758" xr:uid="{91D9719A-7811-4D5F-A1E0-6A4452129298}"/>
    <cellStyle name="Normal 2 4 2 6 2 2 6" xfId="11465" xr:uid="{CEAFD575-8B82-4931-8633-646BF01021C6}"/>
    <cellStyle name="Normal 2 4 2 6 2 3" xfId="5103" xr:uid="{00000000-0005-0000-0000-0000B20F0000}"/>
    <cellStyle name="Normal 2 4 2 6 2 3 2" xfId="30402" xr:uid="{38B58AC9-66E5-408B-88BD-2CE151DFA084}"/>
    <cellStyle name="Normal 2 4 2 6 2 3 3" xfId="21973" xr:uid="{2AFB2EE3-252A-4842-8C87-4415F5D19E25}"/>
    <cellStyle name="Normal 2 4 2 6 2 3 4" xfId="38830" xr:uid="{2BE77823-692A-45CD-A7DB-E8D874DEEB98}"/>
    <cellStyle name="Normal 2 4 2 6 2 3 5" xfId="13538" xr:uid="{5FDA01A4-A116-48EB-94C1-F2D77DA0661C}"/>
    <cellStyle name="Normal 2 4 2 6 2 4" xfId="26184" xr:uid="{76EAE20C-81C9-4750-80C5-4BA6CB2E675B}"/>
    <cellStyle name="Normal 2 4 2 6 2 5" xfId="17755" xr:uid="{5FDB88D5-92CD-45EA-9BFC-2F1C1E12F779}"/>
    <cellStyle name="Normal 2 4 2 6 2 6" xfId="34613" xr:uid="{10CB18F5-AA28-4F33-83BD-7B64F6A4C157}"/>
    <cellStyle name="Normal 2 4 2 6 2 7" xfId="9320" xr:uid="{D957748C-11AA-4454-A25A-551E6C155F69}"/>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32960" xr:uid="{6C717F4B-A0F2-4BD9-8225-45A22A102AA0}"/>
    <cellStyle name="Normal 2 4 2 6 3 2 2 3" xfId="24531" xr:uid="{1C67E4D7-389C-43D5-BEA6-A3929AC2A7B1}"/>
    <cellStyle name="Normal 2 4 2 6 3 2 2 4" xfId="41388" xr:uid="{49740C63-8839-4A85-BD94-AA505AB7CDBA}"/>
    <cellStyle name="Normal 2 4 2 6 3 2 2 5" xfId="16096" xr:uid="{83953E21-695E-4080-B99F-0C813FFDC5C7}"/>
    <cellStyle name="Normal 2 4 2 6 3 2 3" xfId="28742" xr:uid="{422A0057-CF89-442E-85DA-ACB367175AD3}"/>
    <cellStyle name="Normal 2 4 2 6 3 2 4" xfId="20313" xr:uid="{D9BAED15-1961-46A5-B0B7-F92F696E4FA6}"/>
    <cellStyle name="Normal 2 4 2 6 3 2 5" xfId="37171" xr:uid="{3B35508A-B770-4E7C-9A50-ED6DA5834F07}"/>
    <cellStyle name="Normal 2 4 2 6 3 2 6" xfId="11878" xr:uid="{1D515BCA-E12C-4423-9CA2-CBE389173BEE}"/>
    <cellStyle name="Normal 2 4 2 6 3 3" xfId="5516" xr:uid="{00000000-0005-0000-0000-0000B60F0000}"/>
    <cellStyle name="Normal 2 4 2 6 3 3 2" xfId="30815" xr:uid="{F84D26B7-C130-47A5-84FF-3AD00274AB42}"/>
    <cellStyle name="Normal 2 4 2 6 3 3 3" xfId="22386" xr:uid="{8F200CB4-2FCE-4997-9F89-7393910FA898}"/>
    <cellStyle name="Normal 2 4 2 6 3 3 4" xfId="39243" xr:uid="{277385B5-1536-49BA-91E4-A713E314A10F}"/>
    <cellStyle name="Normal 2 4 2 6 3 3 5" xfId="13951" xr:uid="{9F3B6712-56F3-4C29-B48D-1DE4CDD079A7}"/>
    <cellStyle name="Normal 2 4 2 6 3 4" xfId="26597" xr:uid="{8449ED77-FD12-4DE3-9FFD-D79346B4DF01}"/>
    <cellStyle name="Normal 2 4 2 6 3 5" xfId="18168" xr:uid="{F78F2B4E-C232-43B9-AFA6-0227060C6AB7}"/>
    <cellStyle name="Normal 2 4 2 6 3 6" xfId="35026" xr:uid="{65CF2717-3C88-4C13-82B8-369BD3275612}"/>
    <cellStyle name="Normal 2 4 2 6 3 7" xfId="9733" xr:uid="{3E7FF75E-4560-48A9-9E2F-92646BA54FE6}"/>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33373" xr:uid="{9D07614D-262F-41C2-9834-3C546CBD18DC}"/>
    <cellStyle name="Normal 2 4 2 6 4 2 2 3" xfId="24944" xr:uid="{F5033EDC-D5E4-4E24-957A-A5F97968658B}"/>
    <cellStyle name="Normal 2 4 2 6 4 2 2 4" xfId="41801" xr:uid="{BB8AD71D-2EBD-4769-AB00-C2604DF81ECD}"/>
    <cellStyle name="Normal 2 4 2 6 4 2 2 5" xfId="16509" xr:uid="{C7161296-AD67-4CF6-8C20-6CD85BB8127D}"/>
    <cellStyle name="Normal 2 4 2 6 4 2 3" xfId="29155" xr:uid="{DF9750E6-AF5B-4F6C-BDED-DE5928FFF807}"/>
    <cellStyle name="Normal 2 4 2 6 4 2 4" xfId="20726" xr:uid="{434893A6-F458-49D5-85EB-9BC9FE432B50}"/>
    <cellStyle name="Normal 2 4 2 6 4 2 5" xfId="37584" xr:uid="{FAEB1A77-246A-42C6-B604-11C5956C5323}"/>
    <cellStyle name="Normal 2 4 2 6 4 2 6" xfId="12291" xr:uid="{401FEC16-8845-4696-AD67-4404B17360A9}"/>
    <cellStyle name="Normal 2 4 2 6 4 3" xfId="5929" xr:uid="{00000000-0005-0000-0000-0000BA0F0000}"/>
    <cellStyle name="Normal 2 4 2 6 4 3 2" xfId="31228" xr:uid="{F713235D-4132-4FCF-9D84-4CD44DE9549D}"/>
    <cellStyle name="Normal 2 4 2 6 4 3 3" xfId="22799" xr:uid="{98EC217B-7A29-4033-8888-BFE611C263A5}"/>
    <cellStyle name="Normal 2 4 2 6 4 3 4" xfId="39656" xr:uid="{E53CD116-2614-4533-8EA9-788734624696}"/>
    <cellStyle name="Normal 2 4 2 6 4 3 5" xfId="14364" xr:uid="{5F8A0289-65EA-4F95-AF5B-0EB633CF153A}"/>
    <cellStyle name="Normal 2 4 2 6 4 4" xfId="27010" xr:uid="{4D1B5ACF-1D05-4277-8592-1FFB417EF77F}"/>
    <cellStyle name="Normal 2 4 2 6 4 5" xfId="18581" xr:uid="{60931D4C-E2D5-4AD1-90C1-366132AE1913}"/>
    <cellStyle name="Normal 2 4 2 6 4 6" xfId="35439" xr:uid="{99716C72-5B9D-4312-AF56-7741442400E8}"/>
    <cellStyle name="Normal 2 4 2 6 4 7" xfId="10146" xr:uid="{7A86E8E2-DBF9-4F3B-94B8-0928FCF7FA5D}"/>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33786" xr:uid="{782D69F9-DBD7-4906-8A8F-800A86D5CD18}"/>
    <cellStyle name="Normal 2 4 2 6 5 2 2 3" xfId="25357" xr:uid="{A883D748-60AD-4ED8-8359-E3EF4FB26596}"/>
    <cellStyle name="Normal 2 4 2 6 5 2 2 4" xfId="42214" xr:uid="{1E2A24E4-A57D-4F17-A5AA-8558CD2D4EF1}"/>
    <cellStyle name="Normal 2 4 2 6 5 2 2 5" xfId="16922" xr:uid="{9EDA246A-E848-406B-AE73-D550681CFDED}"/>
    <cellStyle name="Normal 2 4 2 6 5 2 3" xfId="29568" xr:uid="{A66D8B7E-7FC6-41D8-8580-ECF21517C4B7}"/>
    <cellStyle name="Normal 2 4 2 6 5 2 4" xfId="21139" xr:uid="{4FC003F4-851B-4DAE-BD64-F002BE55A48F}"/>
    <cellStyle name="Normal 2 4 2 6 5 2 5" xfId="37997" xr:uid="{426D6769-42A0-4C53-93E2-A236F15CF4D2}"/>
    <cellStyle name="Normal 2 4 2 6 5 2 6" xfId="12704" xr:uid="{C55B7AC3-CD23-435C-B84A-C53ABBE14FBD}"/>
    <cellStyle name="Normal 2 4 2 6 5 3" xfId="6342" xr:uid="{00000000-0005-0000-0000-0000BE0F0000}"/>
    <cellStyle name="Normal 2 4 2 6 5 3 2" xfId="31641" xr:uid="{799C6F21-0D81-4EFD-91A0-F00585C9A1E7}"/>
    <cellStyle name="Normal 2 4 2 6 5 3 3" xfId="23212" xr:uid="{32B3DAAB-5B17-4692-B224-F1FD68497033}"/>
    <cellStyle name="Normal 2 4 2 6 5 3 4" xfId="40069" xr:uid="{15787420-11CB-40CC-A460-34B8FABFFFB6}"/>
    <cellStyle name="Normal 2 4 2 6 5 3 5" xfId="14777" xr:uid="{17F0E122-6137-41F9-97C7-F36CD442ACDA}"/>
    <cellStyle name="Normal 2 4 2 6 5 4" xfId="27423" xr:uid="{33FBFE8D-FC83-4390-9B90-F60E3661E7D2}"/>
    <cellStyle name="Normal 2 4 2 6 5 5" xfId="18994" xr:uid="{CB20C88B-CF04-406F-9AA0-DCBE4356570A}"/>
    <cellStyle name="Normal 2 4 2 6 5 6" xfId="35852" xr:uid="{8D12D084-C17D-4146-839A-5252D8D990C5}"/>
    <cellStyle name="Normal 2 4 2 6 5 7" xfId="10559" xr:uid="{A6DE7F3A-2666-4D4A-8C70-AC099A5B1B22}"/>
    <cellStyle name="Normal 2 4 2 6 6" xfId="2471" xr:uid="{00000000-0005-0000-0000-0000BF0F0000}"/>
    <cellStyle name="Normal 2 4 2 6 6 2" xfId="6755" xr:uid="{00000000-0005-0000-0000-0000C00F0000}"/>
    <cellStyle name="Normal 2 4 2 6 6 2 2" xfId="32054" xr:uid="{7C4E35D0-6A01-42E8-9546-C26B49236DEA}"/>
    <cellStyle name="Normal 2 4 2 6 6 2 3" xfId="23625" xr:uid="{6593330E-4B81-4079-902F-AE1EAAE04519}"/>
    <cellStyle name="Normal 2 4 2 6 6 2 4" xfId="40482" xr:uid="{0751B2F9-7E6C-4D65-8658-F2434195A43C}"/>
    <cellStyle name="Normal 2 4 2 6 6 2 5" xfId="15190" xr:uid="{EC617738-C9F4-4381-8139-5E92A39EA8A3}"/>
    <cellStyle name="Normal 2 4 2 6 6 3" xfId="27836" xr:uid="{876F7013-41B8-411F-9741-09E46B31C68F}"/>
    <cellStyle name="Normal 2 4 2 6 6 4" xfId="19407" xr:uid="{646CF71F-C533-456F-85CD-FD363AC12D17}"/>
    <cellStyle name="Normal 2 4 2 6 6 5" xfId="36265" xr:uid="{AB3856B3-822E-47FB-B552-46F809EAA523}"/>
    <cellStyle name="Normal 2 4 2 6 6 6" xfId="10972" xr:uid="{5E70F791-5B2B-4F7E-9B05-F0A4929A49C0}"/>
    <cellStyle name="Normal 2 4 2 6 7" xfId="4689" xr:uid="{00000000-0005-0000-0000-0000C10F0000}"/>
    <cellStyle name="Normal 2 4 2 6 7 2" xfId="29988" xr:uid="{9DBE8CAE-1726-4119-8EFD-9B865BBAE879}"/>
    <cellStyle name="Normal 2 4 2 6 7 3" xfId="21559" xr:uid="{BC3E4E7B-1739-4357-9E31-3DF99699C557}"/>
    <cellStyle name="Normal 2 4 2 6 7 4" xfId="38416" xr:uid="{08036BB1-33AB-4882-A467-D56DDF19AB0C}"/>
    <cellStyle name="Normal 2 4 2 6 7 5" xfId="13124" xr:uid="{A5A535BD-C8C4-4601-AD03-44AF1089B53E}"/>
    <cellStyle name="Normal 2 4 2 6 8" xfId="25770" xr:uid="{469B4643-E614-4F19-968A-F5E9A7CC5E92}"/>
    <cellStyle name="Normal 2 4 2 6 9" xfId="17341" xr:uid="{514BF30A-0900-4014-A7A9-5A29AFBFC58B}"/>
    <cellStyle name="Normal 2 4 2 7" xfId="771" xr:uid="{00000000-0005-0000-0000-0000C20F0000}"/>
    <cellStyle name="Normal 2 4 2 7 2" xfId="3010" xr:uid="{00000000-0005-0000-0000-0000C30F0000}"/>
    <cellStyle name="Normal 2 4 2 7 2 2" xfId="7233" xr:uid="{00000000-0005-0000-0000-0000C40F0000}"/>
    <cellStyle name="Normal 2 4 2 7 2 2 2" xfId="32532" xr:uid="{68A3097D-4D46-4678-A892-4E3E8F495A84}"/>
    <cellStyle name="Normal 2 4 2 7 2 2 3" xfId="24103" xr:uid="{F78225B3-F845-46AE-8CD6-8ED43E797B8C}"/>
    <cellStyle name="Normal 2 4 2 7 2 2 4" xfId="40960" xr:uid="{404DD108-7370-46A6-85D3-0C3407E27903}"/>
    <cellStyle name="Normal 2 4 2 7 2 2 5" xfId="15668" xr:uid="{250D3F4A-6C16-43F7-B52A-3092319424A4}"/>
    <cellStyle name="Normal 2 4 2 7 2 3" xfId="28314" xr:uid="{F4A410FA-1F8B-4633-8849-6706D6D546B3}"/>
    <cellStyle name="Normal 2 4 2 7 2 4" xfId="19885" xr:uid="{DCD920F9-9C41-4F2F-9D86-5BBCE9A1825C}"/>
    <cellStyle name="Normal 2 4 2 7 2 5" xfId="36743" xr:uid="{9CCFB70B-94F2-4ED4-988D-ECC9CEE388B3}"/>
    <cellStyle name="Normal 2 4 2 7 2 6" xfId="11450" xr:uid="{488C19DD-98C3-46CC-993F-64DE7AC9885F}"/>
    <cellStyle name="Normal 2 4 2 7 3" xfId="5088" xr:uid="{00000000-0005-0000-0000-0000C50F0000}"/>
    <cellStyle name="Normal 2 4 2 7 3 2" xfId="30387" xr:uid="{8E454F77-6562-4F50-A444-B40B0DAD0083}"/>
    <cellStyle name="Normal 2 4 2 7 3 3" xfId="21958" xr:uid="{58AF8508-9FFD-4B71-BE1A-60CD62BADBF4}"/>
    <cellStyle name="Normal 2 4 2 7 3 4" xfId="38815" xr:uid="{B7AFC121-CC6E-4DF3-8620-A18564454002}"/>
    <cellStyle name="Normal 2 4 2 7 3 5" xfId="13523" xr:uid="{36B384CF-7115-4FB2-AE80-AEC49DFEB5FD}"/>
    <cellStyle name="Normal 2 4 2 7 4" xfId="26169" xr:uid="{E28F86EB-1B40-4663-AC5A-C6184BCBCD5D}"/>
    <cellStyle name="Normal 2 4 2 7 5" xfId="17740" xr:uid="{912A39BA-B559-4E72-AA87-97464243B0AC}"/>
    <cellStyle name="Normal 2 4 2 7 6" xfId="34598" xr:uid="{1BAC5952-8001-4368-BB23-6B923685153D}"/>
    <cellStyle name="Normal 2 4 2 7 7" xfId="9305" xr:uid="{CC162954-AC76-4D2E-A6B1-3DB7EF50473E}"/>
    <cellStyle name="Normal 2 4 2 8" xfId="1193" xr:uid="{00000000-0005-0000-0000-0000C60F0000}"/>
    <cellStyle name="Normal 2 4 2 8 2" xfId="3423" xr:uid="{00000000-0005-0000-0000-0000C70F0000}"/>
    <cellStyle name="Normal 2 4 2 8 2 2" xfId="7646" xr:uid="{00000000-0005-0000-0000-0000C80F0000}"/>
    <cellStyle name="Normal 2 4 2 8 2 2 2" xfId="32945" xr:uid="{E45175D7-5512-4EA8-9D83-1BDA8390C009}"/>
    <cellStyle name="Normal 2 4 2 8 2 2 3" xfId="24516" xr:uid="{136D4779-0208-4981-9EE5-19A300E05DB3}"/>
    <cellStyle name="Normal 2 4 2 8 2 2 4" xfId="41373" xr:uid="{DF5A0AB5-1DCE-4BA3-859D-08BB7AD50A9F}"/>
    <cellStyle name="Normal 2 4 2 8 2 2 5" xfId="16081" xr:uid="{E1C37F16-A6F5-4F79-912E-A273442FEE69}"/>
    <cellStyle name="Normal 2 4 2 8 2 3" xfId="28727" xr:uid="{68BCB6AA-CFBF-4C8C-B10C-7F00FA1D4ABA}"/>
    <cellStyle name="Normal 2 4 2 8 2 4" xfId="20298" xr:uid="{4CE3A071-809B-4732-9E6F-2CE7E0167633}"/>
    <cellStyle name="Normal 2 4 2 8 2 5" xfId="37156" xr:uid="{74D96654-57BA-4BC7-B1C0-6E9C7D82F42E}"/>
    <cellStyle name="Normal 2 4 2 8 2 6" xfId="11863" xr:uid="{CF0096DC-6F4E-4BC3-9906-F4310623D199}"/>
    <cellStyle name="Normal 2 4 2 8 3" xfId="5501" xr:uid="{00000000-0005-0000-0000-0000C90F0000}"/>
    <cellStyle name="Normal 2 4 2 8 3 2" xfId="30800" xr:uid="{9EFD61CC-681B-47D5-9AD4-C4BD9C3DEA66}"/>
    <cellStyle name="Normal 2 4 2 8 3 3" xfId="22371" xr:uid="{174F8D43-D423-4CD2-95F3-00FC7E68EBEF}"/>
    <cellStyle name="Normal 2 4 2 8 3 4" xfId="39228" xr:uid="{36F8274B-1434-4762-95E2-B438AE1A6F32}"/>
    <cellStyle name="Normal 2 4 2 8 3 5" xfId="13936" xr:uid="{5A1DB5E9-6FCD-4E13-986B-8B59D6985F86}"/>
    <cellStyle name="Normal 2 4 2 8 4" xfId="26582" xr:uid="{1C3EA918-CD82-43A2-88A7-4A9958D9620D}"/>
    <cellStyle name="Normal 2 4 2 8 5" xfId="18153" xr:uid="{C472897D-08F2-4555-9047-E2772408003F}"/>
    <cellStyle name="Normal 2 4 2 8 6" xfId="35011" xr:uid="{8FCFEB83-B9CD-4B96-B612-EB93FFFD66EF}"/>
    <cellStyle name="Normal 2 4 2 8 7" xfId="9718" xr:uid="{84035811-A404-4A2C-8352-C1DCA295CAAF}"/>
    <cellStyle name="Normal 2 4 2 9" xfId="1606" xr:uid="{00000000-0005-0000-0000-0000CA0F0000}"/>
    <cellStyle name="Normal 2 4 2 9 2" xfId="3836" xr:uid="{00000000-0005-0000-0000-0000CB0F0000}"/>
    <cellStyle name="Normal 2 4 2 9 2 2" xfId="8059" xr:uid="{00000000-0005-0000-0000-0000CC0F0000}"/>
    <cellStyle name="Normal 2 4 2 9 2 2 2" xfId="33358" xr:uid="{F6F82310-3C09-4ACB-BF08-BFDF880024AB}"/>
    <cellStyle name="Normal 2 4 2 9 2 2 3" xfId="24929" xr:uid="{B8F4B544-D3CE-40ED-8F11-6C40EF01A147}"/>
    <cellStyle name="Normal 2 4 2 9 2 2 4" xfId="41786" xr:uid="{7ED3A6AE-3694-49CA-B3DD-FA2E886B16B2}"/>
    <cellStyle name="Normal 2 4 2 9 2 2 5" xfId="16494" xr:uid="{B78FE331-6F21-4467-8346-F9325CB52E3F}"/>
    <cellStyle name="Normal 2 4 2 9 2 3" xfId="29140" xr:uid="{431D8A66-8125-46C1-9573-3861A2016657}"/>
    <cellStyle name="Normal 2 4 2 9 2 4" xfId="20711" xr:uid="{EB94EFDD-329C-4588-864B-49126F8ECD0D}"/>
    <cellStyle name="Normal 2 4 2 9 2 5" xfId="37569" xr:uid="{89EA1A46-C578-49A4-8036-B016C7DCC261}"/>
    <cellStyle name="Normal 2 4 2 9 2 6" xfId="12276" xr:uid="{65112745-9A52-4C23-9B7A-79CAE5B3626D}"/>
    <cellStyle name="Normal 2 4 2 9 3" xfId="5914" xr:uid="{00000000-0005-0000-0000-0000CD0F0000}"/>
    <cellStyle name="Normal 2 4 2 9 3 2" xfId="31213" xr:uid="{280018E7-E5C3-4179-85F8-652CE063413E}"/>
    <cellStyle name="Normal 2 4 2 9 3 3" xfId="22784" xr:uid="{14268867-801C-41EB-AB51-7F55668B49B0}"/>
    <cellStyle name="Normal 2 4 2 9 3 4" xfId="39641" xr:uid="{7382BB8F-AFBA-41FB-AD84-848B17257572}"/>
    <cellStyle name="Normal 2 4 2 9 3 5" xfId="14349" xr:uid="{EBAB0195-04C3-4FF3-A736-F748060A1BCF}"/>
    <cellStyle name="Normal 2 4 2 9 4" xfId="26995" xr:uid="{9CFE6378-D3D0-4281-8BE1-03B32CBBC90A}"/>
    <cellStyle name="Normal 2 4 2 9 5" xfId="18566" xr:uid="{EE618802-7EBF-441C-A1A8-CFCC81739F98}"/>
    <cellStyle name="Normal 2 4 2 9 6" xfId="35424" xr:uid="{D0A4F84B-0FF3-43DA-AB92-AB7F55572F02}"/>
    <cellStyle name="Normal 2 4 2 9 7" xfId="10131" xr:uid="{60C3AA66-D0F9-4F66-BF7F-0D12C250224B}"/>
    <cellStyle name="Normal 2 4 3" xfId="296" xr:uid="{00000000-0005-0000-0000-0000CE0F0000}"/>
    <cellStyle name="Normal 2 4 3 10" xfId="25771" xr:uid="{926AAAA3-50A7-4F77-931C-37786B42A36D}"/>
    <cellStyle name="Normal 2 4 3 11" xfId="17342" xr:uid="{85A1FF10-5C41-4FE3-866D-4CD187D41BB1}"/>
    <cellStyle name="Normal 2 4 3 12" xfId="34200" xr:uid="{94FE2613-D51A-4151-A438-2DB42D9A2848}"/>
    <cellStyle name="Normal 2 4 3 13" xfId="8907" xr:uid="{ED57B258-5874-4B3B-86E4-E334E98F4386}"/>
    <cellStyle name="Normal 2 4 3 2" xfId="297" xr:uid="{00000000-0005-0000-0000-0000CF0F0000}"/>
    <cellStyle name="Normal 2 4 3 3" xfId="298" xr:uid="{00000000-0005-0000-0000-0000D00F0000}"/>
    <cellStyle name="Normal 2 4 3 3 10" xfId="25772" xr:uid="{D1F109EA-FF85-478F-BC27-486DBBE417CA}"/>
    <cellStyle name="Normal 2 4 3 3 11" xfId="17343" xr:uid="{EC8AC1F5-5B45-49C0-A0E8-17472E96B39B}"/>
    <cellStyle name="Normal 2 4 3 3 12" xfId="34201" xr:uid="{D46D462F-92AC-467A-9127-739F7BE34B0A}"/>
    <cellStyle name="Normal 2 4 3 3 13" xfId="8908" xr:uid="{CE1D1809-27FF-471C-8DAF-9236E2658AB4}"/>
    <cellStyle name="Normal 2 4 3 3 2" xfId="299" xr:uid="{00000000-0005-0000-0000-0000D10F0000}"/>
    <cellStyle name="Normal 2 4 3 3 2 10" xfId="17344" xr:uid="{DE2FF5D0-4526-4D53-B4F9-A537E8AC3721}"/>
    <cellStyle name="Normal 2 4 3 3 2 11" xfId="34202" xr:uid="{B65EE3A8-3B39-419D-B220-279975D467BA}"/>
    <cellStyle name="Normal 2 4 3 3 2 12" xfId="8909" xr:uid="{E111CA97-DA2A-4924-AB0B-DDB588891A22}"/>
    <cellStyle name="Normal 2 4 3 3 2 2" xfId="300" xr:uid="{00000000-0005-0000-0000-0000D20F0000}"/>
    <cellStyle name="Normal 2 4 3 3 2 2 10" xfId="34203" xr:uid="{53072C07-120E-46A6-B26B-87D5511EEC41}"/>
    <cellStyle name="Normal 2 4 3 3 2 2 11" xfId="8910" xr:uid="{89F0F152-2C53-4E4C-BEF6-D84F3B00F1CF}"/>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32551" xr:uid="{83F0DA3A-54F7-4D5D-8265-888138EFE327}"/>
    <cellStyle name="Normal 2 4 3 3 2 2 2 2 2 3" xfId="24122" xr:uid="{FA517C59-A1E8-466F-A4AA-7CF7865881D4}"/>
    <cellStyle name="Normal 2 4 3 3 2 2 2 2 2 4" xfId="40979" xr:uid="{23B2A641-C303-4F5C-B80D-9C81F5A1D457}"/>
    <cellStyle name="Normal 2 4 3 3 2 2 2 2 2 5" xfId="15687" xr:uid="{5A120245-CCAB-436B-B173-818655481E61}"/>
    <cellStyle name="Normal 2 4 3 3 2 2 2 2 3" xfId="28333" xr:uid="{65D8AD6D-4303-4D15-ADF4-88EB87F538AA}"/>
    <cellStyle name="Normal 2 4 3 3 2 2 2 2 4" xfId="19904" xr:uid="{87941498-7094-4CEF-93A5-7A731D0DC6B6}"/>
    <cellStyle name="Normal 2 4 3 3 2 2 2 2 5" xfId="36762" xr:uid="{EDDE43C3-E504-4641-87AB-45EB576C7D0C}"/>
    <cellStyle name="Normal 2 4 3 3 2 2 2 2 6" xfId="11469" xr:uid="{1ABBC6D8-8589-4D23-8306-B46BFEC02547}"/>
    <cellStyle name="Normal 2 4 3 3 2 2 2 3" xfId="5107" xr:uid="{00000000-0005-0000-0000-0000D60F0000}"/>
    <cellStyle name="Normal 2 4 3 3 2 2 2 3 2" xfId="30406" xr:uid="{CFCF407F-8B52-46DF-8734-786837ACF8F9}"/>
    <cellStyle name="Normal 2 4 3 3 2 2 2 3 3" xfId="21977" xr:uid="{60B22A30-5092-4366-A703-C70267EDE071}"/>
    <cellStyle name="Normal 2 4 3 3 2 2 2 3 4" xfId="38834" xr:uid="{8D38D855-C545-4F3B-AC6B-3DCCEF6C3810}"/>
    <cellStyle name="Normal 2 4 3 3 2 2 2 3 5" xfId="13542" xr:uid="{10AF7A66-BB38-4268-8E6C-48A71EC149F0}"/>
    <cellStyle name="Normal 2 4 3 3 2 2 2 4" xfId="26188" xr:uid="{D2F0EB41-BBAF-484C-958E-69DED85DCA0C}"/>
    <cellStyle name="Normal 2 4 3 3 2 2 2 5" xfId="17759" xr:uid="{EE79D0DE-67E7-418F-A721-23CAA4857C0D}"/>
    <cellStyle name="Normal 2 4 3 3 2 2 2 6" xfId="34617" xr:uid="{F9AF2794-4B3C-4DD6-868D-28FA8E4AA1DA}"/>
    <cellStyle name="Normal 2 4 3 3 2 2 2 7" xfId="9324" xr:uid="{9023A638-B35A-40DD-879B-0B7A0B4B60C1}"/>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32964" xr:uid="{AB28FEBA-68F2-452B-A923-678B5AD90770}"/>
    <cellStyle name="Normal 2 4 3 3 2 2 3 2 2 3" xfId="24535" xr:uid="{95BEDF86-5CA1-44D8-A730-9EC838825E73}"/>
    <cellStyle name="Normal 2 4 3 3 2 2 3 2 2 4" xfId="41392" xr:uid="{6CF9870B-9C22-45A8-B93C-527FA38942A3}"/>
    <cellStyle name="Normal 2 4 3 3 2 2 3 2 2 5" xfId="16100" xr:uid="{44E98F69-1447-47C2-9F37-FC03402C5BEB}"/>
    <cellStyle name="Normal 2 4 3 3 2 2 3 2 3" xfId="28746" xr:uid="{385FC154-48D0-4AD5-AF97-A47800FC388E}"/>
    <cellStyle name="Normal 2 4 3 3 2 2 3 2 4" xfId="20317" xr:uid="{B00D39C7-2240-46E2-B6CF-5649295D967E}"/>
    <cellStyle name="Normal 2 4 3 3 2 2 3 2 5" xfId="37175" xr:uid="{919AC01D-678D-443E-8F6B-326293DF7BB7}"/>
    <cellStyle name="Normal 2 4 3 3 2 2 3 2 6" xfId="11882" xr:uid="{CBAF4E47-9DF0-4F92-BD48-6C75A9F0F12A}"/>
    <cellStyle name="Normal 2 4 3 3 2 2 3 3" xfId="5520" xr:uid="{00000000-0005-0000-0000-0000DA0F0000}"/>
    <cellStyle name="Normal 2 4 3 3 2 2 3 3 2" xfId="30819" xr:uid="{8E1B6202-1CC4-4127-8FD1-4233CB8E6921}"/>
    <cellStyle name="Normal 2 4 3 3 2 2 3 3 3" xfId="22390" xr:uid="{FC3595FF-DC39-4537-B930-9D03C98F4DA1}"/>
    <cellStyle name="Normal 2 4 3 3 2 2 3 3 4" xfId="39247" xr:uid="{DA472BC3-BD79-4CB6-A983-68B3996ABFCD}"/>
    <cellStyle name="Normal 2 4 3 3 2 2 3 3 5" xfId="13955" xr:uid="{C9FD5C7C-F128-4AC9-ACB7-B7892FDDD252}"/>
    <cellStyle name="Normal 2 4 3 3 2 2 3 4" xfId="26601" xr:uid="{5C796FCE-FE1F-4A5F-81DE-3736181A736C}"/>
    <cellStyle name="Normal 2 4 3 3 2 2 3 5" xfId="18172" xr:uid="{541CCDA0-68F3-42D6-90F5-C2966B568A85}"/>
    <cellStyle name="Normal 2 4 3 3 2 2 3 6" xfId="35030" xr:uid="{C13F7917-3DA0-4829-B1B0-74A0F4A2A9CE}"/>
    <cellStyle name="Normal 2 4 3 3 2 2 3 7" xfId="9737" xr:uid="{A8ED0500-399A-4AF1-8D92-3F6BF02955D4}"/>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33377" xr:uid="{F4DFAA30-95BC-44D1-B375-8505254DDDA4}"/>
    <cellStyle name="Normal 2 4 3 3 2 2 4 2 2 3" xfId="24948" xr:uid="{EA686F89-7D6F-4476-997E-76C29BC1F336}"/>
    <cellStyle name="Normal 2 4 3 3 2 2 4 2 2 4" xfId="41805" xr:uid="{D1A37348-DD33-4A8D-B7D7-16B24ED0D8E3}"/>
    <cellStyle name="Normal 2 4 3 3 2 2 4 2 2 5" xfId="16513" xr:uid="{E92CEEAB-1714-4BED-BD9A-A357FC1491DB}"/>
    <cellStyle name="Normal 2 4 3 3 2 2 4 2 3" xfId="29159" xr:uid="{43292229-A70D-4CE6-931E-FC49D21D2E1E}"/>
    <cellStyle name="Normal 2 4 3 3 2 2 4 2 4" xfId="20730" xr:uid="{78573FCB-12AC-419B-A678-75CCFEFCDEC0}"/>
    <cellStyle name="Normal 2 4 3 3 2 2 4 2 5" xfId="37588" xr:uid="{9F7E89BC-BAD5-4695-9F91-F5C81CBB70AF}"/>
    <cellStyle name="Normal 2 4 3 3 2 2 4 2 6" xfId="12295" xr:uid="{B48CA34D-353F-495F-8BA1-CD5735B3633A}"/>
    <cellStyle name="Normal 2 4 3 3 2 2 4 3" xfId="5933" xr:uid="{00000000-0005-0000-0000-0000DE0F0000}"/>
    <cellStyle name="Normal 2 4 3 3 2 2 4 3 2" xfId="31232" xr:uid="{F1B16AB6-A069-4D99-96C0-54B8B042AA7A}"/>
    <cellStyle name="Normal 2 4 3 3 2 2 4 3 3" xfId="22803" xr:uid="{17662259-B2D1-4AE0-B7F1-A39907E1C08D}"/>
    <cellStyle name="Normal 2 4 3 3 2 2 4 3 4" xfId="39660" xr:uid="{76FF4A26-E9F8-4090-86D6-4475FC2AFF27}"/>
    <cellStyle name="Normal 2 4 3 3 2 2 4 3 5" xfId="14368" xr:uid="{152105E1-5DA0-4D9C-836B-C61BF8F61D39}"/>
    <cellStyle name="Normal 2 4 3 3 2 2 4 4" xfId="27014" xr:uid="{1E23CCA3-48A1-440F-B92B-29B9E99A3A30}"/>
    <cellStyle name="Normal 2 4 3 3 2 2 4 5" xfId="18585" xr:uid="{9432615B-A9D1-47C6-9A09-F647D38B0A5A}"/>
    <cellStyle name="Normal 2 4 3 3 2 2 4 6" xfId="35443" xr:uid="{FC64749E-5029-4787-9645-BABCA018F68D}"/>
    <cellStyle name="Normal 2 4 3 3 2 2 4 7" xfId="10150" xr:uid="{74C9A7DA-9D89-49BC-97D4-1A7544FD7C5D}"/>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33790" xr:uid="{F23A6311-B5B4-4AE6-8180-51193F34D821}"/>
    <cellStyle name="Normal 2 4 3 3 2 2 5 2 2 3" xfId="25361" xr:uid="{4D17459E-6F4B-433B-8CDF-FF7337A4C695}"/>
    <cellStyle name="Normal 2 4 3 3 2 2 5 2 2 4" xfId="42218" xr:uid="{9560A8AD-CD0B-44DD-9783-DD5295CBFED2}"/>
    <cellStyle name="Normal 2 4 3 3 2 2 5 2 2 5" xfId="16926" xr:uid="{D69D48CC-DC6F-4F1F-BFC7-3D55D2A6913E}"/>
    <cellStyle name="Normal 2 4 3 3 2 2 5 2 3" xfId="29572" xr:uid="{65190086-BE7C-4584-BADB-70552C27F12E}"/>
    <cellStyle name="Normal 2 4 3 3 2 2 5 2 4" xfId="21143" xr:uid="{4E5E9687-4EA1-423E-97A6-8B2E69F47EB3}"/>
    <cellStyle name="Normal 2 4 3 3 2 2 5 2 5" xfId="38001" xr:uid="{995EDA56-AB63-4A0E-BA4E-E5D89AFFDBB1}"/>
    <cellStyle name="Normal 2 4 3 3 2 2 5 2 6" xfId="12708" xr:uid="{366FC639-43FE-4647-B8FD-F2F66D676A11}"/>
    <cellStyle name="Normal 2 4 3 3 2 2 5 3" xfId="6346" xr:uid="{00000000-0005-0000-0000-0000E20F0000}"/>
    <cellStyle name="Normal 2 4 3 3 2 2 5 3 2" xfId="31645" xr:uid="{1C56E6E2-D904-49FB-A350-93F572441549}"/>
    <cellStyle name="Normal 2 4 3 3 2 2 5 3 3" xfId="23216" xr:uid="{E0DA8322-9309-4FA0-A340-58B41D7FD8C9}"/>
    <cellStyle name="Normal 2 4 3 3 2 2 5 3 4" xfId="40073" xr:uid="{FFDDBE26-FDA3-43AC-93FF-65479D4CE102}"/>
    <cellStyle name="Normal 2 4 3 3 2 2 5 3 5" xfId="14781" xr:uid="{99997D0E-79BC-438D-843B-97B525D97E72}"/>
    <cellStyle name="Normal 2 4 3 3 2 2 5 4" xfId="27427" xr:uid="{C3899D70-FEFB-4079-90C7-92FF1C45378A}"/>
    <cellStyle name="Normal 2 4 3 3 2 2 5 5" xfId="18998" xr:uid="{D0A64B5D-068C-4FC2-9288-2A3DD5B95C28}"/>
    <cellStyle name="Normal 2 4 3 3 2 2 5 6" xfId="35856" xr:uid="{500C2620-0B0F-4E2A-854C-583CCC7EC00F}"/>
    <cellStyle name="Normal 2 4 3 3 2 2 5 7" xfId="10563" xr:uid="{8B02067F-D979-4EB1-A192-00369DA494B2}"/>
    <cellStyle name="Normal 2 4 3 3 2 2 6" xfId="2475" xr:uid="{00000000-0005-0000-0000-0000E30F0000}"/>
    <cellStyle name="Normal 2 4 3 3 2 2 6 2" xfId="6759" xr:uid="{00000000-0005-0000-0000-0000E40F0000}"/>
    <cellStyle name="Normal 2 4 3 3 2 2 6 2 2" xfId="32058" xr:uid="{2914E7C1-B8A6-4A45-A5E1-4C2C817EBB65}"/>
    <cellStyle name="Normal 2 4 3 3 2 2 6 2 3" xfId="23629" xr:uid="{A7D724D2-11E8-4D05-B589-105C75A8162D}"/>
    <cellStyle name="Normal 2 4 3 3 2 2 6 2 4" xfId="40486" xr:uid="{F952532A-26DF-400C-BBE4-D9E19C2606A2}"/>
    <cellStyle name="Normal 2 4 3 3 2 2 6 2 5" xfId="15194" xr:uid="{E688CED7-913B-4293-B5E3-779014EADD04}"/>
    <cellStyle name="Normal 2 4 3 3 2 2 6 3" xfId="27840" xr:uid="{9931C6C1-78CC-4F27-83E6-1BF1C55C72AB}"/>
    <cellStyle name="Normal 2 4 3 3 2 2 6 4" xfId="19411" xr:uid="{174AFA5F-5741-4A26-B4AD-1754445C14EA}"/>
    <cellStyle name="Normal 2 4 3 3 2 2 6 5" xfId="36269" xr:uid="{473B9277-E0B2-4360-A93A-FCD9DCCD536D}"/>
    <cellStyle name="Normal 2 4 3 3 2 2 6 6" xfId="10976" xr:uid="{DA5FA1A9-ABAA-4DA4-8D40-3E3F7174284E}"/>
    <cellStyle name="Normal 2 4 3 3 2 2 7" xfId="4693" xr:uid="{00000000-0005-0000-0000-0000E50F0000}"/>
    <cellStyle name="Normal 2 4 3 3 2 2 7 2" xfId="29992" xr:uid="{FA0D3915-E9D9-44AE-BB18-D4419DE75433}"/>
    <cellStyle name="Normal 2 4 3 3 2 2 7 3" xfId="21563" xr:uid="{D1EDF9B2-0A86-4712-BBC8-3BBF1F699BF4}"/>
    <cellStyle name="Normal 2 4 3 3 2 2 7 4" xfId="38420" xr:uid="{4D301C24-E785-44A0-88B3-27E759121103}"/>
    <cellStyle name="Normal 2 4 3 3 2 2 7 5" xfId="13128" xr:uid="{00C04AF0-41BA-423D-BA97-3E08273B4EFE}"/>
    <cellStyle name="Normal 2 4 3 3 2 2 8" xfId="25774" xr:uid="{2E8C4756-8FB0-4464-9DCA-85F39CD02F86}"/>
    <cellStyle name="Normal 2 4 3 3 2 2 9" xfId="17345" xr:uid="{C89ABDEB-F62A-44F4-B718-A03B4D927BCB}"/>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32550" xr:uid="{2622A657-3289-4AB1-A4F6-6D2B9FD5F275}"/>
    <cellStyle name="Normal 2 4 3 3 2 3 2 2 3" xfId="24121" xr:uid="{D7D29AFB-05A4-4123-9690-7CF9C3B93D38}"/>
    <cellStyle name="Normal 2 4 3 3 2 3 2 2 4" xfId="40978" xr:uid="{8C343A52-DFB5-43F7-99F0-0AAEE97905A2}"/>
    <cellStyle name="Normal 2 4 3 3 2 3 2 2 5" xfId="15686" xr:uid="{B0F3A612-8165-41E0-8C80-831394243D5B}"/>
    <cellStyle name="Normal 2 4 3 3 2 3 2 3" xfId="28332" xr:uid="{9CC71E11-9CB1-4472-9DAB-270D1458464B}"/>
    <cellStyle name="Normal 2 4 3 3 2 3 2 4" xfId="19903" xr:uid="{A093C913-6959-475B-B7BC-6EFF1EB75A8F}"/>
    <cellStyle name="Normal 2 4 3 3 2 3 2 5" xfId="36761" xr:uid="{7EA51386-7CF3-4FCE-8BE8-9B64D155EE20}"/>
    <cellStyle name="Normal 2 4 3 3 2 3 2 6" xfId="11468" xr:uid="{A8050D04-5556-4E28-B828-3241BB09AB8E}"/>
    <cellStyle name="Normal 2 4 3 3 2 3 3" xfId="5106" xr:uid="{00000000-0005-0000-0000-0000E90F0000}"/>
    <cellStyle name="Normal 2 4 3 3 2 3 3 2" xfId="30405" xr:uid="{371AAF2B-67CE-4275-B7BE-A28A3DB173E5}"/>
    <cellStyle name="Normal 2 4 3 3 2 3 3 3" xfId="21976" xr:uid="{C587879A-64C7-49B4-8215-889FCFCDB53A}"/>
    <cellStyle name="Normal 2 4 3 3 2 3 3 4" xfId="38833" xr:uid="{A33DED0C-ADDF-4559-ACED-26993DEA4DEC}"/>
    <cellStyle name="Normal 2 4 3 3 2 3 3 5" xfId="13541" xr:uid="{226ABD7B-03EE-4F62-881D-1B547A85CE29}"/>
    <cellStyle name="Normal 2 4 3 3 2 3 4" xfId="26187" xr:uid="{F6D1D18D-8A2C-47AE-80EA-D5023FC9A5F4}"/>
    <cellStyle name="Normal 2 4 3 3 2 3 5" xfId="17758" xr:uid="{AA64DA80-AEC4-4919-8EA6-973A0AC02FB7}"/>
    <cellStyle name="Normal 2 4 3 3 2 3 6" xfId="34616" xr:uid="{C1B80420-E4CA-4F7C-A132-E443AA9E6CD5}"/>
    <cellStyle name="Normal 2 4 3 3 2 3 7" xfId="9323" xr:uid="{1D4E37BD-A205-4C58-BF32-892400E92288}"/>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32963" xr:uid="{07822BFD-9370-4E21-8189-05A1F12EAE42}"/>
    <cellStyle name="Normal 2 4 3 3 2 4 2 2 3" xfId="24534" xr:uid="{FB45D288-43FC-4128-A1D2-C7061EA65235}"/>
    <cellStyle name="Normal 2 4 3 3 2 4 2 2 4" xfId="41391" xr:uid="{2B550639-3A69-425C-82CF-7F478D63E779}"/>
    <cellStyle name="Normal 2 4 3 3 2 4 2 2 5" xfId="16099" xr:uid="{52529E7B-47E5-422E-95E5-356A74AB3927}"/>
    <cellStyle name="Normal 2 4 3 3 2 4 2 3" xfId="28745" xr:uid="{1357F210-85D6-4280-A71A-1C615DF84CD8}"/>
    <cellStyle name="Normal 2 4 3 3 2 4 2 4" xfId="20316" xr:uid="{843F3332-5FD3-4839-92F4-FC9731577870}"/>
    <cellStyle name="Normal 2 4 3 3 2 4 2 5" xfId="37174" xr:uid="{FE183BD8-68F9-42F4-A85A-0245D7A4FDC6}"/>
    <cellStyle name="Normal 2 4 3 3 2 4 2 6" xfId="11881" xr:uid="{AB34CDA1-82B3-4CDE-8D9D-728671931AE6}"/>
    <cellStyle name="Normal 2 4 3 3 2 4 3" xfId="5519" xr:uid="{00000000-0005-0000-0000-0000ED0F0000}"/>
    <cellStyle name="Normal 2 4 3 3 2 4 3 2" xfId="30818" xr:uid="{C5FFE6D5-9AB7-4C49-959D-246AE66EC088}"/>
    <cellStyle name="Normal 2 4 3 3 2 4 3 3" xfId="22389" xr:uid="{CEC91164-76E9-4129-A924-FC0207C98241}"/>
    <cellStyle name="Normal 2 4 3 3 2 4 3 4" xfId="39246" xr:uid="{3D2AD869-001D-4C66-B6F3-66B686CAC83D}"/>
    <cellStyle name="Normal 2 4 3 3 2 4 3 5" xfId="13954" xr:uid="{49B85C7E-A012-4069-8FEC-5172D960DE77}"/>
    <cellStyle name="Normal 2 4 3 3 2 4 4" xfId="26600" xr:uid="{6FFF4204-791E-472A-973F-47C700F350BA}"/>
    <cellStyle name="Normal 2 4 3 3 2 4 5" xfId="18171" xr:uid="{8FFFB849-997E-497C-8DA7-A79A194FCD67}"/>
    <cellStyle name="Normal 2 4 3 3 2 4 6" xfId="35029" xr:uid="{798800A2-E52A-4B64-8104-536090E9B83C}"/>
    <cellStyle name="Normal 2 4 3 3 2 4 7" xfId="9736" xr:uid="{0F72FA6E-68FA-48C3-B528-F479C57097C9}"/>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33376" xr:uid="{0D640084-ED11-4834-9870-9BFA6E25B6E4}"/>
    <cellStyle name="Normal 2 4 3 3 2 5 2 2 3" xfId="24947" xr:uid="{8F5EB9AC-A2A5-4A98-B22B-9D6F7F655E73}"/>
    <cellStyle name="Normal 2 4 3 3 2 5 2 2 4" xfId="41804" xr:uid="{C21E1C61-01EA-45C4-A8CC-2BF9B1EAE958}"/>
    <cellStyle name="Normal 2 4 3 3 2 5 2 2 5" xfId="16512" xr:uid="{AEB51D2F-7ABA-4E4D-ACFB-B950FE87035A}"/>
    <cellStyle name="Normal 2 4 3 3 2 5 2 3" xfId="29158" xr:uid="{A7B99F52-629B-44A6-8CF0-829DB5451D21}"/>
    <cellStyle name="Normal 2 4 3 3 2 5 2 4" xfId="20729" xr:uid="{14E8F81D-1E01-4896-833E-8D1F7B3EF0FC}"/>
    <cellStyle name="Normal 2 4 3 3 2 5 2 5" xfId="37587" xr:uid="{AE8AED6B-459F-4DB4-8C5B-5F4609D2D308}"/>
    <cellStyle name="Normal 2 4 3 3 2 5 2 6" xfId="12294" xr:uid="{F89F2733-F14F-48A2-9A00-DA7BB89D2673}"/>
    <cellStyle name="Normal 2 4 3 3 2 5 3" xfId="5932" xr:uid="{00000000-0005-0000-0000-0000F10F0000}"/>
    <cellStyle name="Normal 2 4 3 3 2 5 3 2" xfId="31231" xr:uid="{13A53C3F-9210-4DA7-B6D2-24F965320A43}"/>
    <cellStyle name="Normal 2 4 3 3 2 5 3 3" xfId="22802" xr:uid="{A4CB2990-1C86-4561-BC80-54A9055325C7}"/>
    <cellStyle name="Normal 2 4 3 3 2 5 3 4" xfId="39659" xr:uid="{8EC177FF-E863-4433-A277-29077DE5DF1D}"/>
    <cellStyle name="Normal 2 4 3 3 2 5 3 5" xfId="14367" xr:uid="{0C26710E-236A-4C18-9DE4-29A8018A459A}"/>
    <cellStyle name="Normal 2 4 3 3 2 5 4" xfId="27013" xr:uid="{5E807E1A-E820-4E71-994F-0A056386C467}"/>
    <cellStyle name="Normal 2 4 3 3 2 5 5" xfId="18584" xr:uid="{5DCFD3E3-1410-4FDE-95E8-9A2AFC184154}"/>
    <cellStyle name="Normal 2 4 3 3 2 5 6" xfId="35442" xr:uid="{04C000D8-D2CD-404A-A0D8-2CA7B40A6AF2}"/>
    <cellStyle name="Normal 2 4 3 3 2 5 7" xfId="10149" xr:uid="{D8D05204-473D-46D6-ADAA-E724733CB04C}"/>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33789" xr:uid="{512AEDA6-62B4-4A4C-B91D-5C49AADC8935}"/>
    <cellStyle name="Normal 2 4 3 3 2 6 2 2 3" xfId="25360" xr:uid="{6F00BA43-E317-4875-BC09-0CACC78808B3}"/>
    <cellStyle name="Normal 2 4 3 3 2 6 2 2 4" xfId="42217" xr:uid="{5352A01E-3FF7-4B7D-B69B-25F51E500932}"/>
    <cellStyle name="Normal 2 4 3 3 2 6 2 2 5" xfId="16925" xr:uid="{123D866C-C048-456C-8BC6-745181F7F835}"/>
    <cellStyle name="Normal 2 4 3 3 2 6 2 3" xfId="29571" xr:uid="{7C387925-6E9D-46B0-96D3-3BEB1F0B693D}"/>
    <cellStyle name="Normal 2 4 3 3 2 6 2 4" xfId="21142" xr:uid="{8A1E7556-4098-4F66-B04E-7C78895A0E6B}"/>
    <cellStyle name="Normal 2 4 3 3 2 6 2 5" xfId="38000" xr:uid="{0622219D-307A-4EB0-A093-FC9676590478}"/>
    <cellStyle name="Normal 2 4 3 3 2 6 2 6" xfId="12707" xr:uid="{1B91FA2F-2A1F-427E-8CF6-B52F0D1C72D5}"/>
    <cellStyle name="Normal 2 4 3 3 2 6 3" xfId="6345" xr:uid="{00000000-0005-0000-0000-0000F50F0000}"/>
    <cellStyle name="Normal 2 4 3 3 2 6 3 2" xfId="31644" xr:uid="{590B2218-86D3-44BA-A1C3-DAE34AD2717B}"/>
    <cellStyle name="Normal 2 4 3 3 2 6 3 3" xfId="23215" xr:uid="{1C235AE8-D05F-4EED-8247-D96620C661CE}"/>
    <cellStyle name="Normal 2 4 3 3 2 6 3 4" xfId="40072" xr:uid="{6F142E5A-C2E2-454A-B416-BF3D79084757}"/>
    <cellStyle name="Normal 2 4 3 3 2 6 3 5" xfId="14780" xr:uid="{81900CEE-6AEB-4571-B05C-B54A3209D662}"/>
    <cellStyle name="Normal 2 4 3 3 2 6 4" xfId="27426" xr:uid="{472192F6-926E-4246-9F67-10DD7967EB9E}"/>
    <cellStyle name="Normal 2 4 3 3 2 6 5" xfId="18997" xr:uid="{023ABA4F-D3EE-466D-873B-460135367F1E}"/>
    <cellStyle name="Normal 2 4 3 3 2 6 6" xfId="35855" xr:uid="{730347F2-ECB9-4E18-B318-2566AD253098}"/>
    <cellStyle name="Normal 2 4 3 3 2 6 7" xfId="10562" xr:uid="{94DBE39B-309E-4160-ACA6-E0574568C3F2}"/>
    <cellStyle name="Normal 2 4 3 3 2 7" xfId="2474" xr:uid="{00000000-0005-0000-0000-0000F60F0000}"/>
    <cellStyle name="Normal 2 4 3 3 2 7 2" xfId="6758" xr:uid="{00000000-0005-0000-0000-0000F70F0000}"/>
    <cellStyle name="Normal 2 4 3 3 2 7 2 2" xfId="32057" xr:uid="{4A80CC48-3FA4-47A2-BCC7-6C0059B0AFC0}"/>
    <cellStyle name="Normal 2 4 3 3 2 7 2 3" xfId="23628" xr:uid="{F0D49DA7-E5DA-4016-9D9A-C45437F0FCB8}"/>
    <cellStyle name="Normal 2 4 3 3 2 7 2 4" xfId="40485" xr:uid="{B7AA73FC-1B98-43CE-B0F5-4B7C6477FFC4}"/>
    <cellStyle name="Normal 2 4 3 3 2 7 2 5" xfId="15193" xr:uid="{684D6672-5773-4261-97D2-3619C9226B7A}"/>
    <cellStyle name="Normal 2 4 3 3 2 7 3" xfId="27839" xr:uid="{C15E86ED-4350-4FC9-9F91-FBDF6DBDDC8F}"/>
    <cellStyle name="Normal 2 4 3 3 2 7 4" xfId="19410" xr:uid="{1410E613-4CE3-4A50-9249-56FFB1909F53}"/>
    <cellStyle name="Normal 2 4 3 3 2 7 5" xfId="36268" xr:uid="{0071B629-878D-4339-A9AD-30A7C25AAC6D}"/>
    <cellStyle name="Normal 2 4 3 3 2 7 6" xfId="10975" xr:uid="{BB25F89D-D4E9-4D5F-8FC7-6AE87691C65B}"/>
    <cellStyle name="Normal 2 4 3 3 2 8" xfId="4692" xr:uid="{00000000-0005-0000-0000-0000F80F0000}"/>
    <cellStyle name="Normal 2 4 3 3 2 8 2" xfId="29991" xr:uid="{0E0AD3BC-98C1-47DF-BB18-2B59F12EFEDE}"/>
    <cellStyle name="Normal 2 4 3 3 2 8 3" xfId="21562" xr:uid="{E4FD9957-5AF5-49AB-8394-91D2875767E1}"/>
    <cellStyle name="Normal 2 4 3 3 2 8 4" xfId="38419" xr:uid="{4D85CF69-6AC2-4580-A7C1-28C17631EE1A}"/>
    <cellStyle name="Normal 2 4 3 3 2 8 5" xfId="13127" xr:uid="{13661515-59FE-430C-9176-0700510035AF}"/>
    <cellStyle name="Normal 2 4 3 3 2 9" xfId="25773" xr:uid="{5148222B-C69D-4C1E-94D5-3A6D594E80A4}"/>
    <cellStyle name="Normal 2 4 3 3 3" xfId="301" xr:uid="{00000000-0005-0000-0000-0000F90F0000}"/>
    <cellStyle name="Normal 2 4 3 3 3 10" xfId="34204" xr:uid="{5E7DA17E-EB00-482D-A2D2-56C3FA75903B}"/>
    <cellStyle name="Normal 2 4 3 3 3 11" xfId="8911" xr:uid="{E021A235-A0D5-488E-820A-12217B86971D}"/>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32552" xr:uid="{E7859644-3120-4A85-BC89-6845A3ABA020}"/>
    <cellStyle name="Normal 2 4 3 3 3 2 2 2 3" xfId="24123" xr:uid="{A8698983-947D-48E0-8B3E-2B99B4A51F82}"/>
    <cellStyle name="Normal 2 4 3 3 3 2 2 2 4" xfId="40980" xr:uid="{227ED01D-8EA7-4E31-B36E-15A83E6C56F9}"/>
    <cellStyle name="Normal 2 4 3 3 3 2 2 2 5" xfId="15688" xr:uid="{EEFD24D8-F5BB-4B85-9EAD-70367D859118}"/>
    <cellStyle name="Normal 2 4 3 3 3 2 2 3" xfId="28334" xr:uid="{F9F4DF8A-147D-4164-9BC6-054A9D59303D}"/>
    <cellStyle name="Normal 2 4 3 3 3 2 2 4" xfId="19905" xr:uid="{7DA66066-5669-49F5-8092-D5FD88043FAB}"/>
    <cellStyle name="Normal 2 4 3 3 3 2 2 5" xfId="36763" xr:uid="{DDDCD841-B61C-4EAB-8B0E-99123030251A}"/>
    <cellStyle name="Normal 2 4 3 3 3 2 2 6" xfId="11470" xr:uid="{FD2E573E-F7B5-4749-91C4-1867AF4D6F95}"/>
    <cellStyle name="Normal 2 4 3 3 3 2 3" xfId="5108" xr:uid="{00000000-0005-0000-0000-0000FD0F0000}"/>
    <cellStyle name="Normal 2 4 3 3 3 2 3 2" xfId="30407" xr:uid="{EE8B3C28-503C-420C-A231-7C93AE93A4FC}"/>
    <cellStyle name="Normal 2 4 3 3 3 2 3 3" xfId="21978" xr:uid="{0517E91C-E0E5-4ABE-B07C-9F9D22D30117}"/>
    <cellStyle name="Normal 2 4 3 3 3 2 3 4" xfId="38835" xr:uid="{0F595716-6BD0-48B3-A0B9-34A9E2F0D05C}"/>
    <cellStyle name="Normal 2 4 3 3 3 2 3 5" xfId="13543" xr:uid="{4EC15C59-F921-4CBD-B926-E052A84AC4D8}"/>
    <cellStyle name="Normal 2 4 3 3 3 2 4" xfId="26189" xr:uid="{4E8EF114-8C52-4FC9-BE7F-A2EF6160FF8B}"/>
    <cellStyle name="Normal 2 4 3 3 3 2 5" xfId="17760" xr:uid="{E0D1CE4E-D813-4E37-A927-00972333629F}"/>
    <cellStyle name="Normal 2 4 3 3 3 2 6" xfId="34618" xr:uid="{632B6E1D-A20E-4735-BE91-227444B35E2C}"/>
    <cellStyle name="Normal 2 4 3 3 3 2 7" xfId="9325" xr:uid="{6112E33B-6F6A-4101-81BD-106513C1CBD6}"/>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32965" xr:uid="{3BCBF9F9-8323-4DFD-AE0C-C5856523C379}"/>
    <cellStyle name="Normal 2 4 3 3 3 3 2 2 3" xfId="24536" xr:uid="{38B520FC-B71F-42E9-B2E0-BF75656C13B2}"/>
    <cellStyle name="Normal 2 4 3 3 3 3 2 2 4" xfId="41393" xr:uid="{AC832687-538C-4A9B-BF0D-F26CB55C5905}"/>
    <cellStyle name="Normal 2 4 3 3 3 3 2 2 5" xfId="16101" xr:uid="{FCF183C1-1077-40B3-A054-38EC06858FEF}"/>
    <cellStyle name="Normal 2 4 3 3 3 3 2 3" xfId="28747" xr:uid="{361134C0-9BCD-442F-B976-6AD5207B4F4D}"/>
    <cellStyle name="Normal 2 4 3 3 3 3 2 4" xfId="20318" xr:uid="{E6EE3D9C-3ADC-4EAB-91BC-89379BD87E8F}"/>
    <cellStyle name="Normal 2 4 3 3 3 3 2 5" xfId="37176" xr:uid="{B83729DA-9822-4372-BC72-0DC8AD25EA19}"/>
    <cellStyle name="Normal 2 4 3 3 3 3 2 6" xfId="11883" xr:uid="{52CAA8AD-E842-4C21-8093-160AF03BAF78}"/>
    <cellStyle name="Normal 2 4 3 3 3 3 3" xfId="5521" xr:uid="{00000000-0005-0000-0000-000001100000}"/>
    <cellStyle name="Normal 2 4 3 3 3 3 3 2" xfId="30820" xr:uid="{3F0B4267-4FCF-4F26-AF63-6E842A1F0083}"/>
    <cellStyle name="Normal 2 4 3 3 3 3 3 3" xfId="22391" xr:uid="{E0AAB440-F66D-4C4B-B14C-143B601E89E7}"/>
    <cellStyle name="Normal 2 4 3 3 3 3 3 4" xfId="39248" xr:uid="{909EBA80-6F0C-4A55-BEC8-5E4106FF5DFD}"/>
    <cellStyle name="Normal 2 4 3 3 3 3 3 5" xfId="13956" xr:uid="{D08B78A2-1284-4A70-8119-862F5E3D8D1F}"/>
    <cellStyle name="Normal 2 4 3 3 3 3 4" xfId="26602" xr:uid="{FCA2B4BB-BBD7-4686-BD96-1969D72B3C2A}"/>
    <cellStyle name="Normal 2 4 3 3 3 3 5" xfId="18173" xr:uid="{B5934B8C-C45A-4074-B8C9-14D939B91562}"/>
    <cellStyle name="Normal 2 4 3 3 3 3 6" xfId="35031" xr:uid="{DA674F7A-9EEC-4851-8C6E-A9679A3C44B5}"/>
    <cellStyle name="Normal 2 4 3 3 3 3 7" xfId="9738" xr:uid="{195C31E5-A84B-403C-A99A-2188C82C9635}"/>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33378" xr:uid="{798F7546-AAC7-453F-82DC-4693DA1801EE}"/>
    <cellStyle name="Normal 2 4 3 3 3 4 2 2 3" xfId="24949" xr:uid="{7854B3F1-BA8E-48D8-8A20-A62FEEDE63E8}"/>
    <cellStyle name="Normal 2 4 3 3 3 4 2 2 4" xfId="41806" xr:uid="{24444B74-0D69-4C5F-B648-6BF2BB5B7523}"/>
    <cellStyle name="Normal 2 4 3 3 3 4 2 2 5" xfId="16514" xr:uid="{C76521CC-5ECF-449F-B80E-0B30982BA10C}"/>
    <cellStyle name="Normal 2 4 3 3 3 4 2 3" xfId="29160" xr:uid="{FDB2C713-521D-4614-A66B-8EE296AB6F85}"/>
    <cellStyle name="Normal 2 4 3 3 3 4 2 4" xfId="20731" xr:uid="{880E29FD-4E7B-4F89-949B-CF572E8D6EB5}"/>
    <cellStyle name="Normal 2 4 3 3 3 4 2 5" xfId="37589" xr:uid="{D3102711-369E-4180-8285-44DC2D2C58DD}"/>
    <cellStyle name="Normal 2 4 3 3 3 4 2 6" xfId="12296" xr:uid="{0D50E630-C29E-40CB-B3BB-C0F3BD6D7E18}"/>
    <cellStyle name="Normal 2 4 3 3 3 4 3" xfId="5934" xr:uid="{00000000-0005-0000-0000-000005100000}"/>
    <cellStyle name="Normal 2 4 3 3 3 4 3 2" xfId="31233" xr:uid="{C1C573E8-A84C-4206-A48A-32D1F6A431DE}"/>
    <cellStyle name="Normal 2 4 3 3 3 4 3 3" xfId="22804" xr:uid="{05B236A1-0CF6-45BB-ADAA-F455A326EC15}"/>
    <cellStyle name="Normal 2 4 3 3 3 4 3 4" xfId="39661" xr:uid="{0D3B8642-0D9E-4268-BD89-DBE282FB2127}"/>
    <cellStyle name="Normal 2 4 3 3 3 4 3 5" xfId="14369" xr:uid="{90463C22-32B1-46B6-9772-0C02F92F878D}"/>
    <cellStyle name="Normal 2 4 3 3 3 4 4" xfId="27015" xr:uid="{DFB871B9-D2F3-4B0C-A5B6-2A31FF255BB5}"/>
    <cellStyle name="Normal 2 4 3 3 3 4 5" xfId="18586" xr:uid="{F2D42637-8B91-4AA6-804E-0391269FE25B}"/>
    <cellStyle name="Normal 2 4 3 3 3 4 6" xfId="35444" xr:uid="{9AEB52C6-2FDA-41E7-B5F3-E709B1E4BBEE}"/>
    <cellStyle name="Normal 2 4 3 3 3 4 7" xfId="10151" xr:uid="{4E7D7B38-34AC-4990-9BF4-61ACFC43741D}"/>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33791" xr:uid="{CE1ABD68-189A-499A-AD90-77406724D841}"/>
    <cellStyle name="Normal 2 4 3 3 3 5 2 2 3" xfId="25362" xr:uid="{B7D12FBE-A78A-4D88-8A20-209D6D86F916}"/>
    <cellStyle name="Normal 2 4 3 3 3 5 2 2 4" xfId="42219" xr:uid="{CE948CEE-2537-4393-A7F4-33A18F04103E}"/>
    <cellStyle name="Normal 2 4 3 3 3 5 2 2 5" xfId="16927" xr:uid="{BF83D124-B931-4B6E-92B4-93192481D730}"/>
    <cellStyle name="Normal 2 4 3 3 3 5 2 3" xfId="29573" xr:uid="{327D950A-D89A-4BEA-B270-EBCE6FBA4F1F}"/>
    <cellStyle name="Normal 2 4 3 3 3 5 2 4" xfId="21144" xr:uid="{8A6F0F20-2903-4A61-B753-A2FFC3AA97AC}"/>
    <cellStyle name="Normal 2 4 3 3 3 5 2 5" xfId="38002" xr:uid="{708C62AA-8197-4507-8C84-6354273E1B06}"/>
    <cellStyle name="Normal 2 4 3 3 3 5 2 6" xfId="12709" xr:uid="{A1C158D6-1B5F-4F5B-BD7E-EA01F3688698}"/>
    <cellStyle name="Normal 2 4 3 3 3 5 3" xfId="6347" xr:uid="{00000000-0005-0000-0000-000009100000}"/>
    <cellStyle name="Normal 2 4 3 3 3 5 3 2" xfId="31646" xr:uid="{51E5FC3E-069D-4BFD-838A-4D8ADE117122}"/>
    <cellStyle name="Normal 2 4 3 3 3 5 3 3" xfId="23217" xr:uid="{7FD48BA2-3B82-4144-B1C1-42D1E6D214F4}"/>
    <cellStyle name="Normal 2 4 3 3 3 5 3 4" xfId="40074" xr:uid="{FD6469F4-3532-4BBF-BC45-2D91E8FE1A87}"/>
    <cellStyle name="Normal 2 4 3 3 3 5 3 5" xfId="14782" xr:uid="{D6DE2896-6196-4031-BCEC-0F367AC1BF87}"/>
    <cellStyle name="Normal 2 4 3 3 3 5 4" xfId="27428" xr:uid="{5C433A06-834B-4726-B8FF-D934DB10C2F5}"/>
    <cellStyle name="Normal 2 4 3 3 3 5 5" xfId="18999" xr:uid="{A15B4F2E-C0A1-4D32-8AD3-6B0AB38D7E19}"/>
    <cellStyle name="Normal 2 4 3 3 3 5 6" xfId="35857" xr:uid="{23CC6096-378D-4B30-BAC9-8FB92CB841FF}"/>
    <cellStyle name="Normal 2 4 3 3 3 5 7" xfId="10564" xr:uid="{14565435-1848-4390-8A95-D5FEAC452925}"/>
    <cellStyle name="Normal 2 4 3 3 3 6" xfId="2476" xr:uid="{00000000-0005-0000-0000-00000A100000}"/>
    <cellStyle name="Normal 2 4 3 3 3 6 2" xfId="6760" xr:uid="{00000000-0005-0000-0000-00000B100000}"/>
    <cellStyle name="Normal 2 4 3 3 3 6 2 2" xfId="32059" xr:uid="{C2EBCCDC-164B-499C-899C-761981565032}"/>
    <cellStyle name="Normal 2 4 3 3 3 6 2 3" xfId="23630" xr:uid="{057E4299-63F3-41D7-A81A-1DA08422BF9C}"/>
    <cellStyle name="Normal 2 4 3 3 3 6 2 4" xfId="40487" xr:uid="{101F94D3-2661-4EE4-B77D-52B8353402C9}"/>
    <cellStyle name="Normal 2 4 3 3 3 6 2 5" xfId="15195" xr:uid="{F970146C-2CAD-4BD4-98FE-A377B5857E40}"/>
    <cellStyle name="Normal 2 4 3 3 3 6 3" xfId="27841" xr:uid="{A97E6524-9E91-4619-89FD-CAE9C99CDEF3}"/>
    <cellStyle name="Normal 2 4 3 3 3 6 4" xfId="19412" xr:uid="{0D699B89-33FE-48A2-8140-3FC8AA42953F}"/>
    <cellStyle name="Normal 2 4 3 3 3 6 5" xfId="36270" xr:uid="{48897E4B-D735-480F-8C23-49CB73C30063}"/>
    <cellStyle name="Normal 2 4 3 3 3 6 6" xfId="10977" xr:uid="{934855F0-BB71-43EB-8E84-26CEECD73B23}"/>
    <cellStyle name="Normal 2 4 3 3 3 7" xfId="4694" xr:uid="{00000000-0005-0000-0000-00000C100000}"/>
    <cellStyle name="Normal 2 4 3 3 3 7 2" xfId="29993" xr:uid="{421E9F5A-A7B1-4C36-A88B-F5A117607650}"/>
    <cellStyle name="Normal 2 4 3 3 3 7 3" xfId="21564" xr:uid="{CC0DC8D2-0A6B-4596-87FB-905E840A9F18}"/>
    <cellStyle name="Normal 2 4 3 3 3 7 4" xfId="38421" xr:uid="{C14A16A5-BA64-4CE2-98DD-AB6731A087A8}"/>
    <cellStyle name="Normal 2 4 3 3 3 7 5" xfId="13129" xr:uid="{E0DEA2D2-DFAB-43E2-92B5-2675E496367B}"/>
    <cellStyle name="Normal 2 4 3 3 3 8" xfId="25775" xr:uid="{E36207E4-03D6-4B8F-A540-6D0C0662D5CE}"/>
    <cellStyle name="Normal 2 4 3 3 3 9" xfId="17346" xr:uid="{94B99746-3CA3-481F-BCF3-60048BCCCEE4}"/>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32549" xr:uid="{879332C6-2EA6-4534-A101-C93300B25F1B}"/>
    <cellStyle name="Normal 2 4 3 3 4 2 2 3" xfId="24120" xr:uid="{8F938FF4-4C0A-41D2-9223-6C5696A278DA}"/>
    <cellStyle name="Normal 2 4 3 3 4 2 2 4" xfId="40977" xr:uid="{5A6FF7D1-0B63-4F6C-A2D6-F92AE81387A7}"/>
    <cellStyle name="Normal 2 4 3 3 4 2 2 5" xfId="15685" xr:uid="{94265723-5FDA-4BA5-B43F-C6E657AD91FE}"/>
    <cellStyle name="Normal 2 4 3 3 4 2 3" xfId="28331" xr:uid="{1D4A02B9-E2BC-42C6-9FF9-B710373CA861}"/>
    <cellStyle name="Normal 2 4 3 3 4 2 4" xfId="19902" xr:uid="{F37ABC4C-CDEC-4E17-877A-DC95839AD674}"/>
    <cellStyle name="Normal 2 4 3 3 4 2 5" xfId="36760" xr:uid="{4CA8B7CF-4BF4-4680-ADAE-7F623FB07F7E}"/>
    <cellStyle name="Normal 2 4 3 3 4 2 6" xfId="11467" xr:uid="{8D00417A-215D-4031-A83D-5E186ED28ADF}"/>
    <cellStyle name="Normal 2 4 3 3 4 3" xfId="5105" xr:uid="{00000000-0005-0000-0000-000010100000}"/>
    <cellStyle name="Normal 2 4 3 3 4 3 2" xfId="30404" xr:uid="{AF008AD7-4B1E-4407-8B0F-576BF7FEDCF6}"/>
    <cellStyle name="Normal 2 4 3 3 4 3 3" xfId="21975" xr:uid="{5164EB29-B487-4ACC-B847-EE5B5AAF6963}"/>
    <cellStyle name="Normal 2 4 3 3 4 3 4" xfId="38832" xr:uid="{DDAD32E4-647F-48E7-AF36-57BF73B07A03}"/>
    <cellStyle name="Normal 2 4 3 3 4 3 5" xfId="13540" xr:uid="{E613B1ED-3E4F-4031-BB9D-F2A02A5BE1E0}"/>
    <cellStyle name="Normal 2 4 3 3 4 4" xfId="26186" xr:uid="{2358A5E7-2CC5-4A75-8D6D-A84167FA42DA}"/>
    <cellStyle name="Normal 2 4 3 3 4 5" xfId="17757" xr:uid="{F2D6533D-6326-4AAC-8A2D-1D724ECDD6E4}"/>
    <cellStyle name="Normal 2 4 3 3 4 6" xfId="34615" xr:uid="{47D59969-F063-4ECA-917F-24A31FAACDD1}"/>
    <cellStyle name="Normal 2 4 3 3 4 7" xfId="9322" xr:uid="{CAF2FBEE-9495-4D48-833F-C4503C6C29A6}"/>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32962" xr:uid="{33E3450F-18FC-4094-AEE2-3C1B1D25E8E2}"/>
    <cellStyle name="Normal 2 4 3 3 5 2 2 3" xfId="24533" xr:uid="{92D2457D-55B6-421A-B8AF-A1C1FBFFAD56}"/>
    <cellStyle name="Normal 2 4 3 3 5 2 2 4" xfId="41390" xr:uid="{E591FDF8-DD38-4B0A-AEBB-CDFB94D1BBA8}"/>
    <cellStyle name="Normal 2 4 3 3 5 2 2 5" xfId="16098" xr:uid="{F8A632DC-551F-4BE9-8A82-FBCCA1DA88BD}"/>
    <cellStyle name="Normal 2 4 3 3 5 2 3" xfId="28744" xr:uid="{7F436CAA-2437-4F91-BE89-8500D99F35FD}"/>
    <cellStyle name="Normal 2 4 3 3 5 2 4" xfId="20315" xr:uid="{BE3A2BBD-BC85-4CD2-BDC0-91E8E0212F09}"/>
    <cellStyle name="Normal 2 4 3 3 5 2 5" xfId="37173" xr:uid="{4B7885FC-7AC7-4751-B3CA-31B2340B70C8}"/>
    <cellStyle name="Normal 2 4 3 3 5 2 6" xfId="11880" xr:uid="{A305D3BA-E5F4-4F47-877A-868EE38BB317}"/>
    <cellStyle name="Normal 2 4 3 3 5 3" xfId="5518" xr:uid="{00000000-0005-0000-0000-000014100000}"/>
    <cellStyle name="Normal 2 4 3 3 5 3 2" xfId="30817" xr:uid="{D76B73D5-E5CE-4956-80ED-1CFFC636748F}"/>
    <cellStyle name="Normal 2 4 3 3 5 3 3" xfId="22388" xr:uid="{02B8CF9E-B12D-49FB-964C-1F31F28DD7E5}"/>
    <cellStyle name="Normal 2 4 3 3 5 3 4" xfId="39245" xr:uid="{58A4ACD9-38E5-4CD4-BC50-1149307DA0D4}"/>
    <cellStyle name="Normal 2 4 3 3 5 3 5" xfId="13953" xr:uid="{56906168-4078-4AEC-A72C-DE32A5B51A7B}"/>
    <cellStyle name="Normal 2 4 3 3 5 4" xfId="26599" xr:uid="{DA84836A-C33E-42CF-B366-70E89BCF2FC2}"/>
    <cellStyle name="Normal 2 4 3 3 5 5" xfId="18170" xr:uid="{9D2DFE46-70AE-4556-A2EC-DC553F3C0A46}"/>
    <cellStyle name="Normal 2 4 3 3 5 6" xfId="35028" xr:uid="{E0BC8CE9-EE41-4C65-869E-C2F75C4A9496}"/>
    <cellStyle name="Normal 2 4 3 3 5 7" xfId="9735" xr:uid="{47943D2F-DDFC-4818-92F8-A189F7D98525}"/>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33375" xr:uid="{066AABD6-0C77-4B58-B337-596F2BED5F6E}"/>
    <cellStyle name="Normal 2 4 3 3 6 2 2 3" xfId="24946" xr:uid="{F29F142F-9CCE-4BCE-95C9-772C9B73ACEE}"/>
    <cellStyle name="Normal 2 4 3 3 6 2 2 4" xfId="41803" xr:uid="{E9B8A9AF-A250-4C55-87F2-ED479F33A50B}"/>
    <cellStyle name="Normal 2 4 3 3 6 2 2 5" xfId="16511" xr:uid="{50C7CA62-B004-4FCE-A414-C02A716E443C}"/>
    <cellStyle name="Normal 2 4 3 3 6 2 3" xfId="29157" xr:uid="{A2097F53-8C34-4D58-BFFE-0001C977BCC3}"/>
    <cellStyle name="Normal 2 4 3 3 6 2 4" xfId="20728" xr:uid="{BD4BF9B5-5AE1-4A34-AA05-7B9273430638}"/>
    <cellStyle name="Normal 2 4 3 3 6 2 5" xfId="37586" xr:uid="{B99FC3FA-AF96-427C-A4CF-A82A417A8BB0}"/>
    <cellStyle name="Normal 2 4 3 3 6 2 6" xfId="12293" xr:uid="{C176C501-B9EE-4120-89C1-95AABF2CDCDA}"/>
    <cellStyle name="Normal 2 4 3 3 6 3" xfId="5931" xr:uid="{00000000-0005-0000-0000-000018100000}"/>
    <cellStyle name="Normal 2 4 3 3 6 3 2" xfId="31230" xr:uid="{F8BD316C-7A35-46F1-8707-032B53185E55}"/>
    <cellStyle name="Normal 2 4 3 3 6 3 3" xfId="22801" xr:uid="{E4A4E960-550E-4947-A5DE-D8B61B294A97}"/>
    <cellStyle name="Normal 2 4 3 3 6 3 4" xfId="39658" xr:uid="{854A76D2-0FD2-4AD2-B079-0EEFB736DC7A}"/>
    <cellStyle name="Normal 2 4 3 3 6 3 5" xfId="14366" xr:uid="{FB27E6EB-BB61-467D-B690-98800DBB8862}"/>
    <cellStyle name="Normal 2 4 3 3 6 4" xfId="27012" xr:uid="{8A7F6610-5036-4DCF-9DBB-4ADA4787CD45}"/>
    <cellStyle name="Normal 2 4 3 3 6 5" xfId="18583" xr:uid="{DAF142BF-DD1D-47B4-8570-843B5B239F73}"/>
    <cellStyle name="Normal 2 4 3 3 6 6" xfId="35441" xr:uid="{C651B081-18E7-446B-BCFD-68145BECD0B5}"/>
    <cellStyle name="Normal 2 4 3 3 6 7" xfId="10148" xr:uid="{3FF6973F-EA5F-4AF2-9F95-A44221ED42A3}"/>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33788" xr:uid="{6F5717D7-1DC7-426F-BC7D-07A3A54E6620}"/>
    <cellStyle name="Normal 2 4 3 3 7 2 2 3" xfId="25359" xr:uid="{64A28ECB-6772-41B5-816B-AA8617F01366}"/>
    <cellStyle name="Normal 2 4 3 3 7 2 2 4" xfId="42216" xr:uid="{2FA6FA43-5E9D-493D-9691-3DEAEB1B359B}"/>
    <cellStyle name="Normal 2 4 3 3 7 2 2 5" xfId="16924" xr:uid="{62BACF7E-32E1-49B7-839B-64F9A3598BC4}"/>
    <cellStyle name="Normal 2 4 3 3 7 2 3" xfId="29570" xr:uid="{E3366F03-9BA8-474E-BEC5-B62BC8FCB36A}"/>
    <cellStyle name="Normal 2 4 3 3 7 2 4" xfId="21141" xr:uid="{89EBC4B8-945C-4618-99AF-F98EF5F34D19}"/>
    <cellStyle name="Normal 2 4 3 3 7 2 5" xfId="37999" xr:uid="{D2D38212-0513-48AD-A030-567D8E27D3AE}"/>
    <cellStyle name="Normal 2 4 3 3 7 2 6" xfId="12706" xr:uid="{6681D996-AABC-4EBF-93B0-1DD4322ECB15}"/>
    <cellStyle name="Normal 2 4 3 3 7 3" xfId="6344" xr:uid="{00000000-0005-0000-0000-00001C100000}"/>
    <cellStyle name="Normal 2 4 3 3 7 3 2" xfId="31643" xr:uid="{990560C4-078A-4116-B85B-EC9671D4815C}"/>
    <cellStyle name="Normal 2 4 3 3 7 3 3" xfId="23214" xr:uid="{DF4440E4-AA3F-4722-9432-9B4FE072F5D0}"/>
    <cellStyle name="Normal 2 4 3 3 7 3 4" xfId="40071" xr:uid="{04F9D6C8-48BA-4844-8A48-C19CD8992500}"/>
    <cellStyle name="Normal 2 4 3 3 7 3 5" xfId="14779" xr:uid="{2ADDF5B1-5549-4775-8E28-3FE6C37505AA}"/>
    <cellStyle name="Normal 2 4 3 3 7 4" xfId="27425" xr:uid="{EDDF9D6D-91DF-49B3-9E25-6252A72445AD}"/>
    <cellStyle name="Normal 2 4 3 3 7 5" xfId="18996" xr:uid="{DE5F3079-32E0-41A9-A075-B51F5A670ED9}"/>
    <cellStyle name="Normal 2 4 3 3 7 6" xfId="35854" xr:uid="{8C0DF511-03DF-4FF0-B9C5-CCE52196339E}"/>
    <cellStyle name="Normal 2 4 3 3 7 7" xfId="10561" xr:uid="{B6282613-8A6F-4149-918F-C8A9D5E36ABA}"/>
    <cellStyle name="Normal 2 4 3 3 8" xfId="2473" xr:uid="{00000000-0005-0000-0000-00001D100000}"/>
    <cellStyle name="Normal 2 4 3 3 8 2" xfId="6757" xr:uid="{00000000-0005-0000-0000-00001E100000}"/>
    <cellStyle name="Normal 2 4 3 3 8 2 2" xfId="32056" xr:uid="{1FBAA148-A16A-4A12-8520-DD67E740B840}"/>
    <cellStyle name="Normal 2 4 3 3 8 2 3" xfId="23627" xr:uid="{1D4C4A7D-D037-44AD-A186-5B3EEFE19CB4}"/>
    <cellStyle name="Normal 2 4 3 3 8 2 4" xfId="40484" xr:uid="{8D16C139-2F66-4A77-9913-417BA2CBAD2D}"/>
    <cellStyle name="Normal 2 4 3 3 8 2 5" xfId="15192" xr:uid="{3CDF7E23-EF87-4F45-A4C3-B0090DC05AD1}"/>
    <cellStyle name="Normal 2 4 3 3 8 3" xfId="27838" xr:uid="{A676E777-7C05-4EF4-994F-24508AD945F8}"/>
    <cellStyle name="Normal 2 4 3 3 8 4" xfId="19409" xr:uid="{E54AEF44-6AE9-42CE-9558-C05D473EAA7A}"/>
    <cellStyle name="Normal 2 4 3 3 8 5" xfId="36267" xr:uid="{BFE0141F-B86A-4308-94B9-9CD6E8F0A370}"/>
    <cellStyle name="Normal 2 4 3 3 8 6" xfId="10974" xr:uid="{FAA55D15-8C53-4394-A7FF-AD07647EA0E8}"/>
    <cellStyle name="Normal 2 4 3 3 9" xfId="4691" xr:uid="{00000000-0005-0000-0000-00001F100000}"/>
    <cellStyle name="Normal 2 4 3 3 9 2" xfId="29990" xr:uid="{91F52D5F-7B30-4FA7-9502-A995A8B4D768}"/>
    <cellStyle name="Normal 2 4 3 3 9 3" xfId="21561" xr:uid="{343BA26E-FE9B-480A-A992-A38B1D0CE4F0}"/>
    <cellStyle name="Normal 2 4 3 3 9 4" xfId="38418" xr:uid="{50191ED5-497F-40BB-B9DA-2C19769FB4AF}"/>
    <cellStyle name="Normal 2 4 3 3 9 5" xfId="13126" xr:uid="{6BBD7D83-3ECB-479A-8B34-45393E3CC67F}"/>
    <cellStyle name="Normal 2 4 3 4" xfId="787" xr:uid="{00000000-0005-0000-0000-000020100000}"/>
    <cellStyle name="Normal 2 4 3 4 2" xfId="3026" xr:uid="{00000000-0005-0000-0000-000021100000}"/>
    <cellStyle name="Normal 2 4 3 4 2 2" xfId="7249" xr:uid="{00000000-0005-0000-0000-000022100000}"/>
    <cellStyle name="Normal 2 4 3 4 2 2 2" xfId="32548" xr:uid="{693A1DD4-9E24-424F-B504-5D2AB1079C21}"/>
    <cellStyle name="Normal 2 4 3 4 2 2 3" xfId="24119" xr:uid="{270525CC-A3FC-4F60-BCD5-C29FF8345AE3}"/>
    <cellStyle name="Normal 2 4 3 4 2 2 4" xfId="40976" xr:uid="{C4CCB5A8-7350-4BCD-AAC0-FFA96771F213}"/>
    <cellStyle name="Normal 2 4 3 4 2 2 5" xfId="15684" xr:uid="{D18BF79B-6977-431C-9968-CEB9837E01D7}"/>
    <cellStyle name="Normal 2 4 3 4 2 3" xfId="28330" xr:uid="{79D70004-2D51-4AE4-85D7-A822C84263B9}"/>
    <cellStyle name="Normal 2 4 3 4 2 4" xfId="19901" xr:uid="{3605AA80-8A62-463E-9A10-F4F771B16BE4}"/>
    <cellStyle name="Normal 2 4 3 4 2 5" xfId="36759" xr:uid="{1DCA01DE-A2AB-44DA-894D-FE3CD057D91B}"/>
    <cellStyle name="Normal 2 4 3 4 2 6" xfId="11466" xr:uid="{43991E56-CE04-4962-A8A6-7349FEF667CB}"/>
    <cellStyle name="Normal 2 4 3 4 3" xfId="5104" xr:uid="{00000000-0005-0000-0000-000023100000}"/>
    <cellStyle name="Normal 2 4 3 4 3 2" xfId="30403" xr:uid="{FE965D48-7B90-409A-BD99-6BAF107D898B}"/>
    <cellStyle name="Normal 2 4 3 4 3 3" xfId="21974" xr:uid="{8F01E2FE-7567-4028-B098-DA27C91EFE00}"/>
    <cellStyle name="Normal 2 4 3 4 3 4" xfId="38831" xr:uid="{9A1C0E1F-5B50-4B81-BF9E-E9C0C94F8BA0}"/>
    <cellStyle name="Normal 2 4 3 4 3 5" xfId="13539" xr:uid="{47B74084-351F-449D-8522-EEC3FA19C3B2}"/>
    <cellStyle name="Normal 2 4 3 4 4" xfId="26185" xr:uid="{7679F869-3E04-4B87-9FD9-9D6129933002}"/>
    <cellStyle name="Normal 2 4 3 4 5" xfId="17756" xr:uid="{DEF525E9-1BF6-44A4-AC1A-4B0E2966E43C}"/>
    <cellStyle name="Normal 2 4 3 4 6" xfId="34614" xr:uid="{FD86CD99-FC1E-4916-B847-88729A3BEB51}"/>
    <cellStyle name="Normal 2 4 3 4 7" xfId="9321" xr:uid="{DAE55082-221E-4F9C-B8BA-E0A7C50C8053}"/>
    <cellStyle name="Normal 2 4 3 5" xfId="1209" xr:uid="{00000000-0005-0000-0000-000024100000}"/>
    <cellStyle name="Normal 2 4 3 5 2" xfId="3439" xr:uid="{00000000-0005-0000-0000-000025100000}"/>
    <cellStyle name="Normal 2 4 3 5 2 2" xfId="7662" xr:uid="{00000000-0005-0000-0000-000026100000}"/>
    <cellStyle name="Normal 2 4 3 5 2 2 2" xfId="32961" xr:uid="{896227FE-6A0C-44B4-94FA-7E536B8D8AF4}"/>
    <cellStyle name="Normal 2 4 3 5 2 2 3" xfId="24532" xr:uid="{346A285D-DB9D-41BA-A7EC-1B9C7275ECCA}"/>
    <cellStyle name="Normal 2 4 3 5 2 2 4" xfId="41389" xr:uid="{4785DC42-B801-454F-9A52-397C72825EA1}"/>
    <cellStyle name="Normal 2 4 3 5 2 2 5" xfId="16097" xr:uid="{27887CCA-2A1A-46F0-9059-B33E1F0EC79D}"/>
    <cellStyle name="Normal 2 4 3 5 2 3" xfId="28743" xr:uid="{79349FBC-7186-4AFD-9EF8-3A7A7212050E}"/>
    <cellStyle name="Normal 2 4 3 5 2 4" xfId="20314" xr:uid="{8E80BCBF-3B6B-49EC-9058-162A42A742F6}"/>
    <cellStyle name="Normal 2 4 3 5 2 5" xfId="37172" xr:uid="{E250C289-4B94-4D67-8CDF-6347276102F4}"/>
    <cellStyle name="Normal 2 4 3 5 2 6" xfId="11879" xr:uid="{4BCD13CE-3150-4E21-BEFA-DF21894C7483}"/>
    <cellStyle name="Normal 2 4 3 5 3" xfId="5517" xr:uid="{00000000-0005-0000-0000-000027100000}"/>
    <cellStyle name="Normal 2 4 3 5 3 2" xfId="30816" xr:uid="{5F7CA6C6-6F77-44E4-8D64-439C183BCA7F}"/>
    <cellStyle name="Normal 2 4 3 5 3 3" xfId="22387" xr:uid="{61424FD6-6DD8-49D8-83F0-4D398F3360DD}"/>
    <cellStyle name="Normal 2 4 3 5 3 4" xfId="39244" xr:uid="{FDED7E9B-700C-4333-A7A1-3086C63FD5BB}"/>
    <cellStyle name="Normal 2 4 3 5 3 5" xfId="13952" xr:uid="{4C329435-6A26-4670-8AF3-BA12B96158A5}"/>
    <cellStyle name="Normal 2 4 3 5 4" xfId="26598" xr:uid="{61DE55C6-7420-40D5-AB61-E0E23CE5F7C3}"/>
    <cellStyle name="Normal 2 4 3 5 5" xfId="18169" xr:uid="{7882C136-E474-47B9-BF4B-C1DEEA6CB29E}"/>
    <cellStyle name="Normal 2 4 3 5 6" xfId="35027" xr:uid="{0BEB451A-605E-4CAA-9B48-07703F44BE92}"/>
    <cellStyle name="Normal 2 4 3 5 7" xfId="9734" xr:uid="{AE74FD47-55B9-41F6-93BB-4E0DDB0E3806}"/>
    <cellStyle name="Normal 2 4 3 6" xfId="1622" xr:uid="{00000000-0005-0000-0000-000028100000}"/>
    <cellStyle name="Normal 2 4 3 6 2" xfId="3852" xr:uid="{00000000-0005-0000-0000-000029100000}"/>
    <cellStyle name="Normal 2 4 3 6 2 2" xfId="8075" xr:uid="{00000000-0005-0000-0000-00002A100000}"/>
    <cellStyle name="Normal 2 4 3 6 2 2 2" xfId="33374" xr:uid="{531FED93-9077-4F5E-97DC-F8FCF5DF83E3}"/>
    <cellStyle name="Normal 2 4 3 6 2 2 3" xfId="24945" xr:uid="{7C1B96FC-23E8-4485-832A-944A8BC9DB5D}"/>
    <cellStyle name="Normal 2 4 3 6 2 2 4" xfId="41802" xr:uid="{93CEC3F7-65BB-44F3-886F-3FCE65D96985}"/>
    <cellStyle name="Normal 2 4 3 6 2 2 5" xfId="16510" xr:uid="{F4CE9F77-C8B9-4A49-85CF-B5259474379E}"/>
    <cellStyle name="Normal 2 4 3 6 2 3" xfId="29156" xr:uid="{CA2048B7-2D30-4209-8B6E-18174E370734}"/>
    <cellStyle name="Normal 2 4 3 6 2 4" xfId="20727" xr:uid="{DFA4B4CB-493A-4E44-8A3D-3E44AD7146C1}"/>
    <cellStyle name="Normal 2 4 3 6 2 5" xfId="37585" xr:uid="{76AC458E-967C-45F7-9A63-1DFA5CD5DE33}"/>
    <cellStyle name="Normal 2 4 3 6 2 6" xfId="12292" xr:uid="{9DB0D34C-9138-4D21-B791-DA4BD63299EC}"/>
    <cellStyle name="Normal 2 4 3 6 3" xfId="5930" xr:uid="{00000000-0005-0000-0000-00002B100000}"/>
    <cellStyle name="Normal 2 4 3 6 3 2" xfId="31229" xr:uid="{7CCA160C-A3D1-48EC-BB64-BD5BDB4AE840}"/>
    <cellStyle name="Normal 2 4 3 6 3 3" xfId="22800" xr:uid="{82B7A98A-2C97-4F80-9549-E20177CD630B}"/>
    <cellStyle name="Normal 2 4 3 6 3 4" xfId="39657" xr:uid="{08FA9C39-3F75-469D-A055-4C258577FEBB}"/>
    <cellStyle name="Normal 2 4 3 6 3 5" xfId="14365" xr:uid="{708C8029-DC58-4FD7-A8F3-8F1AE8065136}"/>
    <cellStyle name="Normal 2 4 3 6 4" xfId="27011" xr:uid="{79B8F831-2F4D-4FE8-9383-2B54F6792D7C}"/>
    <cellStyle name="Normal 2 4 3 6 5" xfId="18582" xr:uid="{B8B530B0-5FBC-43AC-A755-B2A26AC21FE8}"/>
    <cellStyle name="Normal 2 4 3 6 6" xfId="35440" xr:uid="{E086F472-98F4-4745-BA9B-2211BB7A632E}"/>
    <cellStyle name="Normal 2 4 3 6 7" xfId="10147" xr:uid="{200D482B-42E2-49C2-9F07-420C88BB8D01}"/>
    <cellStyle name="Normal 2 4 3 7" xfId="2036" xr:uid="{00000000-0005-0000-0000-00002C100000}"/>
    <cellStyle name="Normal 2 4 3 7 2" xfId="4265" xr:uid="{00000000-0005-0000-0000-00002D100000}"/>
    <cellStyle name="Normal 2 4 3 7 2 2" xfId="8488" xr:uid="{00000000-0005-0000-0000-00002E100000}"/>
    <cellStyle name="Normal 2 4 3 7 2 2 2" xfId="33787" xr:uid="{DACDD230-47DE-498A-A4FC-517E7C8137CC}"/>
    <cellStyle name="Normal 2 4 3 7 2 2 3" xfId="25358" xr:uid="{4C1C9CA3-514B-4B9E-BC37-8D0D18EF82FD}"/>
    <cellStyle name="Normal 2 4 3 7 2 2 4" xfId="42215" xr:uid="{7CBCD660-48E7-445C-A5D3-751D0B8E9306}"/>
    <cellStyle name="Normal 2 4 3 7 2 2 5" xfId="16923" xr:uid="{7B7DA710-1BA7-4D98-B79E-70E006A2BC89}"/>
    <cellStyle name="Normal 2 4 3 7 2 3" xfId="29569" xr:uid="{1E346F5A-063A-498C-9503-1732B3E67437}"/>
    <cellStyle name="Normal 2 4 3 7 2 4" xfId="21140" xr:uid="{2E0FA211-32E7-42FB-B445-4AD758A44585}"/>
    <cellStyle name="Normal 2 4 3 7 2 5" xfId="37998" xr:uid="{B349D3E3-E672-49D6-9A66-F349C99C1737}"/>
    <cellStyle name="Normal 2 4 3 7 2 6" xfId="12705" xr:uid="{8FAAD11F-D55B-46AF-AB19-436CB15A7E89}"/>
    <cellStyle name="Normal 2 4 3 7 3" xfId="6343" xr:uid="{00000000-0005-0000-0000-00002F100000}"/>
    <cellStyle name="Normal 2 4 3 7 3 2" xfId="31642" xr:uid="{10DCFF8A-6EC5-4278-A975-F355C61A6935}"/>
    <cellStyle name="Normal 2 4 3 7 3 3" xfId="23213" xr:uid="{07A7365E-4534-4599-B1E3-189561467DC9}"/>
    <cellStyle name="Normal 2 4 3 7 3 4" xfId="40070" xr:uid="{C3D4C239-6E98-4CFA-8660-9CE45202D8BA}"/>
    <cellStyle name="Normal 2 4 3 7 3 5" xfId="14778" xr:uid="{B7CD0870-65BD-4663-8C1C-7D49C5C1EFAC}"/>
    <cellStyle name="Normal 2 4 3 7 4" xfId="27424" xr:uid="{AC1D9BEC-3518-4972-BD1D-1248DD4B859D}"/>
    <cellStyle name="Normal 2 4 3 7 5" xfId="18995" xr:uid="{A1743D83-9EEA-4FFF-B290-3D56C8124BF6}"/>
    <cellStyle name="Normal 2 4 3 7 6" xfId="35853" xr:uid="{F9C84E09-4637-45FE-B22E-DAF9378F1770}"/>
    <cellStyle name="Normal 2 4 3 7 7" xfId="10560" xr:uid="{65467534-5373-4158-AB1D-94BBEF1138F5}"/>
    <cellStyle name="Normal 2 4 3 8" xfId="2472" xr:uid="{00000000-0005-0000-0000-000030100000}"/>
    <cellStyle name="Normal 2 4 3 8 2" xfId="6756" xr:uid="{00000000-0005-0000-0000-000031100000}"/>
    <cellStyle name="Normal 2 4 3 8 2 2" xfId="32055" xr:uid="{5D852DAE-17BC-41C0-A0CD-5B72A3312496}"/>
    <cellStyle name="Normal 2 4 3 8 2 3" xfId="23626" xr:uid="{B284882D-D78F-4CEF-A46F-9CB4CA3D4EA4}"/>
    <cellStyle name="Normal 2 4 3 8 2 4" xfId="40483" xr:uid="{375DE593-4611-4708-9DB4-13A6E81C380F}"/>
    <cellStyle name="Normal 2 4 3 8 2 5" xfId="15191" xr:uid="{4C2FB048-487F-411C-8047-87831E1E75F7}"/>
    <cellStyle name="Normal 2 4 3 8 3" xfId="27837" xr:uid="{E5B9D109-37D5-4A42-8EC1-7809C812C189}"/>
    <cellStyle name="Normal 2 4 3 8 4" xfId="19408" xr:uid="{79EFE7E9-978D-4330-BBD2-2F4FC326224F}"/>
    <cellStyle name="Normal 2 4 3 8 5" xfId="36266" xr:uid="{ECDB45E6-D799-4C12-95FB-D87CB3998C43}"/>
    <cellStyle name="Normal 2 4 3 8 6" xfId="10973" xr:uid="{42990F17-64DD-40E2-8373-C4D5DC0D80C3}"/>
    <cellStyle name="Normal 2 4 3 9" xfId="4690" xr:uid="{00000000-0005-0000-0000-000032100000}"/>
    <cellStyle name="Normal 2 4 3 9 2" xfId="29989" xr:uid="{62D45D56-71F3-463F-9D5A-A2DDA884175E}"/>
    <cellStyle name="Normal 2 4 3 9 3" xfId="21560" xr:uid="{118F0CF2-7249-45E9-A9A6-317C9AF7C2B2}"/>
    <cellStyle name="Normal 2 4 3 9 4" xfId="38417" xr:uid="{330129B5-0D4C-4E13-A7CB-41DC29AFE4ED}"/>
    <cellStyle name="Normal 2 4 3 9 5" xfId="13125" xr:uid="{AB57F8B7-79E5-4C5D-AAB0-A212C04B9315}"/>
    <cellStyle name="Normal 2 4 4" xfId="302" xr:uid="{00000000-0005-0000-0000-000033100000}"/>
    <cellStyle name="Normal 2 4 5" xfId="303" xr:uid="{00000000-0005-0000-0000-000034100000}"/>
    <cellStyle name="Normal 2 4 5 10" xfId="4695" xr:uid="{00000000-0005-0000-0000-000035100000}"/>
    <cellStyle name="Normal 2 4 5 10 2" xfId="29994" xr:uid="{91B6C77D-000F-4951-AB4D-A212D6E3CEB9}"/>
    <cellStyle name="Normal 2 4 5 10 3" xfId="21565" xr:uid="{63DD4588-65AA-47A5-A4BA-6E7804A201E6}"/>
    <cellStyle name="Normal 2 4 5 10 4" xfId="38422" xr:uid="{DEE7A9DB-B20D-47C5-B7DE-E411E26A3FD3}"/>
    <cellStyle name="Normal 2 4 5 10 5" xfId="13130" xr:uid="{4AE0FB66-FA9F-4843-8758-354D05D55DD7}"/>
    <cellStyle name="Normal 2 4 5 11" xfId="25776" xr:uid="{5B7A5A54-B80C-4381-9122-5D78EADEF8E8}"/>
    <cellStyle name="Normal 2 4 5 12" xfId="17347" xr:uid="{F366216A-6CB4-467D-930A-B825159F4B41}"/>
    <cellStyle name="Normal 2 4 5 13" xfId="34205" xr:uid="{367971CB-F5F5-404D-A3DF-B2D23BF5921A}"/>
    <cellStyle name="Normal 2 4 5 14" xfId="8912" xr:uid="{7EDD48FB-A60D-41EA-97B7-335915E0DDE7}"/>
    <cellStyle name="Normal 2 4 5 2" xfId="304" xr:uid="{00000000-0005-0000-0000-000036100000}"/>
    <cellStyle name="Normal 2 4 5 2 10" xfId="25777" xr:uid="{FE7ABFE8-BF33-4BAB-BF97-289100ED3463}"/>
    <cellStyle name="Normal 2 4 5 2 11" xfId="17348" xr:uid="{D054A49F-6296-40D8-A6E4-D7F93517F7D9}"/>
    <cellStyle name="Normal 2 4 5 2 12" xfId="34206" xr:uid="{4BC84CD4-69F1-4DA0-8758-957E73A67D62}"/>
    <cellStyle name="Normal 2 4 5 2 13" xfId="8913" xr:uid="{65D11829-56B2-41E0-91DB-561180A6E027}"/>
    <cellStyle name="Normal 2 4 5 2 2" xfId="305" xr:uid="{00000000-0005-0000-0000-000037100000}"/>
    <cellStyle name="Normal 2 4 5 2 2 10" xfId="17349" xr:uid="{70D7769E-0A67-41CA-ABB2-4B3D52EA16DD}"/>
    <cellStyle name="Normal 2 4 5 2 2 11" xfId="34207" xr:uid="{968BAF89-F1B2-4962-8C78-70CBF2FE027D}"/>
    <cellStyle name="Normal 2 4 5 2 2 12" xfId="8914" xr:uid="{F0F303C7-2A62-4794-B776-A1282BC4F96E}"/>
    <cellStyle name="Normal 2 4 5 2 2 2" xfId="306" xr:uid="{00000000-0005-0000-0000-000038100000}"/>
    <cellStyle name="Normal 2 4 5 2 2 2 10" xfId="34208" xr:uid="{2C104DD7-66C7-473C-A67B-00EEDC6C1E47}"/>
    <cellStyle name="Normal 2 4 5 2 2 2 11" xfId="8915" xr:uid="{A7C496A0-0492-4CAA-B6E7-D64B9878F9FD}"/>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32556" xr:uid="{49A34E0A-CF41-4A22-A2F4-C0913C398443}"/>
    <cellStyle name="Normal 2 4 5 2 2 2 2 2 2 3" xfId="24127" xr:uid="{D4A11EFF-B753-4778-9A3A-5CA938F398E2}"/>
    <cellStyle name="Normal 2 4 5 2 2 2 2 2 2 4" xfId="40984" xr:uid="{788F94F5-1321-410C-B925-3CCA6F48B4A1}"/>
    <cellStyle name="Normal 2 4 5 2 2 2 2 2 2 5" xfId="15692" xr:uid="{E940477E-C2B8-43FC-8886-58CBCDAFE59D}"/>
    <cellStyle name="Normal 2 4 5 2 2 2 2 2 3" xfId="28338" xr:uid="{EACE48BD-B261-47F7-8E02-B42A656EBCC9}"/>
    <cellStyle name="Normal 2 4 5 2 2 2 2 2 4" xfId="19909" xr:uid="{47F07AD6-0E7D-4D80-AC3B-7CC56C24D3A1}"/>
    <cellStyle name="Normal 2 4 5 2 2 2 2 2 5" xfId="36767" xr:uid="{0FFD2A99-ECE3-4B56-A13F-F69052A69EA0}"/>
    <cellStyle name="Normal 2 4 5 2 2 2 2 2 6" xfId="11474" xr:uid="{48ECC513-BCE4-4D70-894A-54529C7CF814}"/>
    <cellStyle name="Normal 2 4 5 2 2 2 2 3" xfId="5112" xr:uid="{00000000-0005-0000-0000-00003C100000}"/>
    <cellStyle name="Normal 2 4 5 2 2 2 2 3 2" xfId="30411" xr:uid="{8261B2ED-EF1E-406D-BDB4-2E76C2556B93}"/>
    <cellStyle name="Normal 2 4 5 2 2 2 2 3 3" xfId="21982" xr:uid="{5196996B-E003-41A1-9823-5820DA12275D}"/>
    <cellStyle name="Normal 2 4 5 2 2 2 2 3 4" xfId="38839" xr:uid="{C7E69C05-72A5-4FD5-88BB-A2FEBA562F9D}"/>
    <cellStyle name="Normal 2 4 5 2 2 2 2 3 5" xfId="13547" xr:uid="{C8E5B5B4-4B4C-40ED-AA4B-41B6588E5A91}"/>
    <cellStyle name="Normal 2 4 5 2 2 2 2 4" xfId="26193" xr:uid="{1DEC5F51-B94E-4976-A90E-FFCF0584C71C}"/>
    <cellStyle name="Normal 2 4 5 2 2 2 2 5" xfId="17764" xr:uid="{6C96BFA2-A964-4153-9A48-4EE04617609C}"/>
    <cellStyle name="Normal 2 4 5 2 2 2 2 6" xfId="34622" xr:uid="{DB544938-5168-4638-B530-25619021B4A7}"/>
    <cellStyle name="Normal 2 4 5 2 2 2 2 7" xfId="9329" xr:uid="{95D0B2E8-17B4-4BC0-B7BE-6EEC0E42E464}"/>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32969" xr:uid="{43B140B5-E502-4DE8-998A-7B9881F5ACB3}"/>
    <cellStyle name="Normal 2 4 5 2 2 2 3 2 2 3" xfId="24540" xr:uid="{9381830F-FABD-42A3-9134-B29DDD345B01}"/>
    <cellStyle name="Normal 2 4 5 2 2 2 3 2 2 4" xfId="41397" xr:uid="{70D7E260-E40F-45CE-94D4-FCFF621A8F93}"/>
    <cellStyle name="Normal 2 4 5 2 2 2 3 2 2 5" xfId="16105" xr:uid="{B5E00F90-2DE2-4F3B-9F4A-D936C07981BF}"/>
    <cellStyle name="Normal 2 4 5 2 2 2 3 2 3" xfId="28751" xr:uid="{6152353B-092D-4437-B7CD-B71549769E60}"/>
    <cellStyle name="Normal 2 4 5 2 2 2 3 2 4" xfId="20322" xr:uid="{074EA68A-2EEC-4CD5-8840-1924A20C7FAC}"/>
    <cellStyle name="Normal 2 4 5 2 2 2 3 2 5" xfId="37180" xr:uid="{1FBD33C3-A16B-4E7B-8968-889FA6C3E1D4}"/>
    <cellStyle name="Normal 2 4 5 2 2 2 3 2 6" xfId="11887" xr:uid="{38B282EA-7961-47CB-8A0A-D01AAABE81A2}"/>
    <cellStyle name="Normal 2 4 5 2 2 2 3 3" xfId="5525" xr:uid="{00000000-0005-0000-0000-000040100000}"/>
    <cellStyle name="Normal 2 4 5 2 2 2 3 3 2" xfId="30824" xr:uid="{B77CCF3C-1A17-46CF-BDF3-15F4A6D57468}"/>
    <cellStyle name="Normal 2 4 5 2 2 2 3 3 3" xfId="22395" xr:uid="{3CE6AECA-206C-4E84-8924-A2CB3ADB72E1}"/>
    <cellStyle name="Normal 2 4 5 2 2 2 3 3 4" xfId="39252" xr:uid="{CAFA49D7-AF98-4D08-B036-F7AECF3E4C93}"/>
    <cellStyle name="Normal 2 4 5 2 2 2 3 3 5" xfId="13960" xr:uid="{D617DFB8-D70B-4F46-BA84-9BFE6EE8440D}"/>
    <cellStyle name="Normal 2 4 5 2 2 2 3 4" xfId="26606" xr:uid="{74CC9CEF-CB7A-4DE2-AC0F-9260B2E05CF8}"/>
    <cellStyle name="Normal 2 4 5 2 2 2 3 5" xfId="18177" xr:uid="{9045B7C5-D531-4D1B-9FDB-CF3298B7A675}"/>
    <cellStyle name="Normal 2 4 5 2 2 2 3 6" xfId="35035" xr:uid="{A0C90E83-8749-4D34-8872-006570153349}"/>
    <cellStyle name="Normal 2 4 5 2 2 2 3 7" xfId="9742" xr:uid="{5D8B9A0D-6823-4476-A376-A189FAFD4274}"/>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33382" xr:uid="{22ADB283-4EC3-44FD-A2BB-0017254121DA}"/>
    <cellStyle name="Normal 2 4 5 2 2 2 4 2 2 3" xfId="24953" xr:uid="{02EE7E94-92EE-4F6E-9F76-D948F53C11D0}"/>
    <cellStyle name="Normal 2 4 5 2 2 2 4 2 2 4" xfId="41810" xr:uid="{53D68076-AA6A-4746-97B7-6420B2EF2916}"/>
    <cellStyle name="Normal 2 4 5 2 2 2 4 2 2 5" xfId="16518" xr:uid="{C786DFCA-6A71-4807-8BBA-DA10FAC0959C}"/>
    <cellStyle name="Normal 2 4 5 2 2 2 4 2 3" xfId="29164" xr:uid="{1F1CBC9E-F707-4A71-9270-14EDFBB240A4}"/>
    <cellStyle name="Normal 2 4 5 2 2 2 4 2 4" xfId="20735" xr:uid="{DE5FF8AA-2D2A-4EB8-AAD3-7C116E75FC41}"/>
    <cellStyle name="Normal 2 4 5 2 2 2 4 2 5" xfId="37593" xr:uid="{B0C00588-1281-4451-9837-BB1B8D3AB474}"/>
    <cellStyle name="Normal 2 4 5 2 2 2 4 2 6" xfId="12300" xr:uid="{BD2A0D2D-F0E7-403A-8D9B-466FC37A5FE6}"/>
    <cellStyle name="Normal 2 4 5 2 2 2 4 3" xfId="5938" xr:uid="{00000000-0005-0000-0000-000044100000}"/>
    <cellStyle name="Normal 2 4 5 2 2 2 4 3 2" xfId="31237" xr:uid="{ABC2538D-32ED-4A55-8D94-4C2C785D7229}"/>
    <cellStyle name="Normal 2 4 5 2 2 2 4 3 3" xfId="22808" xr:uid="{6399F6B2-99A4-45EF-A878-E552E8C2362E}"/>
    <cellStyle name="Normal 2 4 5 2 2 2 4 3 4" xfId="39665" xr:uid="{618ACD3E-38DA-487E-8292-F29B91709749}"/>
    <cellStyle name="Normal 2 4 5 2 2 2 4 3 5" xfId="14373" xr:uid="{CA484F2C-B4EC-462C-B986-2F9D498C4142}"/>
    <cellStyle name="Normal 2 4 5 2 2 2 4 4" xfId="27019" xr:uid="{DEC34473-F6D6-4C7C-A240-C7F6A50D5099}"/>
    <cellStyle name="Normal 2 4 5 2 2 2 4 5" xfId="18590" xr:uid="{20A12F33-E350-4659-8035-09328E88318C}"/>
    <cellStyle name="Normal 2 4 5 2 2 2 4 6" xfId="35448" xr:uid="{41015435-734E-40C5-A63E-3CCE5F847C58}"/>
    <cellStyle name="Normal 2 4 5 2 2 2 4 7" xfId="10155" xr:uid="{FBFEB59C-0FDE-49A4-9CD4-0B148A851F5F}"/>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33795" xr:uid="{FFBAB576-E1F0-4C98-89D1-82425195A054}"/>
    <cellStyle name="Normal 2 4 5 2 2 2 5 2 2 3" xfId="25366" xr:uid="{5C3C3C6E-5A74-468C-8CA6-640F0133DCA7}"/>
    <cellStyle name="Normal 2 4 5 2 2 2 5 2 2 4" xfId="42223" xr:uid="{D704E407-00D1-42A7-9E99-9487A535E5B5}"/>
    <cellStyle name="Normal 2 4 5 2 2 2 5 2 2 5" xfId="16931" xr:uid="{5FB96A60-58B5-47E3-8DDD-70DD3B882920}"/>
    <cellStyle name="Normal 2 4 5 2 2 2 5 2 3" xfId="29577" xr:uid="{3EEED8CC-E00C-454D-A3EF-F163C48D3E22}"/>
    <cellStyle name="Normal 2 4 5 2 2 2 5 2 4" xfId="21148" xr:uid="{7729D7E8-DEE4-489A-8052-7EB1CA2C434D}"/>
    <cellStyle name="Normal 2 4 5 2 2 2 5 2 5" xfId="38006" xr:uid="{BD74990D-390F-4D10-9F36-AAEA5F9DFD1A}"/>
    <cellStyle name="Normal 2 4 5 2 2 2 5 2 6" xfId="12713" xr:uid="{417C2686-2699-4444-B618-E0E430351E08}"/>
    <cellStyle name="Normal 2 4 5 2 2 2 5 3" xfId="6351" xr:uid="{00000000-0005-0000-0000-000048100000}"/>
    <cellStyle name="Normal 2 4 5 2 2 2 5 3 2" xfId="31650" xr:uid="{B2D8D6FD-53E2-40C4-8F85-9A38D7DECF8F}"/>
    <cellStyle name="Normal 2 4 5 2 2 2 5 3 3" xfId="23221" xr:uid="{8439BFF6-47FB-4CF5-9FF1-3BE9A448AC13}"/>
    <cellStyle name="Normal 2 4 5 2 2 2 5 3 4" xfId="40078" xr:uid="{EF176C84-08CF-42A4-90F1-ECA03AF12F67}"/>
    <cellStyle name="Normal 2 4 5 2 2 2 5 3 5" xfId="14786" xr:uid="{9D8E07C5-F340-463A-97E4-086F3000B3FF}"/>
    <cellStyle name="Normal 2 4 5 2 2 2 5 4" xfId="27432" xr:uid="{C8712E1E-6C2E-42B7-9232-903AA1EC488D}"/>
    <cellStyle name="Normal 2 4 5 2 2 2 5 5" xfId="19003" xr:uid="{C9906427-561F-4A30-B4A7-4DAA55494351}"/>
    <cellStyle name="Normal 2 4 5 2 2 2 5 6" xfId="35861" xr:uid="{C5C2C15D-AC48-4B77-AE58-82DE6AD0B1E9}"/>
    <cellStyle name="Normal 2 4 5 2 2 2 5 7" xfId="10568" xr:uid="{B67E8D8E-C1AF-46E6-BF68-10AC56525095}"/>
    <cellStyle name="Normal 2 4 5 2 2 2 6" xfId="2480" xr:uid="{00000000-0005-0000-0000-000049100000}"/>
    <cellStyle name="Normal 2 4 5 2 2 2 6 2" xfId="6764" xr:uid="{00000000-0005-0000-0000-00004A100000}"/>
    <cellStyle name="Normal 2 4 5 2 2 2 6 2 2" xfId="32063" xr:uid="{515B0D79-6807-4567-A760-B5ECC6EDF683}"/>
    <cellStyle name="Normal 2 4 5 2 2 2 6 2 3" xfId="23634" xr:uid="{4570AE44-9118-4194-8CA5-8B5D4C652848}"/>
    <cellStyle name="Normal 2 4 5 2 2 2 6 2 4" xfId="40491" xr:uid="{52B26110-6FCA-4810-8EFF-46D4A998CB88}"/>
    <cellStyle name="Normal 2 4 5 2 2 2 6 2 5" xfId="15199" xr:uid="{6005CD6F-A172-4C2C-A536-BBF78884517F}"/>
    <cellStyle name="Normal 2 4 5 2 2 2 6 3" xfId="27845" xr:uid="{5BF01BC2-E367-4017-BC36-2C70FA80C016}"/>
    <cellStyle name="Normal 2 4 5 2 2 2 6 4" xfId="19416" xr:uid="{D8007DA7-EB85-4613-9DCA-02EE91924C70}"/>
    <cellStyle name="Normal 2 4 5 2 2 2 6 5" xfId="36274" xr:uid="{5601583F-ADD2-4376-B733-B480D22E9F70}"/>
    <cellStyle name="Normal 2 4 5 2 2 2 6 6" xfId="10981" xr:uid="{4A394EA0-D6CA-41BF-9345-FB4DADE7A99F}"/>
    <cellStyle name="Normal 2 4 5 2 2 2 7" xfId="4698" xr:uid="{00000000-0005-0000-0000-00004B100000}"/>
    <cellStyle name="Normal 2 4 5 2 2 2 7 2" xfId="29997" xr:uid="{03345DE7-F965-403D-8DDF-4BB72F9AF5E5}"/>
    <cellStyle name="Normal 2 4 5 2 2 2 7 3" xfId="21568" xr:uid="{3F6248E7-8DBE-4E15-8DDB-4B3C6BE2AC85}"/>
    <cellStyle name="Normal 2 4 5 2 2 2 7 4" xfId="38425" xr:uid="{5FD58B31-F748-4434-93F2-170BDED1A228}"/>
    <cellStyle name="Normal 2 4 5 2 2 2 7 5" xfId="13133" xr:uid="{AB86F084-BB00-4576-95F2-15202B74F07A}"/>
    <cellStyle name="Normal 2 4 5 2 2 2 8" xfId="25779" xr:uid="{80C3045E-D25D-4F84-B626-945047CCB4BD}"/>
    <cellStyle name="Normal 2 4 5 2 2 2 9" xfId="17350" xr:uid="{D82D4193-835E-4938-9991-6F363D4F2291}"/>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32555" xr:uid="{265A9EDC-A84C-4C39-948E-3041220A11AC}"/>
    <cellStyle name="Normal 2 4 5 2 2 3 2 2 3" xfId="24126" xr:uid="{00F48ECC-A8A5-475D-9B6F-C1092BC1F666}"/>
    <cellStyle name="Normal 2 4 5 2 2 3 2 2 4" xfId="40983" xr:uid="{4647EE8B-9421-45D3-B026-646B0FC7E666}"/>
    <cellStyle name="Normal 2 4 5 2 2 3 2 2 5" xfId="15691" xr:uid="{FAABA4D8-40A2-4289-A5E8-C0DB39EEED69}"/>
    <cellStyle name="Normal 2 4 5 2 2 3 2 3" xfId="28337" xr:uid="{356942CA-B4F6-4918-B9E7-3EFE2D88E4D1}"/>
    <cellStyle name="Normal 2 4 5 2 2 3 2 4" xfId="19908" xr:uid="{061670CD-16B1-4DF3-B960-A2624013503E}"/>
    <cellStyle name="Normal 2 4 5 2 2 3 2 5" xfId="36766" xr:uid="{93F8ED45-5375-4E73-B58D-48E845E03AAD}"/>
    <cellStyle name="Normal 2 4 5 2 2 3 2 6" xfId="11473" xr:uid="{35F49624-2742-4E31-8F59-22DDC7F06E7C}"/>
    <cellStyle name="Normal 2 4 5 2 2 3 3" xfId="5111" xr:uid="{00000000-0005-0000-0000-00004F100000}"/>
    <cellStyle name="Normal 2 4 5 2 2 3 3 2" xfId="30410" xr:uid="{94D63596-853C-4FBB-A826-072EC822F475}"/>
    <cellStyle name="Normal 2 4 5 2 2 3 3 3" xfId="21981" xr:uid="{E8FF0FFD-7E9B-4984-8971-628684BE2ED5}"/>
    <cellStyle name="Normal 2 4 5 2 2 3 3 4" xfId="38838" xr:uid="{D7FD9038-B8F5-4E27-835E-32BB53E6ABC0}"/>
    <cellStyle name="Normal 2 4 5 2 2 3 3 5" xfId="13546" xr:uid="{EC3BBDAF-630F-4AB7-8098-75417F36A0B8}"/>
    <cellStyle name="Normal 2 4 5 2 2 3 4" xfId="26192" xr:uid="{E144C0B2-DFA3-4CC7-A16F-FCE58F0D1AC5}"/>
    <cellStyle name="Normal 2 4 5 2 2 3 5" xfId="17763" xr:uid="{1A6236F9-EB66-4D5C-A0DF-AD0AE1C4CFEC}"/>
    <cellStyle name="Normal 2 4 5 2 2 3 6" xfId="34621" xr:uid="{277F7E14-DE7D-4363-8DFA-2D2166858E76}"/>
    <cellStyle name="Normal 2 4 5 2 2 3 7" xfId="9328" xr:uid="{86954E42-2222-4C82-BAAF-9BEA270552FB}"/>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32968" xr:uid="{827CBF17-3137-4753-9B7E-6F43F822AF87}"/>
    <cellStyle name="Normal 2 4 5 2 2 4 2 2 3" xfId="24539" xr:uid="{40E74A02-796D-4A2C-AFBD-534EBA54F0CD}"/>
    <cellStyle name="Normal 2 4 5 2 2 4 2 2 4" xfId="41396" xr:uid="{A1B22FD2-D600-4A5A-BA38-098BF7B0AE20}"/>
    <cellStyle name="Normal 2 4 5 2 2 4 2 2 5" xfId="16104" xr:uid="{3BE9EA00-EED5-414B-B78F-D87690C9B20C}"/>
    <cellStyle name="Normal 2 4 5 2 2 4 2 3" xfId="28750" xr:uid="{5F210031-3EFC-4E47-B6AC-92655C7D5012}"/>
    <cellStyle name="Normal 2 4 5 2 2 4 2 4" xfId="20321" xr:uid="{BF31165F-7F49-4B44-9B52-26590E136471}"/>
    <cellStyle name="Normal 2 4 5 2 2 4 2 5" xfId="37179" xr:uid="{9365C43C-8503-43D8-BAD3-FAA3E8FB1A7A}"/>
    <cellStyle name="Normal 2 4 5 2 2 4 2 6" xfId="11886" xr:uid="{338895F2-B622-4532-8938-47B644B0C8CD}"/>
    <cellStyle name="Normal 2 4 5 2 2 4 3" xfId="5524" xr:uid="{00000000-0005-0000-0000-000053100000}"/>
    <cellStyle name="Normal 2 4 5 2 2 4 3 2" xfId="30823" xr:uid="{4979D54E-9482-4FB8-9D1E-4D73A133A2BD}"/>
    <cellStyle name="Normal 2 4 5 2 2 4 3 3" xfId="22394" xr:uid="{D80C38E7-C8E5-4D28-8779-EC8CC3A7A2D6}"/>
    <cellStyle name="Normal 2 4 5 2 2 4 3 4" xfId="39251" xr:uid="{8380F542-B075-41CD-8C60-ADF325BC677E}"/>
    <cellStyle name="Normal 2 4 5 2 2 4 3 5" xfId="13959" xr:uid="{8B8C3AB4-317D-4853-93E8-E09A70A41E31}"/>
    <cellStyle name="Normal 2 4 5 2 2 4 4" xfId="26605" xr:uid="{9BDE9EEE-080F-4181-BB37-5D389191534C}"/>
    <cellStyle name="Normal 2 4 5 2 2 4 5" xfId="18176" xr:uid="{32B2B739-95AB-43CA-9D73-E2D6612F3CD0}"/>
    <cellStyle name="Normal 2 4 5 2 2 4 6" xfId="35034" xr:uid="{D6D98497-19D1-44BC-BCE7-BDE74FAA3FC8}"/>
    <cellStyle name="Normal 2 4 5 2 2 4 7" xfId="9741" xr:uid="{02CF96A9-7F61-490E-BF24-77713E91D6DB}"/>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33381" xr:uid="{2E58159E-6FBA-46E1-B048-A5503D1AD929}"/>
    <cellStyle name="Normal 2 4 5 2 2 5 2 2 3" xfId="24952" xr:uid="{37C86820-A6AC-43F7-B27B-DA40AC688879}"/>
    <cellStyle name="Normal 2 4 5 2 2 5 2 2 4" xfId="41809" xr:uid="{C6BF4E23-9C2C-45A4-AE2E-8D476C88446D}"/>
    <cellStyle name="Normal 2 4 5 2 2 5 2 2 5" xfId="16517" xr:uid="{7CB2FC9E-FE52-4790-ADCE-28B0F4E141CB}"/>
    <cellStyle name="Normal 2 4 5 2 2 5 2 3" xfId="29163" xr:uid="{B511FBB4-6B86-43EF-BE77-1D7D5C3A7AF5}"/>
    <cellStyle name="Normal 2 4 5 2 2 5 2 4" xfId="20734" xr:uid="{09B075C8-4EE6-4007-95F9-D90D22E7FA1E}"/>
    <cellStyle name="Normal 2 4 5 2 2 5 2 5" xfId="37592" xr:uid="{C563CFE3-62AF-4CB5-A722-B7A955A53C78}"/>
    <cellStyle name="Normal 2 4 5 2 2 5 2 6" xfId="12299" xr:uid="{EFD0855C-8AE2-4863-87DA-062E0CFE9E48}"/>
    <cellStyle name="Normal 2 4 5 2 2 5 3" xfId="5937" xr:uid="{00000000-0005-0000-0000-000057100000}"/>
    <cellStyle name="Normal 2 4 5 2 2 5 3 2" xfId="31236" xr:uid="{D4055390-5846-4DFF-83A0-74CB72114C12}"/>
    <cellStyle name="Normal 2 4 5 2 2 5 3 3" xfId="22807" xr:uid="{2AEF086E-B989-49FB-B9C9-70FA627D3243}"/>
    <cellStyle name="Normal 2 4 5 2 2 5 3 4" xfId="39664" xr:uid="{3F39472E-5D8D-4FF7-AE1E-33A49B604C3E}"/>
    <cellStyle name="Normal 2 4 5 2 2 5 3 5" xfId="14372" xr:uid="{B4A9030F-767B-4315-BDD3-CF48C5CF9D5F}"/>
    <cellStyle name="Normal 2 4 5 2 2 5 4" xfId="27018" xr:uid="{5DF0CFBE-4055-4541-AC93-0D06A2C323C0}"/>
    <cellStyle name="Normal 2 4 5 2 2 5 5" xfId="18589" xr:uid="{A7AA7921-5438-4A86-9E5F-9ACF4442D540}"/>
    <cellStyle name="Normal 2 4 5 2 2 5 6" xfId="35447" xr:uid="{44F1F6A2-B3E7-401C-862D-546AC7A960E5}"/>
    <cellStyle name="Normal 2 4 5 2 2 5 7" xfId="10154" xr:uid="{DEB3D5C7-4DC1-424D-BEE3-C789E931F7C8}"/>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33794" xr:uid="{F74C32F4-814A-41AC-9CA1-B0E3EA6E2B23}"/>
    <cellStyle name="Normal 2 4 5 2 2 6 2 2 3" xfId="25365" xr:uid="{9B5830BE-318F-4A10-8952-D78178DD5546}"/>
    <cellStyle name="Normal 2 4 5 2 2 6 2 2 4" xfId="42222" xr:uid="{243E9F67-2A6C-4006-8142-96B298CBFBCE}"/>
    <cellStyle name="Normal 2 4 5 2 2 6 2 2 5" xfId="16930" xr:uid="{DCD6EB44-192D-4DE5-9D26-9AAC0ADE3ADE}"/>
    <cellStyle name="Normal 2 4 5 2 2 6 2 3" xfId="29576" xr:uid="{8C541D89-08AC-44E0-90BD-5317467C1EC4}"/>
    <cellStyle name="Normal 2 4 5 2 2 6 2 4" xfId="21147" xr:uid="{67E03A06-580A-4CEA-9E2A-59F14E164DF0}"/>
    <cellStyle name="Normal 2 4 5 2 2 6 2 5" xfId="38005" xr:uid="{D5CBE4F9-10C1-42FF-9D3D-83D39BAA67E3}"/>
    <cellStyle name="Normal 2 4 5 2 2 6 2 6" xfId="12712" xr:uid="{33CF7EA3-1F5B-4E55-898D-E981A4B40736}"/>
    <cellStyle name="Normal 2 4 5 2 2 6 3" xfId="6350" xr:uid="{00000000-0005-0000-0000-00005B100000}"/>
    <cellStyle name="Normal 2 4 5 2 2 6 3 2" xfId="31649" xr:uid="{DCB5235E-9085-43FC-BDDA-A13018F3D5FC}"/>
    <cellStyle name="Normal 2 4 5 2 2 6 3 3" xfId="23220" xr:uid="{27E1E7EB-0C47-4AA1-B3A6-2A16C62EB1A5}"/>
    <cellStyle name="Normal 2 4 5 2 2 6 3 4" xfId="40077" xr:uid="{AA61EBF1-CC38-456C-9D5E-71F76D1D971C}"/>
    <cellStyle name="Normal 2 4 5 2 2 6 3 5" xfId="14785" xr:uid="{0D7DEE3B-0545-4E3C-9001-655C48E1068B}"/>
    <cellStyle name="Normal 2 4 5 2 2 6 4" xfId="27431" xr:uid="{21AA7E7B-DFCF-4C2A-B9A6-9BB9807EB439}"/>
    <cellStyle name="Normal 2 4 5 2 2 6 5" xfId="19002" xr:uid="{B3F9E015-568C-44DA-8E12-57D50CE81002}"/>
    <cellStyle name="Normal 2 4 5 2 2 6 6" xfId="35860" xr:uid="{1C6CD8F1-3308-4B0E-A2AA-33D192680712}"/>
    <cellStyle name="Normal 2 4 5 2 2 6 7" xfId="10567" xr:uid="{09C9F7A2-E6C2-4DB8-B581-DE6BC583CD01}"/>
    <cellStyle name="Normal 2 4 5 2 2 7" xfId="2479" xr:uid="{00000000-0005-0000-0000-00005C100000}"/>
    <cellStyle name="Normal 2 4 5 2 2 7 2" xfId="6763" xr:uid="{00000000-0005-0000-0000-00005D100000}"/>
    <cellStyle name="Normal 2 4 5 2 2 7 2 2" xfId="32062" xr:uid="{13BA4858-2D61-423E-97BD-59D6B38822D8}"/>
    <cellStyle name="Normal 2 4 5 2 2 7 2 3" xfId="23633" xr:uid="{A97B2C47-FCF1-4762-834E-F767787DF2D8}"/>
    <cellStyle name="Normal 2 4 5 2 2 7 2 4" xfId="40490" xr:uid="{066F990A-1B5B-44D4-8D7E-A9A90CDB5D43}"/>
    <cellStyle name="Normal 2 4 5 2 2 7 2 5" xfId="15198" xr:uid="{980C4195-846D-4029-B3D7-D28E61C8A61B}"/>
    <cellStyle name="Normal 2 4 5 2 2 7 3" xfId="27844" xr:uid="{C21D5EF9-A561-4038-9AA6-5854CE3DB0A7}"/>
    <cellStyle name="Normal 2 4 5 2 2 7 4" xfId="19415" xr:uid="{168273A0-E127-431B-A722-FD9FC635E1DD}"/>
    <cellStyle name="Normal 2 4 5 2 2 7 5" xfId="36273" xr:uid="{2040D82D-22DE-4797-8D13-2AC190CE9827}"/>
    <cellStyle name="Normal 2 4 5 2 2 7 6" xfId="10980" xr:uid="{CED04558-9FE5-4321-B2F8-E6A05AC32F80}"/>
    <cellStyle name="Normal 2 4 5 2 2 8" xfId="4697" xr:uid="{00000000-0005-0000-0000-00005E100000}"/>
    <cellStyle name="Normal 2 4 5 2 2 8 2" xfId="29996" xr:uid="{8BFD328B-FDBE-4FF5-A45B-94DFBAAA993F}"/>
    <cellStyle name="Normal 2 4 5 2 2 8 3" xfId="21567" xr:uid="{D8B56970-9130-455E-9F11-8F5FE6434213}"/>
    <cellStyle name="Normal 2 4 5 2 2 8 4" xfId="38424" xr:uid="{82F8123F-FD4B-4C6C-8B4F-7C298E166909}"/>
    <cellStyle name="Normal 2 4 5 2 2 8 5" xfId="13132" xr:uid="{01794765-BE2B-430B-842C-C6A3577D090B}"/>
    <cellStyle name="Normal 2 4 5 2 2 9" xfId="25778" xr:uid="{BA5C3B5A-D6D6-411A-989E-97C5E638B8A7}"/>
    <cellStyle name="Normal 2 4 5 2 3" xfId="307" xr:uid="{00000000-0005-0000-0000-00005F100000}"/>
    <cellStyle name="Normal 2 4 5 2 3 10" xfId="34209" xr:uid="{14CA49A4-9A17-44CA-8F42-AD121E299277}"/>
    <cellStyle name="Normal 2 4 5 2 3 11" xfId="8916" xr:uid="{4AA33C7C-F3EB-4FDE-9B54-C4261E05B6B6}"/>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32557" xr:uid="{7BEC55EB-E549-429C-97DB-41473CA35A14}"/>
    <cellStyle name="Normal 2 4 5 2 3 2 2 2 3" xfId="24128" xr:uid="{B3F5B55A-88E9-476B-B9ED-12B423721DC9}"/>
    <cellStyle name="Normal 2 4 5 2 3 2 2 2 4" xfId="40985" xr:uid="{6CC9A8D8-DE7A-4D07-A607-3912F650B411}"/>
    <cellStyle name="Normal 2 4 5 2 3 2 2 2 5" xfId="15693" xr:uid="{BA3A996B-FE56-4BD5-914A-73A38FB974ED}"/>
    <cellStyle name="Normal 2 4 5 2 3 2 2 3" xfId="28339" xr:uid="{B3DCB6B0-6AC5-4B30-A2A4-32CBEAAF7AAF}"/>
    <cellStyle name="Normal 2 4 5 2 3 2 2 4" xfId="19910" xr:uid="{762B14F1-EFED-4F97-AA0E-C2E0D9815CCD}"/>
    <cellStyle name="Normal 2 4 5 2 3 2 2 5" xfId="36768" xr:uid="{3F470D48-5B5E-4F23-8A9E-D910CF953F7C}"/>
    <cellStyle name="Normal 2 4 5 2 3 2 2 6" xfId="11475" xr:uid="{1AB92769-AF00-43B4-93E6-B4CEF097098B}"/>
    <cellStyle name="Normal 2 4 5 2 3 2 3" xfId="5113" xr:uid="{00000000-0005-0000-0000-000063100000}"/>
    <cellStyle name="Normal 2 4 5 2 3 2 3 2" xfId="30412" xr:uid="{27537A2E-48DA-4D40-94F0-3017A01AE8C7}"/>
    <cellStyle name="Normal 2 4 5 2 3 2 3 3" xfId="21983" xr:uid="{A7D805D6-B04D-4C52-8CB6-25837791F536}"/>
    <cellStyle name="Normal 2 4 5 2 3 2 3 4" xfId="38840" xr:uid="{FCD7C73F-CFF5-45BC-A1FF-F316474D2E73}"/>
    <cellStyle name="Normal 2 4 5 2 3 2 3 5" xfId="13548" xr:uid="{9DCD5B27-CD75-4676-8A2F-4797117FDFE5}"/>
    <cellStyle name="Normal 2 4 5 2 3 2 4" xfId="26194" xr:uid="{30C41844-2432-41C4-B821-B895F1F399D9}"/>
    <cellStyle name="Normal 2 4 5 2 3 2 5" xfId="17765" xr:uid="{DDA72B82-47FC-49B1-B3F9-A03F85243101}"/>
    <cellStyle name="Normal 2 4 5 2 3 2 6" xfId="34623" xr:uid="{529F286D-ABAC-4462-85AD-084E6334F5F3}"/>
    <cellStyle name="Normal 2 4 5 2 3 2 7" xfId="9330" xr:uid="{A625E899-2E40-47CD-A23F-42067B21BC3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32970" xr:uid="{D2E008CF-3BA7-410A-A692-32880ABED61E}"/>
    <cellStyle name="Normal 2 4 5 2 3 3 2 2 3" xfId="24541" xr:uid="{0E07CBAD-2A35-406A-9C52-7CB91866D9EB}"/>
    <cellStyle name="Normal 2 4 5 2 3 3 2 2 4" xfId="41398" xr:uid="{8E57FEC6-F807-4845-AD60-FA621C8065A2}"/>
    <cellStyle name="Normal 2 4 5 2 3 3 2 2 5" xfId="16106" xr:uid="{9C3DAD5B-2763-4431-91CF-AFAE2DC434EF}"/>
    <cellStyle name="Normal 2 4 5 2 3 3 2 3" xfId="28752" xr:uid="{AFFB8CE7-252A-4C6A-BD9A-56032BF1EE50}"/>
    <cellStyle name="Normal 2 4 5 2 3 3 2 4" xfId="20323" xr:uid="{42B10B5E-A72D-4807-A2F4-C9B3A1DC1952}"/>
    <cellStyle name="Normal 2 4 5 2 3 3 2 5" xfId="37181" xr:uid="{588647A2-8794-4A9A-A8A3-9701B079BF08}"/>
    <cellStyle name="Normal 2 4 5 2 3 3 2 6" xfId="11888" xr:uid="{FE8FEEE1-BEFB-4B9D-9D1D-CA1DAF173508}"/>
    <cellStyle name="Normal 2 4 5 2 3 3 3" xfId="5526" xr:uid="{00000000-0005-0000-0000-000067100000}"/>
    <cellStyle name="Normal 2 4 5 2 3 3 3 2" xfId="30825" xr:uid="{8505D3D3-31FC-40BE-BB8F-AB651E2BF267}"/>
    <cellStyle name="Normal 2 4 5 2 3 3 3 3" xfId="22396" xr:uid="{1EEC6F8B-9204-42B5-954D-A9804F49BEDF}"/>
    <cellStyle name="Normal 2 4 5 2 3 3 3 4" xfId="39253" xr:uid="{8998D91E-DE64-4152-8862-EA671B26B94F}"/>
    <cellStyle name="Normal 2 4 5 2 3 3 3 5" xfId="13961" xr:uid="{7A44B256-2A20-44AD-BF44-D848CB9FBFE3}"/>
    <cellStyle name="Normal 2 4 5 2 3 3 4" xfId="26607" xr:uid="{BC65119F-4AD5-4CF5-8559-8DD34CA2B3EE}"/>
    <cellStyle name="Normal 2 4 5 2 3 3 5" xfId="18178" xr:uid="{0BC3E8DD-1AC7-4A45-B691-DD83C5D6033B}"/>
    <cellStyle name="Normal 2 4 5 2 3 3 6" xfId="35036" xr:uid="{8FD207ED-1194-4838-9EB2-DD7EA732C21A}"/>
    <cellStyle name="Normal 2 4 5 2 3 3 7" xfId="9743" xr:uid="{5878E614-6237-4FA6-97C4-3EE62D429B3D}"/>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33383" xr:uid="{03C79031-74CB-4095-834E-E7BE06915571}"/>
    <cellStyle name="Normal 2 4 5 2 3 4 2 2 3" xfId="24954" xr:uid="{CCD7F0CA-B24C-499D-B941-9CD212C652DD}"/>
    <cellStyle name="Normal 2 4 5 2 3 4 2 2 4" xfId="41811" xr:uid="{0D665360-8FBB-44E2-A907-88AC47D4614B}"/>
    <cellStyle name="Normal 2 4 5 2 3 4 2 2 5" xfId="16519" xr:uid="{7E53C0CC-D4C2-4757-A120-4C4E89FDB3DF}"/>
    <cellStyle name="Normal 2 4 5 2 3 4 2 3" xfId="29165" xr:uid="{634D1310-066E-4579-ACBD-0C534D6945F3}"/>
    <cellStyle name="Normal 2 4 5 2 3 4 2 4" xfId="20736" xr:uid="{ED2CD8D8-7702-421F-8AC5-14F2407445AE}"/>
    <cellStyle name="Normal 2 4 5 2 3 4 2 5" xfId="37594" xr:uid="{8C232079-1A60-4430-B026-4227AFB7CC38}"/>
    <cellStyle name="Normal 2 4 5 2 3 4 2 6" xfId="12301" xr:uid="{6964EA0D-64DE-4D57-BF8C-AB02E2153F43}"/>
    <cellStyle name="Normal 2 4 5 2 3 4 3" xfId="5939" xr:uid="{00000000-0005-0000-0000-00006B100000}"/>
    <cellStyle name="Normal 2 4 5 2 3 4 3 2" xfId="31238" xr:uid="{BC3251A6-A81E-47D7-A9F9-0E6B85144F32}"/>
    <cellStyle name="Normal 2 4 5 2 3 4 3 3" xfId="22809" xr:uid="{46748336-843A-4D8B-805F-D58AB6133E81}"/>
    <cellStyle name="Normal 2 4 5 2 3 4 3 4" xfId="39666" xr:uid="{E3559476-D9B9-4487-AE84-69B5A02001A7}"/>
    <cellStyle name="Normal 2 4 5 2 3 4 3 5" xfId="14374" xr:uid="{21612024-D85F-47B4-8268-ADC30B44FB5B}"/>
    <cellStyle name="Normal 2 4 5 2 3 4 4" xfId="27020" xr:uid="{3BD0A619-85AC-4F72-A22B-CA272A1A15B8}"/>
    <cellStyle name="Normal 2 4 5 2 3 4 5" xfId="18591" xr:uid="{E791C55F-2B88-48CD-B36A-728F8CE0381B}"/>
    <cellStyle name="Normal 2 4 5 2 3 4 6" xfId="35449" xr:uid="{7D2440F5-31C1-49A8-A9E0-576D6CBD85E1}"/>
    <cellStyle name="Normal 2 4 5 2 3 4 7" xfId="10156" xr:uid="{6733FD4B-F633-40E3-A3F9-A7E5B4A92132}"/>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33796" xr:uid="{9C153D12-3B34-403D-A2EC-174E2E41930E}"/>
    <cellStyle name="Normal 2 4 5 2 3 5 2 2 3" xfId="25367" xr:uid="{A58C4499-72E1-4313-A92D-021C1CE9E441}"/>
    <cellStyle name="Normal 2 4 5 2 3 5 2 2 4" xfId="42224" xr:uid="{6BB1871B-B895-4C27-B28F-165889FDFF5C}"/>
    <cellStyle name="Normal 2 4 5 2 3 5 2 2 5" xfId="16932" xr:uid="{52601DB7-017D-4573-B69C-CFD54FC2F004}"/>
    <cellStyle name="Normal 2 4 5 2 3 5 2 3" xfId="29578" xr:uid="{EE003636-C2E6-466F-9A65-D94500461CE5}"/>
    <cellStyle name="Normal 2 4 5 2 3 5 2 4" xfId="21149" xr:uid="{379C90D1-D6D8-4C9B-A98B-A60712110897}"/>
    <cellStyle name="Normal 2 4 5 2 3 5 2 5" xfId="38007" xr:uid="{76E07774-C2B5-4F8E-85E4-FA71E8BEF047}"/>
    <cellStyle name="Normal 2 4 5 2 3 5 2 6" xfId="12714" xr:uid="{F3E102E7-B9F4-4251-80F9-5C7C4D200E51}"/>
    <cellStyle name="Normal 2 4 5 2 3 5 3" xfId="6352" xr:uid="{00000000-0005-0000-0000-00006F100000}"/>
    <cellStyle name="Normal 2 4 5 2 3 5 3 2" xfId="31651" xr:uid="{E30D884B-4868-4A20-BB3A-3AE09D135149}"/>
    <cellStyle name="Normal 2 4 5 2 3 5 3 3" xfId="23222" xr:uid="{9F341A3F-5527-4811-8B38-2B2132DF7CF4}"/>
    <cellStyle name="Normal 2 4 5 2 3 5 3 4" xfId="40079" xr:uid="{325DABD2-BB0B-44F2-9B89-C15E12EA8FCA}"/>
    <cellStyle name="Normal 2 4 5 2 3 5 3 5" xfId="14787" xr:uid="{2B581034-7AD3-4424-9490-80AA6A2CD359}"/>
    <cellStyle name="Normal 2 4 5 2 3 5 4" xfId="27433" xr:uid="{009CB6EA-2D54-4490-B82B-B25AFB0DAC5D}"/>
    <cellStyle name="Normal 2 4 5 2 3 5 5" xfId="19004" xr:uid="{1773BD68-57F0-485F-B47A-C91CAB16AF7E}"/>
    <cellStyle name="Normal 2 4 5 2 3 5 6" xfId="35862" xr:uid="{D5D7618C-69B1-4A94-A375-E0F46B27564A}"/>
    <cellStyle name="Normal 2 4 5 2 3 5 7" xfId="10569" xr:uid="{609A70A7-6862-4148-84BD-F687C0108AA2}"/>
    <cellStyle name="Normal 2 4 5 2 3 6" xfId="2481" xr:uid="{00000000-0005-0000-0000-000070100000}"/>
    <cellStyle name="Normal 2 4 5 2 3 6 2" xfId="6765" xr:uid="{00000000-0005-0000-0000-000071100000}"/>
    <cellStyle name="Normal 2 4 5 2 3 6 2 2" xfId="32064" xr:uid="{734095F0-B75C-482F-84E6-3564149E5390}"/>
    <cellStyle name="Normal 2 4 5 2 3 6 2 3" xfId="23635" xr:uid="{179B267B-A3DD-473F-AFCE-E6A58FAEA2B6}"/>
    <cellStyle name="Normal 2 4 5 2 3 6 2 4" xfId="40492" xr:uid="{D90AD6F7-252A-4943-B261-3EA8900F41B7}"/>
    <cellStyle name="Normal 2 4 5 2 3 6 2 5" xfId="15200" xr:uid="{819EEFDE-713F-41CF-A595-96D51907CA04}"/>
    <cellStyle name="Normal 2 4 5 2 3 6 3" xfId="27846" xr:uid="{A9E62462-8220-4B84-89B7-9B95CBF0F822}"/>
    <cellStyle name="Normal 2 4 5 2 3 6 4" xfId="19417" xr:uid="{9E9D0813-4C5C-444F-869E-2FC903BAD5D3}"/>
    <cellStyle name="Normal 2 4 5 2 3 6 5" xfId="36275" xr:uid="{9A7790BF-D9D2-409E-A942-C9A5A8372BD1}"/>
    <cellStyle name="Normal 2 4 5 2 3 6 6" xfId="10982" xr:uid="{3A520992-C483-499B-BD2E-B3E7844D3F66}"/>
    <cellStyle name="Normal 2 4 5 2 3 7" xfId="4699" xr:uid="{00000000-0005-0000-0000-000072100000}"/>
    <cellStyle name="Normal 2 4 5 2 3 7 2" xfId="29998" xr:uid="{6A93DCAE-DBD7-41D3-AAA7-59E08B3A6A24}"/>
    <cellStyle name="Normal 2 4 5 2 3 7 3" xfId="21569" xr:uid="{7E6B2316-3A7B-4C92-A12F-5969B60BD6A7}"/>
    <cellStyle name="Normal 2 4 5 2 3 7 4" xfId="38426" xr:uid="{F54B6012-8165-426A-AF3B-FFF1C8E199EE}"/>
    <cellStyle name="Normal 2 4 5 2 3 7 5" xfId="13134" xr:uid="{25907D7A-E6F0-422A-9BCA-27DC86B7BD15}"/>
    <cellStyle name="Normal 2 4 5 2 3 8" xfId="25780" xr:uid="{35119AB0-2545-42B8-BDE5-BBA09D184EBF}"/>
    <cellStyle name="Normal 2 4 5 2 3 9" xfId="17351" xr:uid="{D5963C39-7F1F-4FB9-91D5-4A78C55D8668}"/>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32554" xr:uid="{53775837-A125-45D1-9DBD-701A8AC25AE8}"/>
    <cellStyle name="Normal 2 4 5 2 4 2 2 3" xfId="24125" xr:uid="{F51461C6-97A0-4D6F-B646-10B389AF146B}"/>
    <cellStyle name="Normal 2 4 5 2 4 2 2 4" xfId="40982" xr:uid="{CC431D69-B733-442C-AE4D-7F93B5F2EDC8}"/>
    <cellStyle name="Normal 2 4 5 2 4 2 2 5" xfId="15690" xr:uid="{E58160C3-EA6D-4FC6-B795-858FFEF36B21}"/>
    <cellStyle name="Normal 2 4 5 2 4 2 3" xfId="28336" xr:uid="{27FBC59E-29D4-44E4-9B82-168EC53F335B}"/>
    <cellStyle name="Normal 2 4 5 2 4 2 4" xfId="19907" xr:uid="{A842DDF6-2073-48DC-9D94-B65F58C726BB}"/>
    <cellStyle name="Normal 2 4 5 2 4 2 5" xfId="36765" xr:uid="{4FECAA0E-963B-41DA-A2F5-AD2A973AA817}"/>
    <cellStyle name="Normal 2 4 5 2 4 2 6" xfId="11472" xr:uid="{F927CB72-B49B-49B8-B828-7845FC81D5AD}"/>
    <cellStyle name="Normal 2 4 5 2 4 3" xfId="5110" xr:uid="{00000000-0005-0000-0000-000076100000}"/>
    <cellStyle name="Normal 2 4 5 2 4 3 2" xfId="30409" xr:uid="{B2A36C24-6E08-4075-99ED-1E0D7F09A0E4}"/>
    <cellStyle name="Normal 2 4 5 2 4 3 3" xfId="21980" xr:uid="{C0B7CCF1-101A-412F-B4A6-700C516B96F4}"/>
    <cellStyle name="Normal 2 4 5 2 4 3 4" xfId="38837" xr:uid="{19197886-1491-4FBA-AEF6-33F26E80B2C9}"/>
    <cellStyle name="Normal 2 4 5 2 4 3 5" xfId="13545" xr:uid="{438AA857-F947-4D29-892C-497475063675}"/>
    <cellStyle name="Normal 2 4 5 2 4 4" xfId="26191" xr:uid="{4D0F490B-DDC3-4EEE-A9A8-86AD24E39AB7}"/>
    <cellStyle name="Normal 2 4 5 2 4 5" xfId="17762" xr:uid="{1481693B-6D24-411E-91EA-3766D87FD3C9}"/>
    <cellStyle name="Normal 2 4 5 2 4 6" xfId="34620" xr:uid="{9ADF3A18-E71E-42A3-8767-DAAAAE84C3AA}"/>
    <cellStyle name="Normal 2 4 5 2 4 7" xfId="9327" xr:uid="{98FD9713-34BE-4B02-9C9A-AED0692017D9}"/>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32967" xr:uid="{472ACE63-A2BC-44F8-96AE-A9620D44C628}"/>
    <cellStyle name="Normal 2 4 5 2 5 2 2 3" xfId="24538" xr:uid="{AC09282B-9851-4CBB-AEB8-FB2CDC5407EC}"/>
    <cellStyle name="Normal 2 4 5 2 5 2 2 4" xfId="41395" xr:uid="{1BBC86EC-A3F7-4E94-8F20-E4F8A23B7413}"/>
    <cellStyle name="Normal 2 4 5 2 5 2 2 5" xfId="16103" xr:uid="{8EF051E8-2825-4820-9DE0-2A4D32C40ABA}"/>
    <cellStyle name="Normal 2 4 5 2 5 2 3" xfId="28749" xr:uid="{222E2B39-3878-4C84-8991-1184071CC555}"/>
    <cellStyle name="Normal 2 4 5 2 5 2 4" xfId="20320" xr:uid="{87CD9E5A-2350-41E5-A795-81A92C367EC8}"/>
    <cellStyle name="Normal 2 4 5 2 5 2 5" xfId="37178" xr:uid="{EDCB62EF-3308-4699-8C90-E10D5CC21305}"/>
    <cellStyle name="Normal 2 4 5 2 5 2 6" xfId="11885" xr:uid="{437EAA91-E467-413D-BC2F-3BF1617BB3D2}"/>
    <cellStyle name="Normal 2 4 5 2 5 3" xfId="5523" xr:uid="{00000000-0005-0000-0000-00007A100000}"/>
    <cellStyle name="Normal 2 4 5 2 5 3 2" xfId="30822" xr:uid="{83CACEA2-1BCA-4127-A58A-D081524D38C5}"/>
    <cellStyle name="Normal 2 4 5 2 5 3 3" xfId="22393" xr:uid="{19CD01BF-6B23-4A11-A6AC-D0A473D48704}"/>
    <cellStyle name="Normal 2 4 5 2 5 3 4" xfId="39250" xr:uid="{6AD08C16-2145-466B-9817-81C237361B59}"/>
    <cellStyle name="Normal 2 4 5 2 5 3 5" xfId="13958" xr:uid="{9AADF352-579F-49AA-970A-B2DD1320B624}"/>
    <cellStyle name="Normal 2 4 5 2 5 4" xfId="26604" xr:uid="{4A7E6691-7A8A-4CB6-826A-27C9157B76E5}"/>
    <cellStyle name="Normal 2 4 5 2 5 5" xfId="18175" xr:uid="{4FEBEAE1-5B3D-497C-A808-DF5DEA3105B1}"/>
    <cellStyle name="Normal 2 4 5 2 5 6" xfId="35033" xr:uid="{5A07660E-36CF-42D6-8708-64CE633C41CF}"/>
    <cellStyle name="Normal 2 4 5 2 5 7" xfId="9740" xr:uid="{C68900A5-6816-4BF1-9D4A-345A51C3749C}"/>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33380" xr:uid="{C4274F6E-78C6-4ECD-87DB-3D12BB9812AD}"/>
    <cellStyle name="Normal 2 4 5 2 6 2 2 3" xfId="24951" xr:uid="{B6C9856E-C0B7-42F0-A18E-E3351DE14198}"/>
    <cellStyle name="Normal 2 4 5 2 6 2 2 4" xfId="41808" xr:uid="{30725DF5-43C6-4097-9086-01B8CAE02C6E}"/>
    <cellStyle name="Normal 2 4 5 2 6 2 2 5" xfId="16516" xr:uid="{BAEE8E35-5C05-4F20-B136-01078A497FF6}"/>
    <cellStyle name="Normal 2 4 5 2 6 2 3" xfId="29162" xr:uid="{84EE5F52-7CB1-4A8D-942F-BE223CD72D53}"/>
    <cellStyle name="Normal 2 4 5 2 6 2 4" xfId="20733" xr:uid="{4046AD4F-16DD-4D92-8552-4125C1EC0E56}"/>
    <cellStyle name="Normal 2 4 5 2 6 2 5" xfId="37591" xr:uid="{3C9F3627-BB93-4307-9F6B-7CB5A5C3F622}"/>
    <cellStyle name="Normal 2 4 5 2 6 2 6" xfId="12298" xr:uid="{5FA89B16-BFEA-4AD8-B835-14F9439E3822}"/>
    <cellStyle name="Normal 2 4 5 2 6 3" xfId="5936" xr:uid="{00000000-0005-0000-0000-00007E100000}"/>
    <cellStyle name="Normal 2 4 5 2 6 3 2" xfId="31235" xr:uid="{DD46C4AB-C300-478F-9F73-6A972FBA8760}"/>
    <cellStyle name="Normal 2 4 5 2 6 3 3" xfId="22806" xr:uid="{C38A67A7-6500-48A9-BD33-8A9DEA247DEB}"/>
    <cellStyle name="Normal 2 4 5 2 6 3 4" xfId="39663" xr:uid="{B8134035-5EF9-4A88-939D-43E67072C7E2}"/>
    <cellStyle name="Normal 2 4 5 2 6 3 5" xfId="14371" xr:uid="{78F42FA9-A772-4E8B-9A99-BE33B575E4D6}"/>
    <cellStyle name="Normal 2 4 5 2 6 4" xfId="27017" xr:uid="{60639D72-0FB5-4A37-8E1C-A09A8623EAB5}"/>
    <cellStyle name="Normal 2 4 5 2 6 5" xfId="18588" xr:uid="{F5F05811-F931-48AA-8A44-FD5790AA9742}"/>
    <cellStyle name="Normal 2 4 5 2 6 6" xfId="35446" xr:uid="{D14C0B2A-AB26-49EF-9548-069BFA7A5D19}"/>
    <cellStyle name="Normal 2 4 5 2 6 7" xfId="10153" xr:uid="{976254A3-BA0C-45AE-B969-62142735263D}"/>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33793" xr:uid="{6E9577EF-273D-4D4C-B17B-00F570968B87}"/>
    <cellStyle name="Normal 2 4 5 2 7 2 2 3" xfId="25364" xr:uid="{3F2F495F-36E0-4C02-BC38-B42D1DA3E6A5}"/>
    <cellStyle name="Normal 2 4 5 2 7 2 2 4" xfId="42221" xr:uid="{AF381D1D-8EB6-40B5-BF7F-86E6295ABE0C}"/>
    <cellStyle name="Normal 2 4 5 2 7 2 2 5" xfId="16929" xr:uid="{54520B0B-2649-4C55-97CE-45393E50FFB0}"/>
    <cellStyle name="Normal 2 4 5 2 7 2 3" xfId="29575" xr:uid="{C841E3CB-86DA-44B2-B873-8E17670641B9}"/>
    <cellStyle name="Normal 2 4 5 2 7 2 4" xfId="21146" xr:uid="{8DA3F5B0-6CA6-4C82-87E9-388DB7D5BDC1}"/>
    <cellStyle name="Normal 2 4 5 2 7 2 5" xfId="38004" xr:uid="{B30E2791-9A97-4460-BF53-06692532D8B3}"/>
    <cellStyle name="Normal 2 4 5 2 7 2 6" xfId="12711" xr:uid="{0E0A9D91-0334-456F-8D8A-CE37C331886C}"/>
    <cellStyle name="Normal 2 4 5 2 7 3" xfId="6349" xr:uid="{00000000-0005-0000-0000-000082100000}"/>
    <cellStyle name="Normal 2 4 5 2 7 3 2" xfId="31648" xr:uid="{318AA312-958E-4131-8B14-1F9C52356AB6}"/>
    <cellStyle name="Normal 2 4 5 2 7 3 3" xfId="23219" xr:uid="{45AA0083-FCF9-4BD0-B998-CCC4C74152DD}"/>
    <cellStyle name="Normal 2 4 5 2 7 3 4" xfId="40076" xr:uid="{68C9F73D-B6A4-4EBA-9E73-C7981CAF6E54}"/>
    <cellStyle name="Normal 2 4 5 2 7 3 5" xfId="14784" xr:uid="{C71C2DB7-BCEE-49F3-96AA-41AFC8BF9948}"/>
    <cellStyle name="Normal 2 4 5 2 7 4" xfId="27430" xr:uid="{442D7AB4-2940-4191-8972-29AAC33E48C1}"/>
    <cellStyle name="Normal 2 4 5 2 7 5" xfId="19001" xr:uid="{18C3459A-F8C7-4556-862C-5A39164AA704}"/>
    <cellStyle name="Normal 2 4 5 2 7 6" xfId="35859" xr:uid="{F9AEF22A-2D8A-4C4A-8810-F328B4C7799C}"/>
    <cellStyle name="Normal 2 4 5 2 7 7" xfId="10566" xr:uid="{24F8D494-7B32-4F8D-9C9C-2D04D5CB8037}"/>
    <cellStyle name="Normal 2 4 5 2 8" xfId="2478" xr:uid="{00000000-0005-0000-0000-000083100000}"/>
    <cellStyle name="Normal 2 4 5 2 8 2" xfId="6762" xr:uid="{00000000-0005-0000-0000-000084100000}"/>
    <cellStyle name="Normal 2 4 5 2 8 2 2" xfId="32061" xr:uid="{A556BB2B-2302-4A20-B47C-46371227F31C}"/>
    <cellStyle name="Normal 2 4 5 2 8 2 3" xfId="23632" xr:uid="{1906D06C-A465-46CC-B1D2-1D4FDBF03D70}"/>
    <cellStyle name="Normal 2 4 5 2 8 2 4" xfId="40489" xr:uid="{B359A45A-D6B5-434A-8B81-C65118D58437}"/>
    <cellStyle name="Normal 2 4 5 2 8 2 5" xfId="15197" xr:uid="{BA3AB6A7-3795-4EFA-B115-5AD4040A0589}"/>
    <cellStyle name="Normal 2 4 5 2 8 3" xfId="27843" xr:uid="{FE43FB7F-52BE-4E03-BC48-92CE7B571BBE}"/>
    <cellStyle name="Normal 2 4 5 2 8 4" xfId="19414" xr:uid="{06B52573-2320-4E10-9B81-F3FABC56BF82}"/>
    <cellStyle name="Normal 2 4 5 2 8 5" xfId="36272" xr:uid="{F3E3C23F-E533-4D43-968F-D53FF0BB8051}"/>
    <cellStyle name="Normal 2 4 5 2 8 6" xfId="10979" xr:uid="{0C427F99-5E5E-4775-8719-924CA6C2EB8F}"/>
    <cellStyle name="Normal 2 4 5 2 9" xfId="4696" xr:uid="{00000000-0005-0000-0000-000085100000}"/>
    <cellStyle name="Normal 2 4 5 2 9 2" xfId="29995" xr:uid="{40FA5606-80DB-4307-B8AD-3255380B0EB8}"/>
    <cellStyle name="Normal 2 4 5 2 9 3" xfId="21566" xr:uid="{723E36A7-BBF6-4173-8C9C-38E528899A44}"/>
    <cellStyle name="Normal 2 4 5 2 9 4" xfId="38423" xr:uid="{6BFEBD01-CB98-40A3-BC6F-EC4A6249146B}"/>
    <cellStyle name="Normal 2 4 5 2 9 5" xfId="13131" xr:uid="{B7F6639E-9FA9-4FF2-94E5-34C5D5EA842F}"/>
    <cellStyle name="Normal 2 4 5 3" xfId="308" xr:uid="{00000000-0005-0000-0000-000086100000}"/>
    <cellStyle name="Normal 2 4 5 3 10" xfId="17352" xr:uid="{D9618AE5-670A-4870-80E7-154BB25A7D89}"/>
    <cellStyle name="Normal 2 4 5 3 11" xfId="34210" xr:uid="{194BBE5E-5AFD-47FE-98FE-F1823BAB2DF4}"/>
    <cellStyle name="Normal 2 4 5 3 12" xfId="8917" xr:uid="{D7F8FB44-CC9E-47D2-BF84-475D38908CBF}"/>
    <cellStyle name="Normal 2 4 5 3 2" xfId="309" xr:uid="{00000000-0005-0000-0000-000087100000}"/>
    <cellStyle name="Normal 2 4 5 3 2 10" xfId="34211" xr:uid="{09DFCB2B-0FD9-46D3-ACFB-924F4F4CC65E}"/>
    <cellStyle name="Normal 2 4 5 3 2 11" xfId="8918" xr:uid="{DDCF18E8-EBC5-49A3-A7CA-59A49967BEA4}"/>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32559" xr:uid="{CF6D537C-4327-46E0-A0E4-8C921FFC30E7}"/>
    <cellStyle name="Normal 2 4 5 3 2 2 2 2 3" xfId="24130" xr:uid="{250C4472-AFBA-4986-81CE-18F5EC238324}"/>
    <cellStyle name="Normal 2 4 5 3 2 2 2 2 4" xfId="40987" xr:uid="{C3F2AAA0-6A4E-4A1F-95AE-61A3A4C24A7E}"/>
    <cellStyle name="Normal 2 4 5 3 2 2 2 2 5" xfId="15695" xr:uid="{D24313DF-053B-4FAE-9563-EABA5CAC98B6}"/>
    <cellStyle name="Normal 2 4 5 3 2 2 2 3" xfId="28341" xr:uid="{BC9FD302-CFAD-4D51-8F62-573D2AABE41D}"/>
    <cellStyle name="Normal 2 4 5 3 2 2 2 4" xfId="19912" xr:uid="{BBE7DC31-3C79-4C09-95E2-EAB8B36F110A}"/>
    <cellStyle name="Normal 2 4 5 3 2 2 2 5" xfId="36770" xr:uid="{7FDCD040-065E-4029-8100-F7D3C1DEC91C}"/>
    <cellStyle name="Normal 2 4 5 3 2 2 2 6" xfId="11477" xr:uid="{1804D6EA-18B8-4BB3-903D-89DA7189CA46}"/>
    <cellStyle name="Normal 2 4 5 3 2 2 3" xfId="5115" xr:uid="{00000000-0005-0000-0000-00008B100000}"/>
    <cellStyle name="Normal 2 4 5 3 2 2 3 2" xfId="30414" xr:uid="{DB39430E-C749-4287-89EB-4F95993F83F9}"/>
    <cellStyle name="Normal 2 4 5 3 2 2 3 3" xfId="21985" xr:uid="{3E51BA7E-181F-4B0B-9818-F8FFFF18C9BF}"/>
    <cellStyle name="Normal 2 4 5 3 2 2 3 4" xfId="38842" xr:uid="{756771D0-AD99-49E1-8EC2-4AB88C865042}"/>
    <cellStyle name="Normal 2 4 5 3 2 2 3 5" xfId="13550" xr:uid="{8601AA99-C752-4BDE-BE54-A3EF5E8DC2FB}"/>
    <cellStyle name="Normal 2 4 5 3 2 2 4" xfId="26196" xr:uid="{61528CC8-52DE-45B8-B8A8-C51AC24B8F27}"/>
    <cellStyle name="Normal 2 4 5 3 2 2 5" xfId="17767" xr:uid="{F46D7673-08EE-4085-BC5B-2DE9FE1E3282}"/>
    <cellStyle name="Normal 2 4 5 3 2 2 6" xfId="34625" xr:uid="{0FD3A37C-9C71-401E-BF8B-A90EBC17F7D1}"/>
    <cellStyle name="Normal 2 4 5 3 2 2 7" xfId="9332" xr:uid="{1EE25246-44B3-4572-8B79-DCC2A78D564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32972" xr:uid="{0B3CE7B4-3F1A-42FE-BB7E-DE3289566275}"/>
    <cellStyle name="Normal 2 4 5 3 2 3 2 2 3" xfId="24543" xr:uid="{068DAFD9-CD0E-487A-9988-CD6C74BBAF6C}"/>
    <cellStyle name="Normal 2 4 5 3 2 3 2 2 4" xfId="41400" xr:uid="{F27E91D0-A522-4F5D-BD88-A2347533D2D4}"/>
    <cellStyle name="Normal 2 4 5 3 2 3 2 2 5" xfId="16108" xr:uid="{577F51E8-34C6-49C8-861A-48AFDBC3793B}"/>
    <cellStyle name="Normal 2 4 5 3 2 3 2 3" xfId="28754" xr:uid="{A545E1D8-5F1D-4FF6-9B0C-3885643AE856}"/>
    <cellStyle name="Normal 2 4 5 3 2 3 2 4" xfId="20325" xr:uid="{C8A98233-0C8D-4D5C-8A07-D6F06B47EB77}"/>
    <cellStyle name="Normal 2 4 5 3 2 3 2 5" xfId="37183" xr:uid="{A7ED5ED4-CA01-416E-84D7-0B6F3F3ECE21}"/>
    <cellStyle name="Normal 2 4 5 3 2 3 2 6" xfId="11890" xr:uid="{1F2BD5E2-FF65-4209-8610-B3141D23121A}"/>
    <cellStyle name="Normal 2 4 5 3 2 3 3" xfId="5528" xr:uid="{00000000-0005-0000-0000-00008F100000}"/>
    <cellStyle name="Normal 2 4 5 3 2 3 3 2" xfId="30827" xr:uid="{FF08F59B-A575-480F-AC6F-0AD69BCB75C9}"/>
    <cellStyle name="Normal 2 4 5 3 2 3 3 3" xfId="22398" xr:uid="{A5DA4301-D322-4F89-8C6D-2CF616C88DD8}"/>
    <cellStyle name="Normal 2 4 5 3 2 3 3 4" xfId="39255" xr:uid="{91D8E16D-E8B7-468A-AF33-A1845FBECE25}"/>
    <cellStyle name="Normal 2 4 5 3 2 3 3 5" xfId="13963" xr:uid="{FD1F8D04-3A72-42CA-BF60-BE232D804343}"/>
    <cellStyle name="Normal 2 4 5 3 2 3 4" xfId="26609" xr:uid="{67BC240A-A5EC-44A2-89EC-86B12AF36BDC}"/>
    <cellStyle name="Normal 2 4 5 3 2 3 5" xfId="18180" xr:uid="{D3698A17-71E0-4331-AD22-BE27AF89B543}"/>
    <cellStyle name="Normal 2 4 5 3 2 3 6" xfId="35038" xr:uid="{8B43A1CE-4688-4E91-9D54-C540DEA265C4}"/>
    <cellStyle name="Normal 2 4 5 3 2 3 7" xfId="9745" xr:uid="{9247DDDF-B5F3-4E12-953D-D637215C6CA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33385" xr:uid="{AB36896F-0BF9-4E03-9D40-77E96BABA294}"/>
    <cellStyle name="Normal 2 4 5 3 2 4 2 2 3" xfId="24956" xr:uid="{9B8177A3-C52B-4176-938A-F06A96FF7BD2}"/>
    <cellStyle name="Normal 2 4 5 3 2 4 2 2 4" xfId="41813" xr:uid="{CCDDBEEB-90B3-4125-84FD-67A36D345252}"/>
    <cellStyle name="Normal 2 4 5 3 2 4 2 2 5" xfId="16521" xr:uid="{16F9E7E6-18A0-41A2-BD68-DBABAB9FAA4E}"/>
    <cellStyle name="Normal 2 4 5 3 2 4 2 3" xfId="29167" xr:uid="{6DB066CE-1789-4270-A7A3-C5707557CCDF}"/>
    <cellStyle name="Normal 2 4 5 3 2 4 2 4" xfId="20738" xr:uid="{B6A2DAEF-418C-4B0D-9FC5-A9B8B6335555}"/>
    <cellStyle name="Normal 2 4 5 3 2 4 2 5" xfId="37596" xr:uid="{E69B5B2D-C787-477E-B6BF-E1AD9A30D3E4}"/>
    <cellStyle name="Normal 2 4 5 3 2 4 2 6" xfId="12303" xr:uid="{903BF6C7-4936-4F77-AC09-4066E4903353}"/>
    <cellStyle name="Normal 2 4 5 3 2 4 3" xfId="5941" xr:uid="{00000000-0005-0000-0000-000093100000}"/>
    <cellStyle name="Normal 2 4 5 3 2 4 3 2" xfId="31240" xr:uid="{14396C42-B966-4793-8B99-52A6DD7421E1}"/>
    <cellStyle name="Normal 2 4 5 3 2 4 3 3" xfId="22811" xr:uid="{91F14660-AA86-4D13-9C11-159D6824F702}"/>
    <cellStyle name="Normal 2 4 5 3 2 4 3 4" xfId="39668" xr:uid="{547D4B15-DDC5-4EAF-8FB5-E04CDFDE03ED}"/>
    <cellStyle name="Normal 2 4 5 3 2 4 3 5" xfId="14376" xr:uid="{B4A8566A-C0DC-46CE-BAF8-A4828C9B802D}"/>
    <cellStyle name="Normal 2 4 5 3 2 4 4" xfId="27022" xr:uid="{4703FED9-A64A-4F55-B6F8-43603344C236}"/>
    <cellStyle name="Normal 2 4 5 3 2 4 5" xfId="18593" xr:uid="{BEA4D052-D484-45AC-8ECA-6DFC6231E568}"/>
    <cellStyle name="Normal 2 4 5 3 2 4 6" xfId="35451" xr:uid="{DC78A906-A8C0-4DA9-B619-37491F30BE2D}"/>
    <cellStyle name="Normal 2 4 5 3 2 4 7" xfId="10158" xr:uid="{E2F74786-A099-4563-AD7F-669E68B17CD1}"/>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33798" xr:uid="{0BB47F34-14AB-43E3-98B3-962B2AF9CBE3}"/>
    <cellStyle name="Normal 2 4 5 3 2 5 2 2 3" xfId="25369" xr:uid="{F7A914E7-ADDB-4482-A56E-2974CB94BFC2}"/>
    <cellStyle name="Normal 2 4 5 3 2 5 2 2 4" xfId="42226" xr:uid="{8E729676-24AC-4AAE-8CC7-1FE1A5187309}"/>
    <cellStyle name="Normal 2 4 5 3 2 5 2 2 5" xfId="16934" xr:uid="{C33FCEA1-2998-43FC-8F48-EB3A9A191A6E}"/>
    <cellStyle name="Normal 2 4 5 3 2 5 2 3" xfId="29580" xr:uid="{AC656F71-7E9D-4D25-B6B0-168035659937}"/>
    <cellStyle name="Normal 2 4 5 3 2 5 2 4" xfId="21151" xr:uid="{2B770E36-B541-4AF1-8343-0CCD9709B7DB}"/>
    <cellStyle name="Normal 2 4 5 3 2 5 2 5" xfId="38009" xr:uid="{434952A5-0DB4-4105-871F-746ED8375C3A}"/>
    <cellStyle name="Normal 2 4 5 3 2 5 2 6" xfId="12716" xr:uid="{305338B2-E55D-4625-B245-CF2F5C2DFA0E}"/>
    <cellStyle name="Normal 2 4 5 3 2 5 3" xfId="6354" xr:uid="{00000000-0005-0000-0000-000097100000}"/>
    <cellStyle name="Normal 2 4 5 3 2 5 3 2" xfId="31653" xr:uid="{2B126DA3-3BED-4971-BBFE-B7A6CDA1ECC5}"/>
    <cellStyle name="Normal 2 4 5 3 2 5 3 3" xfId="23224" xr:uid="{41836593-D1EC-4264-B8CE-DCD2EEDA3DC0}"/>
    <cellStyle name="Normal 2 4 5 3 2 5 3 4" xfId="40081" xr:uid="{0963478A-DBAE-4FC1-845A-93024F1EAE10}"/>
    <cellStyle name="Normal 2 4 5 3 2 5 3 5" xfId="14789" xr:uid="{B6866458-5680-4F60-9F33-619A91A891E8}"/>
    <cellStyle name="Normal 2 4 5 3 2 5 4" xfId="27435" xr:uid="{6A0B50C9-1F66-4A01-AAF0-B43264E9C591}"/>
    <cellStyle name="Normal 2 4 5 3 2 5 5" xfId="19006" xr:uid="{5D45B7CE-90F0-497E-8705-9E7FAB1DF613}"/>
    <cellStyle name="Normal 2 4 5 3 2 5 6" xfId="35864" xr:uid="{673B9F6D-0639-4872-86A0-83F31C4D8458}"/>
    <cellStyle name="Normal 2 4 5 3 2 5 7" xfId="10571" xr:uid="{9C366A56-655D-4CE5-9D92-EE0D5D4400D3}"/>
    <cellStyle name="Normal 2 4 5 3 2 6" xfId="2483" xr:uid="{00000000-0005-0000-0000-000098100000}"/>
    <cellStyle name="Normal 2 4 5 3 2 6 2" xfId="6767" xr:uid="{00000000-0005-0000-0000-000099100000}"/>
    <cellStyle name="Normal 2 4 5 3 2 6 2 2" xfId="32066" xr:uid="{6A1393EC-B48A-4049-B23B-051E6D73D5A1}"/>
    <cellStyle name="Normal 2 4 5 3 2 6 2 3" xfId="23637" xr:uid="{8B02FF67-022B-495A-9EE9-A5356560653F}"/>
    <cellStyle name="Normal 2 4 5 3 2 6 2 4" xfId="40494" xr:uid="{2F539E23-5744-47DA-BB3B-FD8C796BBFAD}"/>
    <cellStyle name="Normal 2 4 5 3 2 6 2 5" xfId="15202" xr:uid="{51F85E0B-AB47-40BD-9084-6C2D77CF4BAB}"/>
    <cellStyle name="Normal 2 4 5 3 2 6 3" xfId="27848" xr:uid="{77351C46-A747-4E82-8BE2-050183460226}"/>
    <cellStyle name="Normal 2 4 5 3 2 6 4" xfId="19419" xr:uid="{B503F7A5-5FED-41BD-BECC-EFA14FC4AE7C}"/>
    <cellStyle name="Normal 2 4 5 3 2 6 5" xfId="36277" xr:uid="{97D7559F-91CA-4438-9D0E-740B82F90D08}"/>
    <cellStyle name="Normal 2 4 5 3 2 6 6" xfId="10984" xr:uid="{14CC4349-060A-484F-99F4-095BC3ABE2B8}"/>
    <cellStyle name="Normal 2 4 5 3 2 7" xfId="4701" xr:uid="{00000000-0005-0000-0000-00009A100000}"/>
    <cellStyle name="Normal 2 4 5 3 2 7 2" xfId="30000" xr:uid="{D74AD745-0F37-46EC-8280-639CC01D0847}"/>
    <cellStyle name="Normal 2 4 5 3 2 7 3" xfId="21571" xr:uid="{FBCE336C-1938-4A73-B43A-EF25A1AF28D0}"/>
    <cellStyle name="Normal 2 4 5 3 2 7 4" xfId="38428" xr:uid="{45A66587-7517-4EF4-8322-E310B9C41792}"/>
    <cellStyle name="Normal 2 4 5 3 2 7 5" xfId="13136" xr:uid="{DB5BBE5C-6740-43E6-B4E0-26B664512044}"/>
    <cellStyle name="Normal 2 4 5 3 2 8" xfId="25782" xr:uid="{8D7F9A37-64A3-463D-9E6B-970616E5DE39}"/>
    <cellStyle name="Normal 2 4 5 3 2 9" xfId="17353" xr:uid="{0FD15779-23E9-46CA-8F48-893C963AB16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32558" xr:uid="{B3E69F3D-B012-4323-8CFE-AD3335FDDCEA}"/>
    <cellStyle name="Normal 2 4 5 3 3 2 2 3" xfId="24129" xr:uid="{1ECD1A18-8E0A-4C9D-A7FE-6BE06F2C3AFC}"/>
    <cellStyle name="Normal 2 4 5 3 3 2 2 4" xfId="40986" xr:uid="{9FD8DC2C-522A-4B8D-AE38-8C5111655B24}"/>
    <cellStyle name="Normal 2 4 5 3 3 2 2 5" xfId="15694" xr:uid="{C08570A5-8D32-4C44-850E-8AD09EE39D5E}"/>
    <cellStyle name="Normal 2 4 5 3 3 2 3" xfId="28340" xr:uid="{A4E096C4-E745-4977-81F1-B4DAA3E28C16}"/>
    <cellStyle name="Normal 2 4 5 3 3 2 4" xfId="19911" xr:uid="{A4A4C88B-99C5-4591-86EB-002970181BD9}"/>
    <cellStyle name="Normal 2 4 5 3 3 2 5" xfId="36769" xr:uid="{241424E4-005C-49ED-BA61-AD40AAEE568D}"/>
    <cellStyle name="Normal 2 4 5 3 3 2 6" xfId="11476" xr:uid="{A0F69ADB-E448-4000-8D92-272F6AC0A898}"/>
    <cellStyle name="Normal 2 4 5 3 3 3" xfId="5114" xr:uid="{00000000-0005-0000-0000-00009E100000}"/>
    <cellStyle name="Normal 2 4 5 3 3 3 2" xfId="30413" xr:uid="{E50C935F-4814-4CB3-9474-CA8B0F636D0D}"/>
    <cellStyle name="Normal 2 4 5 3 3 3 3" xfId="21984" xr:uid="{4C64B6F5-069C-4833-A0FB-3DB0CF8D2AF6}"/>
    <cellStyle name="Normal 2 4 5 3 3 3 4" xfId="38841" xr:uid="{6DE32AB6-6566-45AE-AE35-14F30CB4614B}"/>
    <cellStyle name="Normal 2 4 5 3 3 3 5" xfId="13549" xr:uid="{EB4A7ED0-83BE-4D93-B9FB-36A568419A08}"/>
    <cellStyle name="Normal 2 4 5 3 3 4" xfId="26195" xr:uid="{F7960974-2497-471E-8434-8DFBAA4C40AC}"/>
    <cellStyle name="Normal 2 4 5 3 3 5" xfId="17766" xr:uid="{47F0957A-F3A8-46B8-8770-A53C7CC5C357}"/>
    <cellStyle name="Normal 2 4 5 3 3 6" xfId="34624" xr:uid="{74047906-EFB1-4FB1-9D21-7F6E55709AF9}"/>
    <cellStyle name="Normal 2 4 5 3 3 7" xfId="9331" xr:uid="{BEC2A133-77CA-45CA-A21E-49B6C1B0C8B9}"/>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32971" xr:uid="{C73A06CE-D8F1-4126-8D1A-8149E2C3DAC5}"/>
    <cellStyle name="Normal 2 4 5 3 4 2 2 3" xfId="24542" xr:uid="{46843F12-F13E-4689-A584-DB45E1A55864}"/>
    <cellStyle name="Normal 2 4 5 3 4 2 2 4" xfId="41399" xr:uid="{947113BF-6BAC-427E-8D51-33193F671752}"/>
    <cellStyle name="Normal 2 4 5 3 4 2 2 5" xfId="16107" xr:uid="{A78593EB-C1DB-4955-A50D-DF16381FC1F3}"/>
    <cellStyle name="Normal 2 4 5 3 4 2 3" xfId="28753" xr:uid="{B40DB74C-3876-4621-842D-3A510A76965B}"/>
    <cellStyle name="Normal 2 4 5 3 4 2 4" xfId="20324" xr:uid="{9C238348-A798-46E5-9637-9A39BD0A3ECC}"/>
    <cellStyle name="Normal 2 4 5 3 4 2 5" xfId="37182" xr:uid="{EFA6A6EF-BCEC-4007-B2EB-FD442D4785E4}"/>
    <cellStyle name="Normal 2 4 5 3 4 2 6" xfId="11889" xr:uid="{D7E77132-FB90-4ACC-AC9D-9E94B6C8A065}"/>
    <cellStyle name="Normal 2 4 5 3 4 3" xfId="5527" xr:uid="{00000000-0005-0000-0000-0000A2100000}"/>
    <cellStyle name="Normal 2 4 5 3 4 3 2" xfId="30826" xr:uid="{864EA912-AA91-46DB-862A-3B6430010DF0}"/>
    <cellStyle name="Normal 2 4 5 3 4 3 3" xfId="22397" xr:uid="{7A625FA0-920F-43BA-BA1B-F800F3C1072E}"/>
    <cellStyle name="Normal 2 4 5 3 4 3 4" xfId="39254" xr:uid="{04C18A93-FC73-4902-8623-207DB282606D}"/>
    <cellStyle name="Normal 2 4 5 3 4 3 5" xfId="13962" xr:uid="{1BA6B658-585A-437E-BD47-1B6E6C41181D}"/>
    <cellStyle name="Normal 2 4 5 3 4 4" xfId="26608" xr:uid="{E503EE6E-9F04-4AFA-A3AE-316498DD78CD}"/>
    <cellStyle name="Normal 2 4 5 3 4 5" xfId="18179" xr:uid="{21D46C4D-DA5B-46F0-82E5-FAEA494B70DF}"/>
    <cellStyle name="Normal 2 4 5 3 4 6" xfId="35037" xr:uid="{5E5BBBD0-EE00-4A5E-9EE6-0CF99DFC419F}"/>
    <cellStyle name="Normal 2 4 5 3 4 7" xfId="9744" xr:uid="{E31286CD-5FC0-4A77-84BE-0B5D03E8CE4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33384" xr:uid="{C6419F58-797E-475A-AC7C-1EA0C8050C68}"/>
    <cellStyle name="Normal 2 4 5 3 5 2 2 3" xfId="24955" xr:uid="{A564287D-EB21-4233-A688-E6D5F25174AD}"/>
    <cellStyle name="Normal 2 4 5 3 5 2 2 4" xfId="41812" xr:uid="{1559718B-CE81-4564-BE90-54AC49F9777F}"/>
    <cellStyle name="Normal 2 4 5 3 5 2 2 5" xfId="16520" xr:uid="{8A9B32FB-B1AE-4113-94E9-1B4524C1BE90}"/>
    <cellStyle name="Normal 2 4 5 3 5 2 3" xfId="29166" xr:uid="{46E299AA-5B9E-4138-8290-7BB2166CD6D3}"/>
    <cellStyle name="Normal 2 4 5 3 5 2 4" xfId="20737" xr:uid="{820FB179-DE2D-4649-9B0D-C050777D461B}"/>
    <cellStyle name="Normal 2 4 5 3 5 2 5" xfId="37595" xr:uid="{305B89CC-DF53-4BB0-AAB4-7DD570AD2DDB}"/>
    <cellStyle name="Normal 2 4 5 3 5 2 6" xfId="12302" xr:uid="{D10F1E5F-AD4F-46AF-ADFD-4EF8F5578AD1}"/>
    <cellStyle name="Normal 2 4 5 3 5 3" xfId="5940" xr:uid="{00000000-0005-0000-0000-0000A6100000}"/>
    <cellStyle name="Normal 2 4 5 3 5 3 2" xfId="31239" xr:uid="{B2527F16-43BE-4DED-AA38-DCDBEE4C5048}"/>
    <cellStyle name="Normal 2 4 5 3 5 3 3" xfId="22810" xr:uid="{2152D248-7CA9-4C64-ACB3-A1BF692EF646}"/>
    <cellStyle name="Normal 2 4 5 3 5 3 4" xfId="39667" xr:uid="{C3160EBB-319F-418C-B912-716D5729DFF8}"/>
    <cellStyle name="Normal 2 4 5 3 5 3 5" xfId="14375" xr:uid="{67055CA3-5EE7-4317-A4BC-3D810DDEC146}"/>
    <cellStyle name="Normal 2 4 5 3 5 4" xfId="27021" xr:uid="{A706CCE4-B8C2-43CD-A2A7-1A699F5821F2}"/>
    <cellStyle name="Normal 2 4 5 3 5 5" xfId="18592" xr:uid="{73AAC5EE-A665-4DAA-ADE2-29EC4C22494B}"/>
    <cellStyle name="Normal 2 4 5 3 5 6" xfId="35450" xr:uid="{73BDA66D-39A4-41B4-8D83-6F52C7F2010C}"/>
    <cellStyle name="Normal 2 4 5 3 5 7" xfId="10157" xr:uid="{C30A3454-9C65-423E-8599-8DFFD2DDAE51}"/>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33797" xr:uid="{53DBF1A6-0389-45D2-BA00-4CDC20C170B5}"/>
    <cellStyle name="Normal 2 4 5 3 6 2 2 3" xfId="25368" xr:uid="{0180819C-C94B-4605-823A-DCFD653A241E}"/>
    <cellStyle name="Normal 2 4 5 3 6 2 2 4" xfId="42225" xr:uid="{CAABFCE8-BE55-460D-B6B9-05508EF992F5}"/>
    <cellStyle name="Normal 2 4 5 3 6 2 2 5" xfId="16933" xr:uid="{C8717E9F-916D-4601-93BB-57F18CA7CCC6}"/>
    <cellStyle name="Normal 2 4 5 3 6 2 3" xfId="29579" xr:uid="{188F4F3F-265F-49CB-9444-782F903EBD1D}"/>
    <cellStyle name="Normal 2 4 5 3 6 2 4" xfId="21150" xr:uid="{F76027E7-C71A-40DB-A045-385318619C40}"/>
    <cellStyle name="Normal 2 4 5 3 6 2 5" xfId="38008" xr:uid="{22AAAC96-6BE0-42BB-86B0-2EE58C0153F9}"/>
    <cellStyle name="Normal 2 4 5 3 6 2 6" xfId="12715" xr:uid="{7051AA61-5267-4A18-BBFB-3EA84106DC9B}"/>
    <cellStyle name="Normal 2 4 5 3 6 3" xfId="6353" xr:uid="{00000000-0005-0000-0000-0000AA100000}"/>
    <cellStyle name="Normal 2 4 5 3 6 3 2" xfId="31652" xr:uid="{5275A575-8DB1-4DB7-9DDD-5671FA3F2C41}"/>
    <cellStyle name="Normal 2 4 5 3 6 3 3" xfId="23223" xr:uid="{9D88C404-F482-4098-913B-399303A6308A}"/>
    <cellStyle name="Normal 2 4 5 3 6 3 4" xfId="40080" xr:uid="{E6EBA39D-CBB5-47F7-854D-CB30732FAF65}"/>
    <cellStyle name="Normal 2 4 5 3 6 3 5" xfId="14788" xr:uid="{074A9FF7-76E6-4FB4-A925-8AFD8F7AD154}"/>
    <cellStyle name="Normal 2 4 5 3 6 4" xfId="27434" xr:uid="{83B4D323-FED9-44B8-A9BF-13266FAC6D16}"/>
    <cellStyle name="Normal 2 4 5 3 6 5" xfId="19005" xr:uid="{204F146A-A553-4871-A9C8-146C6203E894}"/>
    <cellStyle name="Normal 2 4 5 3 6 6" xfId="35863" xr:uid="{0BA8059D-D152-410D-984F-1A477F781A74}"/>
    <cellStyle name="Normal 2 4 5 3 6 7" xfId="10570" xr:uid="{B7713624-8DCE-414E-82AB-46BF3606FAC8}"/>
    <cellStyle name="Normal 2 4 5 3 7" xfId="2482" xr:uid="{00000000-0005-0000-0000-0000AB100000}"/>
    <cellStyle name="Normal 2 4 5 3 7 2" xfId="6766" xr:uid="{00000000-0005-0000-0000-0000AC100000}"/>
    <cellStyle name="Normal 2 4 5 3 7 2 2" xfId="32065" xr:uid="{D40B62DF-98CC-4EEB-B6AE-4E6B9B6FA255}"/>
    <cellStyle name="Normal 2 4 5 3 7 2 3" xfId="23636" xr:uid="{653E6703-0B1E-46D6-9586-E909436DF22D}"/>
    <cellStyle name="Normal 2 4 5 3 7 2 4" xfId="40493" xr:uid="{42173782-6EB9-4215-BBE2-8E79700F335E}"/>
    <cellStyle name="Normal 2 4 5 3 7 2 5" xfId="15201" xr:uid="{3CB14814-119B-4944-AF72-758BBA4100F1}"/>
    <cellStyle name="Normal 2 4 5 3 7 3" xfId="27847" xr:uid="{2CD9C490-BE96-4312-8213-8220902DA614}"/>
    <cellStyle name="Normal 2 4 5 3 7 4" xfId="19418" xr:uid="{BF294A0D-6C30-47EA-A4F0-94022A6BA42D}"/>
    <cellStyle name="Normal 2 4 5 3 7 5" xfId="36276" xr:uid="{C252377F-2EF8-48B9-B71A-BACABA7D621D}"/>
    <cellStyle name="Normal 2 4 5 3 7 6" xfId="10983" xr:uid="{6359BA1A-895B-4A4B-90C2-6DF770DAFA45}"/>
    <cellStyle name="Normal 2 4 5 3 8" xfId="4700" xr:uid="{00000000-0005-0000-0000-0000AD100000}"/>
    <cellStyle name="Normal 2 4 5 3 8 2" xfId="29999" xr:uid="{00B68FAA-C75C-41F4-8AD9-453214DDE07F}"/>
    <cellStyle name="Normal 2 4 5 3 8 3" xfId="21570" xr:uid="{1C690EE2-ECCA-4250-8C3D-FBBECDAF05B0}"/>
    <cellStyle name="Normal 2 4 5 3 8 4" xfId="38427" xr:uid="{F10F1773-5A4E-4E50-924B-F35051B557CD}"/>
    <cellStyle name="Normal 2 4 5 3 8 5" xfId="13135" xr:uid="{43DA054B-5F7D-4F10-8617-18F19F7D4F67}"/>
    <cellStyle name="Normal 2 4 5 3 9" xfId="25781" xr:uid="{C27A7E77-7680-4C17-B1EF-F053CA43A2B0}"/>
    <cellStyle name="Normal 2 4 5 4" xfId="310" xr:uid="{00000000-0005-0000-0000-0000AE100000}"/>
    <cellStyle name="Normal 2 4 5 4 10" xfId="34212" xr:uid="{6A73EC06-6E46-4147-915E-F14CDA37E785}"/>
    <cellStyle name="Normal 2 4 5 4 11" xfId="8919" xr:uid="{3F31FA3B-CC7E-43E2-A7E0-E032F304664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32560" xr:uid="{EF98E797-91E1-4F76-8E4A-E3F7AF75D239}"/>
    <cellStyle name="Normal 2 4 5 4 2 2 2 3" xfId="24131" xr:uid="{25FE871B-9EE1-4EE0-B4E2-22E879B3C532}"/>
    <cellStyle name="Normal 2 4 5 4 2 2 2 4" xfId="40988" xr:uid="{5B8C5491-D3F4-4479-BE65-874F8DDEF983}"/>
    <cellStyle name="Normal 2 4 5 4 2 2 2 5" xfId="15696" xr:uid="{5B179D9D-E605-46E8-BBD2-8D511769F965}"/>
    <cellStyle name="Normal 2 4 5 4 2 2 3" xfId="28342" xr:uid="{5EEED108-E2FA-4A77-B64B-F37B61EC99A1}"/>
    <cellStyle name="Normal 2 4 5 4 2 2 4" xfId="19913" xr:uid="{DAD4425D-F767-4669-B7D4-067065D6F6FE}"/>
    <cellStyle name="Normal 2 4 5 4 2 2 5" xfId="36771" xr:uid="{4491E562-85CA-4220-89B8-0511904DA7DF}"/>
    <cellStyle name="Normal 2 4 5 4 2 2 6" xfId="11478" xr:uid="{9D1027A4-F20D-4936-893D-46EFBD5D44A5}"/>
    <cellStyle name="Normal 2 4 5 4 2 3" xfId="5116" xr:uid="{00000000-0005-0000-0000-0000B2100000}"/>
    <cellStyle name="Normal 2 4 5 4 2 3 2" xfId="30415" xr:uid="{BC354778-1D8F-4F0C-931A-1522BC04BDCB}"/>
    <cellStyle name="Normal 2 4 5 4 2 3 3" xfId="21986" xr:uid="{7A5A130C-08EA-48EA-BE70-C48CBF00344F}"/>
    <cellStyle name="Normal 2 4 5 4 2 3 4" xfId="38843" xr:uid="{01535F11-6AEF-49BF-8960-E63213772DD7}"/>
    <cellStyle name="Normal 2 4 5 4 2 3 5" xfId="13551" xr:uid="{F30915F4-2275-43B2-B229-35377C9E94CE}"/>
    <cellStyle name="Normal 2 4 5 4 2 4" xfId="26197" xr:uid="{20A0330D-1041-4F17-86DA-CC2A9CDE3C66}"/>
    <cellStyle name="Normal 2 4 5 4 2 5" xfId="17768" xr:uid="{EAA8281C-0524-4BA9-9C7D-A608EDED862F}"/>
    <cellStyle name="Normal 2 4 5 4 2 6" xfId="34626" xr:uid="{52E2F02A-D3D2-4AE3-80BB-882384A375C1}"/>
    <cellStyle name="Normal 2 4 5 4 2 7" xfId="9333" xr:uid="{31524378-7364-4913-ADA0-7E1E18357E19}"/>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32973" xr:uid="{15DB2141-B341-49D8-9B37-9ABB808719F4}"/>
    <cellStyle name="Normal 2 4 5 4 3 2 2 3" xfId="24544" xr:uid="{CF9840BB-B285-4411-A6B0-6B7BCCF61D7E}"/>
    <cellStyle name="Normal 2 4 5 4 3 2 2 4" xfId="41401" xr:uid="{AB9E4C7F-22BD-443E-9A48-86715B2BEC4F}"/>
    <cellStyle name="Normal 2 4 5 4 3 2 2 5" xfId="16109" xr:uid="{F3F62589-5B21-4372-A104-2B5596E6E616}"/>
    <cellStyle name="Normal 2 4 5 4 3 2 3" xfId="28755" xr:uid="{6C27DD0A-1699-49B5-BCEE-B84203C8883D}"/>
    <cellStyle name="Normal 2 4 5 4 3 2 4" xfId="20326" xr:uid="{4B81B37B-C936-44D8-BFD2-D0F915DE6023}"/>
    <cellStyle name="Normal 2 4 5 4 3 2 5" xfId="37184" xr:uid="{35DC1B47-9EC0-472F-A265-04F29C618083}"/>
    <cellStyle name="Normal 2 4 5 4 3 2 6" xfId="11891" xr:uid="{B7ECC168-1DAF-4E86-92D9-7FBC140B4A08}"/>
    <cellStyle name="Normal 2 4 5 4 3 3" xfId="5529" xr:uid="{00000000-0005-0000-0000-0000B6100000}"/>
    <cellStyle name="Normal 2 4 5 4 3 3 2" xfId="30828" xr:uid="{53E7EC98-B948-4361-B082-CCF37925A425}"/>
    <cellStyle name="Normal 2 4 5 4 3 3 3" xfId="22399" xr:uid="{F6BA8C83-8B3A-45D9-805D-012644A21F53}"/>
    <cellStyle name="Normal 2 4 5 4 3 3 4" xfId="39256" xr:uid="{3C5D5335-64B4-46E7-89EB-BF934EFD89E0}"/>
    <cellStyle name="Normal 2 4 5 4 3 3 5" xfId="13964" xr:uid="{A3DBF316-C181-43D4-8ECC-9733D370B232}"/>
    <cellStyle name="Normal 2 4 5 4 3 4" xfId="26610" xr:uid="{5C32D9B2-1E1D-45BC-B81A-C04802722AC1}"/>
    <cellStyle name="Normal 2 4 5 4 3 5" xfId="18181" xr:uid="{12EF0F94-0D8E-42B8-87DD-3B298AD44295}"/>
    <cellStyle name="Normal 2 4 5 4 3 6" xfId="35039" xr:uid="{F903778B-3F33-4E3A-B0FE-6E0D1FB3752F}"/>
    <cellStyle name="Normal 2 4 5 4 3 7" xfId="9746" xr:uid="{FDF7BAD4-724E-499A-AA3E-A0367709D1A2}"/>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33386" xr:uid="{F10834ED-CB23-41E6-A37C-9C031C79D444}"/>
    <cellStyle name="Normal 2 4 5 4 4 2 2 3" xfId="24957" xr:uid="{8785849F-9D44-40E5-A109-63C917F044CC}"/>
    <cellStyle name="Normal 2 4 5 4 4 2 2 4" xfId="41814" xr:uid="{E687BD00-428D-4710-AF53-AFBECC3D4C2D}"/>
    <cellStyle name="Normal 2 4 5 4 4 2 2 5" xfId="16522" xr:uid="{DBC93EBA-1BC9-452A-A423-C1BD19739170}"/>
    <cellStyle name="Normal 2 4 5 4 4 2 3" xfId="29168" xr:uid="{B1BC87DB-20D9-438A-92A6-D305943BEA5D}"/>
    <cellStyle name="Normal 2 4 5 4 4 2 4" xfId="20739" xr:uid="{FDB879E0-D68C-4707-AF99-EAAA8C406C55}"/>
    <cellStyle name="Normal 2 4 5 4 4 2 5" xfId="37597" xr:uid="{7DCC1EF6-BEEA-43A2-942D-848A0FFD673A}"/>
    <cellStyle name="Normal 2 4 5 4 4 2 6" xfId="12304" xr:uid="{6A648679-A3B4-47F8-ADB3-9E441E30216A}"/>
    <cellStyle name="Normal 2 4 5 4 4 3" xfId="5942" xr:uid="{00000000-0005-0000-0000-0000BA100000}"/>
    <cellStyle name="Normal 2 4 5 4 4 3 2" xfId="31241" xr:uid="{6538BD8A-B0EA-48C3-82E3-F87C1FD85A43}"/>
    <cellStyle name="Normal 2 4 5 4 4 3 3" xfId="22812" xr:uid="{1C056A5C-ED88-43B1-A123-846B59EAE974}"/>
    <cellStyle name="Normal 2 4 5 4 4 3 4" xfId="39669" xr:uid="{374A15A8-A8F5-40D1-A192-BE28070905AF}"/>
    <cellStyle name="Normal 2 4 5 4 4 3 5" xfId="14377" xr:uid="{BA7BB0EA-8239-4B4F-9B6D-692213097E7B}"/>
    <cellStyle name="Normal 2 4 5 4 4 4" xfId="27023" xr:uid="{4D930719-E7C2-4F15-A217-BA3430EE3C2B}"/>
    <cellStyle name="Normal 2 4 5 4 4 5" xfId="18594" xr:uid="{E2BBB088-5F32-4983-ABCD-2BAF566C2213}"/>
    <cellStyle name="Normal 2 4 5 4 4 6" xfId="35452" xr:uid="{1E6D7220-9235-4BA0-94D3-229205BE94FA}"/>
    <cellStyle name="Normal 2 4 5 4 4 7" xfId="10159" xr:uid="{ACAB1293-4BDB-4F56-864D-443DFA81D065}"/>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33799" xr:uid="{D1BD2A22-DFD6-4637-9947-BF9ADFEF0DA8}"/>
    <cellStyle name="Normal 2 4 5 4 5 2 2 3" xfId="25370" xr:uid="{FD10C234-7FE8-441B-8AA4-F303DC687372}"/>
    <cellStyle name="Normal 2 4 5 4 5 2 2 4" xfId="42227" xr:uid="{4832C2DD-8464-4894-887D-68E4FD2AC375}"/>
    <cellStyle name="Normal 2 4 5 4 5 2 2 5" xfId="16935" xr:uid="{5C000371-A023-4BDB-B1B9-6CA008E3182F}"/>
    <cellStyle name="Normal 2 4 5 4 5 2 3" xfId="29581" xr:uid="{A1B9D748-1B3F-48DE-8BEF-7F0EF1F814D5}"/>
    <cellStyle name="Normal 2 4 5 4 5 2 4" xfId="21152" xr:uid="{B21F8A2F-E7CC-4DA2-8919-B950463053D8}"/>
    <cellStyle name="Normal 2 4 5 4 5 2 5" xfId="38010" xr:uid="{0A1F2D65-C24A-4AEE-A4AA-24B42AC0C883}"/>
    <cellStyle name="Normal 2 4 5 4 5 2 6" xfId="12717" xr:uid="{8038AB3E-119A-48E7-A2D0-14D3BC824843}"/>
    <cellStyle name="Normal 2 4 5 4 5 3" xfId="6355" xr:uid="{00000000-0005-0000-0000-0000BE100000}"/>
    <cellStyle name="Normal 2 4 5 4 5 3 2" xfId="31654" xr:uid="{1568B7B9-BFFB-41BF-866E-B0A177875749}"/>
    <cellStyle name="Normal 2 4 5 4 5 3 3" xfId="23225" xr:uid="{4488A5E0-DC19-4EBA-9F24-F090952304A2}"/>
    <cellStyle name="Normal 2 4 5 4 5 3 4" xfId="40082" xr:uid="{D553F996-9B1D-4F52-A2BC-60FC525C7E5A}"/>
    <cellStyle name="Normal 2 4 5 4 5 3 5" xfId="14790" xr:uid="{BFF49CD0-F0FF-479A-80E5-5E7859FF0433}"/>
    <cellStyle name="Normal 2 4 5 4 5 4" xfId="27436" xr:uid="{7AA03444-9CF2-4271-A5C0-0CAD509218D0}"/>
    <cellStyle name="Normal 2 4 5 4 5 5" xfId="19007" xr:uid="{E6B96068-1644-4FA1-9F74-ADC398ED456B}"/>
    <cellStyle name="Normal 2 4 5 4 5 6" xfId="35865" xr:uid="{FB91B123-F873-4596-8882-5A8BAD7E8CFF}"/>
    <cellStyle name="Normal 2 4 5 4 5 7" xfId="10572" xr:uid="{92316A5D-E3B9-4040-A7FD-02726574FF83}"/>
    <cellStyle name="Normal 2 4 5 4 6" xfId="2484" xr:uid="{00000000-0005-0000-0000-0000BF100000}"/>
    <cellStyle name="Normal 2 4 5 4 6 2" xfId="6768" xr:uid="{00000000-0005-0000-0000-0000C0100000}"/>
    <cellStyle name="Normal 2 4 5 4 6 2 2" xfId="32067" xr:uid="{F527E430-D398-4B12-80D8-C6E35D10D074}"/>
    <cellStyle name="Normal 2 4 5 4 6 2 3" xfId="23638" xr:uid="{3F98ACA5-760A-44B9-817D-B36B11218618}"/>
    <cellStyle name="Normal 2 4 5 4 6 2 4" xfId="40495" xr:uid="{3A092475-8ECC-457E-8402-1050A36480E1}"/>
    <cellStyle name="Normal 2 4 5 4 6 2 5" xfId="15203" xr:uid="{2EB62677-2D78-492B-9306-98F3853F6281}"/>
    <cellStyle name="Normal 2 4 5 4 6 3" xfId="27849" xr:uid="{2C60A9CA-726E-469E-AEBB-BBC93ECF5A7E}"/>
    <cellStyle name="Normal 2 4 5 4 6 4" xfId="19420" xr:uid="{FBFCCB12-A1D8-483E-9EF3-CB92E0856552}"/>
    <cellStyle name="Normal 2 4 5 4 6 5" xfId="36278" xr:uid="{D3141E26-8AD9-4446-9390-8D9101617390}"/>
    <cellStyle name="Normal 2 4 5 4 6 6" xfId="10985" xr:uid="{14503626-EFA5-42C5-918C-8C18E2D100B0}"/>
    <cellStyle name="Normal 2 4 5 4 7" xfId="4702" xr:uid="{00000000-0005-0000-0000-0000C1100000}"/>
    <cellStyle name="Normal 2 4 5 4 7 2" xfId="30001" xr:uid="{81BDECDC-B109-4442-AA3D-0023783888C3}"/>
    <cellStyle name="Normal 2 4 5 4 7 3" xfId="21572" xr:uid="{FF24E6EB-0F7B-4EA1-BBB7-9CD2C68E5A16}"/>
    <cellStyle name="Normal 2 4 5 4 7 4" xfId="38429" xr:uid="{11F3624B-5A35-4CB3-87FA-0CEA691F855D}"/>
    <cellStyle name="Normal 2 4 5 4 7 5" xfId="13137" xr:uid="{B422C3DA-FE53-4D17-BC57-B4B7AD92C26B}"/>
    <cellStyle name="Normal 2 4 5 4 8" xfId="25783" xr:uid="{FBCD0828-0F30-44C1-8CF8-A3CB8DD83B41}"/>
    <cellStyle name="Normal 2 4 5 4 9" xfId="17354" xr:uid="{AE073FC3-6986-4882-9EE6-05B9C5A094F1}"/>
    <cellStyle name="Normal 2 4 5 5" xfId="792" xr:uid="{00000000-0005-0000-0000-0000C2100000}"/>
    <cellStyle name="Normal 2 4 5 5 2" xfId="3031" xr:uid="{00000000-0005-0000-0000-0000C3100000}"/>
    <cellStyle name="Normal 2 4 5 5 2 2" xfId="7254" xr:uid="{00000000-0005-0000-0000-0000C4100000}"/>
    <cellStyle name="Normal 2 4 5 5 2 2 2" xfId="32553" xr:uid="{0793200C-3E21-49E2-B87F-F18ED59CC287}"/>
    <cellStyle name="Normal 2 4 5 5 2 2 3" xfId="24124" xr:uid="{7203193F-7D6B-4431-B1DA-BB48401C3ED5}"/>
    <cellStyle name="Normal 2 4 5 5 2 2 4" xfId="40981" xr:uid="{8A533554-3AF9-4DD7-A3B5-D3C3F0E6D80B}"/>
    <cellStyle name="Normal 2 4 5 5 2 2 5" xfId="15689" xr:uid="{ADFC4A07-2F7D-428A-BEC8-573A36A65A36}"/>
    <cellStyle name="Normal 2 4 5 5 2 3" xfId="28335" xr:uid="{6D16F8AA-8840-48A7-9947-8C8400DD454B}"/>
    <cellStyle name="Normal 2 4 5 5 2 4" xfId="19906" xr:uid="{6A9E55D7-B6BE-432E-8C0D-DE1A9534BBDC}"/>
    <cellStyle name="Normal 2 4 5 5 2 5" xfId="36764" xr:uid="{7B0CD0CE-B5F6-4E89-980D-137E10F33F5F}"/>
    <cellStyle name="Normal 2 4 5 5 2 6" xfId="11471" xr:uid="{C84863B1-907F-42FB-A705-ABE110685C23}"/>
    <cellStyle name="Normal 2 4 5 5 3" xfId="5109" xr:uid="{00000000-0005-0000-0000-0000C5100000}"/>
    <cellStyle name="Normal 2 4 5 5 3 2" xfId="30408" xr:uid="{BC6104E2-76E4-463D-AB91-2C172DA19FBE}"/>
    <cellStyle name="Normal 2 4 5 5 3 3" xfId="21979" xr:uid="{734EE48A-53B6-474E-BF66-77ADAE557FAE}"/>
    <cellStyle name="Normal 2 4 5 5 3 4" xfId="38836" xr:uid="{D48B7EEE-2085-4340-A64A-6012DD50B50D}"/>
    <cellStyle name="Normal 2 4 5 5 3 5" xfId="13544" xr:uid="{24757D5B-7E65-467B-91C7-AD9ED037B2EC}"/>
    <cellStyle name="Normal 2 4 5 5 4" xfId="26190" xr:uid="{FB5FEF76-2F2A-450A-9F48-98E4AB28795B}"/>
    <cellStyle name="Normal 2 4 5 5 5" xfId="17761" xr:uid="{1DA97562-B93C-45CE-B368-727928FB4465}"/>
    <cellStyle name="Normal 2 4 5 5 6" xfId="34619" xr:uid="{BB6B9821-09E6-4628-A69C-EFFE5BD6D024}"/>
    <cellStyle name="Normal 2 4 5 5 7" xfId="9326" xr:uid="{E39FED02-CDDF-4972-97C0-03E097E28E13}"/>
    <cellStyle name="Normal 2 4 5 6" xfId="1214" xr:uid="{00000000-0005-0000-0000-0000C6100000}"/>
    <cellStyle name="Normal 2 4 5 6 2" xfId="3444" xr:uid="{00000000-0005-0000-0000-0000C7100000}"/>
    <cellStyle name="Normal 2 4 5 6 2 2" xfId="7667" xr:uid="{00000000-0005-0000-0000-0000C8100000}"/>
    <cellStyle name="Normal 2 4 5 6 2 2 2" xfId="32966" xr:uid="{CD583830-0F85-4488-B1A1-964166CBB4D8}"/>
    <cellStyle name="Normal 2 4 5 6 2 2 3" xfId="24537" xr:uid="{340B305C-9238-4281-A3BE-33B6B6211AB5}"/>
    <cellStyle name="Normal 2 4 5 6 2 2 4" xfId="41394" xr:uid="{F51069C5-6F04-4A99-B053-203B27495DCC}"/>
    <cellStyle name="Normal 2 4 5 6 2 2 5" xfId="16102" xr:uid="{7A0273A3-0590-40B0-9DDD-8A0D8AB886AC}"/>
    <cellStyle name="Normal 2 4 5 6 2 3" xfId="28748" xr:uid="{41273E22-08AD-4DDB-91CC-017C34E1E4FC}"/>
    <cellStyle name="Normal 2 4 5 6 2 4" xfId="20319" xr:uid="{6562BF7E-E09D-4409-A4CD-FDC4025003FD}"/>
    <cellStyle name="Normal 2 4 5 6 2 5" xfId="37177" xr:uid="{861DF479-D69D-424D-A2D6-2F8B479C8533}"/>
    <cellStyle name="Normal 2 4 5 6 2 6" xfId="11884" xr:uid="{F3F1234D-3F50-46AF-B798-A0E2C3C37B73}"/>
    <cellStyle name="Normal 2 4 5 6 3" xfId="5522" xr:uid="{00000000-0005-0000-0000-0000C9100000}"/>
    <cellStyle name="Normal 2 4 5 6 3 2" xfId="30821" xr:uid="{7528DB74-24E8-47B3-9181-49F13D2A1B29}"/>
    <cellStyle name="Normal 2 4 5 6 3 3" xfId="22392" xr:uid="{2919C90C-8F6A-4F06-908A-B1AE01E87204}"/>
    <cellStyle name="Normal 2 4 5 6 3 4" xfId="39249" xr:uid="{62DFCF18-17E2-475A-9D61-68F21A4FF302}"/>
    <cellStyle name="Normal 2 4 5 6 3 5" xfId="13957" xr:uid="{CFED256D-EF38-44F8-8EA3-E3E5F475E766}"/>
    <cellStyle name="Normal 2 4 5 6 4" xfId="26603" xr:uid="{9038209A-AF12-432B-AE10-AB7B9FCFFF8C}"/>
    <cellStyle name="Normal 2 4 5 6 5" xfId="18174" xr:uid="{8285A375-9E93-4E03-AFAE-DC72463605B0}"/>
    <cellStyle name="Normal 2 4 5 6 6" xfId="35032" xr:uid="{ADC632F0-F2CF-47E0-A7C0-9EACF8275EA3}"/>
    <cellStyle name="Normal 2 4 5 6 7" xfId="9739" xr:uid="{9D64C4D1-B82E-4F98-BA8C-01EA7838B66E}"/>
    <cellStyle name="Normal 2 4 5 7" xfId="1627" xr:uid="{00000000-0005-0000-0000-0000CA100000}"/>
    <cellStyle name="Normal 2 4 5 7 2" xfId="3857" xr:uid="{00000000-0005-0000-0000-0000CB100000}"/>
    <cellStyle name="Normal 2 4 5 7 2 2" xfId="8080" xr:uid="{00000000-0005-0000-0000-0000CC100000}"/>
    <cellStyle name="Normal 2 4 5 7 2 2 2" xfId="33379" xr:uid="{E34EE4C5-6BFC-41AA-B8F1-353451A71D8C}"/>
    <cellStyle name="Normal 2 4 5 7 2 2 3" xfId="24950" xr:uid="{7B96EF77-B01A-40C2-B242-550B8143D605}"/>
    <cellStyle name="Normal 2 4 5 7 2 2 4" xfId="41807" xr:uid="{3D474454-3E1E-48D7-8342-C06A54D2A7C1}"/>
    <cellStyle name="Normal 2 4 5 7 2 2 5" xfId="16515" xr:uid="{E896B569-A697-4D2B-AC5D-9E0BD0469158}"/>
    <cellStyle name="Normal 2 4 5 7 2 3" xfId="29161" xr:uid="{B476F121-CE2B-4861-A7D4-CDD91F3A62A9}"/>
    <cellStyle name="Normal 2 4 5 7 2 4" xfId="20732" xr:uid="{69C95DFE-E0F9-4324-814A-3FB37D0B402C}"/>
    <cellStyle name="Normal 2 4 5 7 2 5" xfId="37590" xr:uid="{A52BBBE8-CFE3-472C-BFCA-33E05DB456DB}"/>
    <cellStyle name="Normal 2 4 5 7 2 6" xfId="12297" xr:uid="{A2D950E1-A649-4013-9872-320FE95E689B}"/>
    <cellStyle name="Normal 2 4 5 7 3" xfId="5935" xr:uid="{00000000-0005-0000-0000-0000CD100000}"/>
    <cellStyle name="Normal 2 4 5 7 3 2" xfId="31234" xr:uid="{3EAE1B19-167F-45FD-AC69-6500367827E6}"/>
    <cellStyle name="Normal 2 4 5 7 3 3" xfId="22805" xr:uid="{99D63EBC-7278-4822-B50A-C49877AD43DE}"/>
    <cellStyle name="Normal 2 4 5 7 3 4" xfId="39662" xr:uid="{5CDE50E1-9582-4542-A165-6F4C850423C8}"/>
    <cellStyle name="Normal 2 4 5 7 3 5" xfId="14370" xr:uid="{C62DAD59-641A-418E-95F2-6FC774B567C0}"/>
    <cellStyle name="Normal 2 4 5 7 4" xfId="27016" xr:uid="{BA26EFFD-1353-4CDC-AC97-D29921FF32B2}"/>
    <cellStyle name="Normal 2 4 5 7 5" xfId="18587" xr:uid="{AB07D0CD-7D8D-4527-BBE6-EE6241B42E55}"/>
    <cellStyle name="Normal 2 4 5 7 6" xfId="35445" xr:uid="{B95AD655-BE21-4278-8C00-D800007E9532}"/>
    <cellStyle name="Normal 2 4 5 7 7" xfId="10152" xr:uid="{723CB296-7844-43B7-877C-61E725040C7E}"/>
    <cellStyle name="Normal 2 4 5 8" xfId="2041" xr:uid="{00000000-0005-0000-0000-0000CE100000}"/>
    <cellStyle name="Normal 2 4 5 8 2" xfId="4270" xr:uid="{00000000-0005-0000-0000-0000CF100000}"/>
    <cellStyle name="Normal 2 4 5 8 2 2" xfId="8493" xr:uid="{00000000-0005-0000-0000-0000D0100000}"/>
    <cellStyle name="Normal 2 4 5 8 2 2 2" xfId="33792" xr:uid="{D7C8BB1C-882A-4404-8B0A-6CC84F79A660}"/>
    <cellStyle name="Normal 2 4 5 8 2 2 3" xfId="25363" xr:uid="{DF69B7D1-1EAB-42A9-9ADC-CB657BDEA74B}"/>
    <cellStyle name="Normal 2 4 5 8 2 2 4" xfId="42220" xr:uid="{90A694DB-AA27-4876-B129-C733AE8C936E}"/>
    <cellStyle name="Normal 2 4 5 8 2 2 5" xfId="16928" xr:uid="{14AF145E-9FE0-4679-A670-077B6F851CC4}"/>
    <cellStyle name="Normal 2 4 5 8 2 3" xfId="29574" xr:uid="{EC4E6C30-192D-42CA-A844-F7E38A4BF3F3}"/>
    <cellStyle name="Normal 2 4 5 8 2 4" xfId="21145" xr:uid="{2E49439A-F479-4DF9-9270-BC09A1B3EDAF}"/>
    <cellStyle name="Normal 2 4 5 8 2 5" xfId="38003" xr:uid="{29D25C82-0EBC-49D6-9B6C-F63C20DA3F99}"/>
    <cellStyle name="Normal 2 4 5 8 2 6" xfId="12710" xr:uid="{22600B8C-31E5-417D-8B14-056374D42D13}"/>
    <cellStyle name="Normal 2 4 5 8 3" xfId="6348" xr:uid="{00000000-0005-0000-0000-0000D1100000}"/>
    <cellStyle name="Normal 2 4 5 8 3 2" xfId="31647" xr:uid="{9D444FD6-2499-415B-B714-EF01F2D288E3}"/>
    <cellStyle name="Normal 2 4 5 8 3 3" xfId="23218" xr:uid="{64F6A968-CBDD-4ABA-B58E-D2A48598F13B}"/>
    <cellStyle name="Normal 2 4 5 8 3 4" xfId="40075" xr:uid="{405C3536-6F8D-421A-BB59-F63D6EDE86D4}"/>
    <cellStyle name="Normal 2 4 5 8 3 5" xfId="14783" xr:uid="{7FC3575E-DA17-40E3-8BBC-0C3EC1603399}"/>
    <cellStyle name="Normal 2 4 5 8 4" xfId="27429" xr:uid="{7D7E4E79-9BAA-4711-A769-8EBFCD8CBD67}"/>
    <cellStyle name="Normal 2 4 5 8 5" xfId="19000" xr:uid="{05EB0C2C-0837-44E6-818E-A8F6F1D02906}"/>
    <cellStyle name="Normal 2 4 5 8 6" xfId="35858" xr:uid="{E8000383-C1E5-4F2B-B0E7-D0CE006AC538}"/>
    <cellStyle name="Normal 2 4 5 8 7" xfId="10565" xr:uid="{C07E2D6C-3A50-45CE-8C0D-21DCB6487F4B}"/>
    <cellStyle name="Normal 2 4 5 9" xfId="2477" xr:uid="{00000000-0005-0000-0000-0000D2100000}"/>
    <cellStyle name="Normal 2 4 5 9 2" xfId="6761" xr:uid="{00000000-0005-0000-0000-0000D3100000}"/>
    <cellStyle name="Normal 2 4 5 9 2 2" xfId="32060" xr:uid="{B1103A8A-27A5-4B78-BADA-DFC8BC76C752}"/>
    <cellStyle name="Normal 2 4 5 9 2 3" xfId="23631" xr:uid="{E68BA1D1-0FC1-4F81-B964-8A4D1A77513D}"/>
    <cellStyle name="Normal 2 4 5 9 2 4" xfId="40488" xr:uid="{01F92DED-E8AD-41A2-94B6-DB58164148A3}"/>
    <cellStyle name="Normal 2 4 5 9 2 5" xfId="15196" xr:uid="{9A56D9F2-8734-4A25-ACC4-D6849149A8F7}"/>
    <cellStyle name="Normal 2 4 5 9 3" xfId="27842" xr:uid="{68931D85-433E-4EBE-93AF-39DF88BE5F33}"/>
    <cellStyle name="Normal 2 4 5 9 4" xfId="19413" xr:uid="{3EAEAF52-5E35-472F-AFEA-1C0789456881}"/>
    <cellStyle name="Normal 2 4 5 9 5" xfId="36271" xr:uid="{E45B68F0-1D9C-494C-9A1C-F7DECAC34039}"/>
    <cellStyle name="Normal 2 4 5 9 6" xfId="10978" xr:uid="{16F3C07B-8A08-48D1-B817-5F94C72B713D}"/>
    <cellStyle name="Normal 2 4 6" xfId="311" xr:uid="{00000000-0005-0000-0000-0000D4100000}"/>
    <cellStyle name="Normal 2 4 7" xfId="312" xr:uid="{00000000-0005-0000-0000-0000D5100000}"/>
    <cellStyle name="Normal 2 4 7 10" xfId="17355" xr:uid="{35562D32-0124-409B-A50F-34ACB4BC5F4F}"/>
    <cellStyle name="Normal 2 4 7 11" xfId="34213" xr:uid="{E5291834-21E0-4696-8472-A6BAF1CF5481}"/>
    <cellStyle name="Normal 2 4 7 12" xfId="8920" xr:uid="{2B8BA65A-92B6-459C-813F-10FB5A1E737D}"/>
    <cellStyle name="Normal 2 4 7 2" xfId="313" xr:uid="{00000000-0005-0000-0000-0000D6100000}"/>
    <cellStyle name="Normal 2 4 7 2 10" xfId="34214" xr:uid="{A37769BF-7B87-4E64-8DC2-8CC6C681122C}"/>
    <cellStyle name="Normal 2 4 7 2 11" xfId="8921" xr:uid="{08E59202-DEE9-49F4-9FBA-C28F58C03D9C}"/>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32562" xr:uid="{A31E400C-F39D-4E84-97AA-CE9C631CFC7B}"/>
    <cellStyle name="Normal 2 4 7 2 2 2 2 3" xfId="24133" xr:uid="{F7C5D86D-A47E-43C8-9096-382B4AEC065B}"/>
    <cellStyle name="Normal 2 4 7 2 2 2 2 4" xfId="40990" xr:uid="{DD95FBA2-BD4B-4036-A1B6-F3C319299E88}"/>
    <cellStyle name="Normal 2 4 7 2 2 2 2 5" xfId="15698" xr:uid="{BA5696EC-A1EB-4DF8-AAC3-6CA73BED54CD}"/>
    <cellStyle name="Normal 2 4 7 2 2 2 3" xfId="28344" xr:uid="{1A83D772-3599-4ADF-8A48-2591A1472E0D}"/>
    <cellStyle name="Normal 2 4 7 2 2 2 4" xfId="19915" xr:uid="{5FF0BC5A-6F9F-4C33-9568-B950A577F392}"/>
    <cellStyle name="Normal 2 4 7 2 2 2 5" xfId="36773" xr:uid="{412CA81B-EBF5-4395-BEEB-D125A08F33E9}"/>
    <cellStyle name="Normal 2 4 7 2 2 2 6" xfId="11480" xr:uid="{CB54F4D8-86D3-40B6-910C-80FB3603C5AD}"/>
    <cellStyle name="Normal 2 4 7 2 2 3" xfId="5118" xr:uid="{00000000-0005-0000-0000-0000DA100000}"/>
    <cellStyle name="Normal 2 4 7 2 2 3 2" xfId="30417" xr:uid="{DF3F80F9-4382-42FD-AB4B-CC076DF36479}"/>
    <cellStyle name="Normal 2 4 7 2 2 3 3" xfId="21988" xr:uid="{D8E8FC1C-22D9-4A56-B535-6360014E69C7}"/>
    <cellStyle name="Normal 2 4 7 2 2 3 4" xfId="38845" xr:uid="{5F5475E6-BCC3-4054-84BD-738B977926E4}"/>
    <cellStyle name="Normal 2 4 7 2 2 3 5" xfId="13553" xr:uid="{F09A3729-BD2F-4A9B-B5E1-328BCBA4DBEE}"/>
    <cellStyle name="Normal 2 4 7 2 2 4" xfId="26199" xr:uid="{BF8BCF04-CEC1-4865-8BD3-07BD5F3E2776}"/>
    <cellStyle name="Normal 2 4 7 2 2 5" xfId="17770" xr:uid="{57CE57CF-3365-45D7-95B6-04CDAFED3EBC}"/>
    <cellStyle name="Normal 2 4 7 2 2 6" xfId="34628" xr:uid="{E6400FA6-7AB2-4062-A669-842D244DBA5B}"/>
    <cellStyle name="Normal 2 4 7 2 2 7" xfId="9335" xr:uid="{14FD59B1-061B-40CE-85C2-773BCC21E142}"/>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32975" xr:uid="{309F7180-432E-4125-8DFE-5B702249E80C}"/>
    <cellStyle name="Normal 2 4 7 2 3 2 2 3" xfId="24546" xr:uid="{45EA4F3A-7EBA-4DF4-B36A-A9DFB8B09E28}"/>
    <cellStyle name="Normal 2 4 7 2 3 2 2 4" xfId="41403" xr:uid="{C782DADE-31B1-4A17-A595-25A0B2656160}"/>
    <cellStyle name="Normal 2 4 7 2 3 2 2 5" xfId="16111" xr:uid="{23C9EDE8-DFA1-4830-9DE8-3B0361A1D269}"/>
    <cellStyle name="Normal 2 4 7 2 3 2 3" xfId="28757" xr:uid="{70984FCD-B9A1-45FD-B4EC-4F38C984711F}"/>
    <cellStyle name="Normal 2 4 7 2 3 2 4" xfId="20328" xr:uid="{23E52402-139E-4BA0-955F-EA88F0850CC1}"/>
    <cellStyle name="Normal 2 4 7 2 3 2 5" xfId="37186" xr:uid="{D6B80C89-7AE2-4AA1-95FF-213A80171639}"/>
    <cellStyle name="Normal 2 4 7 2 3 2 6" xfId="11893" xr:uid="{AF407E15-715D-42BC-9E23-947F329D440B}"/>
    <cellStyle name="Normal 2 4 7 2 3 3" xfId="5531" xr:uid="{00000000-0005-0000-0000-0000DE100000}"/>
    <cellStyle name="Normal 2 4 7 2 3 3 2" xfId="30830" xr:uid="{19C8FCE7-1807-4898-8CE6-EEE987CFA0F3}"/>
    <cellStyle name="Normal 2 4 7 2 3 3 3" xfId="22401" xr:uid="{6EF4790A-C659-4C68-A297-AA5AA4F88886}"/>
    <cellStyle name="Normal 2 4 7 2 3 3 4" xfId="39258" xr:uid="{E26B6990-D424-4799-A6BF-0EA647313269}"/>
    <cellStyle name="Normal 2 4 7 2 3 3 5" xfId="13966" xr:uid="{F6393C3D-3AD4-42EC-AFB7-138D6FA5D46D}"/>
    <cellStyle name="Normal 2 4 7 2 3 4" xfId="26612" xr:uid="{42003BB5-3941-4CB8-A554-8BA3F93C9935}"/>
    <cellStyle name="Normal 2 4 7 2 3 5" xfId="18183" xr:uid="{904D20AA-F99A-4FF2-8655-BB318E8331B8}"/>
    <cellStyle name="Normal 2 4 7 2 3 6" xfId="35041" xr:uid="{1553EFA1-4B6B-41FB-BEE3-EFFCCAD845C1}"/>
    <cellStyle name="Normal 2 4 7 2 3 7" xfId="9748" xr:uid="{E4DC4FE5-B59C-4D4F-BAB6-A97F6418BCF8}"/>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33388" xr:uid="{917A0D47-473E-495F-B143-BC0294252B1D}"/>
    <cellStyle name="Normal 2 4 7 2 4 2 2 3" xfId="24959" xr:uid="{BAEDF79A-5D0F-4ADD-96DC-598FEE62E294}"/>
    <cellStyle name="Normal 2 4 7 2 4 2 2 4" xfId="41816" xr:uid="{44CEF77F-281A-4B05-8997-A71F35F75649}"/>
    <cellStyle name="Normal 2 4 7 2 4 2 2 5" xfId="16524" xr:uid="{50491C7C-ADD7-43B5-9794-6531FD77E10F}"/>
    <cellStyle name="Normal 2 4 7 2 4 2 3" xfId="29170" xr:uid="{9643CE52-0F40-4738-A02A-082DEA418C34}"/>
    <cellStyle name="Normal 2 4 7 2 4 2 4" xfId="20741" xr:uid="{E2DA0F09-F9BE-458A-B211-15A963D10F32}"/>
    <cellStyle name="Normal 2 4 7 2 4 2 5" xfId="37599" xr:uid="{2448A8EF-E3C2-4863-934D-D5ACC4F05D26}"/>
    <cellStyle name="Normal 2 4 7 2 4 2 6" xfId="12306" xr:uid="{54431D85-13F5-4EAE-A8B7-15852DF4A5B6}"/>
    <cellStyle name="Normal 2 4 7 2 4 3" xfId="5944" xr:uid="{00000000-0005-0000-0000-0000E2100000}"/>
    <cellStyle name="Normal 2 4 7 2 4 3 2" xfId="31243" xr:uid="{E20E54F2-F714-4851-AD9A-AF2BEED9E573}"/>
    <cellStyle name="Normal 2 4 7 2 4 3 3" xfId="22814" xr:uid="{4DBB304C-9437-489A-BC51-6D907B02A009}"/>
    <cellStyle name="Normal 2 4 7 2 4 3 4" xfId="39671" xr:uid="{E0DDD883-5B7F-4634-B8CF-FA69D21CCAA4}"/>
    <cellStyle name="Normal 2 4 7 2 4 3 5" xfId="14379" xr:uid="{577F2772-F1B6-4719-BF1E-D4AC7F5F9E76}"/>
    <cellStyle name="Normal 2 4 7 2 4 4" xfId="27025" xr:uid="{BBEA0548-A2BB-4FFB-8B45-9BD29EFF7265}"/>
    <cellStyle name="Normal 2 4 7 2 4 5" xfId="18596" xr:uid="{E70B8873-BF57-4D82-AAE3-9AD81237EBE8}"/>
    <cellStyle name="Normal 2 4 7 2 4 6" xfId="35454" xr:uid="{4980043E-7215-4DAE-983F-C58A66A20DC0}"/>
    <cellStyle name="Normal 2 4 7 2 4 7" xfId="10161" xr:uid="{86E2DF44-6355-4CB4-B45F-C89FB9257CBB}"/>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33801" xr:uid="{378D8C31-37AA-4B97-80D8-F070714EC0A6}"/>
    <cellStyle name="Normal 2 4 7 2 5 2 2 3" xfId="25372" xr:uid="{325BCC4A-CBF5-4D47-9AA0-411BACE4C9A3}"/>
    <cellStyle name="Normal 2 4 7 2 5 2 2 4" xfId="42229" xr:uid="{248EA28E-1F01-4BC3-BDCA-16B9BAE22CAC}"/>
    <cellStyle name="Normal 2 4 7 2 5 2 2 5" xfId="16937" xr:uid="{A9346C11-308E-4A16-AD8B-C559E044D9B0}"/>
    <cellStyle name="Normal 2 4 7 2 5 2 3" xfId="29583" xr:uid="{27593D7B-4DE3-47B9-AD25-B36735BA1DED}"/>
    <cellStyle name="Normal 2 4 7 2 5 2 4" xfId="21154" xr:uid="{B485379F-37B3-4121-A634-D9DD1483A058}"/>
    <cellStyle name="Normal 2 4 7 2 5 2 5" xfId="38012" xr:uid="{FCDC2C45-FF62-4E59-9956-419DDDCF5C5E}"/>
    <cellStyle name="Normal 2 4 7 2 5 2 6" xfId="12719" xr:uid="{5D91E479-8A76-413B-960A-9237054D1819}"/>
    <cellStyle name="Normal 2 4 7 2 5 3" xfId="6357" xr:uid="{00000000-0005-0000-0000-0000E6100000}"/>
    <cellStyle name="Normal 2 4 7 2 5 3 2" xfId="31656" xr:uid="{43A4D258-D6C7-416E-AB69-D5C4E02375AF}"/>
    <cellStyle name="Normal 2 4 7 2 5 3 3" xfId="23227" xr:uid="{E02EF283-34C2-45F4-8E24-1229AD4010B8}"/>
    <cellStyle name="Normal 2 4 7 2 5 3 4" xfId="40084" xr:uid="{9CE0B130-A582-4CC3-87D3-3F4CF8422AA2}"/>
    <cellStyle name="Normal 2 4 7 2 5 3 5" xfId="14792" xr:uid="{18349EA7-7480-4CD1-8B46-87A4748BF428}"/>
    <cellStyle name="Normal 2 4 7 2 5 4" xfId="27438" xr:uid="{9F6FED76-CE6F-414B-A3A9-3BD0BAE9CF23}"/>
    <cellStyle name="Normal 2 4 7 2 5 5" xfId="19009" xr:uid="{7F61211E-C2DE-4279-A7E7-26856A6DD618}"/>
    <cellStyle name="Normal 2 4 7 2 5 6" xfId="35867" xr:uid="{594F4C35-924D-4727-8681-E84541D01503}"/>
    <cellStyle name="Normal 2 4 7 2 5 7" xfId="10574" xr:uid="{28D27C62-4BB0-4FB9-AE18-C3A1216DA0C7}"/>
    <cellStyle name="Normal 2 4 7 2 6" xfId="2486" xr:uid="{00000000-0005-0000-0000-0000E7100000}"/>
    <cellStyle name="Normal 2 4 7 2 6 2" xfId="6770" xr:uid="{00000000-0005-0000-0000-0000E8100000}"/>
    <cellStyle name="Normal 2 4 7 2 6 2 2" xfId="32069" xr:uid="{45E49AE7-098C-4CDB-BCD1-6E8A98FB7304}"/>
    <cellStyle name="Normal 2 4 7 2 6 2 3" xfId="23640" xr:uid="{962BE325-B9CA-487C-ACAE-AE404BA30290}"/>
    <cellStyle name="Normal 2 4 7 2 6 2 4" xfId="40497" xr:uid="{5684886C-DD0B-4C80-B298-56DA6CA87450}"/>
    <cellStyle name="Normal 2 4 7 2 6 2 5" xfId="15205" xr:uid="{DC64C8D3-BF6E-4ADF-B0EA-8B8D86A82895}"/>
    <cellStyle name="Normal 2 4 7 2 6 3" xfId="27851" xr:uid="{B9A96952-DD35-4B63-A039-797CD8AC5FCD}"/>
    <cellStyle name="Normal 2 4 7 2 6 4" xfId="19422" xr:uid="{79550E77-FE30-47FC-8186-B6F2E43F613D}"/>
    <cellStyle name="Normal 2 4 7 2 6 5" xfId="36280" xr:uid="{33924588-5870-4429-A1B3-B6051F654B52}"/>
    <cellStyle name="Normal 2 4 7 2 6 6" xfId="10987" xr:uid="{5C0C0B16-1F5C-4D0A-A56D-ABF231B38617}"/>
    <cellStyle name="Normal 2 4 7 2 7" xfId="4704" xr:uid="{00000000-0005-0000-0000-0000E9100000}"/>
    <cellStyle name="Normal 2 4 7 2 7 2" xfId="30003" xr:uid="{58363511-1F1E-4EA2-A435-C19126A697BD}"/>
    <cellStyle name="Normal 2 4 7 2 7 3" xfId="21574" xr:uid="{E50D16C0-256D-4E2F-BF43-B9F0FB33AB7C}"/>
    <cellStyle name="Normal 2 4 7 2 7 4" xfId="38431" xr:uid="{402D8223-787D-4ED2-A0E6-311C4FE1166A}"/>
    <cellStyle name="Normal 2 4 7 2 7 5" xfId="13139" xr:uid="{9AD60F04-2371-4D66-B4DB-CD29D01571F7}"/>
    <cellStyle name="Normal 2 4 7 2 8" xfId="25785" xr:uid="{03039DD8-B2B2-40BF-9BB7-E47E5E8CBD19}"/>
    <cellStyle name="Normal 2 4 7 2 9" xfId="17356" xr:uid="{581C8615-3F6C-489E-9C23-A5B105FB81FC}"/>
    <cellStyle name="Normal 2 4 7 3" xfId="800" xr:uid="{00000000-0005-0000-0000-0000EA100000}"/>
    <cellStyle name="Normal 2 4 7 3 2" xfId="3039" xr:uid="{00000000-0005-0000-0000-0000EB100000}"/>
    <cellStyle name="Normal 2 4 7 3 2 2" xfId="7262" xr:uid="{00000000-0005-0000-0000-0000EC100000}"/>
    <cellStyle name="Normal 2 4 7 3 2 2 2" xfId="32561" xr:uid="{26EB6628-1065-43B3-B133-DAB36766B919}"/>
    <cellStyle name="Normal 2 4 7 3 2 2 3" xfId="24132" xr:uid="{80ADC1CF-70F5-48C6-8125-743D24E5F613}"/>
    <cellStyle name="Normal 2 4 7 3 2 2 4" xfId="40989" xr:uid="{3FC2BC0E-3684-451A-84B0-E3D6AFDBC88C}"/>
    <cellStyle name="Normal 2 4 7 3 2 2 5" xfId="15697" xr:uid="{A33155C0-0043-4222-9E0F-91C91CBDFEC6}"/>
    <cellStyle name="Normal 2 4 7 3 2 3" xfId="28343" xr:uid="{B286F5B6-58F8-4DC2-A041-4D914E09B31A}"/>
    <cellStyle name="Normal 2 4 7 3 2 4" xfId="19914" xr:uid="{FB21CCC8-7A46-4C75-978D-0C3ECB47EA4E}"/>
    <cellStyle name="Normal 2 4 7 3 2 5" xfId="36772" xr:uid="{44386F78-1C2A-4A6D-8432-CD3CAD73F0C4}"/>
    <cellStyle name="Normal 2 4 7 3 2 6" xfId="11479" xr:uid="{D97246CF-DC65-4FF1-B377-D1591B96A84E}"/>
    <cellStyle name="Normal 2 4 7 3 3" xfId="5117" xr:uid="{00000000-0005-0000-0000-0000ED100000}"/>
    <cellStyle name="Normal 2 4 7 3 3 2" xfId="30416" xr:uid="{EE893DE6-329F-4E31-90FE-C280FC27E806}"/>
    <cellStyle name="Normal 2 4 7 3 3 3" xfId="21987" xr:uid="{F254BC7E-7EB0-4DA7-93B8-BBDC7F477D09}"/>
    <cellStyle name="Normal 2 4 7 3 3 4" xfId="38844" xr:uid="{E9ED65EE-4A15-4737-9E85-CA10AF6B81E0}"/>
    <cellStyle name="Normal 2 4 7 3 3 5" xfId="13552" xr:uid="{26D47844-199A-4AD2-BFE4-33E9456405AD}"/>
    <cellStyle name="Normal 2 4 7 3 4" xfId="26198" xr:uid="{ED7037E2-2DAA-4AD5-BD37-998FFE0EA6D1}"/>
    <cellStyle name="Normal 2 4 7 3 5" xfId="17769" xr:uid="{885CE0F0-635A-40D0-BC20-59F36CBDC516}"/>
    <cellStyle name="Normal 2 4 7 3 6" xfId="34627" xr:uid="{CA291FF2-D3F8-4A54-9027-CE84B5BA0C39}"/>
    <cellStyle name="Normal 2 4 7 3 7" xfId="9334" xr:uid="{DBD8D628-E44E-4C88-8C08-54D801C831A8}"/>
    <cellStyle name="Normal 2 4 7 4" xfId="1222" xr:uid="{00000000-0005-0000-0000-0000EE100000}"/>
    <cellStyle name="Normal 2 4 7 4 2" xfId="3452" xr:uid="{00000000-0005-0000-0000-0000EF100000}"/>
    <cellStyle name="Normal 2 4 7 4 2 2" xfId="7675" xr:uid="{00000000-0005-0000-0000-0000F0100000}"/>
    <cellStyle name="Normal 2 4 7 4 2 2 2" xfId="32974" xr:uid="{1EE018FC-E173-4C26-8AC7-6D71EB3B97E8}"/>
    <cellStyle name="Normal 2 4 7 4 2 2 3" xfId="24545" xr:uid="{0AA903B3-5B90-43B1-B527-569FB262B2FF}"/>
    <cellStyle name="Normal 2 4 7 4 2 2 4" xfId="41402" xr:uid="{7AA424F5-3C17-453B-85F4-CD945D790C09}"/>
    <cellStyle name="Normal 2 4 7 4 2 2 5" xfId="16110" xr:uid="{D8751DB2-C274-4611-9EE2-E0707A759376}"/>
    <cellStyle name="Normal 2 4 7 4 2 3" xfId="28756" xr:uid="{561A8FCD-3BF1-4504-AC77-E9C94E205CB0}"/>
    <cellStyle name="Normal 2 4 7 4 2 4" xfId="20327" xr:uid="{7BC6506C-24C8-4B7E-9C73-BE9E3979581F}"/>
    <cellStyle name="Normal 2 4 7 4 2 5" xfId="37185" xr:uid="{C5182DEB-9DA1-43EC-AB85-04B4463C2546}"/>
    <cellStyle name="Normal 2 4 7 4 2 6" xfId="11892" xr:uid="{B81966CD-91C3-43DC-80D4-0F4C388CB279}"/>
    <cellStyle name="Normal 2 4 7 4 3" xfId="5530" xr:uid="{00000000-0005-0000-0000-0000F1100000}"/>
    <cellStyle name="Normal 2 4 7 4 3 2" xfId="30829" xr:uid="{FBA2D6F2-0369-485E-8BBA-EA1D276CBA28}"/>
    <cellStyle name="Normal 2 4 7 4 3 3" xfId="22400" xr:uid="{BD30D354-AB1F-48F2-B44D-6F5EB1A7F191}"/>
    <cellStyle name="Normal 2 4 7 4 3 4" xfId="39257" xr:uid="{3A5580EC-A6C4-4235-BF22-21E28E5CAE92}"/>
    <cellStyle name="Normal 2 4 7 4 3 5" xfId="13965" xr:uid="{918DE552-C7FF-4CA6-9D62-4E01130176D4}"/>
    <cellStyle name="Normal 2 4 7 4 4" xfId="26611" xr:uid="{348F5A42-997C-406F-AE77-A9A658280AA4}"/>
    <cellStyle name="Normal 2 4 7 4 5" xfId="18182" xr:uid="{24BCBF03-F099-4D36-8AFF-85889D19C6EA}"/>
    <cellStyle name="Normal 2 4 7 4 6" xfId="35040" xr:uid="{9B018ADA-D744-4D84-984F-5DA03652CD50}"/>
    <cellStyle name="Normal 2 4 7 4 7" xfId="9747" xr:uid="{AEAC1380-FB7B-4145-85EE-19EB84AA525F}"/>
    <cellStyle name="Normal 2 4 7 5" xfId="1635" xr:uid="{00000000-0005-0000-0000-0000F2100000}"/>
    <cellStyle name="Normal 2 4 7 5 2" xfId="3865" xr:uid="{00000000-0005-0000-0000-0000F3100000}"/>
    <cellStyle name="Normal 2 4 7 5 2 2" xfId="8088" xr:uid="{00000000-0005-0000-0000-0000F4100000}"/>
    <cellStyle name="Normal 2 4 7 5 2 2 2" xfId="33387" xr:uid="{C39CC38B-5825-4C6C-9A58-F29A5FEF8E2F}"/>
    <cellStyle name="Normal 2 4 7 5 2 2 3" xfId="24958" xr:uid="{E25739AA-B132-47BF-B575-A5C8F19D6BE3}"/>
    <cellStyle name="Normal 2 4 7 5 2 2 4" xfId="41815" xr:uid="{DFD2F5C1-AC4A-497B-9AC8-F793A4DBCC27}"/>
    <cellStyle name="Normal 2 4 7 5 2 2 5" xfId="16523" xr:uid="{F323A973-18EC-4903-9A3D-DE00E8AFACDC}"/>
    <cellStyle name="Normal 2 4 7 5 2 3" xfId="29169" xr:uid="{9FF2984D-E041-4D8F-B30D-8B192277828A}"/>
    <cellStyle name="Normal 2 4 7 5 2 4" xfId="20740" xr:uid="{42A674AF-F5AD-42CA-A123-7764357EA4EC}"/>
    <cellStyle name="Normal 2 4 7 5 2 5" xfId="37598" xr:uid="{BA86D3EB-7148-464F-9890-6019740733EA}"/>
    <cellStyle name="Normal 2 4 7 5 2 6" xfId="12305" xr:uid="{E7E702D5-22AF-4BBC-B2E3-6A69071F5991}"/>
    <cellStyle name="Normal 2 4 7 5 3" xfId="5943" xr:uid="{00000000-0005-0000-0000-0000F5100000}"/>
    <cellStyle name="Normal 2 4 7 5 3 2" xfId="31242" xr:uid="{D1DF841F-6CF2-403C-82D6-ADDDD41B8DD6}"/>
    <cellStyle name="Normal 2 4 7 5 3 3" xfId="22813" xr:uid="{4977FE7F-AD54-4FD7-A3C6-791E6082105C}"/>
    <cellStyle name="Normal 2 4 7 5 3 4" xfId="39670" xr:uid="{8FBBF4A1-5F4E-4056-BBE7-89FF10031D07}"/>
    <cellStyle name="Normal 2 4 7 5 3 5" xfId="14378" xr:uid="{7C00B94F-087D-4FDB-861C-C4F144A89050}"/>
    <cellStyle name="Normal 2 4 7 5 4" xfId="27024" xr:uid="{5C14E18D-461B-4198-87AB-AA8CDABAF5DA}"/>
    <cellStyle name="Normal 2 4 7 5 5" xfId="18595" xr:uid="{0C939CB8-DEC2-409C-BE2C-65BDF90CE1F7}"/>
    <cellStyle name="Normal 2 4 7 5 6" xfId="35453" xr:uid="{5AF19175-F6B4-41EB-BC8C-A908D6EF09AF}"/>
    <cellStyle name="Normal 2 4 7 5 7" xfId="10160" xr:uid="{9E5F1875-1FD8-4BCF-9E57-66E570FCB627}"/>
    <cellStyle name="Normal 2 4 7 6" xfId="2049" xr:uid="{00000000-0005-0000-0000-0000F6100000}"/>
    <cellStyle name="Normal 2 4 7 6 2" xfId="4278" xr:uid="{00000000-0005-0000-0000-0000F7100000}"/>
    <cellStyle name="Normal 2 4 7 6 2 2" xfId="8501" xr:uid="{00000000-0005-0000-0000-0000F8100000}"/>
    <cellStyle name="Normal 2 4 7 6 2 2 2" xfId="33800" xr:uid="{15705BE0-E706-45C0-B319-51052217231E}"/>
    <cellStyle name="Normal 2 4 7 6 2 2 3" xfId="25371" xr:uid="{47960845-DB01-479F-989F-0B3D76ECFE9F}"/>
    <cellStyle name="Normal 2 4 7 6 2 2 4" xfId="42228" xr:uid="{45991855-7E86-4AA8-B113-9EA74875B7CF}"/>
    <cellStyle name="Normal 2 4 7 6 2 2 5" xfId="16936" xr:uid="{CC52591A-D181-41DD-901D-6A440ED1BDE8}"/>
    <cellStyle name="Normal 2 4 7 6 2 3" xfId="29582" xr:uid="{4EC5B707-1D20-4F72-887D-1AAA2B487970}"/>
    <cellStyle name="Normal 2 4 7 6 2 4" xfId="21153" xr:uid="{F1DACBFE-BC59-4EFC-BD2E-B934429BBF58}"/>
    <cellStyle name="Normal 2 4 7 6 2 5" xfId="38011" xr:uid="{4E21796B-B97A-477A-AD35-927B068DEB82}"/>
    <cellStyle name="Normal 2 4 7 6 2 6" xfId="12718" xr:uid="{91AD6AD9-9BCF-4887-93A0-EE37038B8695}"/>
    <cellStyle name="Normal 2 4 7 6 3" xfId="6356" xr:uid="{00000000-0005-0000-0000-0000F9100000}"/>
    <cellStyle name="Normal 2 4 7 6 3 2" xfId="31655" xr:uid="{CE4B53A7-9CF9-4034-96E2-9A39B1082569}"/>
    <cellStyle name="Normal 2 4 7 6 3 3" xfId="23226" xr:uid="{968CCB46-1BCF-4B7C-96BE-CD65A91366B2}"/>
    <cellStyle name="Normal 2 4 7 6 3 4" xfId="40083" xr:uid="{408B7E40-ABCB-40AA-BBF8-05CE709F101D}"/>
    <cellStyle name="Normal 2 4 7 6 3 5" xfId="14791" xr:uid="{3578D419-7610-4C5D-961F-F6E70F7B7048}"/>
    <cellStyle name="Normal 2 4 7 6 4" xfId="27437" xr:uid="{05663824-3CE8-4C0C-8F6F-77EB258362E9}"/>
    <cellStyle name="Normal 2 4 7 6 5" xfId="19008" xr:uid="{F5212381-AF2F-49B5-9BE2-4D3CF15ABB1B}"/>
    <cellStyle name="Normal 2 4 7 6 6" xfId="35866" xr:uid="{466517C5-7C1C-4823-AA09-0408A1DF4F14}"/>
    <cellStyle name="Normal 2 4 7 6 7" xfId="10573" xr:uid="{4F18F8BB-2EAF-4D81-A2CE-6AB9F0D29500}"/>
    <cellStyle name="Normal 2 4 7 7" xfId="2485" xr:uid="{00000000-0005-0000-0000-0000FA100000}"/>
    <cellStyle name="Normal 2 4 7 7 2" xfId="6769" xr:uid="{00000000-0005-0000-0000-0000FB100000}"/>
    <cellStyle name="Normal 2 4 7 7 2 2" xfId="32068" xr:uid="{EDA30711-474D-4940-97E0-1E0CDA240825}"/>
    <cellStyle name="Normal 2 4 7 7 2 3" xfId="23639" xr:uid="{5C50B3EC-FED7-49F2-8137-11D49D5A02DD}"/>
    <cellStyle name="Normal 2 4 7 7 2 4" xfId="40496" xr:uid="{82CD5262-78F6-43E7-90A4-A91C34764902}"/>
    <cellStyle name="Normal 2 4 7 7 2 5" xfId="15204" xr:uid="{9BE853AC-B478-4E88-8B53-CAA0144546E5}"/>
    <cellStyle name="Normal 2 4 7 7 3" xfId="27850" xr:uid="{62F53792-B918-413D-8401-14E68BC67EF6}"/>
    <cellStyle name="Normal 2 4 7 7 4" xfId="19421" xr:uid="{46EC600B-B609-4D14-9F28-056B406FDFAB}"/>
    <cellStyle name="Normal 2 4 7 7 5" xfId="36279" xr:uid="{44F316E4-F6D8-4F37-9CD4-14D2E625D572}"/>
    <cellStyle name="Normal 2 4 7 7 6" xfId="10986" xr:uid="{C22261DE-BD94-4038-B81C-23AB4C753939}"/>
    <cellStyle name="Normal 2 4 7 8" xfId="4703" xr:uid="{00000000-0005-0000-0000-0000FC100000}"/>
    <cellStyle name="Normal 2 4 7 8 2" xfId="30002" xr:uid="{6BAFF96D-9167-4747-94AD-CA1ED4064AF6}"/>
    <cellStyle name="Normal 2 4 7 8 3" xfId="21573" xr:uid="{F02F4A71-37F2-453F-A057-13689A95B0E0}"/>
    <cellStyle name="Normal 2 4 7 8 4" xfId="38430" xr:uid="{63CA8D7C-D80D-427E-8B77-FFA6271D9376}"/>
    <cellStyle name="Normal 2 4 7 8 5" xfId="13138" xr:uid="{3D466C7A-9036-4BA2-A0E6-E67926F6225F}"/>
    <cellStyle name="Normal 2 4 7 9" xfId="25784" xr:uid="{0E0C426A-7B0B-449E-94FA-47FF312CCB43}"/>
    <cellStyle name="Normal 2 4 8" xfId="314" xr:uid="{00000000-0005-0000-0000-0000FD100000}"/>
    <cellStyle name="Normal 2 4 8 10" xfId="34215" xr:uid="{1AD0259B-A2ED-48BA-8ACD-F5D98F5337A2}"/>
    <cellStyle name="Normal 2 4 8 11" xfId="8922" xr:uid="{0A31FAAA-3C2F-4604-9941-352F5411E91E}"/>
    <cellStyle name="Normal 2 4 8 2" xfId="802" xr:uid="{00000000-0005-0000-0000-0000FE100000}"/>
    <cellStyle name="Normal 2 4 8 2 2" xfId="3041" xr:uid="{00000000-0005-0000-0000-0000FF100000}"/>
    <cellStyle name="Normal 2 4 8 2 2 2" xfId="7264" xr:uid="{00000000-0005-0000-0000-000000110000}"/>
    <cellStyle name="Normal 2 4 8 2 2 2 2" xfId="32563" xr:uid="{ADD706E3-4019-43D5-AB1A-E678A418BB51}"/>
    <cellStyle name="Normal 2 4 8 2 2 2 3" xfId="24134" xr:uid="{89B3E724-FDE4-4FD5-BEB5-9766EAB6634B}"/>
    <cellStyle name="Normal 2 4 8 2 2 2 4" xfId="40991" xr:uid="{B339B9A2-2997-4C59-805A-E2FDF0949D3B}"/>
    <cellStyle name="Normal 2 4 8 2 2 2 5" xfId="15699" xr:uid="{F559C8A6-9982-44CD-91CB-B8E1E24B791D}"/>
    <cellStyle name="Normal 2 4 8 2 2 3" xfId="28345" xr:uid="{AEF16DAB-9976-4F4A-A110-E946CDD3266D}"/>
    <cellStyle name="Normal 2 4 8 2 2 4" xfId="19916" xr:uid="{3FB74746-E655-405C-AAC5-360CD23C9FE0}"/>
    <cellStyle name="Normal 2 4 8 2 2 5" xfId="36774" xr:uid="{0D5558B6-717D-4A77-A3F2-7C18AEC96049}"/>
    <cellStyle name="Normal 2 4 8 2 2 6" xfId="11481" xr:uid="{C6301C51-0568-4478-B08E-4C1A32FEDA61}"/>
    <cellStyle name="Normal 2 4 8 2 3" xfId="5119" xr:uid="{00000000-0005-0000-0000-000001110000}"/>
    <cellStyle name="Normal 2 4 8 2 3 2" xfId="30418" xr:uid="{1F5FB82A-C118-44D8-8D92-C5A0ADDC083D}"/>
    <cellStyle name="Normal 2 4 8 2 3 3" xfId="21989" xr:uid="{9CEF1632-D221-4578-94C1-2C9A38E9D75C}"/>
    <cellStyle name="Normal 2 4 8 2 3 4" xfId="38846" xr:uid="{44A72104-D09C-4221-829D-18AB1050ECC5}"/>
    <cellStyle name="Normal 2 4 8 2 3 5" xfId="13554" xr:uid="{A749401E-51AE-4A00-975D-B555B0CDC8A5}"/>
    <cellStyle name="Normal 2 4 8 2 4" xfId="26200" xr:uid="{8178E484-A827-484E-B0C8-9E2A3C6AADDA}"/>
    <cellStyle name="Normal 2 4 8 2 5" xfId="17771" xr:uid="{60F09171-AF39-40F0-94EC-BC6D80EF6FAC}"/>
    <cellStyle name="Normal 2 4 8 2 6" xfId="34629" xr:uid="{D41A1699-7718-4787-9B65-A13C4922C0A3}"/>
    <cellStyle name="Normal 2 4 8 2 7" xfId="9336" xr:uid="{7E44F029-68BE-45C0-9E92-5C44E32245FC}"/>
    <cellStyle name="Normal 2 4 8 3" xfId="1224" xr:uid="{00000000-0005-0000-0000-000002110000}"/>
    <cellStyle name="Normal 2 4 8 3 2" xfId="3454" xr:uid="{00000000-0005-0000-0000-000003110000}"/>
    <cellStyle name="Normal 2 4 8 3 2 2" xfId="7677" xr:uid="{00000000-0005-0000-0000-000004110000}"/>
    <cellStyle name="Normal 2 4 8 3 2 2 2" xfId="32976" xr:uid="{F006BBDE-BC59-4B84-B264-BC0D232F33A7}"/>
    <cellStyle name="Normal 2 4 8 3 2 2 3" xfId="24547" xr:uid="{E2117300-52D2-40D0-8CB4-E3BB261676A2}"/>
    <cellStyle name="Normal 2 4 8 3 2 2 4" xfId="41404" xr:uid="{E6077A76-C1DB-41FD-B793-A4E571196FFE}"/>
    <cellStyle name="Normal 2 4 8 3 2 2 5" xfId="16112" xr:uid="{FFDFF160-B9F1-46ED-90C0-602FD297C92B}"/>
    <cellStyle name="Normal 2 4 8 3 2 3" xfId="28758" xr:uid="{F1DACA72-88B4-465A-B898-8EDF7B59223B}"/>
    <cellStyle name="Normal 2 4 8 3 2 4" xfId="20329" xr:uid="{B246DAFC-308C-4574-BA55-0E47ADC21829}"/>
    <cellStyle name="Normal 2 4 8 3 2 5" xfId="37187" xr:uid="{F57A2CC3-1858-41C3-B2A6-4E12454BDCA9}"/>
    <cellStyle name="Normal 2 4 8 3 2 6" xfId="11894" xr:uid="{1269E976-7A44-4154-A293-8DEFDAF58B84}"/>
    <cellStyle name="Normal 2 4 8 3 3" xfId="5532" xr:uid="{00000000-0005-0000-0000-000005110000}"/>
    <cellStyle name="Normal 2 4 8 3 3 2" xfId="30831" xr:uid="{E3F32C70-8B84-4F56-BFF9-071FBF0F2D51}"/>
    <cellStyle name="Normal 2 4 8 3 3 3" xfId="22402" xr:uid="{F48FA4B6-E6AB-48C3-BF18-9671F081232D}"/>
    <cellStyle name="Normal 2 4 8 3 3 4" xfId="39259" xr:uid="{6EE657C9-06ED-4293-97A4-BA4A5938F993}"/>
    <cellStyle name="Normal 2 4 8 3 3 5" xfId="13967" xr:uid="{C293C6ED-FC6B-4A38-828E-ABBAF0A307AB}"/>
    <cellStyle name="Normal 2 4 8 3 4" xfId="26613" xr:uid="{E74063D1-4711-49A5-B652-BB739692F2ED}"/>
    <cellStyle name="Normal 2 4 8 3 5" xfId="18184" xr:uid="{7226BAD0-BABF-42EC-9F89-6463D22E4877}"/>
    <cellStyle name="Normal 2 4 8 3 6" xfId="35042" xr:uid="{3BB74055-C190-4073-94BC-EC2A10E60449}"/>
    <cellStyle name="Normal 2 4 8 3 7" xfId="9749" xr:uid="{6BD20291-9F82-461A-B118-44FE66C1129A}"/>
    <cellStyle name="Normal 2 4 8 4" xfId="1637" xr:uid="{00000000-0005-0000-0000-000006110000}"/>
    <cellStyle name="Normal 2 4 8 4 2" xfId="3867" xr:uid="{00000000-0005-0000-0000-000007110000}"/>
    <cellStyle name="Normal 2 4 8 4 2 2" xfId="8090" xr:uid="{00000000-0005-0000-0000-000008110000}"/>
    <cellStyle name="Normal 2 4 8 4 2 2 2" xfId="33389" xr:uid="{AA6346F2-6BD5-45EE-906F-E0E3D9D21EB3}"/>
    <cellStyle name="Normal 2 4 8 4 2 2 3" xfId="24960" xr:uid="{2CFFAA54-12C6-4FB2-BD75-FA915AACBB35}"/>
    <cellStyle name="Normal 2 4 8 4 2 2 4" xfId="41817" xr:uid="{730705F6-50AD-4D6A-ABF8-5FC0AEEF7A97}"/>
    <cellStyle name="Normal 2 4 8 4 2 2 5" xfId="16525" xr:uid="{655018AE-FBE8-40D0-953D-5446D46AB1CF}"/>
    <cellStyle name="Normal 2 4 8 4 2 3" xfId="29171" xr:uid="{951D9998-0314-4BD3-9670-20A1DB983EBA}"/>
    <cellStyle name="Normal 2 4 8 4 2 4" xfId="20742" xr:uid="{95A8B571-15E8-4BD8-AA8A-8121709012C4}"/>
    <cellStyle name="Normal 2 4 8 4 2 5" xfId="37600" xr:uid="{906CD50E-1E37-4D73-83E3-E3E7FAF30C33}"/>
    <cellStyle name="Normal 2 4 8 4 2 6" xfId="12307" xr:uid="{DFD96DFA-AFD4-43A2-844A-00008E5C75B7}"/>
    <cellStyle name="Normal 2 4 8 4 3" xfId="5945" xr:uid="{00000000-0005-0000-0000-000009110000}"/>
    <cellStyle name="Normal 2 4 8 4 3 2" xfId="31244" xr:uid="{7F2988DA-574F-40BE-9478-7BF54DF9D852}"/>
    <cellStyle name="Normal 2 4 8 4 3 3" xfId="22815" xr:uid="{33553997-9AE7-4F56-B4DD-35165BFA3A40}"/>
    <cellStyle name="Normal 2 4 8 4 3 4" xfId="39672" xr:uid="{D4F5B0A4-08FF-4AFC-ADE4-5031EE812767}"/>
    <cellStyle name="Normal 2 4 8 4 3 5" xfId="14380" xr:uid="{79FE0F77-7629-4A66-94A3-2DD4332D393C}"/>
    <cellStyle name="Normal 2 4 8 4 4" xfId="27026" xr:uid="{5231AF6D-FA70-42D7-9E52-752016F40D75}"/>
    <cellStyle name="Normal 2 4 8 4 5" xfId="18597" xr:uid="{0CF84701-B9BC-4B3A-8A55-CE5ED26F9222}"/>
    <cellStyle name="Normal 2 4 8 4 6" xfId="35455" xr:uid="{BC771FD3-6341-473B-8241-DA152DF18A5A}"/>
    <cellStyle name="Normal 2 4 8 4 7" xfId="10162" xr:uid="{9760B1C1-697B-42F2-8DD2-2DE1021523D8}"/>
    <cellStyle name="Normal 2 4 8 5" xfId="2051" xr:uid="{00000000-0005-0000-0000-00000A110000}"/>
    <cellStyle name="Normal 2 4 8 5 2" xfId="4280" xr:uid="{00000000-0005-0000-0000-00000B110000}"/>
    <cellStyle name="Normal 2 4 8 5 2 2" xfId="8503" xr:uid="{00000000-0005-0000-0000-00000C110000}"/>
    <cellStyle name="Normal 2 4 8 5 2 2 2" xfId="33802" xr:uid="{62B3BAEB-05BE-44CE-A4DD-009C1F0540F1}"/>
    <cellStyle name="Normal 2 4 8 5 2 2 3" xfId="25373" xr:uid="{1EC09F70-FA63-4BD2-83F1-B0F775D06EFD}"/>
    <cellStyle name="Normal 2 4 8 5 2 2 4" xfId="42230" xr:uid="{0F3E8AE0-38CA-460C-AC95-CE6213D71CC4}"/>
    <cellStyle name="Normal 2 4 8 5 2 2 5" xfId="16938" xr:uid="{32462249-D92B-497F-93B9-624D4EA814D2}"/>
    <cellStyle name="Normal 2 4 8 5 2 3" xfId="29584" xr:uid="{01359750-6E90-4F31-98FB-2E23CCB4EFD2}"/>
    <cellStyle name="Normal 2 4 8 5 2 4" xfId="21155" xr:uid="{FB5727FA-608B-4666-BDCA-D6A5385BD348}"/>
    <cellStyle name="Normal 2 4 8 5 2 5" xfId="38013" xr:uid="{ACB9BA46-98E1-44C5-B0B8-9127D40AD353}"/>
    <cellStyle name="Normal 2 4 8 5 2 6" xfId="12720" xr:uid="{8BD71339-9020-4372-8288-B747672F480D}"/>
    <cellStyle name="Normal 2 4 8 5 3" xfId="6358" xr:uid="{00000000-0005-0000-0000-00000D110000}"/>
    <cellStyle name="Normal 2 4 8 5 3 2" xfId="31657" xr:uid="{A7751F6B-FE55-431D-A5A7-FC86F89AFE33}"/>
    <cellStyle name="Normal 2 4 8 5 3 3" xfId="23228" xr:uid="{5ED9D431-6898-49BE-885F-8DA6B9B62657}"/>
    <cellStyle name="Normal 2 4 8 5 3 4" xfId="40085" xr:uid="{ECD30D7C-7332-4B7C-9D62-D01798D244CA}"/>
    <cellStyle name="Normal 2 4 8 5 3 5" xfId="14793" xr:uid="{043A387B-2D0C-4487-8C34-AF97E86D1F60}"/>
    <cellStyle name="Normal 2 4 8 5 4" xfId="27439" xr:uid="{C9983513-A66F-4BFB-AA02-AB40E4131DB1}"/>
    <cellStyle name="Normal 2 4 8 5 5" xfId="19010" xr:uid="{030E356C-7D14-4095-8F5B-A5B1F4A4FBF7}"/>
    <cellStyle name="Normal 2 4 8 5 6" xfId="35868" xr:uid="{F2F581B7-E841-4CA4-98BF-A554CC6E6E15}"/>
    <cellStyle name="Normal 2 4 8 5 7" xfId="10575" xr:uid="{1B7D3F16-F5C0-4127-89B7-BD2DDF79CF53}"/>
    <cellStyle name="Normal 2 4 8 6" xfId="2487" xr:uid="{00000000-0005-0000-0000-00000E110000}"/>
    <cellStyle name="Normal 2 4 8 6 2" xfId="6771" xr:uid="{00000000-0005-0000-0000-00000F110000}"/>
    <cellStyle name="Normal 2 4 8 6 2 2" xfId="32070" xr:uid="{5B8A6D8D-2A1C-4640-ACFA-703F37FF4699}"/>
    <cellStyle name="Normal 2 4 8 6 2 3" xfId="23641" xr:uid="{E74F4353-ADE5-463C-A157-CA63EB2F2B7E}"/>
    <cellStyle name="Normal 2 4 8 6 2 4" xfId="40498" xr:uid="{846BA0D8-48E0-44E3-871A-FD39D043E75E}"/>
    <cellStyle name="Normal 2 4 8 6 2 5" xfId="15206" xr:uid="{1A358333-4AF5-4968-85C7-4FEE9825326A}"/>
    <cellStyle name="Normal 2 4 8 6 3" xfId="27852" xr:uid="{4E32B2FF-C512-42EB-9E2F-3602D46F9A48}"/>
    <cellStyle name="Normal 2 4 8 6 4" xfId="19423" xr:uid="{B2E58B44-3018-484B-8529-31ED1DA731F6}"/>
    <cellStyle name="Normal 2 4 8 6 5" xfId="36281" xr:uid="{8C5D5FD3-404F-4261-9E09-B7A7C76A4EA3}"/>
    <cellStyle name="Normal 2 4 8 6 6" xfId="10988" xr:uid="{3B890F53-F4ED-45E0-815A-2477D78C01F8}"/>
    <cellStyle name="Normal 2 4 8 7" xfId="4705" xr:uid="{00000000-0005-0000-0000-000010110000}"/>
    <cellStyle name="Normal 2 4 8 7 2" xfId="30004" xr:uid="{08C70CCA-1222-42D1-A40F-ACB936FC419C}"/>
    <cellStyle name="Normal 2 4 8 7 3" xfId="21575" xr:uid="{9D5F3563-1E16-4216-A990-9AA0A10C1909}"/>
    <cellStyle name="Normal 2 4 8 7 4" xfId="38432" xr:uid="{E5030661-DC20-48D5-9C94-DC7CBC0EAC78}"/>
    <cellStyle name="Normal 2 4 8 7 5" xfId="13140" xr:uid="{5E61A591-A724-4632-B8C1-F2E3F058EF20}"/>
    <cellStyle name="Normal 2 4 8 8" xfId="25786" xr:uid="{AC4D4BF4-DA71-4B6F-A284-BFF9F223CD6E}"/>
    <cellStyle name="Normal 2 4 8 9" xfId="17357" xr:uid="{10077E0D-A69B-4E87-9EEE-E505EA05C836}"/>
    <cellStyle name="Normal 2 5" xfId="315" xr:uid="{00000000-0005-0000-0000-000011110000}"/>
    <cellStyle name="Normal 2 5 10" xfId="4706" xr:uid="{00000000-0005-0000-0000-000012110000}"/>
    <cellStyle name="Normal 2 5 10 2" xfId="30005" xr:uid="{EFEDEFDB-AEFB-4DB1-84E4-5B25802FA903}"/>
    <cellStyle name="Normal 2 5 10 3" xfId="21576" xr:uid="{50CF00AB-0FF3-428A-A868-F1C27D942294}"/>
    <cellStyle name="Normal 2 5 10 4" xfId="38433" xr:uid="{35808BB6-C865-4C1E-BF81-22D92899DFBF}"/>
    <cellStyle name="Normal 2 5 10 5" xfId="13141" xr:uid="{CAB843CB-A5CA-40A0-B61E-A0EC72DBE6BB}"/>
    <cellStyle name="Normal 2 5 11" xfId="25787" xr:uid="{4E008ACA-AF0A-47D8-BE7E-CCF25F7B4A4E}"/>
    <cellStyle name="Normal 2 5 12" xfId="17358" xr:uid="{4E766DC3-60AD-47AB-9F40-E3018CB5F622}"/>
    <cellStyle name="Normal 2 5 13" xfId="34216" xr:uid="{E7977549-A655-48C1-9EC8-32C013DC9823}"/>
    <cellStyle name="Normal 2 5 14" xfId="8923" xr:uid="{8B18E82D-9749-404D-A680-78EB5A5EA5EA}"/>
    <cellStyle name="Normal 2 5 2" xfId="316" xr:uid="{00000000-0005-0000-0000-000013110000}"/>
    <cellStyle name="Normal 2 5 3" xfId="317" xr:uid="{00000000-0005-0000-0000-000014110000}"/>
    <cellStyle name="Normal 2 5 4" xfId="318" xr:uid="{00000000-0005-0000-0000-000015110000}"/>
    <cellStyle name="Normal 2 5 4 10" xfId="25788" xr:uid="{FDECA411-0684-42BF-A0CA-0C800BD8368E}"/>
    <cellStyle name="Normal 2 5 4 11" xfId="17359" xr:uid="{AB7383B4-DC29-441A-9601-7524B7331277}"/>
    <cellStyle name="Normal 2 5 4 12" xfId="34217" xr:uid="{54DA1BFA-7F31-4BE2-A4E8-7822D4E399CB}"/>
    <cellStyle name="Normal 2 5 4 13" xfId="8924" xr:uid="{105CEF31-9AAA-4B41-930E-260F52EF22DF}"/>
    <cellStyle name="Normal 2 5 4 2" xfId="319" xr:uid="{00000000-0005-0000-0000-000016110000}"/>
    <cellStyle name="Normal 2 5 4 2 10" xfId="17360" xr:uid="{28165AFA-42F3-46F1-B851-D649F07F27E6}"/>
    <cellStyle name="Normal 2 5 4 2 11" xfId="34218" xr:uid="{640B23C6-B99C-432A-A2A6-3FC8F36B8C7A}"/>
    <cellStyle name="Normal 2 5 4 2 12" xfId="8925" xr:uid="{6F4F21EE-8904-4390-825E-6E57FCA215CD}"/>
    <cellStyle name="Normal 2 5 4 2 2" xfId="320" xr:uid="{00000000-0005-0000-0000-000017110000}"/>
    <cellStyle name="Normal 2 5 4 2 2 10" xfId="34219" xr:uid="{C3A3DF40-121D-406F-9485-916111F4EBAD}"/>
    <cellStyle name="Normal 2 5 4 2 2 11" xfId="8926" xr:uid="{88636C9C-E141-4F61-9AD8-6D29C8F105C1}"/>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32567" xr:uid="{D3D3ECEF-A83F-4109-93CD-458C7F9243FC}"/>
    <cellStyle name="Normal 2 5 4 2 2 2 2 2 3" xfId="24138" xr:uid="{DBFC2943-DFE9-48BC-931F-800F229DC9C8}"/>
    <cellStyle name="Normal 2 5 4 2 2 2 2 2 4" xfId="40995" xr:uid="{50688ECD-134E-40FF-BC4F-3AA8DBA9CCB7}"/>
    <cellStyle name="Normal 2 5 4 2 2 2 2 2 5" xfId="15703" xr:uid="{802EEC0F-953D-4F7B-9E68-682F0D1AF256}"/>
    <cellStyle name="Normal 2 5 4 2 2 2 2 3" xfId="28349" xr:uid="{0E00B100-7046-46DF-BBBA-D2DC922B0887}"/>
    <cellStyle name="Normal 2 5 4 2 2 2 2 4" xfId="19920" xr:uid="{340FFEA5-E19C-44B4-80EE-C45ACECF9474}"/>
    <cellStyle name="Normal 2 5 4 2 2 2 2 5" xfId="36778" xr:uid="{C1AAE7A7-3611-499D-8EE9-51C86531417F}"/>
    <cellStyle name="Normal 2 5 4 2 2 2 2 6" xfId="11485" xr:uid="{6AC00FA0-99A8-4D95-BD3D-DE2F00B24EDA}"/>
    <cellStyle name="Normal 2 5 4 2 2 2 3" xfId="5123" xr:uid="{00000000-0005-0000-0000-00001B110000}"/>
    <cellStyle name="Normal 2 5 4 2 2 2 3 2" xfId="30422" xr:uid="{4EA534B4-D84D-44C2-B9CE-961F658C1769}"/>
    <cellStyle name="Normal 2 5 4 2 2 2 3 3" xfId="21993" xr:uid="{1DD06570-6B93-45B8-AB04-566C4D8ECE03}"/>
    <cellStyle name="Normal 2 5 4 2 2 2 3 4" xfId="38850" xr:uid="{4E74C824-BFC5-47E3-B1F4-773F2F7D7835}"/>
    <cellStyle name="Normal 2 5 4 2 2 2 3 5" xfId="13558" xr:uid="{58439208-1A72-4EFC-87B2-E0C49F5BC9D7}"/>
    <cellStyle name="Normal 2 5 4 2 2 2 4" xfId="26204" xr:uid="{CDDC73A7-A97D-48F0-B39E-CF6F838FBFB0}"/>
    <cellStyle name="Normal 2 5 4 2 2 2 5" xfId="17775" xr:uid="{329B1A80-B955-4D72-BA17-D2E361D1AAC0}"/>
    <cellStyle name="Normal 2 5 4 2 2 2 6" xfId="34633" xr:uid="{477539C1-88B1-4476-96FE-851511D935DA}"/>
    <cellStyle name="Normal 2 5 4 2 2 2 7" xfId="9340" xr:uid="{839869BE-1A22-4197-B09A-D33C85A2902C}"/>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32980" xr:uid="{E224F179-D8FD-4AA6-AD5D-F3D998715360}"/>
    <cellStyle name="Normal 2 5 4 2 2 3 2 2 3" xfId="24551" xr:uid="{6575C4A9-F6D8-499E-8608-D5359F9F9921}"/>
    <cellStyle name="Normal 2 5 4 2 2 3 2 2 4" xfId="41408" xr:uid="{B8C01897-6D19-408A-AAC5-15FF3C16B228}"/>
    <cellStyle name="Normal 2 5 4 2 2 3 2 2 5" xfId="16116" xr:uid="{1E00313B-9607-42F6-9EE7-28F4C3EE3A06}"/>
    <cellStyle name="Normal 2 5 4 2 2 3 2 3" xfId="28762" xr:uid="{56B72008-1346-48EA-8178-B18DC4A1866E}"/>
    <cellStyle name="Normal 2 5 4 2 2 3 2 4" xfId="20333" xr:uid="{47111455-FAB4-4C21-AEA2-3F4137B30074}"/>
    <cellStyle name="Normal 2 5 4 2 2 3 2 5" xfId="37191" xr:uid="{E36FB8B1-62ED-4556-8354-A65F816D7222}"/>
    <cellStyle name="Normal 2 5 4 2 2 3 2 6" xfId="11898" xr:uid="{8CA65054-8B4E-478E-88B8-E188657617D1}"/>
    <cellStyle name="Normal 2 5 4 2 2 3 3" xfId="5536" xr:uid="{00000000-0005-0000-0000-00001F110000}"/>
    <cellStyle name="Normal 2 5 4 2 2 3 3 2" xfId="30835" xr:uid="{0B809337-980C-4B89-BA0B-74E9776355EB}"/>
    <cellStyle name="Normal 2 5 4 2 2 3 3 3" xfId="22406" xr:uid="{DFE31EB3-9A81-491C-84D1-1014C24E9C8F}"/>
    <cellStyle name="Normal 2 5 4 2 2 3 3 4" xfId="39263" xr:uid="{F567D8F2-F4E1-4160-B4EE-750C4A2EDBD6}"/>
    <cellStyle name="Normal 2 5 4 2 2 3 3 5" xfId="13971" xr:uid="{AFE27EA5-5D20-44B6-ADDF-B12D887AD456}"/>
    <cellStyle name="Normal 2 5 4 2 2 3 4" xfId="26617" xr:uid="{C73732AC-4457-484E-8CD2-B2CAF14C3726}"/>
    <cellStyle name="Normal 2 5 4 2 2 3 5" xfId="18188" xr:uid="{6BBB4F07-6E52-43BF-B4E8-A3703032D2AB}"/>
    <cellStyle name="Normal 2 5 4 2 2 3 6" xfId="35046" xr:uid="{3E3881EC-D619-4FB9-BBC2-659DCC0E2C6F}"/>
    <cellStyle name="Normal 2 5 4 2 2 3 7" xfId="9753" xr:uid="{B7E949A8-1794-45BA-A789-6E3151B07872}"/>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33393" xr:uid="{BD80BE79-73DD-405F-A57F-22B3536B4641}"/>
    <cellStyle name="Normal 2 5 4 2 2 4 2 2 3" xfId="24964" xr:uid="{7F369DB8-355B-46A3-A3FF-B655B05FFDEA}"/>
    <cellStyle name="Normal 2 5 4 2 2 4 2 2 4" xfId="41821" xr:uid="{0988EBA3-5900-4AA3-85FD-C24399F79FEE}"/>
    <cellStyle name="Normal 2 5 4 2 2 4 2 2 5" xfId="16529" xr:uid="{B71CCFB6-E7DC-4CE3-8BBE-608DBE580CD0}"/>
    <cellStyle name="Normal 2 5 4 2 2 4 2 3" xfId="29175" xr:uid="{720B5209-ECA1-46C0-A8CF-4050D74752FD}"/>
    <cellStyle name="Normal 2 5 4 2 2 4 2 4" xfId="20746" xr:uid="{10D2B7AA-02CC-4765-8D02-605AA971CF70}"/>
    <cellStyle name="Normal 2 5 4 2 2 4 2 5" xfId="37604" xr:uid="{165D46F5-0880-4F11-BFDE-B6902239F081}"/>
    <cellStyle name="Normal 2 5 4 2 2 4 2 6" xfId="12311" xr:uid="{FD29EE67-05BE-4553-ACF7-00043B98B7BD}"/>
    <cellStyle name="Normal 2 5 4 2 2 4 3" xfId="5949" xr:uid="{00000000-0005-0000-0000-000023110000}"/>
    <cellStyle name="Normal 2 5 4 2 2 4 3 2" xfId="31248" xr:uid="{EF1CD3E8-A529-4775-8ABB-B98C5FD24E67}"/>
    <cellStyle name="Normal 2 5 4 2 2 4 3 3" xfId="22819" xr:uid="{95D774F0-04E9-434C-8F56-5C25C77D9761}"/>
    <cellStyle name="Normal 2 5 4 2 2 4 3 4" xfId="39676" xr:uid="{E9C4FB0E-05D5-4053-8116-3907100D3E39}"/>
    <cellStyle name="Normal 2 5 4 2 2 4 3 5" xfId="14384" xr:uid="{BD98B2FA-FA8A-4915-A7C2-2486647DEFD0}"/>
    <cellStyle name="Normal 2 5 4 2 2 4 4" xfId="27030" xr:uid="{920F2521-5A5F-4491-95A7-B691E3CA3703}"/>
    <cellStyle name="Normal 2 5 4 2 2 4 5" xfId="18601" xr:uid="{E7A3BBBF-1CD8-483A-9742-DF64F2143A39}"/>
    <cellStyle name="Normal 2 5 4 2 2 4 6" xfId="35459" xr:uid="{810BFA49-CAE6-4948-9271-D13D59412EC7}"/>
    <cellStyle name="Normal 2 5 4 2 2 4 7" xfId="10166" xr:uid="{916C2D1E-7DC2-4B86-A12B-07BFA68AC701}"/>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33806" xr:uid="{5BBEF5E7-7100-43AF-9DAC-09049F78D01E}"/>
    <cellStyle name="Normal 2 5 4 2 2 5 2 2 3" xfId="25377" xr:uid="{06DA60F5-867C-49CA-AF65-BD694ABCBFAB}"/>
    <cellStyle name="Normal 2 5 4 2 2 5 2 2 4" xfId="42234" xr:uid="{DF99C71D-5FD7-46F4-B636-B21645C5DFEE}"/>
    <cellStyle name="Normal 2 5 4 2 2 5 2 2 5" xfId="16942" xr:uid="{00ABCAB3-92AA-41BC-94F3-514B6812408B}"/>
    <cellStyle name="Normal 2 5 4 2 2 5 2 3" xfId="29588" xr:uid="{35730FBC-95EC-43A8-851B-A48D1F31485F}"/>
    <cellStyle name="Normal 2 5 4 2 2 5 2 4" xfId="21159" xr:uid="{8BF9CE0C-4871-4988-9C51-2925BE79A379}"/>
    <cellStyle name="Normal 2 5 4 2 2 5 2 5" xfId="38017" xr:uid="{BD10AA4E-2C5B-430F-826C-951B3C3ED4D9}"/>
    <cellStyle name="Normal 2 5 4 2 2 5 2 6" xfId="12724" xr:uid="{B1CCD210-6E27-4195-8767-F770D548E8B6}"/>
    <cellStyle name="Normal 2 5 4 2 2 5 3" xfId="6362" xr:uid="{00000000-0005-0000-0000-000027110000}"/>
    <cellStyle name="Normal 2 5 4 2 2 5 3 2" xfId="31661" xr:uid="{3C0F44FA-BAAB-4953-917A-A68440282517}"/>
    <cellStyle name="Normal 2 5 4 2 2 5 3 3" xfId="23232" xr:uid="{2AB6E2C9-3749-49B7-94D4-B9E2FF79B015}"/>
    <cellStyle name="Normal 2 5 4 2 2 5 3 4" xfId="40089" xr:uid="{8962C015-69A8-43B8-8B8B-5D3D4BD805CB}"/>
    <cellStyle name="Normal 2 5 4 2 2 5 3 5" xfId="14797" xr:uid="{7E1C8505-0797-45C8-83BB-9CEC75934400}"/>
    <cellStyle name="Normal 2 5 4 2 2 5 4" xfId="27443" xr:uid="{3D8AA733-7D1B-4A62-B915-2420E49C956F}"/>
    <cellStyle name="Normal 2 5 4 2 2 5 5" xfId="19014" xr:uid="{E45275D5-C8D2-4EDF-B8F6-F5BD68ECAF57}"/>
    <cellStyle name="Normal 2 5 4 2 2 5 6" xfId="35872" xr:uid="{B961A5BD-EE84-4E0B-AE40-B2B75CC58005}"/>
    <cellStyle name="Normal 2 5 4 2 2 5 7" xfId="10579" xr:uid="{250A7343-266F-41C7-89B9-377D2E2E1E34}"/>
    <cellStyle name="Normal 2 5 4 2 2 6" xfId="2491" xr:uid="{00000000-0005-0000-0000-000028110000}"/>
    <cellStyle name="Normal 2 5 4 2 2 6 2" xfId="6775" xr:uid="{00000000-0005-0000-0000-000029110000}"/>
    <cellStyle name="Normal 2 5 4 2 2 6 2 2" xfId="32074" xr:uid="{F9C4FDB3-B3AA-452A-AF3F-FE9CF5128005}"/>
    <cellStyle name="Normal 2 5 4 2 2 6 2 3" xfId="23645" xr:uid="{FFFD6E96-2238-4BA3-9A57-06E5466F2780}"/>
    <cellStyle name="Normal 2 5 4 2 2 6 2 4" xfId="40502" xr:uid="{B7EC84CE-1C90-43E3-9CF0-8E3FF506DFC9}"/>
    <cellStyle name="Normal 2 5 4 2 2 6 2 5" xfId="15210" xr:uid="{E98A959A-0527-4DD2-9249-E10EFB9FC7D4}"/>
    <cellStyle name="Normal 2 5 4 2 2 6 3" xfId="27856" xr:uid="{3D10F902-EF87-454F-9109-7A5E01623251}"/>
    <cellStyle name="Normal 2 5 4 2 2 6 4" xfId="19427" xr:uid="{B2830371-88AE-4798-AC15-70241220A1D8}"/>
    <cellStyle name="Normal 2 5 4 2 2 6 5" xfId="36285" xr:uid="{ABEE719B-F2BB-4F48-B130-E5F0B823CD25}"/>
    <cellStyle name="Normal 2 5 4 2 2 6 6" xfId="10992" xr:uid="{8AC41784-359F-490E-AA1F-36C4CA9ACD4F}"/>
    <cellStyle name="Normal 2 5 4 2 2 7" xfId="4709" xr:uid="{00000000-0005-0000-0000-00002A110000}"/>
    <cellStyle name="Normal 2 5 4 2 2 7 2" xfId="30008" xr:uid="{0F60F718-2D30-4EEC-AF47-6112A0ECBBB1}"/>
    <cellStyle name="Normal 2 5 4 2 2 7 3" xfId="21579" xr:uid="{155DFEF7-673C-44E7-9483-9ED7F3D339AA}"/>
    <cellStyle name="Normal 2 5 4 2 2 7 4" xfId="38436" xr:uid="{B85F8D71-953C-45D2-9FB8-A08A0C20969D}"/>
    <cellStyle name="Normal 2 5 4 2 2 7 5" xfId="13144" xr:uid="{DE09C4A3-7C01-46E3-B551-632450EDFABC}"/>
    <cellStyle name="Normal 2 5 4 2 2 8" xfId="25790" xr:uid="{D70307CA-2B3E-4959-8523-7980192E598E}"/>
    <cellStyle name="Normal 2 5 4 2 2 9" xfId="17361" xr:uid="{9C1DA33C-BBE2-4BF3-82FE-30E59AB20FD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32566" xr:uid="{F187DF62-DCB5-47AF-B141-9F5EE80F3932}"/>
    <cellStyle name="Normal 2 5 4 2 3 2 2 3" xfId="24137" xr:uid="{A28E4955-3712-4246-BCA2-A3D91745BBCD}"/>
    <cellStyle name="Normal 2 5 4 2 3 2 2 4" xfId="40994" xr:uid="{0AF2F4EE-1AF6-4264-81C8-D4FC93DE7CB3}"/>
    <cellStyle name="Normal 2 5 4 2 3 2 2 5" xfId="15702" xr:uid="{8F9D92B8-4E5B-4C65-A938-EB4C8EDB64AA}"/>
    <cellStyle name="Normal 2 5 4 2 3 2 3" xfId="28348" xr:uid="{03578FF5-080F-4EDF-9C10-137A5BA2DE7F}"/>
    <cellStyle name="Normal 2 5 4 2 3 2 4" xfId="19919" xr:uid="{83260EB0-16B7-4009-9C05-7AB37AC3BDB4}"/>
    <cellStyle name="Normal 2 5 4 2 3 2 5" xfId="36777" xr:uid="{634C8852-30B3-4F8C-9D71-C2E07998544E}"/>
    <cellStyle name="Normal 2 5 4 2 3 2 6" xfId="11484" xr:uid="{7EC306ED-B682-4B82-9224-458F8815F57D}"/>
    <cellStyle name="Normal 2 5 4 2 3 3" xfId="5122" xr:uid="{00000000-0005-0000-0000-00002E110000}"/>
    <cellStyle name="Normal 2 5 4 2 3 3 2" xfId="30421" xr:uid="{9BA4FF77-CBFD-434F-ADEE-94D6E82888A7}"/>
    <cellStyle name="Normal 2 5 4 2 3 3 3" xfId="21992" xr:uid="{3C3BA8F2-1145-4B88-AA06-0CE0701B5D3E}"/>
    <cellStyle name="Normal 2 5 4 2 3 3 4" xfId="38849" xr:uid="{18639C5A-DAE3-4AF7-866A-0C2551EF9BB3}"/>
    <cellStyle name="Normal 2 5 4 2 3 3 5" xfId="13557" xr:uid="{856CB852-2F64-4D66-A943-95D97662C25D}"/>
    <cellStyle name="Normal 2 5 4 2 3 4" xfId="26203" xr:uid="{DFE9D16A-E1DD-445A-98E5-8106822B78B8}"/>
    <cellStyle name="Normal 2 5 4 2 3 5" xfId="17774" xr:uid="{49EAF101-622A-4EF4-A59A-9E9C712888BF}"/>
    <cellStyle name="Normal 2 5 4 2 3 6" xfId="34632" xr:uid="{9ADBB41B-FB30-4FB4-92C9-9143F00925A4}"/>
    <cellStyle name="Normal 2 5 4 2 3 7" xfId="9339" xr:uid="{91E32910-18C1-4126-B7A5-916B7A51B8B7}"/>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32979" xr:uid="{7B5055DB-099F-49E7-95FF-0D80640ABF8B}"/>
    <cellStyle name="Normal 2 5 4 2 4 2 2 3" xfId="24550" xr:uid="{1CB8FCE8-255A-42D6-A293-3FEEABA6C435}"/>
    <cellStyle name="Normal 2 5 4 2 4 2 2 4" xfId="41407" xr:uid="{6615D336-8E31-4558-A5D5-2E68BBB40957}"/>
    <cellStyle name="Normal 2 5 4 2 4 2 2 5" xfId="16115" xr:uid="{43442675-63B1-4556-8B79-0A1DA1E5267C}"/>
    <cellStyle name="Normal 2 5 4 2 4 2 3" xfId="28761" xr:uid="{C7C6BC40-47FD-4013-BB6D-CC3B84F26F3C}"/>
    <cellStyle name="Normal 2 5 4 2 4 2 4" xfId="20332" xr:uid="{5C6E853E-B363-421B-8341-1E9DF629F8E6}"/>
    <cellStyle name="Normal 2 5 4 2 4 2 5" xfId="37190" xr:uid="{22E7D7EC-1D96-4229-B0A0-12C3FD307596}"/>
    <cellStyle name="Normal 2 5 4 2 4 2 6" xfId="11897" xr:uid="{A8E9ACD6-7D22-412F-ADB4-F1BF1FCEDAB7}"/>
    <cellStyle name="Normal 2 5 4 2 4 3" xfId="5535" xr:uid="{00000000-0005-0000-0000-000032110000}"/>
    <cellStyle name="Normal 2 5 4 2 4 3 2" xfId="30834" xr:uid="{5C47C8E2-051C-4AF9-A30B-456ED0D6404C}"/>
    <cellStyle name="Normal 2 5 4 2 4 3 3" xfId="22405" xr:uid="{663AB627-E80F-420F-B7C6-E9698C0098FD}"/>
    <cellStyle name="Normal 2 5 4 2 4 3 4" xfId="39262" xr:uid="{BA109C58-5AA6-4D53-93D7-F6F9ED3B82C8}"/>
    <cellStyle name="Normal 2 5 4 2 4 3 5" xfId="13970" xr:uid="{58C5CB95-A5B2-4084-9546-019D6E1E87F1}"/>
    <cellStyle name="Normal 2 5 4 2 4 4" xfId="26616" xr:uid="{ECEEA5D9-69F3-4159-A2E2-EBA4EFDE3876}"/>
    <cellStyle name="Normal 2 5 4 2 4 5" xfId="18187" xr:uid="{7F2E880A-81A3-4A52-90F8-CD55947546E8}"/>
    <cellStyle name="Normal 2 5 4 2 4 6" xfId="35045" xr:uid="{2916F576-1233-4AE6-9673-8BB8993A54A5}"/>
    <cellStyle name="Normal 2 5 4 2 4 7" xfId="9752" xr:uid="{46D0D40D-BABD-40DB-85D4-F9297AFEC27A}"/>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33392" xr:uid="{BAAF1D25-37B5-494F-82B2-833202A1E542}"/>
    <cellStyle name="Normal 2 5 4 2 5 2 2 3" xfId="24963" xr:uid="{CF0514F9-7822-414A-AE6D-5FAF6D000469}"/>
    <cellStyle name="Normal 2 5 4 2 5 2 2 4" xfId="41820" xr:uid="{62D1E200-C1EF-45AF-86DF-B0D8032D33B3}"/>
    <cellStyle name="Normal 2 5 4 2 5 2 2 5" xfId="16528" xr:uid="{49F0DF7C-12DD-4BD4-A895-87070C94C9A1}"/>
    <cellStyle name="Normal 2 5 4 2 5 2 3" xfId="29174" xr:uid="{CD5C1C50-1F91-4270-BCAE-8604AB23D774}"/>
    <cellStyle name="Normal 2 5 4 2 5 2 4" xfId="20745" xr:uid="{BC1E96FF-69A0-465F-BA9F-2B50657FAC23}"/>
    <cellStyle name="Normal 2 5 4 2 5 2 5" xfId="37603" xr:uid="{ED1E0AF9-C09B-4355-B9EB-A33A025CF007}"/>
    <cellStyle name="Normal 2 5 4 2 5 2 6" xfId="12310" xr:uid="{9A3AD6F1-5B55-4503-A44B-A326601151D0}"/>
    <cellStyle name="Normal 2 5 4 2 5 3" xfId="5948" xr:uid="{00000000-0005-0000-0000-000036110000}"/>
    <cellStyle name="Normal 2 5 4 2 5 3 2" xfId="31247" xr:uid="{42298950-9569-4E74-AC6B-4D1A0389E34B}"/>
    <cellStyle name="Normal 2 5 4 2 5 3 3" xfId="22818" xr:uid="{9B097325-6ABB-4E76-81F5-DF786B68B0ED}"/>
    <cellStyle name="Normal 2 5 4 2 5 3 4" xfId="39675" xr:uid="{F1CAB955-1D76-45D0-B779-D83F9C6C2A5F}"/>
    <cellStyle name="Normal 2 5 4 2 5 3 5" xfId="14383" xr:uid="{1DBAD53A-C245-46E0-8977-39CD1DC1AA63}"/>
    <cellStyle name="Normal 2 5 4 2 5 4" xfId="27029" xr:uid="{A1985125-9B91-4529-98DF-BC7C29347BDF}"/>
    <cellStyle name="Normal 2 5 4 2 5 5" xfId="18600" xr:uid="{379CE913-99C7-422D-9FF2-228513A46C30}"/>
    <cellStyle name="Normal 2 5 4 2 5 6" xfId="35458" xr:uid="{53CE46F9-DE72-4FFD-A7AC-13883D574457}"/>
    <cellStyle name="Normal 2 5 4 2 5 7" xfId="10165" xr:uid="{95803363-7879-4E8E-958C-369F4FDD4679}"/>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33805" xr:uid="{394A5A33-C2C7-4BD0-8A06-060A1C013982}"/>
    <cellStyle name="Normal 2 5 4 2 6 2 2 3" xfId="25376" xr:uid="{64E3B281-9880-4D0E-B6D8-55C74B37DA4E}"/>
    <cellStyle name="Normal 2 5 4 2 6 2 2 4" xfId="42233" xr:uid="{F1BF80D0-C6A1-4088-B55E-358245A5F0D9}"/>
    <cellStyle name="Normal 2 5 4 2 6 2 2 5" xfId="16941" xr:uid="{1BAA48BC-1EFB-43C7-BD92-C8560A32799F}"/>
    <cellStyle name="Normal 2 5 4 2 6 2 3" xfId="29587" xr:uid="{C4E6293F-DBAE-4268-B972-1210DE892E43}"/>
    <cellStyle name="Normal 2 5 4 2 6 2 4" xfId="21158" xr:uid="{249F8BE6-B2A6-44FB-935F-83CE60088B2B}"/>
    <cellStyle name="Normal 2 5 4 2 6 2 5" xfId="38016" xr:uid="{2728D50B-88E2-4E25-9EDB-1B504B7052FD}"/>
    <cellStyle name="Normal 2 5 4 2 6 2 6" xfId="12723" xr:uid="{690A0ACE-C33D-44AC-A01B-698B5399BB26}"/>
    <cellStyle name="Normal 2 5 4 2 6 3" xfId="6361" xr:uid="{00000000-0005-0000-0000-00003A110000}"/>
    <cellStyle name="Normal 2 5 4 2 6 3 2" xfId="31660" xr:uid="{A3F9E9FA-93B2-4ECC-A901-BA46651A4484}"/>
    <cellStyle name="Normal 2 5 4 2 6 3 3" xfId="23231" xr:uid="{EB14CDD8-044F-4C59-996F-606C98995C09}"/>
    <cellStyle name="Normal 2 5 4 2 6 3 4" xfId="40088" xr:uid="{FF14651C-F7C2-4507-B779-76869BD2071A}"/>
    <cellStyle name="Normal 2 5 4 2 6 3 5" xfId="14796" xr:uid="{868FB1AE-016E-42EC-B575-EA84223AB62F}"/>
    <cellStyle name="Normal 2 5 4 2 6 4" xfId="27442" xr:uid="{F164CFE6-21F2-4025-B699-C270374D3D28}"/>
    <cellStyle name="Normal 2 5 4 2 6 5" xfId="19013" xr:uid="{0ECFEFD7-C15B-42E1-81B7-10D8A813AB43}"/>
    <cellStyle name="Normal 2 5 4 2 6 6" xfId="35871" xr:uid="{68288731-F290-456C-9049-2D39C72EAFD8}"/>
    <cellStyle name="Normal 2 5 4 2 6 7" xfId="10578" xr:uid="{A0E3F45D-B1C2-4AAC-8E0F-23EBA4B00AB0}"/>
    <cellStyle name="Normal 2 5 4 2 7" xfId="2490" xr:uid="{00000000-0005-0000-0000-00003B110000}"/>
    <cellStyle name="Normal 2 5 4 2 7 2" xfId="6774" xr:uid="{00000000-0005-0000-0000-00003C110000}"/>
    <cellStyle name="Normal 2 5 4 2 7 2 2" xfId="32073" xr:uid="{464865DF-3F8D-4915-9179-AC84C6E93081}"/>
    <cellStyle name="Normal 2 5 4 2 7 2 3" xfId="23644" xr:uid="{7E10FEB7-04ED-41CC-873E-067FE546A414}"/>
    <cellStyle name="Normal 2 5 4 2 7 2 4" xfId="40501" xr:uid="{4C209411-9902-46D6-AD4C-CDC39179F694}"/>
    <cellStyle name="Normal 2 5 4 2 7 2 5" xfId="15209" xr:uid="{C5D7F3A1-1947-4027-A0F0-B522D6E1CF3A}"/>
    <cellStyle name="Normal 2 5 4 2 7 3" xfId="27855" xr:uid="{99276035-DE07-4B58-91D5-B687357606CF}"/>
    <cellStyle name="Normal 2 5 4 2 7 4" xfId="19426" xr:uid="{1DABBC13-F2C7-4EB4-B26E-692B104E48CB}"/>
    <cellStyle name="Normal 2 5 4 2 7 5" xfId="36284" xr:uid="{20855D1F-C584-4C23-B70E-1DEA8402F302}"/>
    <cellStyle name="Normal 2 5 4 2 7 6" xfId="10991" xr:uid="{060FFEF4-594F-43B2-B992-31C2C7702BA1}"/>
    <cellStyle name="Normal 2 5 4 2 8" xfId="4708" xr:uid="{00000000-0005-0000-0000-00003D110000}"/>
    <cellStyle name="Normal 2 5 4 2 8 2" xfId="30007" xr:uid="{F3A1802D-B1CC-4254-B0BF-A324137A18FB}"/>
    <cellStyle name="Normal 2 5 4 2 8 3" xfId="21578" xr:uid="{54B1D7DB-D8A8-4EED-ADC6-269475F60B80}"/>
    <cellStyle name="Normal 2 5 4 2 8 4" xfId="38435" xr:uid="{F76F42E7-569D-42B1-A237-EB0A8FFC228D}"/>
    <cellStyle name="Normal 2 5 4 2 8 5" xfId="13143" xr:uid="{4FAFE04E-51E1-4783-A529-8F225CC6416F}"/>
    <cellStyle name="Normal 2 5 4 2 9" xfId="25789" xr:uid="{C7B98B04-9BA5-47FD-AC3B-BA14A9696B29}"/>
    <cellStyle name="Normal 2 5 4 3" xfId="321" xr:uid="{00000000-0005-0000-0000-00003E110000}"/>
    <cellStyle name="Normal 2 5 4 3 10" xfId="34220" xr:uid="{CC2A8991-C4DA-42EC-912E-65326E5A48EA}"/>
    <cellStyle name="Normal 2 5 4 3 11" xfId="8927" xr:uid="{9A0BAD41-349B-4C43-9A99-C684E7E867E9}"/>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32568" xr:uid="{4A0B368F-1B40-4EEB-A805-FDCC3932BC96}"/>
    <cellStyle name="Normal 2 5 4 3 2 2 2 3" xfId="24139" xr:uid="{CB6CC8A1-50CC-467C-A925-669327CE2A3E}"/>
    <cellStyle name="Normal 2 5 4 3 2 2 2 4" xfId="40996" xr:uid="{67C49D33-D4AD-4007-B263-952267E9EBA4}"/>
    <cellStyle name="Normal 2 5 4 3 2 2 2 5" xfId="15704" xr:uid="{45551895-4812-4A6C-BE2A-F47A6BEE18C7}"/>
    <cellStyle name="Normal 2 5 4 3 2 2 3" xfId="28350" xr:uid="{A928AC7A-EC9C-4201-A913-5829136519A4}"/>
    <cellStyle name="Normal 2 5 4 3 2 2 4" xfId="19921" xr:uid="{6A25BFCF-9CC9-468B-BCAD-9E6EB44AC042}"/>
    <cellStyle name="Normal 2 5 4 3 2 2 5" xfId="36779" xr:uid="{1AE58911-93C5-4D34-A5D7-CD318131352A}"/>
    <cellStyle name="Normal 2 5 4 3 2 2 6" xfId="11486" xr:uid="{46EC5237-A33A-46A4-AC77-54C95E6C905A}"/>
    <cellStyle name="Normal 2 5 4 3 2 3" xfId="5124" xr:uid="{00000000-0005-0000-0000-000042110000}"/>
    <cellStyle name="Normal 2 5 4 3 2 3 2" xfId="30423" xr:uid="{CD10AD0A-4D0B-4F15-B23E-3E3580850CD2}"/>
    <cellStyle name="Normal 2 5 4 3 2 3 3" xfId="21994" xr:uid="{1C1CBF27-0B46-419C-B84E-A7EA9E0AE0BF}"/>
    <cellStyle name="Normal 2 5 4 3 2 3 4" xfId="38851" xr:uid="{E52D4152-F0A8-48E9-B082-25A778BA2DF9}"/>
    <cellStyle name="Normal 2 5 4 3 2 3 5" xfId="13559" xr:uid="{76A1524C-BFCF-440D-8EE9-47284A3D5273}"/>
    <cellStyle name="Normal 2 5 4 3 2 4" xfId="26205" xr:uid="{783E6250-CFE9-4F31-9131-BC13C199683E}"/>
    <cellStyle name="Normal 2 5 4 3 2 5" xfId="17776" xr:uid="{0280CC2C-C78F-48F7-B1A8-21BC231BB673}"/>
    <cellStyle name="Normal 2 5 4 3 2 6" xfId="34634" xr:uid="{6976AA2D-33A6-448A-89AE-A19A17187380}"/>
    <cellStyle name="Normal 2 5 4 3 2 7" xfId="9341" xr:uid="{F019A25D-D502-41CC-894D-375C14362FB2}"/>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32981" xr:uid="{8CC2F092-26AC-420D-9169-B7647E4B2A8A}"/>
    <cellStyle name="Normal 2 5 4 3 3 2 2 3" xfId="24552" xr:uid="{BC596F10-AD18-4C2D-BAB7-5FE0C24F19B9}"/>
    <cellStyle name="Normal 2 5 4 3 3 2 2 4" xfId="41409" xr:uid="{3223BF00-8502-4940-AEF2-056CF102BE6F}"/>
    <cellStyle name="Normal 2 5 4 3 3 2 2 5" xfId="16117" xr:uid="{B6E0AE92-F754-4BC7-807F-ADFFB75C20FD}"/>
    <cellStyle name="Normal 2 5 4 3 3 2 3" xfId="28763" xr:uid="{9D19FDF3-34F1-45EC-9FFC-5FDB1DA8BCA3}"/>
    <cellStyle name="Normal 2 5 4 3 3 2 4" xfId="20334" xr:uid="{7F789162-AE66-47FE-930C-4118C452AA1A}"/>
    <cellStyle name="Normal 2 5 4 3 3 2 5" xfId="37192" xr:uid="{6F66C2B2-8241-4D4F-B07C-EDE7A8C49E82}"/>
    <cellStyle name="Normal 2 5 4 3 3 2 6" xfId="11899" xr:uid="{C67E6A8C-B587-49C1-B7C7-2E5F128B29BF}"/>
    <cellStyle name="Normal 2 5 4 3 3 3" xfId="5537" xr:uid="{00000000-0005-0000-0000-000046110000}"/>
    <cellStyle name="Normal 2 5 4 3 3 3 2" xfId="30836" xr:uid="{CE0B2296-1528-4B80-B875-3B03B217B098}"/>
    <cellStyle name="Normal 2 5 4 3 3 3 3" xfId="22407" xr:uid="{8942C0ED-CB89-418C-83DF-25EEC6E0BD77}"/>
    <cellStyle name="Normal 2 5 4 3 3 3 4" xfId="39264" xr:uid="{7BD0B96F-8BCC-434F-A5DA-3D28B295DDF5}"/>
    <cellStyle name="Normal 2 5 4 3 3 3 5" xfId="13972" xr:uid="{4425BDF0-FDDD-432D-BB21-DEB32A97DF91}"/>
    <cellStyle name="Normal 2 5 4 3 3 4" xfId="26618" xr:uid="{6C06F78F-C2F2-483E-B9C3-D5B30F2B3723}"/>
    <cellStyle name="Normal 2 5 4 3 3 5" xfId="18189" xr:uid="{BF138885-DF7C-4FC5-93DF-C7589BD45355}"/>
    <cellStyle name="Normal 2 5 4 3 3 6" xfId="35047" xr:uid="{EEC0E014-4322-470B-BBD8-354CEB4E0D89}"/>
    <cellStyle name="Normal 2 5 4 3 3 7" xfId="9754" xr:uid="{1B7AD102-EFCB-4DE1-A9DF-B25BAE2A9A5D}"/>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33394" xr:uid="{5026B38A-1457-4550-BE70-89A8319F4F09}"/>
    <cellStyle name="Normal 2 5 4 3 4 2 2 3" xfId="24965" xr:uid="{E2B0A199-909B-4BD1-8280-17CADC689A2F}"/>
    <cellStyle name="Normal 2 5 4 3 4 2 2 4" xfId="41822" xr:uid="{BF7E20DF-21B6-4052-A051-08ED48FF0586}"/>
    <cellStyle name="Normal 2 5 4 3 4 2 2 5" xfId="16530" xr:uid="{0F535A62-D6B6-40DB-A7BB-34D548D1E23B}"/>
    <cellStyle name="Normal 2 5 4 3 4 2 3" xfId="29176" xr:uid="{7B63DDC3-0017-49D9-A749-75CC8D7F7817}"/>
    <cellStyle name="Normal 2 5 4 3 4 2 4" xfId="20747" xr:uid="{569F1C01-46EC-4429-94A0-3C925866DE0B}"/>
    <cellStyle name="Normal 2 5 4 3 4 2 5" xfId="37605" xr:uid="{52710139-3E31-4B51-A589-63F29D736CED}"/>
    <cellStyle name="Normal 2 5 4 3 4 2 6" xfId="12312" xr:uid="{D60A9361-F11C-4DEA-AB36-9AED7E4776D8}"/>
    <cellStyle name="Normal 2 5 4 3 4 3" xfId="5950" xr:uid="{00000000-0005-0000-0000-00004A110000}"/>
    <cellStyle name="Normal 2 5 4 3 4 3 2" xfId="31249" xr:uid="{18DD64D1-0020-496C-ACBD-E044A9400A75}"/>
    <cellStyle name="Normal 2 5 4 3 4 3 3" xfId="22820" xr:uid="{03ED91D0-81C9-4FAE-B507-AE738F2DCAD8}"/>
    <cellStyle name="Normal 2 5 4 3 4 3 4" xfId="39677" xr:uid="{C1D35D71-3C7B-4A4B-B26D-7E7FABFF1212}"/>
    <cellStyle name="Normal 2 5 4 3 4 3 5" xfId="14385" xr:uid="{4170A880-7804-4721-AB40-13198B388DDC}"/>
    <cellStyle name="Normal 2 5 4 3 4 4" xfId="27031" xr:uid="{512C7626-7A2B-4E62-B8A0-56DA2F4EDDAD}"/>
    <cellStyle name="Normal 2 5 4 3 4 5" xfId="18602" xr:uid="{6F52A06E-CE42-4234-99B5-6ABAC10CC897}"/>
    <cellStyle name="Normal 2 5 4 3 4 6" xfId="35460" xr:uid="{82912647-E974-485E-99CE-CDC601C373F5}"/>
    <cellStyle name="Normal 2 5 4 3 4 7" xfId="10167" xr:uid="{257065AF-2B0F-401F-9593-897B8E1CBB8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33807" xr:uid="{ECC4C501-3182-453A-8AD0-E66C91C89DB6}"/>
    <cellStyle name="Normal 2 5 4 3 5 2 2 3" xfId="25378" xr:uid="{28DADD33-1432-4ACC-AAD1-313EA4926626}"/>
    <cellStyle name="Normal 2 5 4 3 5 2 2 4" xfId="42235" xr:uid="{886E06CD-6A4A-4B38-8B55-629ECD24188D}"/>
    <cellStyle name="Normal 2 5 4 3 5 2 2 5" xfId="16943" xr:uid="{E17AAF3C-7E5A-4A2E-8545-2AD48B9753F9}"/>
    <cellStyle name="Normal 2 5 4 3 5 2 3" xfId="29589" xr:uid="{0488A454-1C14-411B-AC01-42143A44B7FE}"/>
    <cellStyle name="Normal 2 5 4 3 5 2 4" xfId="21160" xr:uid="{CBF1F2AE-EC4C-4D7C-A20B-E228336BB4D3}"/>
    <cellStyle name="Normal 2 5 4 3 5 2 5" xfId="38018" xr:uid="{F7944B96-0F18-4D9E-939D-8D926C6D50DE}"/>
    <cellStyle name="Normal 2 5 4 3 5 2 6" xfId="12725" xr:uid="{4BBAAA29-25F5-4799-B9E3-AA6AD61BE6AD}"/>
    <cellStyle name="Normal 2 5 4 3 5 3" xfId="6363" xr:uid="{00000000-0005-0000-0000-00004E110000}"/>
    <cellStyle name="Normal 2 5 4 3 5 3 2" xfId="31662" xr:uid="{FF808A22-EE67-4A30-BE02-FBF6BA4AD37F}"/>
    <cellStyle name="Normal 2 5 4 3 5 3 3" xfId="23233" xr:uid="{27A2B54E-035F-4C10-8D59-1E78B2F93B08}"/>
    <cellStyle name="Normal 2 5 4 3 5 3 4" xfId="40090" xr:uid="{252CCD88-37B5-41E8-B040-F747D958B961}"/>
    <cellStyle name="Normal 2 5 4 3 5 3 5" xfId="14798" xr:uid="{8FA2989C-385F-4FE7-AFBA-C26BC65923B0}"/>
    <cellStyle name="Normal 2 5 4 3 5 4" xfId="27444" xr:uid="{3164E15B-EAAB-48EA-90DF-547926D53022}"/>
    <cellStyle name="Normal 2 5 4 3 5 5" xfId="19015" xr:uid="{3F858E59-0267-47BD-A1ED-C008B374AF3E}"/>
    <cellStyle name="Normal 2 5 4 3 5 6" xfId="35873" xr:uid="{8C621778-BC8A-48C6-BD7A-F29545561400}"/>
    <cellStyle name="Normal 2 5 4 3 5 7" xfId="10580" xr:uid="{F154AAF6-28F6-47DF-A4D2-F9ADAECB7E40}"/>
    <cellStyle name="Normal 2 5 4 3 6" xfId="2492" xr:uid="{00000000-0005-0000-0000-00004F110000}"/>
    <cellStyle name="Normal 2 5 4 3 6 2" xfId="6776" xr:uid="{00000000-0005-0000-0000-000050110000}"/>
    <cellStyle name="Normal 2 5 4 3 6 2 2" xfId="32075" xr:uid="{0B9119D8-787E-4CEB-B01D-10F2B02AE31A}"/>
    <cellStyle name="Normal 2 5 4 3 6 2 3" xfId="23646" xr:uid="{F1491C8A-FF72-4BAC-B8D9-E29C88CBC896}"/>
    <cellStyle name="Normal 2 5 4 3 6 2 4" xfId="40503" xr:uid="{6A58ECF7-C6C4-46E3-9866-BF7D9C0CC1B8}"/>
    <cellStyle name="Normal 2 5 4 3 6 2 5" xfId="15211" xr:uid="{3F8231F7-EF19-45F6-9049-018EC2449977}"/>
    <cellStyle name="Normal 2 5 4 3 6 3" xfId="27857" xr:uid="{32A582A7-1069-4200-A99C-10BEE43796C7}"/>
    <cellStyle name="Normal 2 5 4 3 6 4" xfId="19428" xr:uid="{B71DF8B0-8B95-4715-A093-978879DB2FB0}"/>
    <cellStyle name="Normal 2 5 4 3 6 5" xfId="36286" xr:uid="{47BFDD8D-504D-4095-A3BC-2B4BCCD303F2}"/>
    <cellStyle name="Normal 2 5 4 3 6 6" xfId="10993" xr:uid="{9D6F5D8B-56A9-4F69-B1B6-BB19ED140CD1}"/>
    <cellStyle name="Normal 2 5 4 3 7" xfId="4710" xr:uid="{00000000-0005-0000-0000-000051110000}"/>
    <cellStyle name="Normal 2 5 4 3 7 2" xfId="30009" xr:uid="{07535149-8B55-4913-AAE9-7B371ACACFF1}"/>
    <cellStyle name="Normal 2 5 4 3 7 3" xfId="21580" xr:uid="{33B59E5E-DFD7-47D9-81D9-DD1E165A0942}"/>
    <cellStyle name="Normal 2 5 4 3 7 4" xfId="38437" xr:uid="{6BA32A84-9985-4452-A24B-BAB3A949891C}"/>
    <cellStyle name="Normal 2 5 4 3 7 5" xfId="13145" xr:uid="{68E1325D-BDF4-4F4C-AAF1-FD6D1283D87D}"/>
    <cellStyle name="Normal 2 5 4 3 8" xfId="25791" xr:uid="{C042FD29-7917-42DE-A939-810E50C932A2}"/>
    <cellStyle name="Normal 2 5 4 3 9" xfId="17362" xr:uid="{2819D3D9-1F67-45CE-B8A8-322B3BC17951}"/>
    <cellStyle name="Normal 2 5 4 4" xfId="804" xr:uid="{00000000-0005-0000-0000-000052110000}"/>
    <cellStyle name="Normal 2 5 4 4 2" xfId="3043" xr:uid="{00000000-0005-0000-0000-000053110000}"/>
    <cellStyle name="Normal 2 5 4 4 2 2" xfId="7266" xr:uid="{00000000-0005-0000-0000-000054110000}"/>
    <cellStyle name="Normal 2 5 4 4 2 2 2" xfId="32565" xr:uid="{C475387F-D84C-493D-A20A-02CCCE5E5002}"/>
    <cellStyle name="Normal 2 5 4 4 2 2 3" xfId="24136" xr:uid="{040ADF68-20B9-4A6E-AD02-8364A5581656}"/>
    <cellStyle name="Normal 2 5 4 4 2 2 4" xfId="40993" xr:uid="{9A61B77E-81C5-43D3-89FF-DD1547E56DDF}"/>
    <cellStyle name="Normal 2 5 4 4 2 2 5" xfId="15701" xr:uid="{385D792A-45D2-4629-88D5-5A7975BA9A9C}"/>
    <cellStyle name="Normal 2 5 4 4 2 3" xfId="28347" xr:uid="{BBE8FB95-2951-43DF-8652-A0B7CAD8E703}"/>
    <cellStyle name="Normal 2 5 4 4 2 4" xfId="19918" xr:uid="{A0BCEB85-E7D4-4FA6-9939-8918254C67C9}"/>
    <cellStyle name="Normal 2 5 4 4 2 5" xfId="36776" xr:uid="{2DFA6C35-DA78-4853-B364-1E63E6091C4E}"/>
    <cellStyle name="Normal 2 5 4 4 2 6" xfId="11483" xr:uid="{5163B75D-14E3-4324-A947-629FB85FC250}"/>
    <cellStyle name="Normal 2 5 4 4 3" xfId="5121" xr:uid="{00000000-0005-0000-0000-000055110000}"/>
    <cellStyle name="Normal 2 5 4 4 3 2" xfId="30420" xr:uid="{C1C10775-33F5-4F8C-8C25-33E32EB02164}"/>
    <cellStyle name="Normal 2 5 4 4 3 3" xfId="21991" xr:uid="{65AD47DE-F3FE-42C7-BA3B-4CB2CC117009}"/>
    <cellStyle name="Normal 2 5 4 4 3 4" xfId="38848" xr:uid="{C86E05E6-22E2-4F27-A0C2-185A0A35B368}"/>
    <cellStyle name="Normal 2 5 4 4 3 5" xfId="13556" xr:uid="{AC3075C9-0B7C-4E6D-9635-24625741D466}"/>
    <cellStyle name="Normal 2 5 4 4 4" xfId="26202" xr:uid="{28DE9F63-9A4E-4E87-A39C-B83BFFD5CBFE}"/>
    <cellStyle name="Normal 2 5 4 4 5" xfId="17773" xr:uid="{1284B6D5-A0EA-4958-A624-07EC27E6A8BA}"/>
    <cellStyle name="Normal 2 5 4 4 6" xfId="34631" xr:uid="{17B6AA24-F8A3-4E05-A25D-CC80A42B859B}"/>
    <cellStyle name="Normal 2 5 4 4 7" xfId="9338" xr:uid="{EE9133AB-E78A-4CEE-A603-ADB149307C27}"/>
    <cellStyle name="Normal 2 5 4 5" xfId="1226" xr:uid="{00000000-0005-0000-0000-000056110000}"/>
    <cellStyle name="Normal 2 5 4 5 2" xfId="3456" xr:uid="{00000000-0005-0000-0000-000057110000}"/>
    <cellStyle name="Normal 2 5 4 5 2 2" xfId="7679" xr:uid="{00000000-0005-0000-0000-000058110000}"/>
    <cellStyle name="Normal 2 5 4 5 2 2 2" xfId="32978" xr:uid="{23379C3C-C9AD-4685-A461-3BB12AE8DEC3}"/>
    <cellStyle name="Normal 2 5 4 5 2 2 3" xfId="24549" xr:uid="{68CE73DE-664B-47C5-B8A8-F3614D6AC2A1}"/>
    <cellStyle name="Normal 2 5 4 5 2 2 4" xfId="41406" xr:uid="{D1D47C15-BF5A-484B-B94E-569B26ED18CA}"/>
    <cellStyle name="Normal 2 5 4 5 2 2 5" xfId="16114" xr:uid="{48E814E0-77EE-4429-B884-34CAD1A2ACBE}"/>
    <cellStyle name="Normal 2 5 4 5 2 3" xfId="28760" xr:uid="{6E99B7E7-06ED-4970-8F19-05C3E238563D}"/>
    <cellStyle name="Normal 2 5 4 5 2 4" xfId="20331" xr:uid="{06FB44A0-F781-49A9-8FF2-392957F7677B}"/>
    <cellStyle name="Normal 2 5 4 5 2 5" xfId="37189" xr:uid="{CA999B4A-E870-4569-A8FC-6F04B85FD9A4}"/>
    <cellStyle name="Normal 2 5 4 5 2 6" xfId="11896" xr:uid="{E7E8BA4F-96AA-471C-8CFC-0A9493EFCDFD}"/>
    <cellStyle name="Normal 2 5 4 5 3" xfId="5534" xr:uid="{00000000-0005-0000-0000-000059110000}"/>
    <cellStyle name="Normal 2 5 4 5 3 2" xfId="30833" xr:uid="{2169B80B-FC6B-4976-866C-1E9D7F281067}"/>
    <cellStyle name="Normal 2 5 4 5 3 3" xfId="22404" xr:uid="{AA67AA6A-EDF5-4538-8B08-0CB6A786BE49}"/>
    <cellStyle name="Normal 2 5 4 5 3 4" xfId="39261" xr:uid="{8DFB1E93-09BB-49E1-9B21-E6AF928896DE}"/>
    <cellStyle name="Normal 2 5 4 5 3 5" xfId="13969" xr:uid="{7C4E532D-5B0D-4C56-A055-31CFAD192F1C}"/>
    <cellStyle name="Normal 2 5 4 5 4" xfId="26615" xr:uid="{C49FFB00-B0D1-4D1E-92EE-31C3CCA6B288}"/>
    <cellStyle name="Normal 2 5 4 5 5" xfId="18186" xr:uid="{B719A411-5F22-4FB6-AA3B-88322D41F8DD}"/>
    <cellStyle name="Normal 2 5 4 5 6" xfId="35044" xr:uid="{5954CB59-6A7D-49B5-AD20-2431694BA8C7}"/>
    <cellStyle name="Normal 2 5 4 5 7" xfId="9751" xr:uid="{FF2B5C77-8EC0-4325-9E35-90DEF7CAF244}"/>
    <cellStyle name="Normal 2 5 4 6" xfId="1639" xr:uid="{00000000-0005-0000-0000-00005A110000}"/>
    <cellStyle name="Normal 2 5 4 6 2" xfId="3869" xr:uid="{00000000-0005-0000-0000-00005B110000}"/>
    <cellStyle name="Normal 2 5 4 6 2 2" xfId="8092" xr:uid="{00000000-0005-0000-0000-00005C110000}"/>
    <cellStyle name="Normal 2 5 4 6 2 2 2" xfId="33391" xr:uid="{0BED7A32-9213-46A4-8F23-8FDF844E51DC}"/>
    <cellStyle name="Normal 2 5 4 6 2 2 3" xfId="24962" xr:uid="{F86963C9-FEAD-479C-9358-BF8C708042D2}"/>
    <cellStyle name="Normal 2 5 4 6 2 2 4" xfId="41819" xr:uid="{14FEEC2C-8BC9-44FE-8DBB-6321F2335135}"/>
    <cellStyle name="Normal 2 5 4 6 2 2 5" xfId="16527" xr:uid="{601A51A4-AB40-4A30-9A40-B8D9A2A3BFE8}"/>
    <cellStyle name="Normal 2 5 4 6 2 3" xfId="29173" xr:uid="{EF117086-A87F-4E51-A195-BCCB5E5751C8}"/>
    <cellStyle name="Normal 2 5 4 6 2 4" xfId="20744" xr:uid="{E793945B-17A5-484E-AB8E-3B9B3D309BC0}"/>
    <cellStyle name="Normal 2 5 4 6 2 5" xfId="37602" xr:uid="{F0D2BE65-D3EC-44A9-AF05-B1B4E4580554}"/>
    <cellStyle name="Normal 2 5 4 6 2 6" xfId="12309" xr:uid="{C15F8ED4-BB6E-446B-9FBB-7FCB539DC929}"/>
    <cellStyle name="Normal 2 5 4 6 3" xfId="5947" xr:uid="{00000000-0005-0000-0000-00005D110000}"/>
    <cellStyle name="Normal 2 5 4 6 3 2" xfId="31246" xr:uid="{09041F60-F3C9-4332-AC87-E65A9B9FB652}"/>
    <cellStyle name="Normal 2 5 4 6 3 3" xfId="22817" xr:uid="{99F6D43E-7046-4A8D-92FD-1D0FCD20EB59}"/>
    <cellStyle name="Normal 2 5 4 6 3 4" xfId="39674" xr:uid="{505A8120-A3AC-4511-9800-3A97386D7194}"/>
    <cellStyle name="Normal 2 5 4 6 3 5" xfId="14382" xr:uid="{C8991F9A-8D82-4699-BDAF-36BFEED20E71}"/>
    <cellStyle name="Normal 2 5 4 6 4" xfId="27028" xr:uid="{B2AD973B-0D98-4CA5-B80B-98CCDF7E72A7}"/>
    <cellStyle name="Normal 2 5 4 6 5" xfId="18599" xr:uid="{04093F26-3558-4379-AD73-BCBCFE92F0B3}"/>
    <cellStyle name="Normal 2 5 4 6 6" xfId="35457" xr:uid="{6785104F-B350-4A08-B22B-DB27E15B97F8}"/>
    <cellStyle name="Normal 2 5 4 6 7" xfId="10164" xr:uid="{759C0B60-8828-4153-BB1D-C9E8D702710E}"/>
    <cellStyle name="Normal 2 5 4 7" xfId="2053" xr:uid="{00000000-0005-0000-0000-00005E110000}"/>
    <cellStyle name="Normal 2 5 4 7 2" xfId="4282" xr:uid="{00000000-0005-0000-0000-00005F110000}"/>
    <cellStyle name="Normal 2 5 4 7 2 2" xfId="8505" xr:uid="{00000000-0005-0000-0000-000060110000}"/>
    <cellStyle name="Normal 2 5 4 7 2 2 2" xfId="33804" xr:uid="{59541B7C-24F2-4451-B95D-B6667B8FFD8E}"/>
    <cellStyle name="Normal 2 5 4 7 2 2 3" xfId="25375" xr:uid="{30A334B3-3843-47D3-A5F5-758AAC4E1914}"/>
    <cellStyle name="Normal 2 5 4 7 2 2 4" xfId="42232" xr:uid="{93278DFD-1376-43AC-951A-61805317D9C0}"/>
    <cellStyle name="Normal 2 5 4 7 2 2 5" xfId="16940" xr:uid="{C122AF29-628E-491D-9FD9-694594492226}"/>
    <cellStyle name="Normal 2 5 4 7 2 3" xfId="29586" xr:uid="{DAF430A7-D493-461F-BB45-196DBA1EE067}"/>
    <cellStyle name="Normal 2 5 4 7 2 4" xfId="21157" xr:uid="{1304C764-6C07-4DE4-A317-92833796FC40}"/>
    <cellStyle name="Normal 2 5 4 7 2 5" xfId="38015" xr:uid="{8E5ABC4E-2ADB-43D5-8D76-117D1C0CC371}"/>
    <cellStyle name="Normal 2 5 4 7 2 6" xfId="12722" xr:uid="{DAA8B5BA-D836-4DE0-9326-7C3D0B5DCE24}"/>
    <cellStyle name="Normal 2 5 4 7 3" xfId="6360" xr:uid="{00000000-0005-0000-0000-000061110000}"/>
    <cellStyle name="Normal 2 5 4 7 3 2" xfId="31659" xr:uid="{98DABF16-B92E-472A-A7FB-78A87DE9F0E1}"/>
    <cellStyle name="Normal 2 5 4 7 3 3" xfId="23230" xr:uid="{8217E66B-EA41-4539-A75B-421B7EC0C1B3}"/>
    <cellStyle name="Normal 2 5 4 7 3 4" xfId="40087" xr:uid="{3242583A-6AB0-422F-8AFD-576E8EFB16E8}"/>
    <cellStyle name="Normal 2 5 4 7 3 5" xfId="14795" xr:uid="{7A0BCDFA-3A11-4352-9DE6-167D90E79D8B}"/>
    <cellStyle name="Normal 2 5 4 7 4" xfId="27441" xr:uid="{8ACA890D-4446-4488-9267-56066D1047D5}"/>
    <cellStyle name="Normal 2 5 4 7 5" xfId="19012" xr:uid="{8F8BC817-E1FA-4630-8809-97A05B0CAAC0}"/>
    <cellStyle name="Normal 2 5 4 7 6" xfId="35870" xr:uid="{E57E2A4D-3E5E-4896-A1D3-9485F3899D3E}"/>
    <cellStyle name="Normal 2 5 4 7 7" xfId="10577" xr:uid="{B35FB267-39AF-4A8E-83A8-BFAFBDBE5853}"/>
    <cellStyle name="Normal 2 5 4 8" xfId="2489" xr:uid="{00000000-0005-0000-0000-000062110000}"/>
    <cellStyle name="Normal 2 5 4 8 2" xfId="6773" xr:uid="{00000000-0005-0000-0000-000063110000}"/>
    <cellStyle name="Normal 2 5 4 8 2 2" xfId="32072" xr:uid="{DE048718-7752-4B15-879F-9A06464D1E49}"/>
    <cellStyle name="Normal 2 5 4 8 2 3" xfId="23643" xr:uid="{2649C68B-4E48-4B86-94D6-74CE2CF9DB5D}"/>
    <cellStyle name="Normal 2 5 4 8 2 4" xfId="40500" xr:uid="{69D7FBDC-8098-4F7A-A163-D24B2EF10465}"/>
    <cellStyle name="Normal 2 5 4 8 2 5" xfId="15208" xr:uid="{6471BFFA-605C-4AD1-BAAD-097967AA49C7}"/>
    <cellStyle name="Normal 2 5 4 8 3" xfId="27854" xr:uid="{F67ADDB8-FC0E-4D52-AB0F-EB29A2CD4E00}"/>
    <cellStyle name="Normal 2 5 4 8 4" xfId="19425" xr:uid="{7C1A526E-448F-48C3-B034-D4059CB06A22}"/>
    <cellStyle name="Normal 2 5 4 8 5" xfId="36283" xr:uid="{93BB541D-99F9-498D-AACE-36FC83CC070D}"/>
    <cellStyle name="Normal 2 5 4 8 6" xfId="10990" xr:uid="{E0933D93-947A-471C-A05B-BBD870394E5E}"/>
    <cellStyle name="Normal 2 5 4 9" xfId="4707" xr:uid="{00000000-0005-0000-0000-000064110000}"/>
    <cellStyle name="Normal 2 5 4 9 2" xfId="30006" xr:uid="{F40E5F1D-AAB9-4ECC-AF12-21ADBF60AE11}"/>
    <cellStyle name="Normal 2 5 4 9 3" xfId="21577" xr:uid="{DD9B29AF-D510-47C0-9F5D-781366A4FBF7}"/>
    <cellStyle name="Normal 2 5 4 9 4" xfId="38434" xr:uid="{789726D2-9E4B-4A9E-BE63-8EDDA41E8D54}"/>
    <cellStyle name="Normal 2 5 4 9 5" xfId="13142" xr:uid="{7CA4FEDB-ECCE-4484-82D3-0865F6F86303}"/>
    <cellStyle name="Normal 2 5 5" xfId="803" xr:uid="{00000000-0005-0000-0000-000065110000}"/>
    <cellStyle name="Normal 2 5 5 2" xfId="3042" xr:uid="{00000000-0005-0000-0000-000066110000}"/>
    <cellStyle name="Normal 2 5 5 2 2" xfId="7265" xr:uid="{00000000-0005-0000-0000-000067110000}"/>
    <cellStyle name="Normal 2 5 5 2 2 2" xfId="32564" xr:uid="{AF8A3EB0-2F1F-40B8-9952-93780BA73703}"/>
    <cellStyle name="Normal 2 5 5 2 2 3" xfId="24135" xr:uid="{052240BB-A302-4A5E-85AE-FBB59CDAC152}"/>
    <cellStyle name="Normal 2 5 5 2 2 4" xfId="40992" xr:uid="{519427B9-EF03-4675-BC4C-58B0604E32FD}"/>
    <cellStyle name="Normal 2 5 5 2 2 5" xfId="15700" xr:uid="{ED138225-F7B5-4B4C-86E5-3EF686DF6ED1}"/>
    <cellStyle name="Normal 2 5 5 2 3" xfId="28346" xr:uid="{BAC5388D-49B0-4259-93D9-87FF1F434D15}"/>
    <cellStyle name="Normal 2 5 5 2 4" xfId="19917" xr:uid="{E79203AC-4C03-4A2A-899E-B0319CD67DBC}"/>
    <cellStyle name="Normal 2 5 5 2 5" xfId="36775" xr:uid="{D630C936-D057-459D-AB94-8E543296CC63}"/>
    <cellStyle name="Normal 2 5 5 2 6" xfId="11482" xr:uid="{7256269F-8161-4AB3-B8C2-4281D5A368E7}"/>
    <cellStyle name="Normal 2 5 5 3" xfId="5120" xr:uid="{00000000-0005-0000-0000-000068110000}"/>
    <cellStyle name="Normal 2 5 5 3 2" xfId="30419" xr:uid="{3F6789C4-4D96-48B1-93DD-38445F13F1F5}"/>
    <cellStyle name="Normal 2 5 5 3 3" xfId="21990" xr:uid="{531AEACD-76F2-4E5F-8EE3-50544E938333}"/>
    <cellStyle name="Normal 2 5 5 3 4" xfId="38847" xr:uid="{FB9411B2-C6FA-40C3-AA63-219E81D39938}"/>
    <cellStyle name="Normal 2 5 5 3 5" xfId="13555" xr:uid="{F34072B8-3109-412D-8167-F00ABA031247}"/>
    <cellStyle name="Normal 2 5 5 4" xfId="26201" xr:uid="{2F15B5A8-8E67-45C4-B1BD-E704D27E6041}"/>
    <cellStyle name="Normal 2 5 5 5" xfId="17772" xr:uid="{AFF34E53-ECE9-4319-9103-96731514D047}"/>
    <cellStyle name="Normal 2 5 5 6" xfId="34630" xr:uid="{BE93EC52-2B93-40D6-9692-E189BF8D05B8}"/>
    <cellStyle name="Normal 2 5 5 7" xfId="9337" xr:uid="{C194B503-D851-40AF-A498-83D16D23F3E5}"/>
    <cellStyle name="Normal 2 5 6" xfId="1225" xr:uid="{00000000-0005-0000-0000-000069110000}"/>
    <cellStyle name="Normal 2 5 6 2" xfId="3455" xr:uid="{00000000-0005-0000-0000-00006A110000}"/>
    <cellStyle name="Normal 2 5 6 2 2" xfId="7678" xr:uid="{00000000-0005-0000-0000-00006B110000}"/>
    <cellStyle name="Normal 2 5 6 2 2 2" xfId="32977" xr:uid="{BEDD1979-7F45-4546-8BCD-18C4D9B5087C}"/>
    <cellStyle name="Normal 2 5 6 2 2 3" xfId="24548" xr:uid="{9741B687-B846-4044-9FA3-DFE4C13F3144}"/>
    <cellStyle name="Normal 2 5 6 2 2 4" xfId="41405" xr:uid="{13DA686B-14E1-4981-8E5D-204BC5D9D11B}"/>
    <cellStyle name="Normal 2 5 6 2 2 5" xfId="16113" xr:uid="{D6A3AC6C-27C9-4102-9730-776D64A9F229}"/>
    <cellStyle name="Normal 2 5 6 2 3" xfId="28759" xr:uid="{03FBD88D-E6D2-4035-BAEF-59A31F4F0F4B}"/>
    <cellStyle name="Normal 2 5 6 2 4" xfId="20330" xr:uid="{81639B98-0F8F-44AB-9015-BE3601098AFE}"/>
    <cellStyle name="Normal 2 5 6 2 5" xfId="37188" xr:uid="{EE1BF62E-F6E5-4F40-82CF-8B4FB0D7EDAB}"/>
    <cellStyle name="Normal 2 5 6 2 6" xfId="11895" xr:uid="{40E9549A-5EB0-4957-9FC6-66CEB50990D5}"/>
    <cellStyle name="Normal 2 5 6 3" xfId="5533" xr:uid="{00000000-0005-0000-0000-00006C110000}"/>
    <cellStyle name="Normal 2 5 6 3 2" xfId="30832" xr:uid="{9D54A620-7AF0-43A1-BC8D-EB42DC65D9B3}"/>
    <cellStyle name="Normal 2 5 6 3 3" xfId="22403" xr:uid="{52E89D37-C845-47B3-BD84-B78AE507EBE3}"/>
    <cellStyle name="Normal 2 5 6 3 4" xfId="39260" xr:uid="{76A22602-90F4-41CF-B345-B937FE85582C}"/>
    <cellStyle name="Normal 2 5 6 3 5" xfId="13968" xr:uid="{8F8C826A-D5CC-40AA-824A-19E036DDDE8D}"/>
    <cellStyle name="Normal 2 5 6 4" xfId="26614" xr:uid="{448ABC6B-0A4A-433E-9F8F-0F157B6949F2}"/>
    <cellStyle name="Normal 2 5 6 5" xfId="18185" xr:uid="{7D288BF5-FCE3-4F61-B3B7-F2F976079EEC}"/>
    <cellStyle name="Normal 2 5 6 6" xfId="35043" xr:uid="{2D7789AB-234B-4496-ABEB-D99DDD76E1E7}"/>
    <cellStyle name="Normal 2 5 6 7" xfId="9750" xr:uid="{C7BBA4C4-910A-45F5-9499-373807D390E6}"/>
    <cellStyle name="Normal 2 5 7" xfId="1638" xr:uid="{00000000-0005-0000-0000-00006D110000}"/>
    <cellStyle name="Normal 2 5 7 2" xfId="3868" xr:uid="{00000000-0005-0000-0000-00006E110000}"/>
    <cellStyle name="Normal 2 5 7 2 2" xfId="8091" xr:uid="{00000000-0005-0000-0000-00006F110000}"/>
    <cellStyle name="Normal 2 5 7 2 2 2" xfId="33390" xr:uid="{8BA8ABFB-8C6B-4E52-B65A-D8812B3778FD}"/>
    <cellStyle name="Normal 2 5 7 2 2 3" xfId="24961" xr:uid="{6A677635-40BA-47FD-9095-29527F477980}"/>
    <cellStyle name="Normal 2 5 7 2 2 4" xfId="41818" xr:uid="{438373C3-463B-482E-B1C0-9CD851A50422}"/>
    <cellStyle name="Normal 2 5 7 2 2 5" xfId="16526" xr:uid="{806D52C0-4477-4D37-A34E-4CEC8C9D756E}"/>
    <cellStyle name="Normal 2 5 7 2 3" xfId="29172" xr:uid="{5F4A1C83-4495-44E3-A533-2D553E3C69DC}"/>
    <cellStyle name="Normal 2 5 7 2 4" xfId="20743" xr:uid="{29F56508-348D-420A-BCB5-A42200B79F03}"/>
    <cellStyle name="Normal 2 5 7 2 5" xfId="37601" xr:uid="{4E74DD67-40F9-4EEC-8D6C-B3CCA0DFA148}"/>
    <cellStyle name="Normal 2 5 7 2 6" xfId="12308" xr:uid="{4A486AD7-0D57-4D6A-8E20-1A76DA207662}"/>
    <cellStyle name="Normal 2 5 7 3" xfId="5946" xr:uid="{00000000-0005-0000-0000-000070110000}"/>
    <cellStyle name="Normal 2 5 7 3 2" xfId="31245" xr:uid="{ABA71761-4468-4433-B220-F835D4BFCD38}"/>
    <cellStyle name="Normal 2 5 7 3 3" xfId="22816" xr:uid="{0A25AF29-DA65-42FD-81F4-94E4FA076A79}"/>
    <cellStyle name="Normal 2 5 7 3 4" xfId="39673" xr:uid="{4A925346-CA40-46BA-B88F-D6B91E88118B}"/>
    <cellStyle name="Normal 2 5 7 3 5" xfId="14381" xr:uid="{0575EB4E-6A66-4E9C-A57A-00A147BCFCBD}"/>
    <cellStyle name="Normal 2 5 7 4" xfId="27027" xr:uid="{A3CBB531-9919-4440-A21B-9CBE7A19022A}"/>
    <cellStyle name="Normal 2 5 7 5" xfId="18598" xr:uid="{0E6287AE-7E8C-4178-B001-631AB18031C4}"/>
    <cellStyle name="Normal 2 5 7 6" xfId="35456" xr:uid="{C5080976-B7CE-48D0-9EDB-B1F94343F2FA}"/>
    <cellStyle name="Normal 2 5 7 7" xfId="10163" xr:uid="{74B4040D-C412-4CBD-B2F5-6F98E568777E}"/>
    <cellStyle name="Normal 2 5 8" xfId="2052" xr:uid="{00000000-0005-0000-0000-000071110000}"/>
    <cellStyle name="Normal 2 5 8 2" xfId="4281" xr:uid="{00000000-0005-0000-0000-000072110000}"/>
    <cellStyle name="Normal 2 5 8 2 2" xfId="8504" xr:uid="{00000000-0005-0000-0000-000073110000}"/>
    <cellStyle name="Normal 2 5 8 2 2 2" xfId="33803" xr:uid="{04212763-90B4-4B39-9AEF-4F69109D0FF6}"/>
    <cellStyle name="Normal 2 5 8 2 2 3" xfId="25374" xr:uid="{A199F91C-36F0-4EC2-A0ED-AA6906588A85}"/>
    <cellStyle name="Normal 2 5 8 2 2 4" xfId="42231" xr:uid="{5184D6DD-FA47-452F-BB7C-C7B03AFFFB0A}"/>
    <cellStyle name="Normal 2 5 8 2 2 5" xfId="16939" xr:uid="{6E95733C-5CF8-4F08-86C7-13AA3469354C}"/>
    <cellStyle name="Normal 2 5 8 2 3" xfId="29585" xr:uid="{1E83A23A-4110-477C-9A87-9CB22E4372DC}"/>
    <cellStyle name="Normal 2 5 8 2 4" xfId="21156" xr:uid="{FCC78339-96DA-40EF-8392-E6F8008D9576}"/>
    <cellStyle name="Normal 2 5 8 2 5" xfId="38014" xr:uid="{08144CDB-0222-4220-8D0B-9837E080623A}"/>
    <cellStyle name="Normal 2 5 8 2 6" xfId="12721" xr:uid="{E8C9131D-FD08-4B85-8F69-7536127331EF}"/>
    <cellStyle name="Normal 2 5 8 3" xfId="6359" xr:uid="{00000000-0005-0000-0000-000074110000}"/>
    <cellStyle name="Normal 2 5 8 3 2" xfId="31658" xr:uid="{E3F79166-25AE-4807-A9BE-A033D4B32018}"/>
    <cellStyle name="Normal 2 5 8 3 3" xfId="23229" xr:uid="{14AFE35F-A05E-4926-B5E1-67B17EDB8342}"/>
    <cellStyle name="Normal 2 5 8 3 4" xfId="40086" xr:uid="{27586F40-FF0B-476B-ACA6-046408845FFE}"/>
    <cellStyle name="Normal 2 5 8 3 5" xfId="14794" xr:uid="{96BDF826-4024-4AAF-AB4F-6BFB468D0E74}"/>
    <cellStyle name="Normal 2 5 8 4" xfId="27440" xr:uid="{6F8D0AAE-EB96-440E-9A04-FD1228C050FF}"/>
    <cellStyle name="Normal 2 5 8 5" xfId="19011" xr:uid="{9A73E5BF-D78B-47FE-B657-F7EF0B56FD28}"/>
    <cellStyle name="Normal 2 5 8 6" xfId="35869" xr:uid="{AACA1F7B-8E14-41A0-BED5-3802C1896C33}"/>
    <cellStyle name="Normal 2 5 8 7" xfId="10576" xr:uid="{827B929E-8C87-4BAA-A513-31168176A928}"/>
    <cellStyle name="Normal 2 5 9" xfId="2488" xr:uid="{00000000-0005-0000-0000-000075110000}"/>
    <cellStyle name="Normal 2 5 9 2" xfId="6772" xr:uid="{00000000-0005-0000-0000-000076110000}"/>
    <cellStyle name="Normal 2 5 9 2 2" xfId="32071" xr:uid="{1D9AD073-5E98-4A4E-96E6-E2B73CE325F8}"/>
    <cellStyle name="Normal 2 5 9 2 3" xfId="23642" xr:uid="{84A2E0FF-028B-4A6F-8C4C-FEA5C088AC5E}"/>
    <cellStyle name="Normal 2 5 9 2 4" xfId="40499" xr:uid="{C0782F55-F0E2-466E-B5A9-0B24BF6A5752}"/>
    <cellStyle name="Normal 2 5 9 2 5" xfId="15207" xr:uid="{C1555EC1-9538-488A-8693-4807F2237D78}"/>
    <cellStyle name="Normal 2 5 9 3" xfId="27853" xr:uid="{AAB71785-2BFA-4098-95BD-3FA9A614B0F0}"/>
    <cellStyle name="Normal 2 5 9 4" xfId="19424" xr:uid="{D9659C8D-5FE6-48BF-A284-FD0262DC6483}"/>
    <cellStyle name="Normal 2 5 9 5" xfId="36282" xr:uid="{28AAD560-CAC9-41F4-BD43-50D6AD395B03}"/>
    <cellStyle name="Normal 2 5 9 6" xfId="10989" xr:uid="{19AEEFE0-DEED-4647-8E0E-78F810C56411}"/>
    <cellStyle name="Normal 2 6" xfId="322" xr:uid="{00000000-0005-0000-0000-000077110000}"/>
    <cellStyle name="Normal 2 7" xfId="769" xr:uid="{00000000-0005-0000-0000-000078110000}"/>
    <cellStyle name="Normal 2 8" xfId="4495" xr:uid="{00000000-0005-0000-0000-000079110000}"/>
    <cellStyle name="Normal 2 8 2" xfId="29797" xr:uid="{99C8E31A-0C13-47A7-9EAC-C67EE0A2D5A9}"/>
    <cellStyle name="Normal 2 8 3" xfId="21368" xr:uid="{D288D9B9-C62E-479B-9B5A-AD38788FB036}"/>
    <cellStyle name="Normal 2 8 4" xfId="12933" xr:uid="{57FA844D-A5BE-4D73-91A7-F3706485524B}"/>
    <cellStyle name="Normal 3" xfId="323" xr:uid="{00000000-0005-0000-0000-00007A110000}"/>
    <cellStyle name="Normal 3 2" xfId="324" xr:uid="{00000000-0005-0000-0000-00007B110000}"/>
    <cellStyle name="Normal 3 2 10" xfId="25792" xr:uid="{0ED5C5A4-A5EB-4068-93AA-E538283DCAA5}"/>
    <cellStyle name="Normal 3 2 11" xfId="17363" xr:uid="{0DACE6F9-3460-4087-8C45-F9604246773C}"/>
    <cellStyle name="Normal 3 2 12" xfId="34221" xr:uid="{3C1342C0-B7F1-4BEE-A485-7C783C8547C0}"/>
    <cellStyle name="Normal 3 2 13" xfId="8928" xr:uid="{2E9502B1-3063-407C-9F1E-7365E6232DF3}"/>
    <cellStyle name="Normal 3 2 2" xfId="325" xr:uid="{00000000-0005-0000-0000-00007C110000}"/>
    <cellStyle name="Normal 3 2 2 2" xfId="810" xr:uid="{00000000-0005-0000-0000-00007D110000}"/>
    <cellStyle name="Normal 3 2 3" xfId="326" xr:uid="{00000000-0005-0000-0000-00007E110000}"/>
    <cellStyle name="Normal 3 2 3 10" xfId="25793" xr:uid="{C313FB02-F960-4EAB-9E62-63F724910CA1}"/>
    <cellStyle name="Normal 3 2 3 11" xfId="17364" xr:uid="{7499DA02-F7AB-4F06-A404-2D68EC8D95B9}"/>
    <cellStyle name="Normal 3 2 3 12" xfId="34222" xr:uid="{09D3A5B4-DEF9-47B7-936F-400B3C1449A0}"/>
    <cellStyle name="Normal 3 2 3 13" xfId="8929" xr:uid="{5F2D3939-E819-4621-897B-FA54D21AF35C}"/>
    <cellStyle name="Normal 3 2 3 2" xfId="327" xr:uid="{00000000-0005-0000-0000-00007F110000}"/>
    <cellStyle name="Normal 3 2 3 2 10" xfId="17365" xr:uid="{720886D2-6620-4C2D-8FAC-127E230DFEA3}"/>
    <cellStyle name="Normal 3 2 3 2 11" xfId="34223" xr:uid="{E6DDE674-0CF1-403B-BF98-E4A9FF792A16}"/>
    <cellStyle name="Normal 3 2 3 2 12" xfId="8930" xr:uid="{FC9DA4B1-567D-4DB0-8CD5-908719B24C4F}"/>
    <cellStyle name="Normal 3 2 3 2 2" xfId="328" xr:uid="{00000000-0005-0000-0000-000080110000}"/>
    <cellStyle name="Normal 3 2 3 2 2 10" xfId="34224" xr:uid="{DBFC3C80-DD13-4ABF-9F99-EDF581EEEBE0}"/>
    <cellStyle name="Normal 3 2 3 2 2 11" xfId="8931" xr:uid="{E430E305-66ED-44CD-ABA8-3821305E8F6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32572" xr:uid="{F96E1171-FA0B-408E-8954-D605D0022D47}"/>
    <cellStyle name="Normal 3 2 3 2 2 2 2 2 3" xfId="24143" xr:uid="{BCC978C9-BDE4-48B7-B54F-E0D56942AC0D}"/>
    <cellStyle name="Normal 3 2 3 2 2 2 2 2 4" xfId="41000" xr:uid="{62B3B657-1C27-4A6E-BAAF-A46DC678D5A9}"/>
    <cellStyle name="Normal 3 2 3 2 2 2 2 2 5" xfId="15708" xr:uid="{C0FBE8AA-4762-4694-94EE-37057E77E0EF}"/>
    <cellStyle name="Normal 3 2 3 2 2 2 2 3" xfId="28354" xr:uid="{4F60C2FA-29E9-4A4D-AB74-181404133594}"/>
    <cellStyle name="Normal 3 2 3 2 2 2 2 4" xfId="19925" xr:uid="{EC324646-C885-4A88-8FBB-EC460806FE74}"/>
    <cellStyle name="Normal 3 2 3 2 2 2 2 5" xfId="36783" xr:uid="{172E8123-6617-4208-BB14-E2AE3031B86E}"/>
    <cellStyle name="Normal 3 2 3 2 2 2 2 6" xfId="11490" xr:uid="{DD41DD9B-784E-4E6C-8348-34EFEED53492}"/>
    <cellStyle name="Normal 3 2 3 2 2 2 3" xfId="5128" xr:uid="{00000000-0005-0000-0000-000084110000}"/>
    <cellStyle name="Normal 3 2 3 2 2 2 3 2" xfId="30427" xr:uid="{083359CF-5C04-4B7F-B1D8-A2F5BEFBAC0D}"/>
    <cellStyle name="Normal 3 2 3 2 2 2 3 3" xfId="21998" xr:uid="{2B6A6E0B-79F0-407A-AFDD-E7B3BFA93FE8}"/>
    <cellStyle name="Normal 3 2 3 2 2 2 3 4" xfId="38855" xr:uid="{2B639684-F1E4-478D-9052-49B13170B720}"/>
    <cellStyle name="Normal 3 2 3 2 2 2 3 5" xfId="13563" xr:uid="{5CC2DBA4-E4F9-41B2-B17A-D36903AC3320}"/>
    <cellStyle name="Normal 3 2 3 2 2 2 4" xfId="26209" xr:uid="{E9C52175-1A6A-48DF-AD5A-2A8E34DBC496}"/>
    <cellStyle name="Normal 3 2 3 2 2 2 5" xfId="17780" xr:uid="{3BE92A01-2C18-4FA8-BE11-30B73E47823A}"/>
    <cellStyle name="Normal 3 2 3 2 2 2 6" xfId="34638" xr:uid="{A6C1534A-3E4E-444B-A464-217B80AF2718}"/>
    <cellStyle name="Normal 3 2 3 2 2 2 7" xfId="9345" xr:uid="{E4B8F523-5D2D-42B4-B9F6-10328646FE35}"/>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32985" xr:uid="{0692DBC7-B121-4A0B-AEB5-8F90C57CBF5C}"/>
    <cellStyle name="Normal 3 2 3 2 2 3 2 2 3" xfId="24556" xr:uid="{C28616E8-B257-43B4-91DE-D47DBD88F51C}"/>
    <cellStyle name="Normal 3 2 3 2 2 3 2 2 4" xfId="41413" xr:uid="{E8804FA9-580D-4DE7-8E95-5BA2809291B5}"/>
    <cellStyle name="Normal 3 2 3 2 2 3 2 2 5" xfId="16121" xr:uid="{3D76EC99-1727-472E-9217-447D8F89DA6F}"/>
    <cellStyle name="Normal 3 2 3 2 2 3 2 3" xfId="28767" xr:uid="{DE295903-F25A-441E-BE12-5089DD3E1132}"/>
    <cellStyle name="Normal 3 2 3 2 2 3 2 4" xfId="20338" xr:uid="{A6458FBF-F409-4BD3-AB9C-D6C6C0EAEF0E}"/>
    <cellStyle name="Normal 3 2 3 2 2 3 2 5" xfId="37196" xr:uid="{CB2968E5-76AE-492A-9CBF-B74E181D0B2B}"/>
    <cellStyle name="Normal 3 2 3 2 2 3 2 6" xfId="11903" xr:uid="{BDD1DAC4-2FDE-4593-9F23-3D50C3E56053}"/>
    <cellStyle name="Normal 3 2 3 2 2 3 3" xfId="5541" xr:uid="{00000000-0005-0000-0000-000088110000}"/>
    <cellStyle name="Normal 3 2 3 2 2 3 3 2" xfId="30840" xr:uid="{97BD40DC-A063-4A80-B563-71BE40695542}"/>
    <cellStyle name="Normal 3 2 3 2 2 3 3 3" xfId="22411" xr:uid="{2CB66BF7-BD00-4A16-B456-8D1FFE09B394}"/>
    <cellStyle name="Normal 3 2 3 2 2 3 3 4" xfId="39268" xr:uid="{9B3EDEC7-7ED8-47AA-9D0C-66B3E462EA09}"/>
    <cellStyle name="Normal 3 2 3 2 2 3 3 5" xfId="13976" xr:uid="{7224265D-BB41-46FE-8145-B7778DC5A462}"/>
    <cellStyle name="Normal 3 2 3 2 2 3 4" xfId="26622" xr:uid="{3E54A6E3-B9A4-4406-A467-6CC56CCA62AB}"/>
    <cellStyle name="Normal 3 2 3 2 2 3 5" xfId="18193" xr:uid="{8F551EC8-DE5D-4E08-80A6-AB7251B90D79}"/>
    <cellStyle name="Normal 3 2 3 2 2 3 6" xfId="35051" xr:uid="{A131FFCD-B422-4268-9C74-1607C0BCEAEF}"/>
    <cellStyle name="Normal 3 2 3 2 2 3 7" xfId="9758" xr:uid="{88F6EE44-1D19-4544-9C3C-78F0117E2221}"/>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33398" xr:uid="{3AD6B333-1A90-4351-8567-F3DECA365ABE}"/>
    <cellStyle name="Normal 3 2 3 2 2 4 2 2 3" xfId="24969" xr:uid="{39FE4A16-A141-4995-B2B6-B390A869CC07}"/>
    <cellStyle name="Normal 3 2 3 2 2 4 2 2 4" xfId="41826" xr:uid="{950E488E-9C33-4892-8B7C-B9DBF0D1D820}"/>
    <cellStyle name="Normal 3 2 3 2 2 4 2 2 5" xfId="16534" xr:uid="{A1C91A9C-6F1B-48F0-AF20-3D22FEB68F77}"/>
    <cellStyle name="Normal 3 2 3 2 2 4 2 3" xfId="29180" xr:uid="{8756C61D-F415-4304-B7A6-6B7FA8052E56}"/>
    <cellStyle name="Normal 3 2 3 2 2 4 2 4" xfId="20751" xr:uid="{259B224B-7E92-4F3E-88F3-0F3B753872D2}"/>
    <cellStyle name="Normal 3 2 3 2 2 4 2 5" xfId="37609" xr:uid="{C5C7F52A-40B4-48E6-9EA2-CD7E3C383054}"/>
    <cellStyle name="Normal 3 2 3 2 2 4 2 6" xfId="12316" xr:uid="{70FC571E-270A-4022-A6F2-462398814FCD}"/>
    <cellStyle name="Normal 3 2 3 2 2 4 3" xfId="5954" xr:uid="{00000000-0005-0000-0000-00008C110000}"/>
    <cellStyle name="Normal 3 2 3 2 2 4 3 2" xfId="31253" xr:uid="{C04358C8-39CD-4EEF-A02C-311B1D391FBF}"/>
    <cellStyle name="Normal 3 2 3 2 2 4 3 3" xfId="22824" xr:uid="{C1D16E90-A62A-4B0D-9151-B56B93EFAEFC}"/>
    <cellStyle name="Normal 3 2 3 2 2 4 3 4" xfId="39681" xr:uid="{6C4D63B0-D509-46AE-AD54-575998A37812}"/>
    <cellStyle name="Normal 3 2 3 2 2 4 3 5" xfId="14389" xr:uid="{D071E401-56B5-41C3-9AFD-A6074DDBC227}"/>
    <cellStyle name="Normal 3 2 3 2 2 4 4" xfId="27035" xr:uid="{9D8DE377-C490-4EBA-8DDE-3C50BB3AF646}"/>
    <cellStyle name="Normal 3 2 3 2 2 4 5" xfId="18606" xr:uid="{E72F823D-990E-4C93-92C7-6AE89FBE4A0A}"/>
    <cellStyle name="Normal 3 2 3 2 2 4 6" xfId="35464" xr:uid="{288D390C-2F06-48CD-B0EB-E134092E37A0}"/>
    <cellStyle name="Normal 3 2 3 2 2 4 7" xfId="10171" xr:uid="{B447858F-0911-4A8C-B0E3-625D4A65C8E3}"/>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33811" xr:uid="{BB772DA7-2037-4A87-84E5-7E5E70C29595}"/>
    <cellStyle name="Normal 3 2 3 2 2 5 2 2 3" xfId="25382" xr:uid="{E7BEA657-D159-46D8-8487-CF0E96E93B6F}"/>
    <cellStyle name="Normal 3 2 3 2 2 5 2 2 4" xfId="42239" xr:uid="{EC7EA705-73A2-451C-9C44-703427476DB9}"/>
    <cellStyle name="Normal 3 2 3 2 2 5 2 2 5" xfId="16947" xr:uid="{0F31F8F5-AFEC-43CF-97D1-9E251367B453}"/>
    <cellStyle name="Normal 3 2 3 2 2 5 2 3" xfId="29593" xr:uid="{3B3087A2-0D02-488D-9E84-1ACDC5E2C956}"/>
    <cellStyle name="Normal 3 2 3 2 2 5 2 4" xfId="21164" xr:uid="{D02FC1E2-7588-40BA-8C93-8D0E9FB5ECB5}"/>
    <cellStyle name="Normal 3 2 3 2 2 5 2 5" xfId="38022" xr:uid="{499617D7-F550-43E1-9122-6A30E94A21D7}"/>
    <cellStyle name="Normal 3 2 3 2 2 5 2 6" xfId="12729" xr:uid="{6CA2A8F3-7F8C-4711-9FF4-7AA253FB1CA5}"/>
    <cellStyle name="Normal 3 2 3 2 2 5 3" xfId="6367" xr:uid="{00000000-0005-0000-0000-000090110000}"/>
    <cellStyle name="Normal 3 2 3 2 2 5 3 2" xfId="31666" xr:uid="{C2A4BE5B-EDDE-447D-8607-4FC806208649}"/>
    <cellStyle name="Normal 3 2 3 2 2 5 3 3" xfId="23237" xr:uid="{F96A93CF-398E-42A5-908A-434E3CE43F57}"/>
    <cellStyle name="Normal 3 2 3 2 2 5 3 4" xfId="40094" xr:uid="{84B29C63-4DE8-4C2B-8C73-B0F0F6B86060}"/>
    <cellStyle name="Normal 3 2 3 2 2 5 3 5" xfId="14802" xr:uid="{D1A98B6B-94A0-48A4-AA05-19E8EE48FA45}"/>
    <cellStyle name="Normal 3 2 3 2 2 5 4" xfId="27448" xr:uid="{D0649C81-A593-4058-832B-EC3B57729926}"/>
    <cellStyle name="Normal 3 2 3 2 2 5 5" xfId="19019" xr:uid="{91A28049-0860-4988-BE38-2A3B85B44A70}"/>
    <cellStyle name="Normal 3 2 3 2 2 5 6" xfId="35877" xr:uid="{85068B97-F346-4099-98D3-610E9A062600}"/>
    <cellStyle name="Normal 3 2 3 2 2 5 7" xfId="10584" xr:uid="{F35994D1-4501-4F2F-8C4E-28853AAAAD09}"/>
    <cellStyle name="Normal 3 2 3 2 2 6" xfId="2496" xr:uid="{00000000-0005-0000-0000-000091110000}"/>
    <cellStyle name="Normal 3 2 3 2 2 6 2" xfId="6780" xr:uid="{00000000-0005-0000-0000-000092110000}"/>
    <cellStyle name="Normal 3 2 3 2 2 6 2 2" xfId="32079" xr:uid="{DEC0BF84-814A-4A6C-ABD8-671449E48C9A}"/>
    <cellStyle name="Normal 3 2 3 2 2 6 2 3" xfId="23650" xr:uid="{5296D68F-5E35-429D-A4E6-8725A85ADB66}"/>
    <cellStyle name="Normal 3 2 3 2 2 6 2 4" xfId="40507" xr:uid="{3AE1E6E3-AE43-4F08-8DFE-2B6B6C57ECF7}"/>
    <cellStyle name="Normal 3 2 3 2 2 6 2 5" xfId="15215" xr:uid="{DB48EE5E-FFA2-469C-8F2F-44B2F8B1CFF1}"/>
    <cellStyle name="Normal 3 2 3 2 2 6 3" xfId="27861" xr:uid="{5986C91B-5168-460E-80F6-542495DC5E81}"/>
    <cellStyle name="Normal 3 2 3 2 2 6 4" xfId="19432" xr:uid="{1354D5F5-3F14-4A63-B1D7-A554CEE803AC}"/>
    <cellStyle name="Normal 3 2 3 2 2 6 5" xfId="36290" xr:uid="{3E584845-6491-419F-A637-53E5B0C87B86}"/>
    <cellStyle name="Normal 3 2 3 2 2 6 6" xfId="10997" xr:uid="{396D4112-2D35-4559-AC00-DACC983FBD3E}"/>
    <cellStyle name="Normal 3 2 3 2 2 7" xfId="4714" xr:uid="{00000000-0005-0000-0000-000093110000}"/>
    <cellStyle name="Normal 3 2 3 2 2 7 2" xfId="30013" xr:uid="{2CEB298C-10AC-4024-A453-092E56F7410F}"/>
    <cellStyle name="Normal 3 2 3 2 2 7 3" xfId="21584" xr:uid="{20DD4275-0D74-4707-A27A-E8B6E550FA42}"/>
    <cellStyle name="Normal 3 2 3 2 2 7 4" xfId="38441" xr:uid="{A76EA748-15DB-4E3D-8E9C-8F9EEB141428}"/>
    <cellStyle name="Normal 3 2 3 2 2 7 5" xfId="13149" xr:uid="{0C1CEC77-A875-47BC-A7C6-54386F64F3F6}"/>
    <cellStyle name="Normal 3 2 3 2 2 8" xfId="25795" xr:uid="{21FE6588-42AA-4408-B2FB-3662000D4C98}"/>
    <cellStyle name="Normal 3 2 3 2 2 9" xfId="17366" xr:uid="{DB69724D-1913-4020-8ACA-4CA4EB1050ED}"/>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32571" xr:uid="{71A13D62-1DF0-4F12-B443-6FB975979043}"/>
    <cellStyle name="Normal 3 2 3 2 3 2 2 3" xfId="24142" xr:uid="{5BE99468-E613-4D5E-AB7B-5F6D23A6DD62}"/>
    <cellStyle name="Normal 3 2 3 2 3 2 2 4" xfId="40999" xr:uid="{1602C33F-7D7D-4297-AB89-FCDF24D12B04}"/>
    <cellStyle name="Normal 3 2 3 2 3 2 2 5" xfId="15707" xr:uid="{7AC6A383-8745-4F0E-A03C-2924B5A7A4A6}"/>
    <cellStyle name="Normal 3 2 3 2 3 2 3" xfId="28353" xr:uid="{7EE8E454-5C72-4A23-945A-3B1391964648}"/>
    <cellStyle name="Normal 3 2 3 2 3 2 4" xfId="19924" xr:uid="{BEA0FC75-87B7-4287-BEAB-680BEB1A5A6E}"/>
    <cellStyle name="Normal 3 2 3 2 3 2 5" xfId="36782" xr:uid="{16714DA7-97A8-43B6-9B54-3B1DD9F4FF57}"/>
    <cellStyle name="Normal 3 2 3 2 3 2 6" xfId="11489" xr:uid="{0DA095D4-2245-44F5-9EE0-5251F7A04FF2}"/>
    <cellStyle name="Normal 3 2 3 2 3 3" xfId="5127" xr:uid="{00000000-0005-0000-0000-000097110000}"/>
    <cellStyle name="Normal 3 2 3 2 3 3 2" xfId="30426" xr:uid="{116E334F-F775-4DC3-8703-B3E4B4279D34}"/>
    <cellStyle name="Normal 3 2 3 2 3 3 3" xfId="21997" xr:uid="{ACA0ABDF-F827-4D39-858E-18822AAB841F}"/>
    <cellStyle name="Normal 3 2 3 2 3 3 4" xfId="38854" xr:uid="{428699B9-2EDE-4DFB-B372-096FA6EBC9A4}"/>
    <cellStyle name="Normal 3 2 3 2 3 3 5" xfId="13562" xr:uid="{F1BD7338-D6AA-40C1-A285-E98CCF26E7BF}"/>
    <cellStyle name="Normal 3 2 3 2 3 4" xfId="26208" xr:uid="{0899C3AE-613B-450F-9F46-413D75F0CF44}"/>
    <cellStyle name="Normal 3 2 3 2 3 5" xfId="17779" xr:uid="{39B6E6C9-F67D-4FD3-A666-994B4BC113C1}"/>
    <cellStyle name="Normal 3 2 3 2 3 6" xfId="34637" xr:uid="{EEE86AC2-9261-4336-A125-0E7BB2273508}"/>
    <cellStyle name="Normal 3 2 3 2 3 7" xfId="9344" xr:uid="{8DFF6D9F-4827-4BC6-B43A-66F50A0BA6AA}"/>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32984" xr:uid="{EC1A32E8-1426-42A4-8FA3-73960D2E31A0}"/>
    <cellStyle name="Normal 3 2 3 2 4 2 2 3" xfId="24555" xr:uid="{8F26CAAD-2A79-40E4-BC4D-DE323A151B9E}"/>
    <cellStyle name="Normal 3 2 3 2 4 2 2 4" xfId="41412" xr:uid="{45C05B78-A09E-4079-8690-E7D8CF40A194}"/>
    <cellStyle name="Normal 3 2 3 2 4 2 2 5" xfId="16120" xr:uid="{BDC214CE-9572-4132-8507-2A6BFFF7D758}"/>
    <cellStyle name="Normal 3 2 3 2 4 2 3" xfId="28766" xr:uid="{9C502E3F-6144-4BF9-BFFE-B5D605C58C80}"/>
    <cellStyle name="Normal 3 2 3 2 4 2 4" xfId="20337" xr:uid="{0782083F-20C1-4D65-BE1F-B089D18A7400}"/>
    <cellStyle name="Normal 3 2 3 2 4 2 5" xfId="37195" xr:uid="{7D9D898A-1AC5-4D73-B815-1E42F39B49DB}"/>
    <cellStyle name="Normal 3 2 3 2 4 2 6" xfId="11902" xr:uid="{B9E64721-DF8A-49C1-9002-72C38B85EB93}"/>
    <cellStyle name="Normal 3 2 3 2 4 3" xfId="5540" xr:uid="{00000000-0005-0000-0000-00009B110000}"/>
    <cellStyle name="Normal 3 2 3 2 4 3 2" xfId="30839" xr:uid="{9E34BFA3-AD15-400A-978F-C42A3B397850}"/>
    <cellStyle name="Normal 3 2 3 2 4 3 3" xfId="22410" xr:uid="{A82737D7-2111-40E7-A796-3864ACFBB958}"/>
    <cellStyle name="Normal 3 2 3 2 4 3 4" xfId="39267" xr:uid="{AA873AE0-709F-4F55-B4C6-54FC3DCB44EB}"/>
    <cellStyle name="Normal 3 2 3 2 4 3 5" xfId="13975" xr:uid="{8FD2297F-9514-48C6-BE16-2550E644E7A0}"/>
    <cellStyle name="Normal 3 2 3 2 4 4" xfId="26621" xr:uid="{27167E03-1F8A-4CB9-AF09-A4E7B7ADC03D}"/>
    <cellStyle name="Normal 3 2 3 2 4 5" xfId="18192" xr:uid="{48279BBF-8158-4082-B78B-CDBAA742D189}"/>
    <cellStyle name="Normal 3 2 3 2 4 6" xfId="35050" xr:uid="{64BB6557-1BF4-460A-9F4B-CD9F40BB2902}"/>
    <cellStyle name="Normal 3 2 3 2 4 7" xfId="9757" xr:uid="{C1C6780D-1F31-477E-B5A9-13EB09C78921}"/>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33397" xr:uid="{EFB518AB-BE5C-413F-B000-1E88E871C351}"/>
    <cellStyle name="Normal 3 2 3 2 5 2 2 3" xfId="24968" xr:uid="{1E5366AE-72C6-4100-8D3B-2C59CF0023D0}"/>
    <cellStyle name="Normal 3 2 3 2 5 2 2 4" xfId="41825" xr:uid="{5CB6F49E-E4AA-47B9-81C4-809F06C7CA4C}"/>
    <cellStyle name="Normal 3 2 3 2 5 2 2 5" xfId="16533" xr:uid="{D489EAB6-DE62-4726-9BEB-13915EB3C04A}"/>
    <cellStyle name="Normal 3 2 3 2 5 2 3" xfId="29179" xr:uid="{6D9A4C48-DA7B-42B2-B8B8-4964D6FEF004}"/>
    <cellStyle name="Normal 3 2 3 2 5 2 4" xfId="20750" xr:uid="{B5921C67-E0D9-48D8-80D7-61B2DB9ABB1B}"/>
    <cellStyle name="Normal 3 2 3 2 5 2 5" xfId="37608" xr:uid="{EBEEA2E8-F373-4CF9-887A-F372450287D8}"/>
    <cellStyle name="Normal 3 2 3 2 5 2 6" xfId="12315" xr:uid="{D987D971-AB03-455D-BF34-C5BC19EBECE0}"/>
    <cellStyle name="Normal 3 2 3 2 5 3" xfId="5953" xr:uid="{00000000-0005-0000-0000-00009F110000}"/>
    <cellStyle name="Normal 3 2 3 2 5 3 2" xfId="31252" xr:uid="{72B2AC9A-142B-419D-875D-33B4E399362C}"/>
    <cellStyle name="Normal 3 2 3 2 5 3 3" xfId="22823" xr:uid="{77C7EDAE-6D78-43BA-B81A-88114540B773}"/>
    <cellStyle name="Normal 3 2 3 2 5 3 4" xfId="39680" xr:uid="{CBECB5DA-B9D4-40E5-BB45-0DC72B1584F2}"/>
    <cellStyle name="Normal 3 2 3 2 5 3 5" xfId="14388" xr:uid="{5BD215D6-D704-4271-824A-D35566A2BA66}"/>
    <cellStyle name="Normal 3 2 3 2 5 4" xfId="27034" xr:uid="{1F430ED1-94B9-461E-9A98-B8F37168A58E}"/>
    <cellStyle name="Normal 3 2 3 2 5 5" xfId="18605" xr:uid="{02BECC14-3A38-4E2C-8379-EB373F7E95EA}"/>
    <cellStyle name="Normal 3 2 3 2 5 6" xfId="35463" xr:uid="{3C7A2A36-B485-4F0A-80BB-060793DE937F}"/>
    <cellStyle name="Normal 3 2 3 2 5 7" xfId="10170" xr:uid="{129EF681-DB16-4829-BDA4-E371CD9964EA}"/>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33810" xr:uid="{0DF3BCAC-4983-4D99-AC31-B69208FE0942}"/>
    <cellStyle name="Normal 3 2 3 2 6 2 2 3" xfId="25381" xr:uid="{80C91FEA-DD09-4299-BCD0-8BD781EC808A}"/>
    <cellStyle name="Normal 3 2 3 2 6 2 2 4" xfId="42238" xr:uid="{84C542F8-107E-4120-8B12-A3C3BE0F28EF}"/>
    <cellStyle name="Normal 3 2 3 2 6 2 2 5" xfId="16946" xr:uid="{C1E38C71-59D4-4FD8-B8B1-40CE010397ED}"/>
    <cellStyle name="Normal 3 2 3 2 6 2 3" xfId="29592" xr:uid="{8AB713A3-7A34-485D-8391-A100A91F2577}"/>
    <cellStyle name="Normal 3 2 3 2 6 2 4" xfId="21163" xr:uid="{7A5D48E5-B33C-44F2-9BC0-39154F9753F6}"/>
    <cellStyle name="Normal 3 2 3 2 6 2 5" xfId="38021" xr:uid="{BC3047CA-2C0C-41C8-912B-F0C71214303B}"/>
    <cellStyle name="Normal 3 2 3 2 6 2 6" xfId="12728" xr:uid="{E1444928-80DA-4D08-941A-96BCAA9B6E2C}"/>
    <cellStyle name="Normal 3 2 3 2 6 3" xfId="6366" xr:uid="{00000000-0005-0000-0000-0000A3110000}"/>
    <cellStyle name="Normal 3 2 3 2 6 3 2" xfId="31665" xr:uid="{6A649A73-BB21-4AEC-B21D-18582D997B1D}"/>
    <cellStyle name="Normal 3 2 3 2 6 3 3" xfId="23236" xr:uid="{13CBB33E-3D60-4D1B-B227-730410A2905B}"/>
    <cellStyle name="Normal 3 2 3 2 6 3 4" xfId="40093" xr:uid="{DB4A53B6-0004-45AC-B084-61E735AE73F5}"/>
    <cellStyle name="Normal 3 2 3 2 6 3 5" xfId="14801" xr:uid="{914C0333-39CA-4EE3-AC67-6F572FEB15F9}"/>
    <cellStyle name="Normal 3 2 3 2 6 4" xfId="27447" xr:uid="{D0EBB305-19A2-4AE1-90EF-735D8F7F088E}"/>
    <cellStyle name="Normal 3 2 3 2 6 5" xfId="19018" xr:uid="{8729F319-E23F-43DE-A93C-748B761E70C2}"/>
    <cellStyle name="Normal 3 2 3 2 6 6" xfId="35876" xr:uid="{BBEA3868-FB36-4402-8072-5462BDC0C228}"/>
    <cellStyle name="Normal 3 2 3 2 6 7" xfId="10583" xr:uid="{DEDCC4E7-4489-4B89-A061-EEC83C32752C}"/>
    <cellStyle name="Normal 3 2 3 2 7" xfId="2495" xr:uid="{00000000-0005-0000-0000-0000A4110000}"/>
    <cellStyle name="Normal 3 2 3 2 7 2" xfId="6779" xr:uid="{00000000-0005-0000-0000-0000A5110000}"/>
    <cellStyle name="Normal 3 2 3 2 7 2 2" xfId="32078" xr:uid="{E1B33064-7496-423A-9BD2-234E2AC6BE35}"/>
    <cellStyle name="Normal 3 2 3 2 7 2 3" xfId="23649" xr:uid="{7A245DFE-FE72-4F04-9A09-75CE8EFD0E6D}"/>
    <cellStyle name="Normal 3 2 3 2 7 2 4" xfId="40506" xr:uid="{E1F98F98-43E6-42BB-B515-DD0FDFE087AD}"/>
    <cellStyle name="Normal 3 2 3 2 7 2 5" xfId="15214" xr:uid="{38FD59E8-5C72-4693-8BFF-7DC55A4E8EC5}"/>
    <cellStyle name="Normal 3 2 3 2 7 3" xfId="27860" xr:uid="{69965F5A-09D6-4305-A490-2E61A28445C4}"/>
    <cellStyle name="Normal 3 2 3 2 7 4" xfId="19431" xr:uid="{D1828602-17FF-4CC3-8C12-132F6292C930}"/>
    <cellStyle name="Normal 3 2 3 2 7 5" xfId="36289" xr:uid="{587438C1-BC55-4B9C-AE5A-7F2C25B44917}"/>
    <cellStyle name="Normal 3 2 3 2 7 6" xfId="10996" xr:uid="{A45FABEE-7C8F-4A46-A2C1-296A07508CF1}"/>
    <cellStyle name="Normal 3 2 3 2 8" xfId="4713" xr:uid="{00000000-0005-0000-0000-0000A6110000}"/>
    <cellStyle name="Normal 3 2 3 2 8 2" xfId="30012" xr:uid="{B076D032-C10C-435B-BC85-D5244133EF33}"/>
    <cellStyle name="Normal 3 2 3 2 8 3" xfId="21583" xr:uid="{C5712D64-9DD4-4C67-AD92-70F084CC870D}"/>
    <cellStyle name="Normal 3 2 3 2 8 4" xfId="38440" xr:uid="{1A5D16EA-A94E-493E-B9F1-8531A5CF5E91}"/>
    <cellStyle name="Normal 3 2 3 2 8 5" xfId="13148" xr:uid="{1806449F-E50A-4FF0-8811-72BE07E47A94}"/>
    <cellStyle name="Normal 3 2 3 2 9" xfId="25794" xr:uid="{B9A6A284-F19C-48E5-9436-D337B9C1D597}"/>
    <cellStyle name="Normal 3 2 3 3" xfId="329" xr:uid="{00000000-0005-0000-0000-0000A7110000}"/>
    <cellStyle name="Normal 3 2 3 3 10" xfId="34225" xr:uid="{891C8425-1750-4790-9C42-E4F8079656AD}"/>
    <cellStyle name="Normal 3 2 3 3 11" xfId="8932" xr:uid="{937CF73F-15A3-48EE-BD6D-887AA1B8D27A}"/>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32573" xr:uid="{4E140EED-C6B0-4EFE-8A82-70FA7409B240}"/>
    <cellStyle name="Normal 3 2 3 3 2 2 2 3" xfId="24144" xr:uid="{A8887EA6-1E4C-403D-A8DF-8782AC087665}"/>
    <cellStyle name="Normal 3 2 3 3 2 2 2 4" xfId="41001" xr:uid="{287D3711-A122-454C-BA54-FE84F5677F05}"/>
    <cellStyle name="Normal 3 2 3 3 2 2 2 5" xfId="15709" xr:uid="{8E63057C-01E5-45B8-8AF6-879D28D8B775}"/>
    <cellStyle name="Normal 3 2 3 3 2 2 3" xfId="28355" xr:uid="{307D6849-7389-4A8D-9439-4B4FEC1C5B46}"/>
    <cellStyle name="Normal 3 2 3 3 2 2 4" xfId="19926" xr:uid="{0272E82E-BF37-49C4-B3F9-9F50E9547F2A}"/>
    <cellStyle name="Normal 3 2 3 3 2 2 5" xfId="36784" xr:uid="{AD81A86C-ABC6-416E-819E-F568B7A4DF1A}"/>
    <cellStyle name="Normal 3 2 3 3 2 2 6" xfId="11491" xr:uid="{3A982AFF-E6F2-4790-BC14-6FC8F26A9077}"/>
    <cellStyle name="Normal 3 2 3 3 2 3" xfId="5129" xr:uid="{00000000-0005-0000-0000-0000AB110000}"/>
    <cellStyle name="Normal 3 2 3 3 2 3 2" xfId="30428" xr:uid="{8F65F71B-FCD3-4B0F-9777-8D23A5745258}"/>
    <cellStyle name="Normal 3 2 3 3 2 3 3" xfId="21999" xr:uid="{F779DE06-B38C-4A8F-B6CF-A830D3394CCA}"/>
    <cellStyle name="Normal 3 2 3 3 2 3 4" xfId="38856" xr:uid="{EBDE2B94-57EB-469E-AAA2-D197E79D104F}"/>
    <cellStyle name="Normal 3 2 3 3 2 3 5" xfId="13564" xr:uid="{29F4BC57-E88C-44CC-B675-02A7A19F3349}"/>
    <cellStyle name="Normal 3 2 3 3 2 4" xfId="26210" xr:uid="{5C523556-A9E2-4CBF-ADB7-A6812EE95D78}"/>
    <cellStyle name="Normal 3 2 3 3 2 5" xfId="17781" xr:uid="{02E087CD-61D2-42C7-8681-FD0ACAEFAD0A}"/>
    <cellStyle name="Normal 3 2 3 3 2 6" xfId="34639" xr:uid="{FF9B778E-A907-47FB-B0D6-74968847882C}"/>
    <cellStyle name="Normal 3 2 3 3 2 7" xfId="9346" xr:uid="{BA57F643-D8F4-4B4A-86B9-E219875EE8D3}"/>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32986" xr:uid="{75FF2E1E-3527-4D60-B7C1-59847921699E}"/>
    <cellStyle name="Normal 3 2 3 3 3 2 2 3" xfId="24557" xr:uid="{007F4461-9AFF-44BF-86CA-3024DF67F64E}"/>
    <cellStyle name="Normal 3 2 3 3 3 2 2 4" xfId="41414" xr:uid="{8D663373-230B-41A3-8527-461A34188D48}"/>
    <cellStyle name="Normal 3 2 3 3 3 2 2 5" xfId="16122" xr:uid="{B3514652-D8EB-459E-B9EE-8EA9B4942034}"/>
    <cellStyle name="Normal 3 2 3 3 3 2 3" xfId="28768" xr:uid="{BF46C9F9-B970-400F-B9B2-01CCF4FA54FE}"/>
    <cellStyle name="Normal 3 2 3 3 3 2 4" xfId="20339" xr:uid="{472C12EB-840D-4C49-BE89-BCF9D9355B8F}"/>
    <cellStyle name="Normal 3 2 3 3 3 2 5" xfId="37197" xr:uid="{F76B37AC-68CD-441C-BEE3-B97D7409AF23}"/>
    <cellStyle name="Normal 3 2 3 3 3 2 6" xfId="11904" xr:uid="{F8AC0DC1-7C53-4CCC-83D8-8B2939DC97D4}"/>
    <cellStyle name="Normal 3 2 3 3 3 3" xfId="5542" xr:uid="{00000000-0005-0000-0000-0000AF110000}"/>
    <cellStyle name="Normal 3 2 3 3 3 3 2" xfId="30841" xr:uid="{C23343D4-030E-46DF-A776-AAB6FDA26F23}"/>
    <cellStyle name="Normal 3 2 3 3 3 3 3" xfId="22412" xr:uid="{9839D482-45AA-4B1E-B9BE-9CFF6F0436BB}"/>
    <cellStyle name="Normal 3 2 3 3 3 3 4" xfId="39269" xr:uid="{62A0436E-CE03-49C7-B00A-3750D74BF2A1}"/>
    <cellStyle name="Normal 3 2 3 3 3 3 5" xfId="13977" xr:uid="{FAF54270-4091-43D7-B94D-6B2B4AEB0906}"/>
    <cellStyle name="Normal 3 2 3 3 3 4" xfId="26623" xr:uid="{6553C913-BF62-4C48-8D9F-8CFD617526CF}"/>
    <cellStyle name="Normal 3 2 3 3 3 5" xfId="18194" xr:uid="{910DB7BC-3B5D-4EA2-A0E7-C33A8D259F8B}"/>
    <cellStyle name="Normal 3 2 3 3 3 6" xfId="35052" xr:uid="{93ACB30E-7B59-4448-8F38-A90C9016752E}"/>
    <cellStyle name="Normal 3 2 3 3 3 7" xfId="9759" xr:uid="{12699423-7DE9-4E85-872D-BF8709A583E8}"/>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33399" xr:uid="{C6AD4B50-73A4-4F4E-9729-AA06B0B34EB8}"/>
    <cellStyle name="Normal 3 2 3 3 4 2 2 3" xfId="24970" xr:uid="{47C9D613-DD03-41A9-B3CB-1379FAC041D1}"/>
    <cellStyle name="Normal 3 2 3 3 4 2 2 4" xfId="41827" xr:uid="{FD844D53-7A20-4A11-BDED-2A511BA20014}"/>
    <cellStyle name="Normal 3 2 3 3 4 2 2 5" xfId="16535" xr:uid="{A7A29114-9B35-489E-A498-8E71CD1A754F}"/>
    <cellStyle name="Normal 3 2 3 3 4 2 3" xfId="29181" xr:uid="{E0EAE53E-0143-4144-B3BC-49BEB8439940}"/>
    <cellStyle name="Normal 3 2 3 3 4 2 4" xfId="20752" xr:uid="{7AD00AA9-BE14-4A47-BBF6-FD3981114409}"/>
    <cellStyle name="Normal 3 2 3 3 4 2 5" xfId="37610" xr:uid="{72E13913-3DA6-4E91-AA30-0E48EE917654}"/>
    <cellStyle name="Normal 3 2 3 3 4 2 6" xfId="12317" xr:uid="{53C1CA43-76FA-43A1-80EE-C96E4D073024}"/>
    <cellStyle name="Normal 3 2 3 3 4 3" xfId="5955" xr:uid="{00000000-0005-0000-0000-0000B3110000}"/>
    <cellStyle name="Normal 3 2 3 3 4 3 2" xfId="31254" xr:uid="{B7A7CC98-ABEB-49A0-96AB-89BB8D8A3364}"/>
    <cellStyle name="Normal 3 2 3 3 4 3 3" xfId="22825" xr:uid="{4B28064B-0D47-4FC6-B278-AB8457A43954}"/>
    <cellStyle name="Normal 3 2 3 3 4 3 4" xfId="39682" xr:uid="{B2249D05-FD6C-400E-831C-5B638FFAFF62}"/>
    <cellStyle name="Normal 3 2 3 3 4 3 5" xfId="14390" xr:uid="{A8C50981-B393-4EBA-973B-46DD599A1EA8}"/>
    <cellStyle name="Normal 3 2 3 3 4 4" xfId="27036" xr:uid="{B66BC235-C283-45AF-B9E5-4BD7E2D744A7}"/>
    <cellStyle name="Normal 3 2 3 3 4 5" xfId="18607" xr:uid="{03BD575C-D0D4-45C6-BDC9-1075869F9275}"/>
    <cellStyle name="Normal 3 2 3 3 4 6" xfId="35465" xr:uid="{6A2B7F54-935A-4CFD-8C3B-5C21C51C8E71}"/>
    <cellStyle name="Normal 3 2 3 3 4 7" xfId="10172" xr:uid="{E9AAE085-9F93-4530-857E-18A2361FD804}"/>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33812" xr:uid="{589CFD4C-DFCD-4E68-B65F-27E0BFAEC1E0}"/>
    <cellStyle name="Normal 3 2 3 3 5 2 2 3" xfId="25383" xr:uid="{AF18D41E-D216-478C-AC36-D1E17C754971}"/>
    <cellStyle name="Normal 3 2 3 3 5 2 2 4" xfId="42240" xr:uid="{0C73C578-DB02-4C09-814F-ADCF0C2F870F}"/>
    <cellStyle name="Normal 3 2 3 3 5 2 2 5" xfId="16948" xr:uid="{AFFD1506-142F-4DA8-B710-5786C56BCB9C}"/>
    <cellStyle name="Normal 3 2 3 3 5 2 3" xfId="29594" xr:uid="{A819D22D-AF4E-4A7C-8A3D-D4C781233897}"/>
    <cellStyle name="Normal 3 2 3 3 5 2 4" xfId="21165" xr:uid="{A4DF68B7-CA22-4C1C-9E05-DE321816695B}"/>
    <cellStyle name="Normal 3 2 3 3 5 2 5" xfId="38023" xr:uid="{8BA2DBA5-2110-42DB-8BB1-5A67602BCAAB}"/>
    <cellStyle name="Normal 3 2 3 3 5 2 6" xfId="12730" xr:uid="{5F2C6B1C-4E64-44FD-BAFB-584F9BDABBEB}"/>
    <cellStyle name="Normal 3 2 3 3 5 3" xfId="6368" xr:uid="{00000000-0005-0000-0000-0000B7110000}"/>
    <cellStyle name="Normal 3 2 3 3 5 3 2" xfId="31667" xr:uid="{751C27A5-BC65-4782-BF9E-31B389EEE07D}"/>
    <cellStyle name="Normal 3 2 3 3 5 3 3" xfId="23238" xr:uid="{32F061AE-281B-4359-BBB5-6DD46240F282}"/>
    <cellStyle name="Normal 3 2 3 3 5 3 4" xfId="40095" xr:uid="{95157745-1F24-4118-831C-DDDBBF275DA7}"/>
    <cellStyle name="Normal 3 2 3 3 5 3 5" xfId="14803" xr:uid="{CF4F29F4-5CC0-4DBC-8739-E5CCE7573FE2}"/>
    <cellStyle name="Normal 3 2 3 3 5 4" xfId="27449" xr:uid="{938E1A43-4E9C-4D4E-B67C-59BDF444E5D2}"/>
    <cellStyle name="Normal 3 2 3 3 5 5" xfId="19020" xr:uid="{1B5D051E-6031-425A-9B72-30B7F78E8FA7}"/>
    <cellStyle name="Normal 3 2 3 3 5 6" xfId="35878" xr:uid="{415CA0D6-EAD7-445F-917D-09EA6715B525}"/>
    <cellStyle name="Normal 3 2 3 3 5 7" xfId="10585" xr:uid="{6976E558-65DB-4AF9-831E-F958D5D1589E}"/>
    <cellStyle name="Normal 3 2 3 3 6" xfId="2497" xr:uid="{00000000-0005-0000-0000-0000B8110000}"/>
    <cellStyle name="Normal 3 2 3 3 6 2" xfId="6781" xr:uid="{00000000-0005-0000-0000-0000B9110000}"/>
    <cellStyle name="Normal 3 2 3 3 6 2 2" xfId="32080" xr:uid="{9452DB7C-D281-470A-A478-08AF17B5E49E}"/>
    <cellStyle name="Normal 3 2 3 3 6 2 3" xfId="23651" xr:uid="{CBFA2E34-3290-4FB3-AE7A-843BDA857762}"/>
    <cellStyle name="Normal 3 2 3 3 6 2 4" xfId="40508" xr:uid="{5562D016-B28B-4E15-BFAB-506123CF0752}"/>
    <cellStyle name="Normal 3 2 3 3 6 2 5" xfId="15216" xr:uid="{70EDAEEE-228C-4922-8CC4-C138E944DA08}"/>
    <cellStyle name="Normal 3 2 3 3 6 3" xfId="27862" xr:uid="{608B89D8-E5BF-4198-948D-2B9593FF176D}"/>
    <cellStyle name="Normal 3 2 3 3 6 4" xfId="19433" xr:uid="{C2DE3BA8-F5F5-4427-A398-7351709C9CF2}"/>
    <cellStyle name="Normal 3 2 3 3 6 5" xfId="36291" xr:uid="{CD23E48F-0AAC-4E7B-9C38-052F3A5FDE1A}"/>
    <cellStyle name="Normal 3 2 3 3 6 6" xfId="10998" xr:uid="{D548BFBC-979A-4D47-8024-4A8BF6B3C8A3}"/>
    <cellStyle name="Normal 3 2 3 3 7" xfId="4715" xr:uid="{00000000-0005-0000-0000-0000BA110000}"/>
    <cellStyle name="Normal 3 2 3 3 7 2" xfId="30014" xr:uid="{62D4557D-9815-4993-B055-47725D3385DC}"/>
    <cellStyle name="Normal 3 2 3 3 7 3" xfId="21585" xr:uid="{2B63E47B-0C63-4B2A-AC20-384728171D88}"/>
    <cellStyle name="Normal 3 2 3 3 7 4" xfId="38442" xr:uid="{A7E2C1E4-8B94-4E3C-8F01-2FBAD43EE6DD}"/>
    <cellStyle name="Normal 3 2 3 3 7 5" xfId="13150" xr:uid="{FA7233AE-9C94-43C5-B03C-52EB195C3B55}"/>
    <cellStyle name="Normal 3 2 3 3 8" xfId="25796" xr:uid="{66DEC831-D9CD-47B7-884E-880A2CC97F14}"/>
    <cellStyle name="Normal 3 2 3 3 9" xfId="17367" xr:uid="{F1F0F761-7969-4073-8019-777441E4DAAF}"/>
    <cellStyle name="Normal 3 2 3 4" xfId="811" xr:uid="{00000000-0005-0000-0000-0000BB110000}"/>
    <cellStyle name="Normal 3 2 3 4 2" xfId="3048" xr:uid="{00000000-0005-0000-0000-0000BC110000}"/>
    <cellStyle name="Normal 3 2 3 4 2 2" xfId="7271" xr:uid="{00000000-0005-0000-0000-0000BD110000}"/>
    <cellStyle name="Normal 3 2 3 4 2 2 2" xfId="32570" xr:uid="{ACE35506-6120-4B84-B3D5-0AA881A3B3A2}"/>
    <cellStyle name="Normal 3 2 3 4 2 2 3" xfId="24141" xr:uid="{2B34A228-27D6-419A-A76E-43B65D923FCF}"/>
    <cellStyle name="Normal 3 2 3 4 2 2 4" xfId="40998" xr:uid="{61796F86-BC1A-436A-8632-922727CD4C58}"/>
    <cellStyle name="Normal 3 2 3 4 2 2 5" xfId="15706" xr:uid="{DAD309BF-15CC-42F5-84EF-9370CE00135A}"/>
    <cellStyle name="Normal 3 2 3 4 2 3" xfId="28352" xr:uid="{35F7A33C-6842-4151-8948-C56F51B9537A}"/>
    <cellStyle name="Normal 3 2 3 4 2 4" xfId="19923" xr:uid="{E12E5C34-CB99-4652-9941-5A8894FC5740}"/>
    <cellStyle name="Normal 3 2 3 4 2 5" xfId="36781" xr:uid="{C0151813-689A-475E-97B1-4D1DEABD6770}"/>
    <cellStyle name="Normal 3 2 3 4 2 6" xfId="11488" xr:uid="{C7A19446-0819-46CA-B25E-A7F39C63BD07}"/>
    <cellStyle name="Normal 3 2 3 4 3" xfId="5126" xr:uid="{00000000-0005-0000-0000-0000BE110000}"/>
    <cellStyle name="Normal 3 2 3 4 3 2" xfId="30425" xr:uid="{5C0244DD-96A6-4E86-80C0-BB8F280B9743}"/>
    <cellStyle name="Normal 3 2 3 4 3 3" xfId="21996" xr:uid="{E03F1B52-C0D4-4E45-B7FB-BA50AEC80D3A}"/>
    <cellStyle name="Normal 3 2 3 4 3 4" xfId="38853" xr:uid="{59949675-387A-4B97-978F-9B2A4E6E4EB8}"/>
    <cellStyle name="Normal 3 2 3 4 3 5" xfId="13561" xr:uid="{540FF350-3462-401D-9CC2-E48E6683B670}"/>
    <cellStyle name="Normal 3 2 3 4 4" xfId="26207" xr:uid="{B075D8C7-1CB3-4569-8231-D9A504E89EE3}"/>
    <cellStyle name="Normal 3 2 3 4 5" xfId="17778" xr:uid="{71C2C2C2-FD46-4DD7-A621-DB35E6168A50}"/>
    <cellStyle name="Normal 3 2 3 4 6" xfId="34636" xr:uid="{4D257746-4D6D-4BB3-B319-E7755CF49BAD}"/>
    <cellStyle name="Normal 3 2 3 4 7" xfId="9343" xr:uid="{EA75B584-85A0-40D6-9902-C34F41FB44DD}"/>
    <cellStyle name="Normal 3 2 3 5" xfId="1231" xr:uid="{00000000-0005-0000-0000-0000BF110000}"/>
    <cellStyle name="Normal 3 2 3 5 2" xfId="3461" xr:uid="{00000000-0005-0000-0000-0000C0110000}"/>
    <cellStyle name="Normal 3 2 3 5 2 2" xfId="7684" xr:uid="{00000000-0005-0000-0000-0000C1110000}"/>
    <cellStyle name="Normal 3 2 3 5 2 2 2" xfId="32983" xr:uid="{4F8B0A9A-EA46-40F8-A582-F50515CBDB1B}"/>
    <cellStyle name="Normal 3 2 3 5 2 2 3" xfId="24554" xr:uid="{922F4110-519E-4459-8A0A-1E0F1A9AD47E}"/>
    <cellStyle name="Normal 3 2 3 5 2 2 4" xfId="41411" xr:uid="{F64D53E0-46EE-4298-8148-85F62AF55283}"/>
    <cellStyle name="Normal 3 2 3 5 2 2 5" xfId="16119" xr:uid="{CFA5E607-EC23-427F-87F1-32C473BABE2D}"/>
    <cellStyle name="Normal 3 2 3 5 2 3" xfId="28765" xr:uid="{5CC35C97-347D-43D2-91A0-91F6B20797B8}"/>
    <cellStyle name="Normal 3 2 3 5 2 4" xfId="20336" xr:uid="{518999F8-0EBE-436F-B85D-B27DB3D7C4AB}"/>
    <cellStyle name="Normal 3 2 3 5 2 5" xfId="37194" xr:uid="{ABFDD459-0EEB-4BBB-ADA7-B715C22867AE}"/>
    <cellStyle name="Normal 3 2 3 5 2 6" xfId="11901" xr:uid="{FB0E5C7E-6E92-419C-842E-87C9EB14D64B}"/>
    <cellStyle name="Normal 3 2 3 5 3" xfId="5539" xr:uid="{00000000-0005-0000-0000-0000C2110000}"/>
    <cellStyle name="Normal 3 2 3 5 3 2" xfId="30838" xr:uid="{3C4FABAF-8474-425D-89F5-53418BF0E431}"/>
    <cellStyle name="Normal 3 2 3 5 3 3" xfId="22409" xr:uid="{4AC02569-88B5-495C-9F5D-5594C0FA3A61}"/>
    <cellStyle name="Normal 3 2 3 5 3 4" xfId="39266" xr:uid="{D0C069C1-1241-46F8-BFFC-8B5F13A35D96}"/>
    <cellStyle name="Normal 3 2 3 5 3 5" xfId="13974" xr:uid="{E83E1E79-3DCE-4016-8930-5FF042FBE056}"/>
    <cellStyle name="Normal 3 2 3 5 4" xfId="26620" xr:uid="{5C0467CA-A448-4C71-A125-C203B169146E}"/>
    <cellStyle name="Normal 3 2 3 5 5" xfId="18191" xr:uid="{FDD9B8E0-E10A-40AF-90D2-C97DC1C1DB64}"/>
    <cellStyle name="Normal 3 2 3 5 6" xfId="35049" xr:uid="{57096FBF-5534-486B-8CFC-3595CFC248E1}"/>
    <cellStyle name="Normal 3 2 3 5 7" xfId="9756" xr:uid="{4EEF4F03-1D4E-4E70-AAB2-4893AE433887}"/>
    <cellStyle name="Normal 3 2 3 6" xfId="1644" xr:uid="{00000000-0005-0000-0000-0000C3110000}"/>
    <cellStyle name="Normal 3 2 3 6 2" xfId="3874" xr:uid="{00000000-0005-0000-0000-0000C4110000}"/>
    <cellStyle name="Normal 3 2 3 6 2 2" xfId="8097" xr:uid="{00000000-0005-0000-0000-0000C5110000}"/>
    <cellStyle name="Normal 3 2 3 6 2 2 2" xfId="33396" xr:uid="{36155C39-0AF6-4E04-ADD1-B8F817B723D3}"/>
    <cellStyle name="Normal 3 2 3 6 2 2 3" xfId="24967" xr:uid="{A4F114C4-AC4E-40D7-A77B-518B5AED6408}"/>
    <cellStyle name="Normal 3 2 3 6 2 2 4" xfId="41824" xr:uid="{EE9A7CB0-AE23-49B8-B349-567ED88D4D87}"/>
    <cellStyle name="Normal 3 2 3 6 2 2 5" xfId="16532" xr:uid="{4BB48217-0039-4CF5-88FB-0985B189F170}"/>
    <cellStyle name="Normal 3 2 3 6 2 3" xfId="29178" xr:uid="{413E3F9A-2316-4CF2-8208-0CA283A19C69}"/>
    <cellStyle name="Normal 3 2 3 6 2 4" xfId="20749" xr:uid="{A050916C-B9CC-4CB0-ADDB-B2923C80DDC8}"/>
    <cellStyle name="Normal 3 2 3 6 2 5" xfId="37607" xr:uid="{D7A27A75-0C33-445D-8AD8-B81F59F39BAB}"/>
    <cellStyle name="Normal 3 2 3 6 2 6" xfId="12314" xr:uid="{82B67F56-A764-4119-8050-7415FF237CE4}"/>
    <cellStyle name="Normal 3 2 3 6 3" xfId="5952" xr:uid="{00000000-0005-0000-0000-0000C6110000}"/>
    <cellStyle name="Normal 3 2 3 6 3 2" xfId="31251" xr:uid="{EF588EEB-E92A-4F75-8454-047D665C9AE8}"/>
    <cellStyle name="Normal 3 2 3 6 3 3" xfId="22822" xr:uid="{B39BE09A-D466-4FC0-9E02-5559DDDE9C49}"/>
    <cellStyle name="Normal 3 2 3 6 3 4" xfId="39679" xr:uid="{7090F13E-F1DB-4C3C-BD95-9E192B47B305}"/>
    <cellStyle name="Normal 3 2 3 6 3 5" xfId="14387" xr:uid="{E110C67E-A5F1-4F48-89B4-5C4A445821BE}"/>
    <cellStyle name="Normal 3 2 3 6 4" xfId="27033" xr:uid="{1DC89F78-E3EA-4B0B-9CB9-50793FE3A669}"/>
    <cellStyle name="Normal 3 2 3 6 5" xfId="18604" xr:uid="{49ED26F1-3862-4955-8E00-941785315BEC}"/>
    <cellStyle name="Normal 3 2 3 6 6" xfId="35462" xr:uid="{C58D91BF-66DD-46BC-B782-EE0FBD86DE44}"/>
    <cellStyle name="Normal 3 2 3 6 7" xfId="10169" xr:uid="{149AB91E-902E-457C-ACE1-5539A0466D88}"/>
    <cellStyle name="Normal 3 2 3 7" xfId="2058" xr:uid="{00000000-0005-0000-0000-0000C7110000}"/>
    <cellStyle name="Normal 3 2 3 7 2" xfId="4287" xr:uid="{00000000-0005-0000-0000-0000C8110000}"/>
    <cellStyle name="Normal 3 2 3 7 2 2" xfId="8510" xr:uid="{00000000-0005-0000-0000-0000C9110000}"/>
    <cellStyle name="Normal 3 2 3 7 2 2 2" xfId="33809" xr:uid="{D5E48172-D29D-4555-86A6-910689A2F098}"/>
    <cellStyle name="Normal 3 2 3 7 2 2 3" xfId="25380" xr:uid="{2FE6698A-86CF-487D-BBE9-B46E2BF6F6CD}"/>
    <cellStyle name="Normal 3 2 3 7 2 2 4" xfId="42237" xr:uid="{2E61A09E-CB87-4597-BFAC-84046ADAB080}"/>
    <cellStyle name="Normal 3 2 3 7 2 2 5" xfId="16945" xr:uid="{58ED28FF-66C5-47FA-9A64-000C85E76838}"/>
    <cellStyle name="Normal 3 2 3 7 2 3" xfId="29591" xr:uid="{0780AAD8-4F92-4707-8C38-7133CC56C50D}"/>
    <cellStyle name="Normal 3 2 3 7 2 4" xfId="21162" xr:uid="{E72B787A-F547-4A2D-8FC5-F3A25159837B}"/>
    <cellStyle name="Normal 3 2 3 7 2 5" xfId="38020" xr:uid="{1ABBA097-DB3B-4DA3-B0A3-C1414B74EEFA}"/>
    <cellStyle name="Normal 3 2 3 7 2 6" xfId="12727" xr:uid="{E0DD33BB-8B89-4776-8F93-40783AEBF865}"/>
    <cellStyle name="Normal 3 2 3 7 3" xfId="6365" xr:uid="{00000000-0005-0000-0000-0000CA110000}"/>
    <cellStyle name="Normal 3 2 3 7 3 2" xfId="31664" xr:uid="{BDCA9051-EF12-48B7-B4DF-BFF32AB094AE}"/>
    <cellStyle name="Normal 3 2 3 7 3 3" xfId="23235" xr:uid="{410B8319-9CE6-47A1-9F2B-1E2A841362F7}"/>
    <cellStyle name="Normal 3 2 3 7 3 4" xfId="40092" xr:uid="{12B9BE89-F9E4-4FF8-877D-12B39FCB3C7A}"/>
    <cellStyle name="Normal 3 2 3 7 3 5" xfId="14800" xr:uid="{3799F592-88F5-4911-AF42-60A3EB3CA52F}"/>
    <cellStyle name="Normal 3 2 3 7 4" xfId="27446" xr:uid="{88974CD6-1622-4857-A7E5-869A72BF816D}"/>
    <cellStyle name="Normal 3 2 3 7 5" xfId="19017" xr:uid="{EA5D586A-4480-4E1A-884A-EE55A06BF313}"/>
    <cellStyle name="Normal 3 2 3 7 6" xfId="35875" xr:uid="{26A21F22-E4B4-4984-B0C7-D997972339A3}"/>
    <cellStyle name="Normal 3 2 3 7 7" xfId="10582" xr:uid="{332AF6F7-2EAE-4A7E-B7B0-6D8645221D70}"/>
    <cellStyle name="Normal 3 2 3 8" xfId="2494" xr:uid="{00000000-0005-0000-0000-0000CB110000}"/>
    <cellStyle name="Normal 3 2 3 8 2" xfId="6778" xr:uid="{00000000-0005-0000-0000-0000CC110000}"/>
    <cellStyle name="Normal 3 2 3 8 2 2" xfId="32077" xr:uid="{2F85F53B-6870-4F42-953B-D8521FA6B3E2}"/>
    <cellStyle name="Normal 3 2 3 8 2 3" xfId="23648" xr:uid="{8E6A385F-7E2D-4148-A6D2-DA0F20C592C5}"/>
    <cellStyle name="Normal 3 2 3 8 2 4" xfId="40505" xr:uid="{FB5B2FCF-5FE3-48AE-942E-1D714C5353B4}"/>
    <cellStyle name="Normal 3 2 3 8 2 5" xfId="15213" xr:uid="{53115FC7-A0B8-45DC-BDB4-AB474FE674D2}"/>
    <cellStyle name="Normal 3 2 3 8 3" xfId="27859" xr:uid="{3AA6F8A9-08CA-4BB9-8565-37E3D3F61631}"/>
    <cellStyle name="Normal 3 2 3 8 4" xfId="19430" xr:uid="{4DD224D3-5510-4A11-A850-208FCE80B415}"/>
    <cellStyle name="Normal 3 2 3 8 5" xfId="36288" xr:uid="{1B797EA4-D88A-4E1C-8B21-C6D3AD0456A8}"/>
    <cellStyle name="Normal 3 2 3 8 6" xfId="10995" xr:uid="{B3AE381C-E614-4BC7-9035-5CB6CBE4F8E9}"/>
    <cellStyle name="Normal 3 2 3 9" xfId="4712" xr:uid="{00000000-0005-0000-0000-0000CD110000}"/>
    <cellStyle name="Normal 3 2 3 9 2" xfId="30011" xr:uid="{DEE03221-5790-45E5-B953-3DFDA918C08B}"/>
    <cellStyle name="Normal 3 2 3 9 3" xfId="21582" xr:uid="{B28D270E-E7C6-448C-B545-43BB5DB9A887}"/>
    <cellStyle name="Normal 3 2 3 9 4" xfId="38439" xr:uid="{6D240A11-F936-493D-85ED-6EA0BFB7C274}"/>
    <cellStyle name="Normal 3 2 3 9 5" xfId="13147" xr:uid="{33CD32AC-1961-4FFE-99FB-F6118068F983}"/>
    <cellStyle name="Normal 3 2 4" xfId="809" xr:uid="{00000000-0005-0000-0000-0000CE110000}"/>
    <cellStyle name="Normal 3 2 4 2" xfId="3047" xr:uid="{00000000-0005-0000-0000-0000CF110000}"/>
    <cellStyle name="Normal 3 2 4 2 2" xfId="7270" xr:uid="{00000000-0005-0000-0000-0000D0110000}"/>
    <cellStyle name="Normal 3 2 4 2 2 2" xfId="32569" xr:uid="{CD658895-E122-4D4D-B3CA-BA3710C7FD7C}"/>
    <cellStyle name="Normal 3 2 4 2 2 3" xfId="24140" xr:uid="{F4F96B51-7C83-4058-BE21-265C264606FD}"/>
    <cellStyle name="Normal 3 2 4 2 2 4" xfId="40997" xr:uid="{ABFDB4D2-064B-463B-B51A-C0568E60337F}"/>
    <cellStyle name="Normal 3 2 4 2 2 5" xfId="15705" xr:uid="{D81283D5-2DAE-40A7-8966-38339772A1FE}"/>
    <cellStyle name="Normal 3 2 4 2 3" xfId="28351" xr:uid="{99B59B3E-5D22-4DF8-9421-F1E46DB7F5F6}"/>
    <cellStyle name="Normal 3 2 4 2 4" xfId="19922" xr:uid="{2F55AAAE-AD97-475D-8A82-43587DDDA041}"/>
    <cellStyle name="Normal 3 2 4 2 5" xfId="36780" xr:uid="{FBC1FC0E-6356-4D55-A2CF-BE2B25619E14}"/>
    <cellStyle name="Normal 3 2 4 2 6" xfId="11487" xr:uid="{68411BD9-0FE8-4ABE-9ACA-6B1143555D69}"/>
    <cellStyle name="Normal 3 2 4 3" xfId="5125" xr:uid="{00000000-0005-0000-0000-0000D1110000}"/>
    <cellStyle name="Normal 3 2 4 3 2" xfId="30424" xr:uid="{1629BD5F-8255-438C-B576-3D3365ADD5DB}"/>
    <cellStyle name="Normal 3 2 4 3 3" xfId="21995" xr:uid="{BBDDD7FA-3F32-4650-BAFA-41550199DB9E}"/>
    <cellStyle name="Normal 3 2 4 3 4" xfId="38852" xr:uid="{99A83972-A317-4530-9623-955A046BB745}"/>
    <cellStyle name="Normal 3 2 4 3 5" xfId="13560" xr:uid="{804D6725-556E-4966-913F-9C34D28977C4}"/>
    <cellStyle name="Normal 3 2 4 4" xfId="26206" xr:uid="{DC6752BD-B1F4-4543-8989-99939B7E63D9}"/>
    <cellStyle name="Normal 3 2 4 5" xfId="17777" xr:uid="{113BB249-54AB-4A34-B130-EB193F8DD5F2}"/>
    <cellStyle name="Normal 3 2 4 6" xfId="34635" xr:uid="{8B5EE053-5A77-4B4A-A9AC-FC3B08ADB343}"/>
    <cellStyle name="Normal 3 2 4 7" xfId="9342" xr:uid="{73EF7FCB-0112-49FB-A4FB-74F77687EA1D}"/>
    <cellStyle name="Normal 3 2 5" xfId="1230" xr:uid="{00000000-0005-0000-0000-0000D2110000}"/>
    <cellStyle name="Normal 3 2 5 2" xfId="3460" xr:uid="{00000000-0005-0000-0000-0000D3110000}"/>
    <cellStyle name="Normal 3 2 5 2 2" xfId="7683" xr:uid="{00000000-0005-0000-0000-0000D4110000}"/>
    <cellStyle name="Normal 3 2 5 2 2 2" xfId="32982" xr:uid="{F5DEBBA6-CAE5-4069-8D57-82F1B59FE482}"/>
    <cellStyle name="Normal 3 2 5 2 2 3" xfId="24553" xr:uid="{F07C3B33-C868-4CBB-AC23-A2F76BB6E362}"/>
    <cellStyle name="Normal 3 2 5 2 2 4" xfId="41410" xr:uid="{60D18EAB-A128-40BA-8DA8-4FC6E0F16BE5}"/>
    <cellStyle name="Normal 3 2 5 2 2 5" xfId="16118" xr:uid="{06C1546E-29B7-4C7B-8251-53CC886A443C}"/>
    <cellStyle name="Normal 3 2 5 2 3" xfId="28764" xr:uid="{1DFF97D5-EC1B-4024-B8C1-AA167E8C0D03}"/>
    <cellStyle name="Normal 3 2 5 2 4" xfId="20335" xr:uid="{B95934FF-6D44-4F36-A86C-F8350F25EDDC}"/>
    <cellStyle name="Normal 3 2 5 2 5" xfId="37193" xr:uid="{4608B9BC-C4EC-4CE8-A9A8-2094E92EFAAD}"/>
    <cellStyle name="Normal 3 2 5 2 6" xfId="11900" xr:uid="{E532042D-F257-40EA-954A-71B5A8DC8CB1}"/>
    <cellStyle name="Normal 3 2 5 3" xfId="5538" xr:uid="{00000000-0005-0000-0000-0000D5110000}"/>
    <cellStyle name="Normal 3 2 5 3 2" xfId="30837" xr:uid="{7B115E06-6831-4C06-94E3-61F6A5DF5B58}"/>
    <cellStyle name="Normal 3 2 5 3 3" xfId="22408" xr:uid="{1A2D0919-0961-437A-8476-59A091461918}"/>
    <cellStyle name="Normal 3 2 5 3 4" xfId="39265" xr:uid="{9B47D3D3-7301-41E3-BAE1-8B3459546FBD}"/>
    <cellStyle name="Normal 3 2 5 3 5" xfId="13973" xr:uid="{AD4498BC-6935-4EDC-B16B-DD55E383EBEA}"/>
    <cellStyle name="Normal 3 2 5 4" xfId="26619" xr:uid="{60BA64A7-C3F5-4F18-B795-229F96EEBD05}"/>
    <cellStyle name="Normal 3 2 5 5" xfId="18190" xr:uid="{78BE964D-0E6D-4E2E-8F2A-05C4A94D90A2}"/>
    <cellStyle name="Normal 3 2 5 6" xfId="35048" xr:uid="{FC5F5754-E3B5-4715-8585-C080E0A5D9FD}"/>
    <cellStyle name="Normal 3 2 5 7" xfId="9755" xr:uid="{4824E3C4-F12D-414C-95C1-43E8C31C5B4D}"/>
    <cellStyle name="Normal 3 2 6" xfId="1643" xr:uid="{00000000-0005-0000-0000-0000D6110000}"/>
    <cellStyle name="Normal 3 2 6 2" xfId="3873" xr:uid="{00000000-0005-0000-0000-0000D7110000}"/>
    <cellStyle name="Normal 3 2 6 2 2" xfId="8096" xr:uid="{00000000-0005-0000-0000-0000D8110000}"/>
    <cellStyle name="Normal 3 2 6 2 2 2" xfId="33395" xr:uid="{C535E381-9582-4B58-924B-7F1139253BEE}"/>
    <cellStyle name="Normal 3 2 6 2 2 3" xfId="24966" xr:uid="{725745DF-A373-4A3E-AF4D-C6547A6DFB90}"/>
    <cellStyle name="Normal 3 2 6 2 2 4" xfId="41823" xr:uid="{D3B45D5C-5575-43CD-8E83-1F9A79A3D782}"/>
    <cellStyle name="Normal 3 2 6 2 2 5" xfId="16531" xr:uid="{C82A4597-BC1E-4FF8-9844-3C6B67598903}"/>
    <cellStyle name="Normal 3 2 6 2 3" xfId="29177" xr:uid="{6BF532A1-C591-40F9-BCD7-6BE94A7A9B79}"/>
    <cellStyle name="Normal 3 2 6 2 4" xfId="20748" xr:uid="{4E19F053-76E4-4884-B897-BD1E90CB8FE0}"/>
    <cellStyle name="Normal 3 2 6 2 5" xfId="37606" xr:uid="{DC7D7FD5-0687-42C2-94A0-5C51CB9430E1}"/>
    <cellStyle name="Normal 3 2 6 2 6" xfId="12313" xr:uid="{BD908FF3-50E4-457E-9D83-50554BB51DC6}"/>
    <cellStyle name="Normal 3 2 6 3" xfId="5951" xr:uid="{00000000-0005-0000-0000-0000D9110000}"/>
    <cellStyle name="Normal 3 2 6 3 2" xfId="31250" xr:uid="{4714B2A3-1842-4D3F-BDA2-53F6A1BE395B}"/>
    <cellStyle name="Normal 3 2 6 3 3" xfId="22821" xr:uid="{AD2640C6-01FD-47AC-B8CA-ED70C48C7CC6}"/>
    <cellStyle name="Normal 3 2 6 3 4" xfId="39678" xr:uid="{FBA00C34-0A43-47F5-8915-A72DA1869DF7}"/>
    <cellStyle name="Normal 3 2 6 3 5" xfId="14386" xr:uid="{59832686-9D7F-4283-A02C-7087CD59C542}"/>
    <cellStyle name="Normal 3 2 6 4" xfId="27032" xr:uid="{85071AB9-6C06-438F-97B1-79D3C9DCABAC}"/>
    <cellStyle name="Normal 3 2 6 5" xfId="18603" xr:uid="{2D5799FD-81D3-473E-B224-1B1F41F9A100}"/>
    <cellStyle name="Normal 3 2 6 6" xfId="35461" xr:uid="{5B750DC6-F044-48F5-AED6-A4ADCC8EE4F8}"/>
    <cellStyle name="Normal 3 2 6 7" xfId="10168" xr:uid="{1B7DCEC4-0B22-484A-A782-663CD20CD3B5}"/>
    <cellStyle name="Normal 3 2 7" xfId="2057" xr:uid="{00000000-0005-0000-0000-0000DA110000}"/>
    <cellStyle name="Normal 3 2 7 2" xfId="4286" xr:uid="{00000000-0005-0000-0000-0000DB110000}"/>
    <cellStyle name="Normal 3 2 7 2 2" xfId="8509" xr:uid="{00000000-0005-0000-0000-0000DC110000}"/>
    <cellStyle name="Normal 3 2 7 2 2 2" xfId="33808" xr:uid="{9F71E804-2428-4190-B2FC-CC8828BC1C7D}"/>
    <cellStyle name="Normal 3 2 7 2 2 3" xfId="25379" xr:uid="{5377028D-229E-4402-9610-B9F52BA7076C}"/>
    <cellStyle name="Normal 3 2 7 2 2 4" xfId="42236" xr:uid="{3B966A28-4B60-4432-A84A-AC01FA021E84}"/>
    <cellStyle name="Normal 3 2 7 2 2 5" xfId="16944" xr:uid="{4BE5B58F-84D8-4E31-ACA7-6563BDA43D15}"/>
    <cellStyle name="Normal 3 2 7 2 3" xfId="29590" xr:uid="{E187C51F-9BA0-40BE-AA9F-C1218BCA712D}"/>
    <cellStyle name="Normal 3 2 7 2 4" xfId="21161" xr:uid="{931B97BB-29CA-4FDB-A54B-70B2545A54A3}"/>
    <cellStyle name="Normal 3 2 7 2 5" xfId="38019" xr:uid="{5AC5E55C-F72D-4A85-84F6-B8BD18DD19B1}"/>
    <cellStyle name="Normal 3 2 7 2 6" xfId="12726" xr:uid="{53BBE374-5E0F-47AC-ADC4-B306D414F324}"/>
    <cellStyle name="Normal 3 2 7 3" xfId="6364" xr:uid="{00000000-0005-0000-0000-0000DD110000}"/>
    <cellStyle name="Normal 3 2 7 3 2" xfId="31663" xr:uid="{BF340A19-5A69-4EBD-8D85-45381ED11EE9}"/>
    <cellStyle name="Normal 3 2 7 3 3" xfId="23234" xr:uid="{902A7627-452A-421C-898F-5F51AB7EAEC4}"/>
    <cellStyle name="Normal 3 2 7 3 4" xfId="40091" xr:uid="{6D1DCCA3-F153-4EB6-90BF-B3CD5C5F2EB1}"/>
    <cellStyle name="Normal 3 2 7 3 5" xfId="14799" xr:uid="{AD1987F2-6E9D-43C7-9815-F1151C59B6A7}"/>
    <cellStyle name="Normal 3 2 7 4" xfId="27445" xr:uid="{9AF8DD63-2E01-4B21-A002-52FA7DC52C4B}"/>
    <cellStyle name="Normal 3 2 7 5" xfId="19016" xr:uid="{C617428C-1304-4AAE-889A-0BC695EBAC88}"/>
    <cellStyle name="Normal 3 2 7 6" xfId="35874" xr:uid="{23AB0DB9-EC94-436E-86E4-F10353668D9D}"/>
    <cellStyle name="Normal 3 2 7 7" xfId="10581" xr:uid="{FF9A3ED4-012B-4AE0-BF35-C01F3F4A6C7D}"/>
    <cellStyle name="Normal 3 2 8" xfId="2493" xr:uid="{00000000-0005-0000-0000-0000DE110000}"/>
    <cellStyle name="Normal 3 2 8 2" xfId="6777" xr:uid="{00000000-0005-0000-0000-0000DF110000}"/>
    <cellStyle name="Normal 3 2 8 2 2" xfId="32076" xr:uid="{B269D164-3C1F-496D-817B-5D6462E43964}"/>
    <cellStyle name="Normal 3 2 8 2 3" xfId="23647" xr:uid="{81D631DF-F793-478B-BCBE-83E3A4A74AE0}"/>
    <cellStyle name="Normal 3 2 8 2 4" xfId="40504" xr:uid="{DA2B83ED-CF3C-4AE0-9827-ADFDC556FDF3}"/>
    <cellStyle name="Normal 3 2 8 2 5" xfId="15212" xr:uid="{CF566B1F-D14C-4A42-A162-9478AE151AD3}"/>
    <cellStyle name="Normal 3 2 8 3" xfId="27858" xr:uid="{2F50D7BA-68F3-4105-9929-0D7FC3B1F610}"/>
    <cellStyle name="Normal 3 2 8 4" xfId="19429" xr:uid="{5FE45C84-6EF6-4CF4-AD92-66B6E8AA3BF7}"/>
    <cellStyle name="Normal 3 2 8 5" xfId="36287" xr:uid="{DECDDD49-19DE-4707-A538-76B1FD3F9DD4}"/>
    <cellStyle name="Normal 3 2 8 6" xfId="10994" xr:uid="{29B0D7C9-E84C-4D57-8209-713D3E56D993}"/>
    <cellStyle name="Normal 3 2 9" xfId="4711" xr:uid="{00000000-0005-0000-0000-0000E0110000}"/>
    <cellStyle name="Normal 3 2 9 2" xfId="30010" xr:uid="{B618A21B-F767-4F81-9D29-5AD4461AD150}"/>
    <cellStyle name="Normal 3 2 9 3" xfId="21581" xr:uid="{B3D42A48-B3FA-49E3-98A2-7194470C01C4}"/>
    <cellStyle name="Normal 3 2 9 4" xfId="38438" xr:uid="{C4D9586E-FC65-46D0-BA06-D30DE86B26F9}"/>
    <cellStyle name="Normal 3 2 9 5" xfId="13146" xr:uid="{90F8051D-F84D-4AAA-82D2-080FE0CD08A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25797" xr:uid="{444022FB-A1CA-4704-9E18-0D9FB9FB5BB8}"/>
    <cellStyle name="Normal 4 11" xfId="17368" xr:uid="{FDA23B9F-79E8-4D53-B12A-FF5003B7950A}"/>
    <cellStyle name="Normal 4 12" xfId="34226" xr:uid="{46B5C5CB-F7C3-41C9-BA56-6A074452F12B}"/>
    <cellStyle name="Normal 4 13" xfId="8933" xr:uid="{3216F51A-1B2A-486D-A55E-96DDE2C5F958}"/>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33813" xr:uid="{13A321AE-3BA1-4622-9C60-E9E1D6D9294E}"/>
    <cellStyle name="Normal 4 2 2 10 2 2 3" xfId="25384" xr:uid="{7BA73C8A-F6A8-4DE8-829D-EB5053A7FD03}"/>
    <cellStyle name="Normal 4 2 2 10 2 2 4" xfId="42241" xr:uid="{B0DCEFD3-30C4-4FD5-94CC-323FE9416042}"/>
    <cellStyle name="Normal 4 2 2 10 2 2 5" xfId="16949" xr:uid="{5678F46E-BFEE-4179-9DDB-647C9DA49F76}"/>
    <cellStyle name="Normal 4 2 2 10 2 3" xfId="29595" xr:uid="{F23A7740-7A46-4619-A12A-4D924E0CE74D}"/>
    <cellStyle name="Normal 4 2 2 10 2 4" xfId="21166" xr:uid="{79D90BFF-A418-4C9B-9867-787FB4E5FD36}"/>
    <cellStyle name="Normal 4 2 2 10 2 5" xfId="38024" xr:uid="{462F0469-D4F3-4E15-BE5C-AC81E475E74E}"/>
    <cellStyle name="Normal 4 2 2 10 2 6" xfId="12731" xr:uid="{73C9D6FE-C174-4670-8013-6E570F059F7C}"/>
    <cellStyle name="Normal 4 2 2 10 3" xfId="6369" xr:uid="{00000000-0005-0000-0000-0000ED110000}"/>
    <cellStyle name="Normal 4 2 2 10 3 2" xfId="31668" xr:uid="{2F0B0A11-73F4-41B5-BD64-1A7C97A8BB00}"/>
    <cellStyle name="Normal 4 2 2 10 3 3" xfId="23239" xr:uid="{3BE327A3-B0B0-46C5-B2F9-DC4F66A66455}"/>
    <cellStyle name="Normal 4 2 2 10 3 4" xfId="40096" xr:uid="{7001422E-5CCC-42BC-8F77-87148A9E6035}"/>
    <cellStyle name="Normal 4 2 2 10 3 5" xfId="14804" xr:uid="{7E374AF2-BC00-4FB7-BDF7-CD69BE907DCF}"/>
    <cellStyle name="Normal 4 2 2 10 4" xfId="27450" xr:uid="{525CDC78-BC83-4008-82D3-B13811506E89}"/>
    <cellStyle name="Normal 4 2 2 10 5" xfId="19021" xr:uid="{50C26727-623D-4D79-B170-550DB116CA58}"/>
    <cellStyle name="Normal 4 2 2 10 6" xfId="35879" xr:uid="{F7D82959-C13D-43D6-9C95-1996E7C752DE}"/>
    <cellStyle name="Normal 4 2 2 10 7" xfId="10586" xr:uid="{7778BF1F-09B9-46AF-814D-67EDDA82FB5D}"/>
    <cellStyle name="Normal 4 2 2 11" xfId="2498" xr:uid="{00000000-0005-0000-0000-0000EE110000}"/>
    <cellStyle name="Normal 4 2 2 11 2" xfId="6782" xr:uid="{00000000-0005-0000-0000-0000EF110000}"/>
    <cellStyle name="Normal 4 2 2 11 2 2" xfId="32081" xr:uid="{80D66E23-51CA-424B-BA72-0000E67315A3}"/>
    <cellStyle name="Normal 4 2 2 11 2 3" xfId="23652" xr:uid="{D15E9266-BFD0-4BC1-895D-BB8C76187C86}"/>
    <cellStyle name="Normal 4 2 2 11 2 4" xfId="40509" xr:uid="{58AEE59C-0A75-4930-8ED3-2043C08D63EB}"/>
    <cellStyle name="Normal 4 2 2 11 2 5" xfId="15217" xr:uid="{A046FF3C-07E0-445A-9578-728B781177E5}"/>
    <cellStyle name="Normal 4 2 2 11 3" xfId="27863" xr:uid="{CEC3D8DF-E5FB-4E71-A6EF-2CDB7F100E25}"/>
    <cellStyle name="Normal 4 2 2 11 4" xfId="19434" xr:uid="{FA2BA7AF-167D-4FDC-8F24-5FE1ADAA54F9}"/>
    <cellStyle name="Normal 4 2 2 11 5" xfId="36292" xr:uid="{5EF5799E-33AA-4B46-9701-79FA7B115B92}"/>
    <cellStyle name="Normal 4 2 2 11 6" xfId="10999" xr:uid="{A95C3FC7-AA3C-435E-9961-0751664A9CEC}"/>
    <cellStyle name="Normal 4 2 2 12" xfId="4717" xr:uid="{00000000-0005-0000-0000-0000F0110000}"/>
    <cellStyle name="Normal 4 2 2 12 2" xfId="30016" xr:uid="{79EC88B8-A1D9-4BF1-880F-E0B9E0D79ED4}"/>
    <cellStyle name="Normal 4 2 2 12 3" xfId="21587" xr:uid="{D861DC0C-F3D0-4F08-AB1E-21C351B076E8}"/>
    <cellStyle name="Normal 4 2 2 12 4" xfId="38444" xr:uid="{74DECF88-84CC-4B81-807D-A03EC190717A}"/>
    <cellStyle name="Normal 4 2 2 12 5" xfId="13152" xr:uid="{113BD035-290F-4058-B0A8-4BA62AA334DD}"/>
    <cellStyle name="Normal 4 2 2 13" xfId="25798" xr:uid="{C130B95A-6A1B-4F5C-BF93-848EEA796328}"/>
    <cellStyle name="Normal 4 2 2 14" xfId="17369" xr:uid="{49A37FB6-4349-401B-A730-94C4CB851C9F}"/>
    <cellStyle name="Normal 4 2 2 15" xfId="34227" xr:uid="{92CA3A9A-39FE-4248-8B71-0177C889F1C9}"/>
    <cellStyle name="Normal 4 2 2 16" xfId="8934" xr:uid="{1E51F4A0-281A-475E-8C1B-FD1ADC5355E1}"/>
    <cellStyle name="Normal 4 2 2 2" xfId="338" xr:uid="{00000000-0005-0000-0000-0000F1110000}"/>
    <cellStyle name="Normal 4 2 2 3" xfId="339" xr:uid="{00000000-0005-0000-0000-0000F2110000}"/>
    <cellStyle name="Normal 4 2 2 3 10" xfId="4718" xr:uid="{00000000-0005-0000-0000-0000F3110000}"/>
    <cellStyle name="Normal 4 2 2 3 10 2" xfId="30017" xr:uid="{D81242EC-AF80-4663-83D2-3A4445F7D83B}"/>
    <cellStyle name="Normal 4 2 2 3 10 3" xfId="21588" xr:uid="{8267D1FD-A7F2-4EAD-A51D-713AB315D00D}"/>
    <cellStyle name="Normal 4 2 2 3 10 4" xfId="38445" xr:uid="{2FEBBD7E-164A-4610-84D8-A7B0A6CBAD1F}"/>
    <cellStyle name="Normal 4 2 2 3 10 5" xfId="13153" xr:uid="{786EB3A9-14EC-4FD9-B6D0-5E8E5AAB4E76}"/>
    <cellStyle name="Normal 4 2 2 3 11" xfId="25799" xr:uid="{8C6C8017-3499-439A-9681-2E7F86E8E37A}"/>
    <cellStyle name="Normal 4 2 2 3 12" xfId="17370" xr:uid="{3CB0638C-7F20-4291-A618-3A4346D297DA}"/>
    <cellStyle name="Normal 4 2 2 3 13" xfId="34228" xr:uid="{ACB06ADD-55C6-48B5-B0A3-15309139FD8A}"/>
    <cellStyle name="Normal 4 2 2 3 14" xfId="8935" xr:uid="{43C091D2-5940-4953-B5FD-26D54B64CF0C}"/>
    <cellStyle name="Normal 4 2 2 3 2" xfId="340" xr:uid="{00000000-0005-0000-0000-0000F4110000}"/>
    <cellStyle name="Normal 4 2 2 3 2 10" xfId="25800" xr:uid="{2B215E9E-FC20-4EF6-AD36-DB74D80737FC}"/>
    <cellStyle name="Normal 4 2 2 3 2 11" xfId="17371" xr:uid="{ED7FCFF7-A01A-4101-8E8C-3ED71ECF270C}"/>
    <cellStyle name="Normal 4 2 2 3 2 12" xfId="34229" xr:uid="{D28E3390-E129-4392-B5E2-5E579891DF38}"/>
    <cellStyle name="Normal 4 2 2 3 2 13" xfId="8936" xr:uid="{ED1F3C87-CFCD-49EF-84AC-DA473FF74539}"/>
    <cellStyle name="Normal 4 2 2 3 2 2" xfId="341" xr:uid="{00000000-0005-0000-0000-0000F5110000}"/>
    <cellStyle name="Normal 4 2 2 3 2 2 10" xfId="17372" xr:uid="{F694C4D9-18FE-4A3D-99CC-A3093F1D5CC4}"/>
    <cellStyle name="Normal 4 2 2 3 2 2 11" xfId="34230" xr:uid="{DEACCFB0-C23E-43C6-B738-574B9177C4F3}"/>
    <cellStyle name="Normal 4 2 2 3 2 2 12" xfId="8937" xr:uid="{0423F481-BC39-4D5E-BF85-D5299A1D617F}"/>
    <cellStyle name="Normal 4 2 2 3 2 2 2" xfId="342" xr:uid="{00000000-0005-0000-0000-0000F6110000}"/>
    <cellStyle name="Normal 4 2 2 3 2 2 2 10" xfId="34231" xr:uid="{2B14DBB1-65AF-45F8-99E1-B91DC93F0AFC}"/>
    <cellStyle name="Normal 4 2 2 3 2 2 2 11" xfId="8938" xr:uid="{86AB6179-5CA3-4089-9E67-4A9DD0984CFA}"/>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32578" xr:uid="{F020C0C2-32EF-4003-B0C7-890B984C64C9}"/>
    <cellStyle name="Normal 4 2 2 3 2 2 2 2 2 2 3" xfId="24149" xr:uid="{CC76E916-23E0-4219-ABF8-95768F2E4890}"/>
    <cellStyle name="Normal 4 2 2 3 2 2 2 2 2 2 4" xfId="41006" xr:uid="{33457E7A-B47A-49BB-A88D-8C4047B9AC2C}"/>
    <cellStyle name="Normal 4 2 2 3 2 2 2 2 2 2 5" xfId="15714" xr:uid="{02CC9A45-4A50-4761-B70D-BDE58E800A1C}"/>
    <cellStyle name="Normal 4 2 2 3 2 2 2 2 2 3" xfId="28360" xr:uid="{AD8B4D21-A239-46FD-95D8-85E2A1FB413A}"/>
    <cellStyle name="Normal 4 2 2 3 2 2 2 2 2 4" xfId="19931" xr:uid="{97621FF6-59DA-42E4-AA74-6E267E51E395}"/>
    <cellStyle name="Normal 4 2 2 3 2 2 2 2 2 5" xfId="36789" xr:uid="{E971D9F1-FE77-450B-A27C-EC5E7D305744}"/>
    <cellStyle name="Normal 4 2 2 3 2 2 2 2 2 6" xfId="11496" xr:uid="{9AE70A4D-88B5-446B-A24C-33055D6E1206}"/>
    <cellStyle name="Normal 4 2 2 3 2 2 2 2 3" xfId="5134" xr:uid="{00000000-0005-0000-0000-0000FA110000}"/>
    <cellStyle name="Normal 4 2 2 3 2 2 2 2 3 2" xfId="30433" xr:uid="{CA36279D-15AD-4E99-B775-BE8491EE52FF}"/>
    <cellStyle name="Normal 4 2 2 3 2 2 2 2 3 3" xfId="22004" xr:uid="{F5E259EA-4C2F-43B9-801E-60F4ECB264E7}"/>
    <cellStyle name="Normal 4 2 2 3 2 2 2 2 3 4" xfId="38861" xr:uid="{FC227678-476E-4F7B-922F-459194173FB6}"/>
    <cellStyle name="Normal 4 2 2 3 2 2 2 2 3 5" xfId="13569" xr:uid="{0B54B5E0-8983-4110-92EF-29B3E3780D64}"/>
    <cellStyle name="Normal 4 2 2 3 2 2 2 2 4" xfId="26215" xr:uid="{085DCAF7-30C0-489B-A63E-537B6A2205B2}"/>
    <cellStyle name="Normal 4 2 2 3 2 2 2 2 5" xfId="17786" xr:uid="{8C5C064C-7995-4A8E-9575-6B6961DB55DE}"/>
    <cellStyle name="Normal 4 2 2 3 2 2 2 2 6" xfId="34644" xr:uid="{DA699045-4F62-4818-B19A-A711D2728DA5}"/>
    <cellStyle name="Normal 4 2 2 3 2 2 2 2 7" xfId="9351" xr:uid="{BB36D3A9-81E2-4ED6-A3AB-3138F907A894}"/>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32991" xr:uid="{53219B84-A287-46AD-8013-65C518506E39}"/>
    <cellStyle name="Normal 4 2 2 3 2 2 2 3 2 2 3" xfId="24562" xr:uid="{60451D47-6E7F-4756-BFEF-475926C11638}"/>
    <cellStyle name="Normal 4 2 2 3 2 2 2 3 2 2 4" xfId="41419" xr:uid="{3A5A2587-1588-4E7E-BBB9-F090028D4F73}"/>
    <cellStyle name="Normal 4 2 2 3 2 2 2 3 2 2 5" xfId="16127" xr:uid="{E49D0DAD-4FE8-434D-982F-BE9864FD5637}"/>
    <cellStyle name="Normal 4 2 2 3 2 2 2 3 2 3" xfId="28773" xr:uid="{F547FF3E-AD2B-414C-A455-1E75BBFD8686}"/>
    <cellStyle name="Normal 4 2 2 3 2 2 2 3 2 4" xfId="20344" xr:uid="{8CD86F7C-3AB9-4BBE-AC9D-F1D8D90BE6AE}"/>
    <cellStyle name="Normal 4 2 2 3 2 2 2 3 2 5" xfId="37202" xr:uid="{EC3FA662-722D-4C69-94AE-A565EE37806D}"/>
    <cellStyle name="Normal 4 2 2 3 2 2 2 3 2 6" xfId="11909" xr:uid="{6C577ED5-7A50-41FA-8579-B8A20C57838C}"/>
    <cellStyle name="Normal 4 2 2 3 2 2 2 3 3" xfId="5547" xr:uid="{00000000-0005-0000-0000-0000FE110000}"/>
    <cellStyle name="Normal 4 2 2 3 2 2 2 3 3 2" xfId="30846" xr:uid="{936FC279-29F2-4D77-B472-8C16488E6792}"/>
    <cellStyle name="Normal 4 2 2 3 2 2 2 3 3 3" xfId="22417" xr:uid="{C64781C4-2B2F-4CD8-B5BE-ADF8C00C603A}"/>
    <cellStyle name="Normal 4 2 2 3 2 2 2 3 3 4" xfId="39274" xr:uid="{9138F226-D38C-412E-9FBD-A2420B439281}"/>
    <cellStyle name="Normal 4 2 2 3 2 2 2 3 3 5" xfId="13982" xr:uid="{4ABBC1C4-5590-4088-BFE6-EE1F843DE41B}"/>
    <cellStyle name="Normal 4 2 2 3 2 2 2 3 4" xfId="26628" xr:uid="{E5037692-B6DB-4473-A76B-22054FA9789B}"/>
    <cellStyle name="Normal 4 2 2 3 2 2 2 3 5" xfId="18199" xr:uid="{A31636C1-D9E0-4DF8-8057-B9E22E61DED1}"/>
    <cellStyle name="Normal 4 2 2 3 2 2 2 3 6" xfId="35057" xr:uid="{92FD89A7-5304-4848-AE3E-049884B802EB}"/>
    <cellStyle name="Normal 4 2 2 3 2 2 2 3 7" xfId="9764" xr:uid="{8C9BD653-544E-4B79-AB21-8F81DA523B87}"/>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33404" xr:uid="{6C25FE5C-7A79-432F-867A-566955D19CCB}"/>
    <cellStyle name="Normal 4 2 2 3 2 2 2 4 2 2 3" xfId="24975" xr:uid="{25DC0907-C2E3-4BB1-88B0-3BE62A7C8608}"/>
    <cellStyle name="Normal 4 2 2 3 2 2 2 4 2 2 4" xfId="41832" xr:uid="{0F295BB9-81EF-4AFA-9291-636FF9F5F06F}"/>
    <cellStyle name="Normal 4 2 2 3 2 2 2 4 2 2 5" xfId="16540" xr:uid="{C77E5D60-EE96-44B3-9F5D-CCC144D0C2CC}"/>
    <cellStyle name="Normal 4 2 2 3 2 2 2 4 2 3" xfId="29186" xr:uid="{86768353-3BEE-4CA8-8AE4-C91AD3E210C0}"/>
    <cellStyle name="Normal 4 2 2 3 2 2 2 4 2 4" xfId="20757" xr:uid="{F05F50FC-46B4-4EC6-8971-7FC8FDE3DD71}"/>
    <cellStyle name="Normal 4 2 2 3 2 2 2 4 2 5" xfId="37615" xr:uid="{42397D9E-62DC-4353-A0EA-8FAC78FF2062}"/>
    <cellStyle name="Normal 4 2 2 3 2 2 2 4 2 6" xfId="12322" xr:uid="{1370DFB1-9A28-4719-9F43-4FC776B5049E}"/>
    <cellStyle name="Normal 4 2 2 3 2 2 2 4 3" xfId="5960" xr:uid="{00000000-0005-0000-0000-000002120000}"/>
    <cellStyle name="Normal 4 2 2 3 2 2 2 4 3 2" xfId="31259" xr:uid="{24BF166B-9729-469D-93DF-E83F0FA425A0}"/>
    <cellStyle name="Normal 4 2 2 3 2 2 2 4 3 3" xfId="22830" xr:uid="{6E2760AA-1D82-4907-BC8E-0B9DB7609B54}"/>
    <cellStyle name="Normal 4 2 2 3 2 2 2 4 3 4" xfId="39687" xr:uid="{9D389F09-9173-49B5-A631-383A650BE8C6}"/>
    <cellStyle name="Normal 4 2 2 3 2 2 2 4 3 5" xfId="14395" xr:uid="{4FC045B0-00C6-41F4-8DBB-B2C53884A8BF}"/>
    <cellStyle name="Normal 4 2 2 3 2 2 2 4 4" xfId="27041" xr:uid="{E04A0F20-1CF1-43C2-8B6F-F4FF46D62634}"/>
    <cellStyle name="Normal 4 2 2 3 2 2 2 4 5" xfId="18612" xr:uid="{8BCEAF83-2010-4502-ACF5-4BC88215F142}"/>
    <cellStyle name="Normal 4 2 2 3 2 2 2 4 6" xfId="35470" xr:uid="{9FAA7E2D-3FB4-4F5F-8BFE-F387CC9C9ED7}"/>
    <cellStyle name="Normal 4 2 2 3 2 2 2 4 7" xfId="10177" xr:uid="{B601BBE9-06C3-40D9-AA63-F2EC5242EB61}"/>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33817" xr:uid="{BB0A9A02-18CE-4535-BDCB-2ACE065D4760}"/>
    <cellStyle name="Normal 4 2 2 3 2 2 2 5 2 2 3" xfId="25388" xr:uid="{DDE2B317-30CF-4A2C-BC9E-A91FFA33D4E0}"/>
    <cellStyle name="Normal 4 2 2 3 2 2 2 5 2 2 4" xfId="42245" xr:uid="{4287AA5B-662E-43A5-AFA6-0DAC22A6B7D9}"/>
    <cellStyle name="Normal 4 2 2 3 2 2 2 5 2 2 5" xfId="16953" xr:uid="{9ABB1DCE-35CB-4B89-97EB-C4844367C74C}"/>
    <cellStyle name="Normal 4 2 2 3 2 2 2 5 2 3" xfId="29599" xr:uid="{2133562C-9B86-49CE-A5B9-6B70CA247471}"/>
    <cellStyle name="Normal 4 2 2 3 2 2 2 5 2 4" xfId="21170" xr:uid="{EF180AF8-2C75-4536-948F-3455447F93FB}"/>
    <cellStyle name="Normal 4 2 2 3 2 2 2 5 2 5" xfId="38028" xr:uid="{58185F03-C035-4834-B92D-C26433E930A0}"/>
    <cellStyle name="Normal 4 2 2 3 2 2 2 5 2 6" xfId="12735" xr:uid="{A783A49E-0BB8-4E38-8141-FD119B1E8949}"/>
    <cellStyle name="Normal 4 2 2 3 2 2 2 5 3" xfId="6373" xr:uid="{00000000-0005-0000-0000-000006120000}"/>
    <cellStyle name="Normal 4 2 2 3 2 2 2 5 3 2" xfId="31672" xr:uid="{743DAA54-8F89-466F-AC98-549E6E4C3CF0}"/>
    <cellStyle name="Normal 4 2 2 3 2 2 2 5 3 3" xfId="23243" xr:uid="{175223F9-896C-4CAD-B140-B6BB8CF61FD0}"/>
    <cellStyle name="Normal 4 2 2 3 2 2 2 5 3 4" xfId="40100" xr:uid="{64DC7804-6D68-4640-8877-A3C27346E958}"/>
    <cellStyle name="Normal 4 2 2 3 2 2 2 5 3 5" xfId="14808" xr:uid="{6C3721D0-D47C-4FBE-9289-D95439471E93}"/>
    <cellStyle name="Normal 4 2 2 3 2 2 2 5 4" xfId="27454" xr:uid="{F4CB35BF-AF81-4084-8359-822DED96937D}"/>
    <cellStyle name="Normal 4 2 2 3 2 2 2 5 5" xfId="19025" xr:uid="{92ECE633-EF49-4DAB-B8EC-22A148B32601}"/>
    <cellStyle name="Normal 4 2 2 3 2 2 2 5 6" xfId="35883" xr:uid="{2C2C60D7-3E81-4FCD-B6C9-1BD97E1860BF}"/>
    <cellStyle name="Normal 4 2 2 3 2 2 2 5 7" xfId="10590" xr:uid="{B7F5F11B-8C82-49CC-B24B-CF670317C596}"/>
    <cellStyle name="Normal 4 2 2 3 2 2 2 6" xfId="2502" xr:uid="{00000000-0005-0000-0000-000007120000}"/>
    <cellStyle name="Normal 4 2 2 3 2 2 2 6 2" xfId="6786" xr:uid="{00000000-0005-0000-0000-000008120000}"/>
    <cellStyle name="Normal 4 2 2 3 2 2 2 6 2 2" xfId="32085" xr:uid="{C764ED21-911C-49E8-A2AB-08D12C0ADFF8}"/>
    <cellStyle name="Normal 4 2 2 3 2 2 2 6 2 3" xfId="23656" xr:uid="{08C69823-F3DD-4A5E-9C6D-F86A4A2AC668}"/>
    <cellStyle name="Normal 4 2 2 3 2 2 2 6 2 4" xfId="40513" xr:uid="{9718E30E-7DBD-478D-814D-34476A41392D}"/>
    <cellStyle name="Normal 4 2 2 3 2 2 2 6 2 5" xfId="15221" xr:uid="{8B9EC2EB-3953-49CF-983A-428DA02053B4}"/>
    <cellStyle name="Normal 4 2 2 3 2 2 2 6 3" xfId="27867" xr:uid="{711E02D5-6B0C-47A1-9D99-7A1F5C51C214}"/>
    <cellStyle name="Normal 4 2 2 3 2 2 2 6 4" xfId="19438" xr:uid="{FDE116AF-3486-4A79-AE23-317E0FFBC21C}"/>
    <cellStyle name="Normal 4 2 2 3 2 2 2 6 5" xfId="36296" xr:uid="{6B88C7E6-D3F5-48C3-9311-CEEED184787F}"/>
    <cellStyle name="Normal 4 2 2 3 2 2 2 6 6" xfId="11003" xr:uid="{F189365F-A138-4833-BE32-A4EE52036381}"/>
    <cellStyle name="Normal 4 2 2 3 2 2 2 7" xfId="4721" xr:uid="{00000000-0005-0000-0000-000009120000}"/>
    <cellStyle name="Normal 4 2 2 3 2 2 2 7 2" xfId="30020" xr:uid="{D9F63543-ADC0-4BD5-ACF4-FA9108DDF06B}"/>
    <cellStyle name="Normal 4 2 2 3 2 2 2 7 3" xfId="21591" xr:uid="{409F7AE2-46BD-4DC2-ADC7-5D20EC983D08}"/>
    <cellStyle name="Normal 4 2 2 3 2 2 2 7 4" xfId="38448" xr:uid="{1386EB44-F442-4A0A-833E-A65A521BA64B}"/>
    <cellStyle name="Normal 4 2 2 3 2 2 2 7 5" xfId="13156" xr:uid="{7DE6A3F8-2CF5-46D1-B621-7179F079172B}"/>
    <cellStyle name="Normal 4 2 2 3 2 2 2 8" xfId="25802" xr:uid="{BA40FA93-B02F-4F4A-A900-04C803D03FB6}"/>
    <cellStyle name="Normal 4 2 2 3 2 2 2 9" xfId="17373" xr:uid="{B9C63721-B512-4341-9DA5-A2CB22170CA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32577" xr:uid="{BCCCC11D-9EF2-4283-901F-1BC78C0B20A9}"/>
    <cellStyle name="Normal 4 2 2 3 2 2 3 2 2 3" xfId="24148" xr:uid="{DECC417C-82B3-4FC9-9B5B-D47536BF1B19}"/>
    <cellStyle name="Normal 4 2 2 3 2 2 3 2 2 4" xfId="41005" xr:uid="{DD3B5F8D-504E-4F1C-8C41-0668FFFDEEA5}"/>
    <cellStyle name="Normal 4 2 2 3 2 2 3 2 2 5" xfId="15713" xr:uid="{F271378D-C433-4650-9CB8-56FB16CEC403}"/>
    <cellStyle name="Normal 4 2 2 3 2 2 3 2 3" xfId="28359" xr:uid="{473E5619-FBDA-4554-B434-800DD40399BE}"/>
    <cellStyle name="Normal 4 2 2 3 2 2 3 2 4" xfId="19930" xr:uid="{C352F89B-744E-47DE-A5AE-B0AE87C6CF7C}"/>
    <cellStyle name="Normal 4 2 2 3 2 2 3 2 5" xfId="36788" xr:uid="{BD729C57-22D2-47DE-BF04-6C09662FBA6E}"/>
    <cellStyle name="Normal 4 2 2 3 2 2 3 2 6" xfId="11495" xr:uid="{59E8B112-F458-44F2-AF8C-8BF89727D38A}"/>
    <cellStyle name="Normal 4 2 2 3 2 2 3 3" xfId="5133" xr:uid="{00000000-0005-0000-0000-00000D120000}"/>
    <cellStyle name="Normal 4 2 2 3 2 2 3 3 2" xfId="30432" xr:uid="{E1F23EBF-D684-408C-959F-FD0B68E7D5FE}"/>
    <cellStyle name="Normal 4 2 2 3 2 2 3 3 3" xfId="22003" xr:uid="{9E809C9F-2625-45D4-A3D7-35B2E9F627EF}"/>
    <cellStyle name="Normal 4 2 2 3 2 2 3 3 4" xfId="38860" xr:uid="{BEA93DAE-01AE-4D03-B538-72A77DB71F0E}"/>
    <cellStyle name="Normal 4 2 2 3 2 2 3 3 5" xfId="13568" xr:uid="{F4C318D2-B2C4-4BEA-BBD4-00E2758902D3}"/>
    <cellStyle name="Normal 4 2 2 3 2 2 3 4" xfId="26214" xr:uid="{67794469-EBB9-4099-BF3C-61138915EB56}"/>
    <cellStyle name="Normal 4 2 2 3 2 2 3 5" xfId="17785" xr:uid="{173F0554-B7BB-4016-B3AF-FF69CD6095B9}"/>
    <cellStyle name="Normal 4 2 2 3 2 2 3 6" xfId="34643" xr:uid="{9884A887-9C75-49AF-8B4A-C697447D577F}"/>
    <cellStyle name="Normal 4 2 2 3 2 2 3 7" xfId="9350" xr:uid="{FE75C15B-D274-47E1-9A44-E48C097B48C9}"/>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32990" xr:uid="{E0C4B793-5DB0-4FA1-9FC6-305667338431}"/>
    <cellStyle name="Normal 4 2 2 3 2 2 4 2 2 3" xfId="24561" xr:uid="{2232B723-ECB5-48FD-A80F-C39555779FC3}"/>
    <cellStyle name="Normal 4 2 2 3 2 2 4 2 2 4" xfId="41418" xr:uid="{58FF6987-32D2-4D71-8965-5EEC6896E770}"/>
    <cellStyle name="Normal 4 2 2 3 2 2 4 2 2 5" xfId="16126" xr:uid="{2D50F68D-5562-4442-818B-838925D88CF9}"/>
    <cellStyle name="Normal 4 2 2 3 2 2 4 2 3" xfId="28772" xr:uid="{B237384E-B4E7-4908-BF32-DB2B4C6D09D7}"/>
    <cellStyle name="Normal 4 2 2 3 2 2 4 2 4" xfId="20343" xr:uid="{43A7AA8A-EFD3-4B74-B576-D75B4EAF952E}"/>
    <cellStyle name="Normal 4 2 2 3 2 2 4 2 5" xfId="37201" xr:uid="{C6AA31A5-A521-4448-99DC-4E51763A22BB}"/>
    <cellStyle name="Normal 4 2 2 3 2 2 4 2 6" xfId="11908" xr:uid="{234FEBF1-9731-4164-9379-FA172BA4D35D}"/>
    <cellStyle name="Normal 4 2 2 3 2 2 4 3" xfId="5546" xr:uid="{00000000-0005-0000-0000-000011120000}"/>
    <cellStyle name="Normal 4 2 2 3 2 2 4 3 2" xfId="30845" xr:uid="{7F3A8923-9900-4CFF-B88F-070F3E70FD7C}"/>
    <cellStyle name="Normal 4 2 2 3 2 2 4 3 3" xfId="22416" xr:uid="{AE014333-C79F-4EE5-AAA1-49E70E0E9A96}"/>
    <cellStyle name="Normal 4 2 2 3 2 2 4 3 4" xfId="39273" xr:uid="{D414DA63-77D0-4B47-A758-15DB55179237}"/>
    <cellStyle name="Normal 4 2 2 3 2 2 4 3 5" xfId="13981" xr:uid="{59DC208D-78C3-4CAD-8308-496F30472CF8}"/>
    <cellStyle name="Normal 4 2 2 3 2 2 4 4" xfId="26627" xr:uid="{6F978089-3E10-41E0-A8A7-F9448E0C7723}"/>
    <cellStyle name="Normal 4 2 2 3 2 2 4 5" xfId="18198" xr:uid="{418EF895-7F63-4978-9781-CE206A9CF3D5}"/>
    <cellStyle name="Normal 4 2 2 3 2 2 4 6" xfId="35056" xr:uid="{453C8649-1700-4EAF-8DAD-C2FB9B3D05F4}"/>
    <cellStyle name="Normal 4 2 2 3 2 2 4 7" xfId="9763" xr:uid="{8C2BE87E-782B-494A-8981-33A025D6F29B}"/>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33403" xr:uid="{545DE20D-E81C-4FED-88F8-062352649F77}"/>
    <cellStyle name="Normal 4 2 2 3 2 2 5 2 2 3" xfId="24974" xr:uid="{95218E6F-CF52-4D57-8C51-A3F10EDABE9F}"/>
    <cellStyle name="Normal 4 2 2 3 2 2 5 2 2 4" xfId="41831" xr:uid="{74F8F88E-4F29-45B3-9528-748E5A34684F}"/>
    <cellStyle name="Normal 4 2 2 3 2 2 5 2 2 5" xfId="16539" xr:uid="{C1706E20-D6D5-4573-96DB-7DBF8B663AE5}"/>
    <cellStyle name="Normal 4 2 2 3 2 2 5 2 3" xfId="29185" xr:uid="{14C3799A-C9BB-4741-8296-62A04A5F5605}"/>
    <cellStyle name="Normal 4 2 2 3 2 2 5 2 4" xfId="20756" xr:uid="{1A231B77-FD79-4553-A821-8AF1A33C3275}"/>
    <cellStyle name="Normal 4 2 2 3 2 2 5 2 5" xfId="37614" xr:uid="{5D38ECDE-FF22-464A-9943-D1F608AB696F}"/>
    <cellStyle name="Normal 4 2 2 3 2 2 5 2 6" xfId="12321" xr:uid="{71D8C98A-73F9-45B7-BCDD-F4031AA33AE9}"/>
    <cellStyle name="Normal 4 2 2 3 2 2 5 3" xfId="5959" xr:uid="{00000000-0005-0000-0000-000015120000}"/>
    <cellStyle name="Normal 4 2 2 3 2 2 5 3 2" xfId="31258" xr:uid="{CF478C28-021C-480E-A21F-F4C7F479887E}"/>
    <cellStyle name="Normal 4 2 2 3 2 2 5 3 3" xfId="22829" xr:uid="{AD146023-E018-44FC-BA15-ADAAA5FDC910}"/>
    <cellStyle name="Normal 4 2 2 3 2 2 5 3 4" xfId="39686" xr:uid="{2839FE86-C5CD-48EE-A24B-33A67F03A8DB}"/>
    <cellStyle name="Normal 4 2 2 3 2 2 5 3 5" xfId="14394" xr:uid="{5E02B137-2C9C-4EA5-BFEA-32CC26F818C7}"/>
    <cellStyle name="Normal 4 2 2 3 2 2 5 4" xfId="27040" xr:uid="{1FD8432E-368A-4847-B2BD-135D488A638B}"/>
    <cellStyle name="Normal 4 2 2 3 2 2 5 5" xfId="18611" xr:uid="{B6EF2ED0-7B58-4316-8837-DE203BEF20CD}"/>
    <cellStyle name="Normal 4 2 2 3 2 2 5 6" xfId="35469" xr:uid="{87CFF723-1655-4AF7-8F6C-60E4DA35BFF2}"/>
    <cellStyle name="Normal 4 2 2 3 2 2 5 7" xfId="10176" xr:uid="{E14BDC95-E967-470B-A892-1DFC789BF29F}"/>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33816" xr:uid="{8D26CE8F-C94D-46DF-A6FF-D114EC10F64C}"/>
    <cellStyle name="Normal 4 2 2 3 2 2 6 2 2 3" xfId="25387" xr:uid="{E793D26F-9CCB-4A45-B31B-A06B89A1217D}"/>
    <cellStyle name="Normal 4 2 2 3 2 2 6 2 2 4" xfId="42244" xr:uid="{7CAA985F-D21C-4E0C-8CA8-253C65CFF18B}"/>
    <cellStyle name="Normal 4 2 2 3 2 2 6 2 2 5" xfId="16952" xr:uid="{D513618D-6971-4708-A277-DFF62B5B3F15}"/>
    <cellStyle name="Normal 4 2 2 3 2 2 6 2 3" xfId="29598" xr:uid="{3A6073DB-1456-4319-85FF-0133DB1134A5}"/>
    <cellStyle name="Normal 4 2 2 3 2 2 6 2 4" xfId="21169" xr:uid="{AE7477B2-B8FB-49F5-85E5-6F259B40E608}"/>
    <cellStyle name="Normal 4 2 2 3 2 2 6 2 5" xfId="38027" xr:uid="{B894C672-DB62-4308-8D68-BFA88A47A5C7}"/>
    <cellStyle name="Normal 4 2 2 3 2 2 6 2 6" xfId="12734" xr:uid="{5E30C2A0-14B0-4801-A212-53A8B08F3124}"/>
    <cellStyle name="Normal 4 2 2 3 2 2 6 3" xfId="6372" xr:uid="{00000000-0005-0000-0000-000019120000}"/>
    <cellStyle name="Normal 4 2 2 3 2 2 6 3 2" xfId="31671" xr:uid="{4C10D100-3D0D-4E23-9193-D632F8E0079F}"/>
    <cellStyle name="Normal 4 2 2 3 2 2 6 3 3" xfId="23242" xr:uid="{939623F3-F0A0-4B7D-8BDB-84016CA6117E}"/>
    <cellStyle name="Normal 4 2 2 3 2 2 6 3 4" xfId="40099" xr:uid="{9647BFA2-0768-41A9-B8A8-2668BFD64E14}"/>
    <cellStyle name="Normal 4 2 2 3 2 2 6 3 5" xfId="14807" xr:uid="{A0DA3E0D-D862-48EF-B433-FECD086733E6}"/>
    <cellStyle name="Normal 4 2 2 3 2 2 6 4" xfId="27453" xr:uid="{7C20FBBB-12A7-4C3D-9949-6AAEDE30FCCA}"/>
    <cellStyle name="Normal 4 2 2 3 2 2 6 5" xfId="19024" xr:uid="{D8C7D800-FA48-4F99-A98D-DEB8ACDAB836}"/>
    <cellStyle name="Normal 4 2 2 3 2 2 6 6" xfId="35882" xr:uid="{1B46EC69-0C82-4E73-B421-F56E89AFF719}"/>
    <cellStyle name="Normal 4 2 2 3 2 2 6 7" xfId="10589" xr:uid="{38F1FF55-B7B9-4E47-8FB9-688DBB50CD0B}"/>
    <cellStyle name="Normal 4 2 2 3 2 2 7" xfId="2501" xr:uid="{00000000-0005-0000-0000-00001A120000}"/>
    <cellStyle name="Normal 4 2 2 3 2 2 7 2" xfId="6785" xr:uid="{00000000-0005-0000-0000-00001B120000}"/>
    <cellStyle name="Normal 4 2 2 3 2 2 7 2 2" xfId="32084" xr:uid="{3FFDB01E-D828-4FF0-B24E-EBB17ED4821A}"/>
    <cellStyle name="Normal 4 2 2 3 2 2 7 2 3" xfId="23655" xr:uid="{764E2F2D-9234-4139-BB81-DB3676485402}"/>
    <cellStyle name="Normal 4 2 2 3 2 2 7 2 4" xfId="40512" xr:uid="{DE12D31B-9304-4D4A-97D1-5EBA25609ADF}"/>
    <cellStyle name="Normal 4 2 2 3 2 2 7 2 5" xfId="15220" xr:uid="{061FFF6D-4B59-4046-ACE6-410A699985DC}"/>
    <cellStyle name="Normal 4 2 2 3 2 2 7 3" xfId="27866" xr:uid="{E72B9018-1B89-4CC3-9C3D-96652C1D655E}"/>
    <cellStyle name="Normal 4 2 2 3 2 2 7 4" xfId="19437" xr:uid="{688E7A40-3991-4AAF-B7C2-F630B2A0BB4D}"/>
    <cellStyle name="Normal 4 2 2 3 2 2 7 5" xfId="36295" xr:uid="{3944E9EA-AF69-46D4-94BA-444C425D8EA6}"/>
    <cellStyle name="Normal 4 2 2 3 2 2 7 6" xfId="11002" xr:uid="{38593B7E-6124-45C3-9815-0F83F10D4356}"/>
    <cellStyle name="Normal 4 2 2 3 2 2 8" xfId="4720" xr:uid="{00000000-0005-0000-0000-00001C120000}"/>
    <cellStyle name="Normal 4 2 2 3 2 2 8 2" xfId="30019" xr:uid="{CA839BD9-CA3D-418A-9FA6-4E5D7299C515}"/>
    <cellStyle name="Normal 4 2 2 3 2 2 8 3" xfId="21590" xr:uid="{EBE4B25F-0B9C-417B-9A41-A1BC9C38B7BB}"/>
    <cellStyle name="Normal 4 2 2 3 2 2 8 4" xfId="38447" xr:uid="{6BF0B805-BE5C-4089-B9A0-A66F2D5D125D}"/>
    <cellStyle name="Normal 4 2 2 3 2 2 8 5" xfId="13155" xr:uid="{A64566EB-31AB-4193-935E-9EB7ADE1F805}"/>
    <cellStyle name="Normal 4 2 2 3 2 2 9" xfId="25801" xr:uid="{D243B4B1-C717-4EBE-921C-3AE36689D808}"/>
    <cellStyle name="Normal 4 2 2 3 2 3" xfId="343" xr:uid="{00000000-0005-0000-0000-00001D120000}"/>
    <cellStyle name="Normal 4 2 2 3 2 3 10" xfId="34232" xr:uid="{1476E2D6-8AD1-48E7-8CA0-FDACED4BBA42}"/>
    <cellStyle name="Normal 4 2 2 3 2 3 11" xfId="8939" xr:uid="{03E72411-53BE-4F74-B5B9-2BEC8E7C7671}"/>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32579" xr:uid="{52E92AA7-C387-4AD5-91A0-EF535265A47B}"/>
    <cellStyle name="Normal 4 2 2 3 2 3 2 2 2 3" xfId="24150" xr:uid="{55E4209F-AED0-49FF-94FA-724CF37B1F6B}"/>
    <cellStyle name="Normal 4 2 2 3 2 3 2 2 2 4" xfId="41007" xr:uid="{8B81E70D-A02C-4225-B11C-EC43A5C06B68}"/>
    <cellStyle name="Normal 4 2 2 3 2 3 2 2 2 5" xfId="15715" xr:uid="{27764BEA-2A59-48FA-95F7-BF9B1C7A7E85}"/>
    <cellStyle name="Normal 4 2 2 3 2 3 2 2 3" xfId="28361" xr:uid="{5460389A-CD5B-4266-A152-1C28900DD720}"/>
    <cellStyle name="Normal 4 2 2 3 2 3 2 2 4" xfId="19932" xr:uid="{187D519C-06DF-4E4D-9892-EABF7B1ECA89}"/>
    <cellStyle name="Normal 4 2 2 3 2 3 2 2 5" xfId="36790" xr:uid="{8C48B9AE-D613-4E5D-93E5-BB92BE38DCDB}"/>
    <cellStyle name="Normal 4 2 2 3 2 3 2 2 6" xfId="11497" xr:uid="{C19156D4-11DD-45B3-A1DE-473D40A686A5}"/>
    <cellStyle name="Normal 4 2 2 3 2 3 2 3" xfId="5135" xr:uid="{00000000-0005-0000-0000-000021120000}"/>
    <cellStyle name="Normal 4 2 2 3 2 3 2 3 2" xfId="30434" xr:uid="{309D4375-4193-4614-AF7C-037E57F642F0}"/>
    <cellStyle name="Normal 4 2 2 3 2 3 2 3 3" xfId="22005" xr:uid="{829827A8-DDE6-4A2A-A0C6-CBF58764AF42}"/>
    <cellStyle name="Normal 4 2 2 3 2 3 2 3 4" xfId="38862" xr:uid="{DFA548A3-8A36-4570-8976-B8E581198B35}"/>
    <cellStyle name="Normal 4 2 2 3 2 3 2 3 5" xfId="13570" xr:uid="{BD638D1F-5C0F-4833-AECE-7D52FD8783AE}"/>
    <cellStyle name="Normal 4 2 2 3 2 3 2 4" xfId="26216" xr:uid="{87E23E33-20E1-4885-AFAE-A49179F0BE8A}"/>
    <cellStyle name="Normal 4 2 2 3 2 3 2 5" xfId="17787" xr:uid="{90159D5C-4C70-43FA-AD73-828A6788D676}"/>
    <cellStyle name="Normal 4 2 2 3 2 3 2 6" xfId="34645" xr:uid="{0B0CD17A-5784-410D-92DD-25A4EEB43A0E}"/>
    <cellStyle name="Normal 4 2 2 3 2 3 2 7" xfId="9352" xr:uid="{17A0129B-443F-4F8B-9C7F-635219EC53BC}"/>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32992" xr:uid="{68DB8763-D3B0-46DB-B220-B663E37F4CA9}"/>
    <cellStyle name="Normal 4 2 2 3 2 3 3 2 2 3" xfId="24563" xr:uid="{AE968B50-548E-4B88-9464-424572171E84}"/>
    <cellStyle name="Normal 4 2 2 3 2 3 3 2 2 4" xfId="41420" xr:uid="{E90AC342-4F70-4F67-A004-74E3B0BED67E}"/>
    <cellStyle name="Normal 4 2 2 3 2 3 3 2 2 5" xfId="16128" xr:uid="{4C442358-40A1-47E4-A2E4-961C2E1A5551}"/>
    <cellStyle name="Normal 4 2 2 3 2 3 3 2 3" xfId="28774" xr:uid="{61C5A665-AB59-4FA2-A699-B66AB24EE940}"/>
    <cellStyle name="Normal 4 2 2 3 2 3 3 2 4" xfId="20345" xr:uid="{78747864-18EE-4D21-BE30-E05B8FA1E3F7}"/>
    <cellStyle name="Normal 4 2 2 3 2 3 3 2 5" xfId="37203" xr:uid="{A222A2B2-FA90-4113-9F6D-FAEDDEA6F1CB}"/>
    <cellStyle name="Normal 4 2 2 3 2 3 3 2 6" xfId="11910" xr:uid="{8FE05609-9B62-475B-900F-DC278C2C89A7}"/>
    <cellStyle name="Normal 4 2 2 3 2 3 3 3" xfId="5548" xr:uid="{00000000-0005-0000-0000-000025120000}"/>
    <cellStyle name="Normal 4 2 2 3 2 3 3 3 2" xfId="30847" xr:uid="{C8F57CA2-25C9-46BB-981D-C3462DE1644E}"/>
    <cellStyle name="Normal 4 2 2 3 2 3 3 3 3" xfId="22418" xr:uid="{BF5F1CFA-88DF-4FBD-9097-23014ED33619}"/>
    <cellStyle name="Normal 4 2 2 3 2 3 3 3 4" xfId="39275" xr:uid="{3DCE6E14-1FD2-4AA1-99C2-50F9DC0971DB}"/>
    <cellStyle name="Normal 4 2 2 3 2 3 3 3 5" xfId="13983" xr:uid="{36CD4324-C446-4E1B-8BF6-949559B719DE}"/>
    <cellStyle name="Normal 4 2 2 3 2 3 3 4" xfId="26629" xr:uid="{21B2B89F-8C22-45A5-9E7A-7E753BB43E74}"/>
    <cellStyle name="Normal 4 2 2 3 2 3 3 5" xfId="18200" xr:uid="{4AFB615B-1D78-4F14-98B6-40B0904726BC}"/>
    <cellStyle name="Normal 4 2 2 3 2 3 3 6" xfId="35058" xr:uid="{9624BD4B-6A23-4273-824C-C5BB7E26EB23}"/>
    <cellStyle name="Normal 4 2 2 3 2 3 3 7" xfId="9765" xr:uid="{6C662A66-4A7C-4D8D-AE9B-95339874CCC6}"/>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33405" xr:uid="{848D157A-7F7A-4783-B719-E622D7191333}"/>
    <cellStyle name="Normal 4 2 2 3 2 3 4 2 2 3" xfId="24976" xr:uid="{DEA41945-2BBC-4026-809A-24000192EF64}"/>
    <cellStyle name="Normal 4 2 2 3 2 3 4 2 2 4" xfId="41833" xr:uid="{97AB4385-6FCF-40B4-900C-B18E135E11A6}"/>
    <cellStyle name="Normal 4 2 2 3 2 3 4 2 2 5" xfId="16541" xr:uid="{B7CEF459-EBD5-4EED-A2BE-54F888919D6C}"/>
    <cellStyle name="Normal 4 2 2 3 2 3 4 2 3" xfId="29187" xr:uid="{65898877-41AA-4549-AB32-48BCDEE95A26}"/>
    <cellStyle name="Normal 4 2 2 3 2 3 4 2 4" xfId="20758" xr:uid="{6F3F0B6B-ABA2-496C-B643-A6F6DB9CD43E}"/>
    <cellStyle name="Normal 4 2 2 3 2 3 4 2 5" xfId="37616" xr:uid="{B57F529B-9AE9-4884-89B6-287F86B8C974}"/>
    <cellStyle name="Normal 4 2 2 3 2 3 4 2 6" xfId="12323" xr:uid="{ED3B4EF2-3B79-40D5-A362-9F6C956A2D89}"/>
    <cellStyle name="Normal 4 2 2 3 2 3 4 3" xfId="5961" xr:uid="{00000000-0005-0000-0000-000029120000}"/>
    <cellStyle name="Normal 4 2 2 3 2 3 4 3 2" xfId="31260" xr:uid="{12713B89-791E-4007-A12D-020C6B33CDCB}"/>
    <cellStyle name="Normal 4 2 2 3 2 3 4 3 3" xfId="22831" xr:uid="{9F2F5829-3440-485D-B4DF-2E3911AD7763}"/>
    <cellStyle name="Normal 4 2 2 3 2 3 4 3 4" xfId="39688" xr:uid="{8487C761-6DAA-4D5B-9F35-BB692A0A9F88}"/>
    <cellStyle name="Normal 4 2 2 3 2 3 4 3 5" xfId="14396" xr:uid="{751D4F8F-EEC5-41D3-A7E4-D346078EBA7F}"/>
    <cellStyle name="Normal 4 2 2 3 2 3 4 4" xfId="27042" xr:uid="{9F14260B-9466-4EEB-A245-4679E42480F5}"/>
    <cellStyle name="Normal 4 2 2 3 2 3 4 5" xfId="18613" xr:uid="{16CEDC1C-EB41-45B0-B320-AFBEC4DD7642}"/>
    <cellStyle name="Normal 4 2 2 3 2 3 4 6" xfId="35471" xr:uid="{F5190617-9653-4389-AC36-B4B9F7202B46}"/>
    <cellStyle name="Normal 4 2 2 3 2 3 4 7" xfId="10178" xr:uid="{AD08BCAA-7871-4577-88E2-2B6426695098}"/>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33818" xr:uid="{FA9B6286-F5F4-4E5E-8AED-A8F391665971}"/>
    <cellStyle name="Normal 4 2 2 3 2 3 5 2 2 3" xfId="25389" xr:uid="{66ED8547-9135-4B05-A17F-EBC606C0F2EA}"/>
    <cellStyle name="Normal 4 2 2 3 2 3 5 2 2 4" xfId="42246" xr:uid="{6CD1C0A1-2AE3-4021-8E2C-AF36972200E2}"/>
    <cellStyle name="Normal 4 2 2 3 2 3 5 2 2 5" xfId="16954" xr:uid="{398CA5B1-59A7-4758-8E7B-481C5195CBA3}"/>
    <cellStyle name="Normal 4 2 2 3 2 3 5 2 3" xfId="29600" xr:uid="{419C2391-A89A-4850-96AE-2DC8BE0A599C}"/>
    <cellStyle name="Normal 4 2 2 3 2 3 5 2 4" xfId="21171" xr:uid="{990C2CCD-9E13-489B-B653-2D716013C796}"/>
    <cellStyle name="Normal 4 2 2 3 2 3 5 2 5" xfId="38029" xr:uid="{DCE4C4BF-4C73-4472-B680-54EEC55A74CD}"/>
    <cellStyle name="Normal 4 2 2 3 2 3 5 2 6" xfId="12736" xr:uid="{A7F08C6F-D039-4B72-8248-72C2D27D24E2}"/>
    <cellStyle name="Normal 4 2 2 3 2 3 5 3" xfId="6374" xr:uid="{00000000-0005-0000-0000-00002D120000}"/>
    <cellStyle name="Normal 4 2 2 3 2 3 5 3 2" xfId="31673" xr:uid="{72E7688C-A72F-45DE-81DB-ADBE713E7D6D}"/>
    <cellStyle name="Normal 4 2 2 3 2 3 5 3 3" xfId="23244" xr:uid="{ACD8F5AB-7852-4F54-BA3E-2C49EFC8D2CD}"/>
    <cellStyle name="Normal 4 2 2 3 2 3 5 3 4" xfId="40101" xr:uid="{1E4BB420-CC4F-45DB-9FDE-BD106D08DAF9}"/>
    <cellStyle name="Normal 4 2 2 3 2 3 5 3 5" xfId="14809" xr:uid="{011A7882-F405-413B-B153-66609941E4CB}"/>
    <cellStyle name="Normal 4 2 2 3 2 3 5 4" xfId="27455" xr:uid="{DBA9C4CC-D955-43D5-AD12-EDF492048A0E}"/>
    <cellStyle name="Normal 4 2 2 3 2 3 5 5" xfId="19026" xr:uid="{BF31CC12-43FA-4A32-B06C-CD2CD278D792}"/>
    <cellStyle name="Normal 4 2 2 3 2 3 5 6" xfId="35884" xr:uid="{6501F3C4-02B4-49C1-8476-970AB8748B9D}"/>
    <cellStyle name="Normal 4 2 2 3 2 3 5 7" xfId="10591" xr:uid="{ADAE13E7-51A4-465E-9D56-F6271CDE31F1}"/>
    <cellStyle name="Normal 4 2 2 3 2 3 6" xfId="2503" xr:uid="{00000000-0005-0000-0000-00002E120000}"/>
    <cellStyle name="Normal 4 2 2 3 2 3 6 2" xfId="6787" xr:uid="{00000000-0005-0000-0000-00002F120000}"/>
    <cellStyle name="Normal 4 2 2 3 2 3 6 2 2" xfId="32086" xr:uid="{B9CD4FC0-E392-4930-8AC7-ACE7F139E608}"/>
    <cellStyle name="Normal 4 2 2 3 2 3 6 2 3" xfId="23657" xr:uid="{E608AA65-F316-46BB-91E6-DF1D2FB5DF35}"/>
    <cellStyle name="Normal 4 2 2 3 2 3 6 2 4" xfId="40514" xr:uid="{898C0D0D-E6C3-4672-9DCA-6DE44724BD48}"/>
    <cellStyle name="Normal 4 2 2 3 2 3 6 2 5" xfId="15222" xr:uid="{56981346-189F-4345-8AC7-4D7A511C4CD4}"/>
    <cellStyle name="Normal 4 2 2 3 2 3 6 3" xfId="27868" xr:uid="{9459B1E7-1046-4A76-AD0D-A469CDB4D677}"/>
    <cellStyle name="Normal 4 2 2 3 2 3 6 4" xfId="19439" xr:uid="{516766CF-59B3-4F86-978C-DB0D255365B1}"/>
    <cellStyle name="Normal 4 2 2 3 2 3 6 5" xfId="36297" xr:uid="{80C8B14C-577B-423F-891F-5A3209A21D75}"/>
    <cellStyle name="Normal 4 2 2 3 2 3 6 6" xfId="11004" xr:uid="{09B45D1F-6274-4212-B044-091BA3247756}"/>
    <cellStyle name="Normal 4 2 2 3 2 3 7" xfId="4722" xr:uid="{00000000-0005-0000-0000-000030120000}"/>
    <cellStyle name="Normal 4 2 2 3 2 3 7 2" xfId="30021" xr:uid="{ABF61FC8-4FB6-4045-866C-79B0D936C09B}"/>
    <cellStyle name="Normal 4 2 2 3 2 3 7 3" xfId="21592" xr:uid="{870D49EC-50AC-47D8-BE0C-6D0DD7843836}"/>
    <cellStyle name="Normal 4 2 2 3 2 3 7 4" xfId="38449" xr:uid="{EC58EFB2-F92F-4B71-B738-16D285D0D625}"/>
    <cellStyle name="Normal 4 2 2 3 2 3 7 5" xfId="13157" xr:uid="{7B53FE9B-92E5-4E10-BDBC-D2DEB91B2B80}"/>
    <cellStyle name="Normal 4 2 2 3 2 3 8" xfId="25803" xr:uid="{077E06D8-D0D6-4DB3-8336-F3C0DD13705C}"/>
    <cellStyle name="Normal 4 2 2 3 2 3 9" xfId="17374" xr:uid="{166CD52E-1DF3-408B-9744-0E007307C3F6}"/>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32576" xr:uid="{C9DE3753-EC7C-46A8-A13E-84218A2A27A5}"/>
    <cellStyle name="Normal 4 2 2 3 2 4 2 2 3" xfId="24147" xr:uid="{0663AF53-0C65-4D2D-B5F0-CEA1C7187D8E}"/>
    <cellStyle name="Normal 4 2 2 3 2 4 2 2 4" xfId="41004" xr:uid="{1169EE77-BCB4-4488-8529-3A813B8EF729}"/>
    <cellStyle name="Normal 4 2 2 3 2 4 2 2 5" xfId="15712" xr:uid="{344C6A2F-15A6-46A7-8290-6D8D1801CB2C}"/>
    <cellStyle name="Normal 4 2 2 3 2 4 2 3" xfId="28358" xr:uid="{D3BF25EB-3FAA-4669-828C-6CE2C20AA102}"/>
    <cellStyle name="Normal 4 2 2 3 2 4 2 4" xfId="19929" xr:uid="{91E846D7-2747-413B-81D9-ABA20825EE7E}"/>
    <cellStyle name="Normal 4 2 2 3 2 4 2 5" xfId="36787" xr:uid="{A3391474-F4F7-42D4-9731-EC8B9EEFC475}"/>
    <cellStyle name="Normal 4 2 2 3 2 4 2 6" xfId="11494" xr:uid="{B26E3251-D161-4022-A5B6-BEB71DB788DE}"/>
    <cellStyle name="Normal 4 2 2 3 2 4 3" xfId="5132" xr:uid="{00000000-0005-0000-0000-000034120000}"/>
    <cellStyle name="Normal 4 2 2 3 2 4 3 2" xfId="30431" xr:uid="{E5B8B6C1-D7E2-4EDA-87B7-3BCD5FF5969A}"/>
    <cellStyle name="Normal 4 2 2 3 2 4 3 3" xfId="22002" xr:uid="{DC4104EF-A331-4FCB-98D7-1BEF95079166}"/>
    <cellStyle name="Normal 4 2 2 3 2 4 3 4" xfId="38859" xr:uid="{1A6AF472-5283-408B-942B-02BFD765F29C}"/>
    <cellStyle name="Normal 4 2 2 3 2 4 3 5" xfId="13567" xr:uid="{102A3668-2574-4959-9D93-D37877C27632}"/>
    <cellStyle name="Normal 4 2 2 3 2 4 4" xfId="26213" xr:uid="{3EAE133F-D653-4712-8AB0-6569DDC55B0F}"/>
    <cellStyle name="Normal 4 2 2 3 2 4 5" xfId="17784" xr:uid="{0DA648E4-F089-46C6-8B2F-A0C24E470E1D}"/>
    <cellStyle name="Normal 4 2 2 3 2 4 6" xfId="34642" xr:uid="{778866AC-E8DB-4BAC-AF03-68436B50CC25}"/>
    <cellStyle name="Normal 4 2 2 3 2 4 7" xfId="9349" xr:uid="{455D72A2-E105-4E8C-AA9E-53581FD0D20D}"/>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32989" xr:uid="{FFD20D00-8158-48A9-A57F-7EB937069CA3}"/>
    <cellStyle name="Normal 4 2 2 3 2 5 2 2 3" xfId="24560" xr:uid="{393E00B1-980C-4987-BA35-EB07B7F9B595}"/>
    <cellStyle name="Normal 4 2 2 3 2 5 2 2 4" xfId="41417" xr:uid="{CB3BFDD8-4154-486E-82A4-0D86FC8879AB}"/>
    <cellStyle name="Normal 4 2 2 3 2 5 2 2 5" xfId="16125" xr:uid="{CABB25A6-45B0-4D4C-9EAD-821DA4DAAC05}"/>
    <cellStyle name="Normal 4 2 2 3 2 5 2 3" xfId="28771" xr:uid="{72F32796-52D7-4994-A35F-68AFD63C0EC8}"/>
    <cellStyle name="Normal 4 2 2 3 2 5 2 4" xfId="20342" xr:uid="{27F5CF07-44DA-4BC2-8C88-3CCC963EA16C}"/>
    <cellStyle name="Normal 4 2 2 3 2 5 2 5" xfId="37200" xr:uid="{E6987076-DEEF-40E1-A788-2C1D4D3215B2}"/>
    <cellStyle name="Normal 4 2 2 3 2 5 2 6" xfId="11907" xr:uid="{1FCAE6DB-DCE0-42C1-9BB5-7E2383646D5E}"/>
    <cellStyle name="Normal 4 2 2 3 2 5 3" xfId="5545" xr:uid="{00000000-0005-0000-0000-000038120000}"/>
    <cellStyle name="Normal 4 2 2 3 2 5 3 2" xfId="30844" xr:uid="{E981F441-CA75-4D4B-A47D-CB47F2D9B265}"/>
    <cellStyle name="Normal 4 2 2 3 2 5 3 3" xfId="22415" xr:uid="{3B8E05E6-B580-486C-BD5A-C38AABBD8DBF}"/>
    <cellStyle name="Normal 4 2 2 3 2 5 3 4" xfId="39272" xr:uid="{0CE5E4B5-8FF8-4599-875C-AF8FBC4B8C03}"/>
    <cellStyle name="Normal 4 2 2 3 2 5 3 5" xfId="13980" xr:uid="{40D800E4-498F-41F9-B71C-D3BC1BE25E7E}"/>
    <cellStyle name="Normal 4 2 2 3 2 5 4" xfId="26626" xr:uid="{CCEC6DA5-A71C-47A7-8384-A3983EED6E29}"/>
    <cellStyle name="Normal 4 2 2 3 2 5 5" xfId="18197" xr:uid="{54E4D6D3-548C-4D5D-8E27-2F8D8AC226A9}"/>
    <cellStyle name="Normal 4 2 2 3 2 5 6" xfId="35055" xr:uid="{DF5092C4-F6F9-4727-AFAC-54167486004F}"/>
    <cellStyle name="Normal 4 2 2 3 2 5 7" xfId="9762" xr:uid="{058E2131-F04E-413E-BC22-9EEFDDC41612}"/>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33402" xr:uid="{66C1905A-B264-4C5F-B9F5-9A169EAB8FB1}"/>
    <cellStyle name="Normal 4 2 2 3 2 6 2 2 3" xfId="24973" xr:uid="{8226501D-75B4-407C-962C-D81CDEC108F4}"/>
    <cellStyle name="Normal 4 2 2 3 2 6 2 2 4" xfId="41830" xr:uid="{E2807AAF-8C79-4F86-B03F-91C2B90A8586}"/>
    <cellStyle name="Normal 4 2 2 3 2 6 2 2 5" xfId="16538" xr:uid="{E58C3DD3-D5B3-4468-9922-8BF668777A53}"/>
    <cellStyle name="Normal 4 2 2 3 2 6 2 3" xfId="29184" xr:uid="{F846575C-02BE-46FF-8EDD-5A22AC0ED28A}"/>
    <cellStyle name="Normal 4 2 2 3 2 6 2 4" xfId="20755" xr:uid="{E9A0AE2E-189C-4370-BB7E-68D2233FE7A6}"/>
    <cellStyle name="Normal 4 2 2 3 2 6 2 5" xfId="37613" xr:uid="{1776EB72-81DC-4D5E-BA61-BEB2C1688959}"/>
    <cellStyle name="Normal 4 2 2 3 2 6 2 6" xfId="12320" xr:uid="{3F1CA472-A76F-4B84-AC6A-10E7E5496A01}"/>
    <cellStyle name="Normal 4 2 2 3 2 6 3" xfId="5958" xr:uid="{00000000-0005-0000-0000-00003C120000}"/>
    <cellStyle name="Normal 4 2 2 3 2 6 3 2" xfId="31257" xr:uid="{0C232747-F369-4C72-B22F-038F51161E14}"/>
    <cellStyle name="Normal 4 2 2 3 2 6 3 3" xfId="22828" xr:uid="{376D8D35-8351-4A57-910E-826A599E6C46}"/>
    <cellStyle name="Normal 4 2 2 3 2 6 3 4" xfId="39685" xr:uid="{8D43D8DD-A0E9-4AA1-A19D-072CD6DBDBB7}"/>
    <cellStyle name="Normal 4 2 2 3 2 6 3 5" xfId="14393" xr:uid="{52B810FB-38F5-4204-ACC1-135C73C761D6}"/>
    <cellStyle name="Normal 4 2 2 3 2 6 4" xfId="27039" xr:uid="{367158D2-6970-469F-8FC2-EB25FF076EEB}"/>
    <cellStyle name="Normal 4 2 2 3 2 6 5" xfId="18610" xr:uid="{7BB223D7-5A84-4C39-A359-9AA7F8361E32}"/>
    <cellStyle name="Normal 4 2 2 3 2 6 6" xfId="35468" xr:uid="{510AD1C8-478B-43CB-BB58-A5B53E70F5EF}"/>
    <cellStyle name="Normal 4 2 2 3 2 6 7" xfId="10175" xr:uid="{CA658B53-A28E-4CFD-A717-273E36285352}"/>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33815" xr:uid="{AEF3BFE6-77F9-426D-B549-32D6E8C07F57}"/>
    <cellStyle name="Normal 4 2 2 3 2 7 2 2 3" xfId="25386" xr:uid="{A4EFC2D1-BF52-4B35-B5D7-811DCFA8808B}"/>
    <cellStyle name="Normal 4 2 2 3 2 7 2 2 4" xfId="42243" xr:uid="{68139D2D-DE87-441B-A8EC-F67D8274E4B2}"/>
    <cellStyle name="Normal 4 2 2 3 2 7 2 2 5" xfId="16951" xr:uid="{7B6ADA39-6F6F-43CA-BFD0-AE74496C7BA7}"/>
    <cellStyle name="Normal 4 2 2 3 2 7 2 3" xfId="29597" xr:uid="{A637B848-A3AB-4538-8D60-07684334A0C1}"/>
    <cellStyle name="Normal 4 2 2 3 2 7 2 4" xfId="21168" xr:uid="{4C3CCBEE-814D-4C2A-A279-FAAEC722BA76}"/>
    <cellStyle name="Normal 4 2 2 3 2 7 2 5" xfId="38026" xr:uid="{3C50AA28-EED3-4848-A104-BC9EE287EA2A}"/>
    <cellStyle name="Normal 4 2 2 3 2 7 2 6" xfId="12733" xr:uid="{69733196-6E21-4B99-BF7F-0B25B3844929}"/>
    <cellStyle name="Normal 4 2 2 3 2 7 3" xfId="6371" xr:uid="{00000000-0005-0000-0000-000040120000}"/>
    <cellStyle name="Normal 4 2 2 3 2 7 3 2" xfId="31670" xr:uid="{34F98FFC-A736-43D5-A1EE-54E41F184F21}"/>
    <cellStyle name="Normal 4 2 2 3 2 7 3 3" xfId="23241" xr:uid="{1070BCA3-9F2A-445E-8DCF-2C6E56578164}"/>
    <cellStyle name="Normal 4 2 2 3 2 7 3 4" xfId="40098" xr:uid="{FFD8BDDA-9AFF-4A15-8200-64C7AC67D075}"/>
    <cellStyle name="Normal 4 2 2 3 2 7 3 5" xfId="14806" xr:uid="{058274AF-7E3E-4B6B-AEC0-BD6728320808}"/>
    <cellStyle name="Normal 4 2 2 3 2 7 4" xfId="27452" xr:uid="{0B2F0463-0BA7-4CC1-A380-A3ACEFB36216}"/>
    <cellStyle name="Normal 4 2 2 3 2 7 5" xfId="19023" xr:uid="{95C0FCA6-975F-46E5-B057-ACA07065E602}"/>
    <cellStyle name="Normal 4 2 2 3 2 7 6" xfId="35881" xr:uid="{9F06B4D9-70DD-4145-A88C-82CE9716C247}"/>
    <cellStyle name="Normal 4 2 2 3 2 7 7" xfId="10588" xr:uid="{25260F9B-D748-4841-AD63-93DE9CA6B30B}"/>
    <cellStyle name="Normal 4 2 2 3 2 8" xfId="2500" xr:uid="{00000000-0005-0000-0000-000041120000}"/>
    <cellStyle name="Normal 4 2 2 3 2 8 2" xfId="6784" xr:uid="{00000000-0005-0000-0000-000042120000}"/>
    <cellStyle name="Normal 4 2 2 3 2 8 2 2" xfId="32083" xr:uid="{F50478F2-9FD2-4F7F-A73E-4BF017CF7A18}"/>
    <cellStyle name="Normal 4 2 2 3 2 8 2 3" xfId="23654" xr:uid="{0C96B586-54E8-47DB-AC90-397A1B6D2B58}"/>
    <cellStyle name="Normal 4 2 2 3 2 8 2 4" xfId="40511" xr:uid="{474D2FE7-DC12-46E5-8A7A-535ABC8A8FBE}"/>
    <cellStyle name="Normal 4 2 2 3 2 8 2 5" xfId="15219" xr:uid="{31948430-2796-4AEE-A104-38B77DA7C8EF}"/>
    <cellStyle name="Normal 4 2 2 3 2 8 3" xfId="27865" xr:uid="{83342FDD-BCFD-4615-B9CA-C44E58B0A8AE}"/>
    <cellStyle name="Normal 4 2 2 3 2 8 4" xfId="19436" xr:uid="{566A3912-5F7F-4517-8B5F-020A4F1AD4A8}"/>
    <cellStyle name="Normal 4 2 2 3 2 8 5" xfId="36294" xr:uid="{5643A693-30EC-4E1F-9336-337EB20E791F}"/>
    <cellStyle name="Normal 4 2 2 3 2 8 6" xfId="11001" xr:uid="{9A52D1C3-2CE4-42A0-8504-7F6B79FC73CC}"/>
    <cellStyle name="Normal 4 2 2 3 2 9" xfId="4719" xr:uid="{00000000-0005-0000-0000-000043120000}"/>
    <cellStyle name="Normal 4 2 2 3 2 9 2" xfId="30018" xr:uid="{8EA8E1E1-9638-4861-9572-A4188645F095}"/>
    <cellStyle name="Normal 4 2 2 3 2 9 3" xfId="21589" xr:uid="{73F518FF-093E-4147-A405-FCAB55D70793}"/>
    <cellStyle name="Normal 4 2 2 3 2 9 4" xfId="38446" xr:uid="{54ACAA69-E6B7-4747-8B9C-7C0BF68E23D1}"/>
    <cellStyle name="Normal 4 2 2 3 2 9 5" xfId="13154" xr:uid="{42D70526-2F46-4975-9BEB-DCC604B6BA6A}"/>
    <cellStyle name="Normal 4 2 2 3 3" xfId="344" xr:uid="{00000000-0005-0000-0000-000044120000}"/>
    <cellStyle name="Normal 4 2 2 3 3 10" xfId="17375" xr:uid="{24237EC8-37D7-4539-82AD-4EA7729A342F}"/>
    <cellStyle name="Normal 4 2 2 3 3 11" xfId="34233" xr:uid="{71649F9C-A82D-446D-A4F2-CD62D85AC568}"/>
    <cellStyle name="Normal 4 2 2 3 3 12" xfId="8940" xr:uid="{95795FE8-E391-4A78-9E35-283C50899591}"/>
    <cellStyle name="Normal 4 2 2 3 3 2" xfId="345" xr:uid="{00000000-0005-0000-0000-000045120000}"/>
    <cellStyle name="Normal 4 2 2 3 3 2 10" xfId="34234" xr:uid="{6AF7F3D4-8EE6-4A33-9B90-D6BF0A1F7EF5}"/>
    <cellStyle name="Normal 4 2 2 3 3 2 11" xfId="8941" xr:uid="{03447A74-003C-4F13-8F54-9E8615CFDB4C}"/>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32581" xr:uid="{FA0A2184-B600-408A-9373-E495B836DFBF}"/>
    <cellStyle name="Normal 4 2 2 3 3 2 2 2 2 3" xfId="24152" xr:uid="{94E6AC4A-6061-42C7-9100-6AA27C33EE57}"/>
    <cellStyle name="Normal 4 2 2 3 3 2 2 2 2 4" xfId="41009" xr:uid="{85428A0A-AD41-4FE0-B47C-4D9672B3860F}"/>
    <cellStyle name="Normal 4 2 2 3 3 2 2 2 2 5" xfId="15717" xr:uid="{F77665EB-7052-41A2-B7CD-FDF76E8C2E4E}"/>
    <cellStyle name="Normal 4 2 2 3 3 2 2 2 3" xfId="28363" xr:uid="{47A7E6F4-1641-4491-BFF1-2C2E0104EB20}"/>
    <cellStyle name="Normal 4 2 2 3 3 2 2 2 4" xfId="19934" xr:uid="{04155882-87C2-460F-8F79-4A6BE2749389}"/>
    <cellStyle name="Normal 4 2 2 3 3 2 2 2 5" xfId="36792" xr:uid="{0C441D78-DCDD-4F5B-81C7-D751FB85818B}"/>
    <cellStyle name="Normal 4 2 2 3 3 2 2 2 6" xfId="11499" xr:uid="{8FA01996-CE9D-4B4C-8576-19D28302248F}"/>
    <cellStyle name="Normal 4 2 2 3 3 2 2 3" xfId="5137" xr:uid="{00000000-0005-0000-0000-000049120000}"/>
    <cellStyle name="Normal 4 2 2 3 3 2 2 3 2" xfId="30436" xr:uid="{A253467F-3B27-4FDB-9038-32A5EB684276}"/>
    <cellStyle name="Normal 4 2 2 3 3 2 2 3 3" xfId="22007" xr:uid="{D75EC440-8A60-40C9-9896-041C9E96F936}"/>
    <cellStyle name="Normal 4 2 2 3 3 2 2 3 4" xfId="38864" xr:uid="{96646AE0-2E4C-4426-BDC3-36D84DD9C1EA}"/>
    <cellStyle name="Normal 4 2 2 3 3 2 2 3 5" xfId="13572" xr:uid="{12A0C28F-9BB5-4A0C-B34D-35CFAA8E6362}"/>
    <cellStyle name="Normal 4 2 2 3 3 2 2 4" xfId="26218" xr:uid="{851C84C6-9B05-4163-93BE-F4B3BC7BC461}"/>
    <cellStyle name="Normal 4 2 2 3 3 2 2 5" xfId="17789" xr:uid="{76EE2ECF-23CC-4950-A994-4C6FD7DFA3AA}"/>
    <cellStyle name="Normal 4 2 2 3 3 2 2 6" xfId="34647" xr:uid="{DCA03611-B42B-42D9-B912-F80AF33020E5}"/>
    <cellStyle name="Normal 4 2 2 3 3 2 2 7" xfId="9354" xr:uid="{1BC24F85-244B-44E9-8681-C1688D9F9C12}"/>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32994" xr:uid="{6963B375-28F5-4DFB-87AE-A633EF225043}"/>
    <cellStyle name="Normal 4 2 2 3 3 2 3 2 2 3" xfId="24565" xr:uid="{F6D3972D-1A89-4B44-8138-2FD93BABF064}"/>
    <cellStyle name="Normal 4 2 2 3 3 2 3 2 2 4" xfId="41422" xr:uid="{7454CC0D-F2A8-4C30-83B8-B8829B3CDF49}"/>
    <cellStyle name="Normal 4 2 2 3 3 2 3 2 2 5" xfId="16130" xr:uid="{30133CA6-D7DE-4F0D-9BF3-956D26887B8E}"/>
    <cellStyle name="Normal 4 2 2 3 3 2 3 2 3" xfId="28776" xr:uid="{A2F80332-5444-47BD-8AB6-74DE3B9C4DA6}"/>
    <cellStyle name="Normal 4 2 2 3 3 2 3 2 4" xfId="20347" xr:uid="{4E9859FD-6211-4C2B-8881-26CE4378C12C}"/>
    <cellStyle name="Normal 4 2 2 3 3 2 3 2 5" xfId="37205" xr:uid="{9D768337-A437-4C25-8DD2-DEDAA5CEED02}"/>
    <cellStyle name="Normal 4 2 2 3 3 2 3 2 6" xfId="11912" xr:uid="{A50259DF-C2DA-422C-98D8-1FB90FDDD811}"/>
    <cellStyle name="Normal 4 2 2 3 3 2 3 3" xfId="5550" xr:uid="{00000000-0005-0000-0000-00004D120000}"/>
    <cellStyle name="Normal 4 2 2 3 3 2 3 3 2" xfId="30849" xr:uid="{B3EB2FFC-AF26-4770-A96D-67C10E14B7D4}"/>
    <cellStyle name="Normal 4 2 2 3 3 2 3 3 3" xfId="22420" xr:uid="{B4C2276E-D05D-400C-8A09-2320446742EC}"/>
    <cellStyle name="Normal 4 2 2 3 3 2 3 3 4" xfId="39277" xr:uid="{04762970-6987-435A-B6B1-0EB3804BBD03}"/>
    <cellStyle name="Normal 4 2 2 3 3 2 3 3 5" xfId="13985" xr:uid="{A6B2F2CF-72A9-47AC-829B-EF6FA689E96F}"/>
    <cellStyle name="Normal 4 2 2 3 3 2 3 4" xfId="26631" xr:uid="{628E2A5C-C04A-4A47-BF39-1BE97EEAD3A0}"/>
    <cellStyle name="Normal 4 2 2 3 3 2 3 5" xfId="18202" xr:uid="{B99558FB-1116-4119-8ABC-CBF02EEEA21D}"/>
    <cellStyle name="Normal 4 2 2 3 3 2 3 6" xfId="35060" xr:uid="{D0344F69-EC1D-4016-9DBB-717FE7E52F1E}"/>
    <cellStyle name="Normal 4 2 2 3 3 2 3 7" xfId="9767" xr:uid="{F6DFF14B-0A91-40A8-82C9-95704F9B6A6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33407" xr:uid="{A4B950E8-8C70-4149-8956-48F8564A0882}"/>
    <cellStyle name="Normal 4 2 2 3 3 2 4 2 2 3" xfId="24978" xr:uid="{35A66770-4D73-4887-A0C7-2EDF5D669859}"/>
    <cellStyle name="Normal 4 2 2 3 3 2 4 2 2 4" xfId="41835" xr:uid="{EF805ECB-F619-408A-9C4C-10135AD6326D}"/>
    <cellStyle name="Normal 4 2 2 3 3 2 4 2 2 5" xfId="16543" xr:uid="{E93E4381-6C2C-46B8-B5FC-408A47A51574}"/>
    <cellStyle name="Normal 4 2 2 3 3 2 4 2 3" xfId="29189" xr:uid="{347AD28A-8A37-4995-8099-21D35888AABA}"/>
    <cellStyle name="Normal 4 2 2 3 3 2 4 2 4" xfId="20760" xr:uid="{69E25389-B47A-47EE-9555-BB649EA4D154}"/>
    <cellStyle name="Normal 4 2 2 3 3 2 4 2 5" xfId="37618" xr:uid="{AF85F4C9-3DEF-4F1D-BBC5-BABB18421175}"/>
    <cellStyle name="Normal 4 2 2 3 3 2 4 2 6" xfId="12325" xr:uid="{6C43BB27-D355-4099-A6D4-320B9D312E47}"/>
    <cellStyle name="Normal 4 2 2 3 3 2 4 3" xfId="5963" xr:uid="{00000000-0005-0000-0000-000051120000}"/>
    <cellStyle name="Normal 4 2 2 3 3 2 4 3 2" xfId="31262" xr:uid="{7D051B84-A9A4-4107-9750-6B0FEB02B7D4}"/>
    <cellStyle name="Normal 4 2 2 3 3 2 4 3 3" xfId="22833" xr:uid="{90862B31-F518-49DD-A2D6-76DC9AEF673F}"/>
    <cellStyle name="Normal 4 2 2 3 3 2 4 3 4" xfId="39690" xr:uid="{CDE97597-E41A-428D-84F7-5F1EA8A95627}"/>
    <cellStyle name="Normal 4 2 2 3 3 2 4 3 5" xfId="14398" xr:uid="{F27F5159-DDFB-45D6-8E62-53119D069E39}"/>
    <cellStyle name="Normal 4 2 2 3 3 2 4 4" xfId="27044" xr:uid="{9CF85DDC-9134-4334-B152-ECBD7A6BD839}"/>
    <cellStyle name="Normal 4 2 2 3 3 2 4 5" xfId="18615" xr:uid="{32AB142C-A9DF-408F-8286-CB3E4E553272}"/>
    <cellStyle name="Normal 4 2 2 3 3 2 4 6" xfId="35473" xr:uid="{06361847-DD61-4E1B-AAFF-A4639BA5EBD2}"/>
    <cellStyle name="Normal 4 2 2 3 3 2 4 7" xfId="10180" xr:uid="{B334AEBE-1C71-4D95-80A2-B9A8307A50C2}"/>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33820" xr:uid="{18ED1B86-DC92-4486-A0AB-C41490FC0CC9}"/>
    <cellStyle name="Normal 4 2 2 3 3 2 5 2 2 3" xfId="25391" xr:uid="{D67BD3AF-431E-4600-B673-90477BB099DF}"/>
    <cellStyle name="Normal 4 2 2 3 3 2 5 2 2 4" xfId="42248" xr:uid="{CE69497F-A5BC-43DA-9221-D8D61135D7C8}"/>
    <cellStyle name="Normal 4 2 2 3 3 2 5 2 2 5" xfId="16956" xr:uid="{2D655432-EE3B-4CD9-BBB2-755DC357E857}"/>
    <cellStyle name="Normal 4 2 2 3 3 2 5 2 3" xfId="29602" xr:uid="{CEB95A2C-51A9-4FA1-819F-708A78382B44}"/>
    <cellStyle name="Normal 4 2 2 3 3 2 5 2 4" xfId="21173" xr:uid="{430E1F0B-D33A-4D2B-9023-6145DCF56A83}"/>
    <cellStyle name="Normal 4 2 2 3 3 2 5 2 5" xfId="38031" xr:uid="{60EC2133-9436-4321-8E5D-1A0B809C5377}"/>
    <cellStyle name="Normal 4 2 2 3 3 2 5 2 6" xfId="12738" xr:uid="{F7BA26CB-9A36-439A-9315-7EA19BC99AB6}"/>
    <cellStyle name="Normal 4 2 2 3 3 2 5 3" xfId="6376" xr:uid="{00000000-0005-0000-0000-000055120000}"/>
    <cellStyle name="Normal 4 2 2 3 3 2 5 3 2" xfId="31675" xr:uid="{5CA84517-6B9C-4F94-AEC1-8248D1042060}"/>
    <cellStyle name="Normal 4 2 2 3 3 2 5 3 3" xfId="23246" xr:uid="{614EC740-8C49-4E39-982C-131145344B15}"/>
    <cellStyle name="Normal 4 2 2 3 3 2 5 3 4" xfId="40103" xr:uid="{736893F6-AD12-47CE-9707-1FA676269319}"/>
    <cellStyle name="Normal 4 2 2 3 3 2 5 3 5" xfId="14811" xr:uid="{EFA37F87-9891-46DE-A470-6EA085DE1449}"/>
    <cellStyle name="Normal 4 2 2 3 3 2 5 4" xfId="27457" xr:uid="{8D008C03-62DE-4F0C-9F4F-9F054530B1AA}"/>
    <cellStyle name="Normal 4 2 2 3 3 2 5 5" xfId="19028" xr:uid="{BC5BC758-009D-46DD-9C77-881D4A758C11}"/>
    <cellStyle name="Normal 4 2 2 3 3 2 5 6" xfId="35886" xr:uid="{27A45596-AE0D-470B-AA58-8A4DBE0CA2E7}"/>
    <cellStyle name="Normal 4 2 2 3 3 2 5 7" xfId="10593" xr:uid="{D575EC6F-BF60-4EF2-9132-055DB82185FE}"/>
    <cellStyle name="Normal 4 2 2 3 3 2 6" xfId="2505" xr:uid="{00000000-0005-0000-0000-000056120000}"/>
    <cellStyle name="Normal 4 2 2 3 3 2 6 2" xfId="6789" xr:uid="{00000000-0005-0000-0000-000057120000}"/>
    <cellStyle name="Normal 4 2 2 3 3 2 6 2 2" xfId="32088" xr:uid="{49DEC6C7-FE9C-4539-B6EA-3B1D030722AF}"/>
    <cellStyle name="Normal 4 2 2 3 3 2 6 2 3" xfId="23659" xr:uid="{C71D5474-A883-475E-9D01-4D69C65F67D0}"/>
    <cellStyle name="Normal 4 2 2 3 3 2 6 2 4" xfId="40516" xr:uid="{E1928423-CE87-45A2-AEA8-2F00527CE26C}"/>
    <cellStyle name="Normal 4 2 2 3 3 2 6 2 5" xfId="15224" xr:uid="{C001F327-B0CF-43AE-A12D-F67A4079B889}"/>
    <cellStyle name="Normal 4 2 2 3 3 2 6 3" xfId="27870" xr:uid="{490DC021-4A59-4A32-A7D0-CB1AA0FC61D8}"/>
    <cellStyle name="Normal 4 2 2 3 3 2 6 4" xfId="19441" xr:uid="{104A737C-CF0D-4214-976B-8C936EF5442E}"/>
    <cellStyle name="Normal 4 2 2 3 3 2 6 5" xfId="36299" xr:uid="{EF24FF71-079D-4CB2-AF66-1AAD1649B513}"/>
    <cellStyle name="Normal 4 2 2 3 3 2 6 6" xfId="11006" xr:uid="{4D1C36BC-0531-487D-8EA6-819839CBD668}"/>
    <cellStyle name="Normal 4 2 2 3 3 2 7" xfId="4724" xr:uid="{00000000-0005-0000-0000-000058120000}"/>
    <cellStyle name="Normal 4 2 2 3 3 2 7 2" xfId="30023" xr:uid="{F088BFC3-980A-4362-B8A6-CED3FC744AEC}"/>
    <cellStyle name="Normal 4 2 2 3 3 2 7 3" xfId="21594" xr:uid="{DDBA892B-8B8A-4586-8427-6239A224AE44}"/>
    <cellStyle name="Normal 4 2 2 3 3 2 7 4" xfId="38451" xr:uid="{07016D10-C2AC-41CA-9BED-08CCEA1071AD}"/>
    <cellStyle name="Normal 4 2 2 3 3 2 7 5" xfId="13159" xr:uid="{32B06885-2591-452D-9A8C-2EED98C8521D}"/>
    <cellStyle name="Normal 4 2 2 3 3 2 8" xfId="25805" xr:uid="{0508B465-E6C0-482F-ACB2-BD65CC9820A2}"/>
    <cellStyle name="Normal 4 2 2 3 3 2 9" xfId="17376" xr:uid="{D33A65B4-8551-494E-8E98-F59716EC4D48}"/>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32580" xr:uid="{953387D5-D11E-4A16-89C4-1B6A35F93651}"/>
    <cellStyle name="Normal 4 2 2 3 3 3 2 2 3" xfId="24151" xr:uid="{DBC64EBA-A7B6-4B9C-8C77-EE78AAA00386}"/>
    <cellStyle name="Normal 4 2 2 3 3 3 2 2 4" xfId="41008" xr:uid="{2F443264-B758-421B-B6E9-1D2E6E6A7861}"/>
    <cellStyle name="Normal 4 2 2 3 3 3 2 2 5" xfId="15716" xr:uid="{2EBDB85C-731A-4FA8-8440-BA1316BF3942}"/>
    <cellStyle name="Normal 4 2 2 3 3 3 2 3" xfId="28362" xr:uid="{DC0EDA2B-7E51-427F-A3A9-F53BDFD7F5EC}"/>
    <cellStyle name="Normal 4 2 2 3 3 3 2 4" xfId="19933" xr:uid="{ADC09FCE-1474-44F7-97BB-DB0A22950EC7}"/>
    <cellStyle name="Normal 4 2 2 3 3 3 2 5" xfId="36791" xr:uid="{F073785C-2829-458F-95A4-231672579D93}"/>
    <cellStyle name="Normal 4 2 2 3 3 3 2 6" xfId="11498" xr:uid="{46B9333C-BA79-444C-B0FB-E95C7AA27C57}"/>
    <cellStyle name="Normal 4 2 2 3 3 3 3" xfId="5136" xr:uid="{00000000-0005-0000-0000-00005C120000}"/>
    <cellStyle name="Normal 4 2 2 3 3 3 3 2" xfId="30435" xr:uid="{27863386-BC40-4450-B193-6EB05A4B61B5}"/>
    <cellStyle name="Normal 4 2 2 3 3 3 3 3" xfId="22006" xr:uid="{ABB90712-7221-43A0-8005-942394DA0114}"/>
    <cellStyle name="Normal 4 2 2 3 3 3 3 4" xfId="38863" xr:uid="{09C044B3-FF93-4188-A27F-40B182C59AE7}"/>
    <cellStyle name="Normal 4 2 2 3 3 3 3 5" xfId="13571" xr:uid="{F2D26918-68AF-46B2-8EC6-BD5ADAABA2E9}"/>
    <cellStyle name="Normal 4 2 2 3 3 3 4" xfId="26217" xr:uid="{291DE6A2-FFFC-45A3-B61F-383890B29D6D}"/>
    <cellStyle name="Normal 4 2 2 3 3 3 5" xfId="17788" xr:uid="{DF16AF53-AE55-4772-9821-E516F472ED1E}"/>
    <cellStyle name="Normal 4 2 2 3 3 3 6" xfId="34646" xr:uid="{A3A2C239-7BA1-4807-BDE9-84AD4FDCF054}"/>
    <cellStyle name="Normal 4 2 2 3 3 3 7" xfId="9353" xr:uid="{1354AF01-8FD9-4B01-A717-81C0AF3BD2D7}"/>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32993" xr:uid="{F309E78E-47FB-419F-BE28-5550AA6FB4A0}"/>
    <cellStyle name="Normal 4 2 2 3 3 4 2 2 3" xfId="24564" xr:uid="{2A1AA49C-A5AA-4FA4-AC8B-7B671B25B660}"/>
    <cellStyle name="Normal 4 2 2 3 3 4 2 2 4" xfId="41421" xr:uid="{A70F82D8-AB79-4699-983F-D3770530637C}"/>
    <cellStyle name="Normal 4 2 2 3 3 4 2 2 5" xfId="16129" xr:uid="{D0D71DDE-D70B-40D3-BEB0-1C70E653F22E}"/>
    <cellStyle name="Normal 4 2 2 3 3 4 2 3" xfId="28775" xr:uid="{7E270CC8-889A-47F3-811C-E1F8541FA73A}"/>
    <cellStyle name="Normal 4 2 2 3 3 4 2 4" xfId="20346" xr:uid="{11CE2C61-58E7-4407-9A15-D55677A2BB70}"/>
    <cellStyle name="Normal 4 2 2 3 3 4 2 5" xfId="37204" xr:uid="{50F7E08F-4846-4308-B05A-26DB9640159C}"/>
    <cellStyle name="Normal 4 2 2 3 3 4 2 6" xfId="11911" xr:uid="{07E8AFB2-6A97-41AA-BD7B-C656479B661E}"/>
    <cellStyle name="Normal 4 2 2 3 3 4 3" xfId="5549" xr:uid="{00000000-0005-0000-0000-000060120000}"/>
    <cellStyle name="Normal 4 2 2 3 3 4 3 2" xfId="30848" xr:uid="{432613F6-F59F-4CE2-AF08-D8D221B529F9}"/>
    <cellStyle name="Normal 4 2 2 3 3 4 3 3" xfId="22419" xr:uid="{BA77CF71-85A5-4676-A2F0-5C9E25847110}"/>
    <cellStyle name="Normal 4 2 2 3 3 4 3 4" xfId="39276" xr:uid="{9B6C6376-6650-49FC-8860-91678C15A94A}"/>
    <cellStyle name="Normal 4 2 2 3 3 4 3 5" xfId="13984" xr:uid="{048BC941-8A39-4C52-A547-7C75ABA98FA4}"/>
    <cellStyle name="Normal 4 2 2 3 3 4 4" xfId="26630" xr:uid="{9C80A80A-459F-4412-97AE-E502446C6715}"/>
    <cellStyle name="Normal 4 2 2 3 3 4 5" xfId="18201" xr:uid="{97D68785-86A3-4862-AA2B-E5E8E32B9FB9}"/>
    <cellStyle name="Normal 4 2 2 3 3 4 6" xfId="35059" xr:uid="{E8EE27BB-27EB-4DC1-9EA6-69EF3B3740B8}"/>
    <cellStyle name="Normal 4 2 2 3 3 4 7" xfId="9766" xr:uid="{28D247FD-0C5D-46D5-99D6-CD48BE01292C}"/>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33406" xr:uid="{C0EA70D0-78FA-484F-AD40-B1F3AF5BA2CE}"/>
    <cellStyle name="Normal 4 2 2 3 3 5 2 2 3" xfId="24977" xr:uid="{CE3215E1-AEC1-4895-8874-489BD227FB66}"/>
    <cellStyle name="Normal 4 2 2 3 3 5 2 2 4" xfId="41834" xr:uid="{A09AF2D8-7B52-4C63-8D85-FD8B763AC396}"/>
    <cellStyle name="Normal 4 2 2 3 3 5 2 2 5" xfId="16542" xr:uid="{6FC0F280-80DB-4E20-90FA-A3D7C371EC3E}"/>
    <cellStyle name="Normal 4 2 2 3 3 5 2 3" xfId="29188" xr:uid="{E0D1A24D-2D6C-4A51-9D5B-475CE6E974CD}"/>
    <cellStyle name="Normal 4 2 2 3 3 5 2 4" xfId="20759" xr:uid="{A53B4DB2-44FC-44BD-8B75-730EB29F0599}"/>
    <cellStyle name="Normal 4 2 2 3 3 5 2 5" xfId="37617" xr:uid="{9EFE7C1E-DF76-421F-9310-40BAF8C8EA81}"/>
    <cellStyle name="Normal 4 2 2 3 3 5 2 6" xfId="12324" xr:uid="{69C1D664-0CF2-4A53-B197-EB61D4B299B8}"/>
    <cellStyle name="Normal 4 2 2 3 3 5 3" xfId="5962" xr:uid="{00000000-0005-0000-0000-000064120000}"/>
    <cellStyle name="Normal 4 2 2 3 3 5 3 2" xfId="31261" xr:uid="{F9E490DA-9AC7-4B69-9D32-7BBF4FCB7953}"/>
    <cellStyle name="Normal 4 2 2 3 3 5 3 3" xfId="22832" xr:uid="{FFF477EC-88C3-45CA-984E-E45E94E4E769}"/>
    <cellStyle name="Normal 4 2 2 3 3 5 3 4" xfId="39689" xr:uid="{B94AA390-B8B4-4C71-998B-C184FFB44AA3}"/>
    <cellStyle name="Normal 4 2 2 3 3 5 3 5" xfId="14397" xr:uid="{FA86F537-B794-43DA-A37F-8C244DF1ACBF}"/>
    <cellStyle name="Normal 4 2 2 3 3 5 4" xfId="27043" xr:uid="{BEE0AF81-3B40-4495-BDD6-02587BF9021A}"/>
    <cellStyle name="Normal 4 2 2 3 3 5 5" xfId="18614" xr:uid="{AE8C710E-23CB-4E14-9398-EC9CDAD5659B}"/>
    <cellStyle name="Normal 4 2 2 3 3 5 6" xfId="35472" xr:uid="{F529F4B5-D373-4052-804E-4C1BE525443B}"/>
    <cellStyle name="Normal 4 2 2 3 3 5 7" xfId="10179" xr:uid="{3B3272F4-6D69-4A52-8648-D0A26F38F1E7}"/>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33819" xr:uid="{B602139A-0DF2-4DD3-8E7E-7D717393C231}"/>
    <cellStyle name="Normal 4 2 2 3 3 6 2 2 3" xfId="25390" xr:uid="{9BE3834F-A129-4BEE-984F-E423E7FC87C6}"/>
    <cellStyle name="Normal 4 2 2 3 3 6 2 2 4" xfId="42247" xr:uid="{1402288C-8733-4631-AF84-F9377AED2523}"/>
    <cellStyle name="Normal 4 2 2 3 3 6 2 2 5" xfId="16955" xr:uid="{72C587D1-52E3-4FE4-855B-9F3C412CD1B4}"/>
    <cellStyle name="Normal 4 2 2 3 3 6 2 3" xfId="29601" xr:uid="{64BD34C1-6779-4528-8884-FFD9349C50BA}"/>
    <cellStyle name="Normal 4 2 2 3 3 6 2 4" xfId="21172" xr:uid="{D8C5A51C-3A16-4AC6-A923-74A5918BB46F}"/>
    <cellStyle name="Normal 4 2 2 3 3 6 2 5" xfId="38030" xr:uid="{AD4DCB0F-6B18-49C8-B519-52FC42C26104}"/>
    <cellStyle name="Normal 4 2 2 3 3 6 2 6" xfId="12737" xr:uid="{0332B734-41C5-4676-AB49-836C02F09AF5}"/>
    <cellStyle name="Normal 4 2 2 3 3 6 3" xfId="6375" xr:uid="{00000000-0005-0000-0000-000068120000}"/>
    <cellStyle name="Normal 4 2 2 3 3 6 3 2" xfId="31674" xr:uid="{69DD85BB-CC07-4DE7-B766-98707B2F1185}"/>
    <cellStyle name="Normal 4 2 2 3 3 6 3 3" xfId="23245" xr:uid="{9D053637-A929-4C9F-A8AD-988985DA49D4}"/>
    <cellStyle name="Normal 4 2 2 3 3 6 3 4" xfId="40102" xr:uid="{BF5DAFD8-2670-4A55-A139-EB65EB1C79F2}"/>
    <cellStyle name="Normal 4 2 2 3 3 6 3 5" xfId="14810" xr:uid="{1B8C8EAE-A226-4A34-A089-C999EF33C769}"/>
    <cellStyle name="Normal 4 2 2 3 3 6 4" xfId="27456" xr:uid="{C5046FD2-44A9-433F-99A1-62D1751E5049}"/>
    <cellStyle name="Normal 4 2 2 3 3 6 5" xfId="19027" xr:uid="{CE350301-C820-43C1-B7DF-EB73B4DEC9EA}"/>
    <cellStyle name="Normal 4 2 2 3 3 6 6" xfId="35885" xr:uid="{E5290E1D-D8EC-49D0-BEBC-400D3F5CED9D}"/>
    <cellStyle name="Normal 4 2 2 3 3 6 7" xfId="10592" xr:uid="{13B190B7-0F87-45E1-8C19-42E7DA542D7D}"/>
    <cellStyle name="Normal 4 2 2 3 3 7" xfId="2504" xr:uid="{00000000-0005-0000-0000-000069120000}"/>
    <cellStyle name="Normal 4 2 2 3 3 7 2" xfId="6788" xr:uid="{00000000-0005-0000-0000-00006A120000}"/>
    <cellStyle name="Normal 4 2 2 3 3 7 2 2" xfId="32087" xr:uid="{A0D0B9DE-37A1-4BEA-A9C2-555A1EADEAE3}"/>
    <cellStyle name="Normal 4 2 2 3 3 7 2 3" xfId="23658" xr:uid="{3CC00DAA-0079-4143-9947-719AF8C9218A}"/>
    <cellStyle name="Normal 4 2 2 3 3 7 2 4" xfId="40515" xr:uid="{E174F1B8-0344-495E-9051-00CD29DEB1B9}"/>
    <cellStyle name="Normal 4 2 2 3 3 7 2 5" xfId="15223" xr:uid="{0341542E-B5EA-417B-B9D7-2FBE81891137}"/>
    <cellStyle name="Normal 4 2 2 3 3 7 3" xfId="27869" xr:uid="{FC375B2B-CBDB-42E8-BDE4-07C1A8CF48EB}"/>
    <cellStyle name="Normal 4 2 2 3 3 7 4" xfId="19440" xr:uid="{2BE5BEBA-233A-499C-A59C-DB831318DE21}"/>
    <cellStyle name="Normal 4 2 2 3 3 7 5" xfId="36298" xr:uid="{FF60B2C4-C414-4752-AE20-A460DB0AC54F}"/>
    <cellStyle name="Normal 4 2 2 3 3 7 6" xfId="11005" xr:uid="{E10A7C06-72D3-4D4E-902A-6E1BB72B2279}"/>
    <cellStyle name="Normal 4 2 2 3 3 8" xfId="4723" xr:uid="{00000000-0005-0000-0000-00006B120000}"/>
    <cellStyle name="Normal 4 2 2 3 3 8 2" xfId="30022" xr:uid="{0C972E7C-1D9C-4219-8637-A810593BB20A}"/>
    <cellStyle name="Normal 4 2 2 3 3 8 3" xfId="21593" xr:uid="{120E6BBC-2E7A-4C30-AD6B-4A7CE803F882}"/>
    <cellStyle name="Normal 4 2 2 3 3 8 4" xfId="38450" xr:uid="{F8F6D59B-8031-474D-87D6-0DF1C3E9056C}"/>
    <cellStyle name="Normal 4 2 2 3 3 8 5" xfId="13158" xr:uid="{167B96BC-C54C-4527-B578-1668CC560055}"/>
    <cellStyle name="Normal 4 2 2 3 3 9" xfId="25804" xr:uid="{FD6B1C53-D657-4966-8FEB-62BD63419BA7}"/>
    <cellStyle name="Normal 4 2 2 3 4" xfId="346" xr:uid="{00000000-0005-0000-0000-00006C120000}"/>
    <cellStyle name="Normal 4 2 2 3 4 10" xfId="34235" xr:uid="{AF23D456-8AAC-4704-8727-0B97A9CABD48}"/>
    <cellStyle name="Normal 4 2 2 3 4 11" xfId="8942" xr:uid="{F5FE4DBE-AA77-4C31-8050-F133440A36FB}"/>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32582" xr:uid="{5DF80B67-7597-4D9B-BD25-515637AF2C03}"/>
    <cellStyle name="Normal 4 2 2 3 4 2 2 2 3" xfId="24153" xr:uid="{ECF2D603-798F-42D9-ACBC-CB81F5EB6B0C}"/>
    <cellStyle name="Normal 4 2 2 3 4 2 2 2 4" xfId="41010" xr:uid="{0CF58546-AE97-4E95-B472-93C207EC8C77}"/>
    <cellStyle name="Normal 4 2 2 3 4 2 2 2 5" xfId="15718" xr:uid="{24D3A2D5-0211-45BB-B52E-6C80550FC59A}"/>
    <cellStyle name="Normal 4 2 2 3 4 2 2 3" xfId="28364" xr:uid="{6542CD24-A388-4A4C-969A-2A44A3120CC4}"/>
    <cellStyle name="Normal 4 2 2 3 4 2 2 4" xfId="19935" xr:uid="{01616438-9400-4A22-B133-2FE16AAA4620}"/>
    <cellStyle name="Normal 4 2 2 3 4 2 2 5" xfId="36793" xr:uid="{EB07073D-3676-483F-B391-0E85D0A1BBD4}"/>
    <cellStyle name="Normal 4 2 2 3 4 2 2 6" xfId="11500" xr:uid="{2176EAD1-CA23-42BF-A971-9FBCEB1FBCF6}"/>
    <cellStyle name="Normal 4 2 2 3 4 2 3" xfId="5138" xr:uid="{00000000-0005-0000-0000-000070120000}"/>
    <cellStyle name="Normal 4 2 2 3 4 2 3 2" xfId="30437" xr:uid="{FD6C4AE3-D1F8-437B-96EB-28001ADF4EAC}"/>
    <cellStyle name="Normal 4 2 2 3 4 2 3 3" xfId="22008" xr:uid="{CABAC2DA-62EE-4DB8-B3D6-FCA3498F511D}"/>
    <cellStyle name="Normal 4 2 2 3 4 2 3 4" xfId="38865" xr:uid="{178725EE-53F1-4248-9633-59FB94679781}"/>
    <cellStyle name="Normal 4 2 2 3 4 2 3 5" xfId="13573" xr:uid="{12F83FEF-8D70-492E-B464-12DB8942F919}"/>
    <cellStyle name="Normal 4 2 2 3 4 2 4" xfId="26219" xr:uid="{4E09220F-65D0-4242-B1D1-12E9018CDCC6}"/>
    <cellStyle name="Normal 4 2 2 3 4 2 5" xfId="17790" xr:uid="{B9F903BD-70C7-46A8-81F5-EDABF5E16E8C}"/>
    <cellStyle name="Normal 4 2 2 3 4 2 6" xfId="34648" xr:uid="{04C9A102-13BF-4DFC-9FF2-4F799815FD70}"/>
    <cellStyle name="Normal 4 2 2 3 4 2 7" xfId="9355" xr:uid="{6CA7EB16-E816-49E8-B3FC-41047CFFB077}"/>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32995" xr:uid="{5672BE6A-9CF9-42B5-AFE5-5605E5DCCBAB}"/>
    <cellStyle name="Normal 4 2 2 3 4 3 2 2 3" xfId="24566" xr:uid="{E013A9B1-7590-45E4-94D7-18AF4AAF24CA}"/>
    <cellStyle name="Normal 4 2 2 3 4 3 2 2 4" xfId="41423" xr:uid="{8B4878C1-E3F1-414C-98F8-346314AC56D7}"/>
    <cellStyle name="Normal 4 2 2 3 4 3 2 2 5" xfId="16131" xr:uid="{866217F6-C185-4891-9767-E5D038268EA3}"/>
    <cellStyle name="Normal 4 2 2 3 4 3 2 3" xfId="28777" xr:uid="{1CE2DDB4-53BA-4F73-B3EE-4EA0115AC3A1}"/>
    <cellStyle name="Normal 4 2 2 3 4 3 2 4" xfId="20348" xr:uid="{FCF35904-98DA-4607-939B-FB7E835345AA}"/>
    <cellStyle name="Normal 4 2 2 3 4 3 2 5" xfId="37206" xr:uid="{1C111604-BB78-4AC7-9791-8A727FB141CF}"/>
    <cellStyle name="Normal 4 2 2 3 4 3 2 6" xfId="11913" xr:uid="{43383EB3-EC0A-4E84-B25B-0EACC94424A1}"/>
    <cellStyle name="Normal 4 2 2 3 4 3 3" xfId="5551" xr:uid="{00000000-0005-0000-0000-000074120000}"/>
    <cellStyle name="Normal 4 2 2 3 4 3 3 2" xfId="30850" xr:uid="{D794D30A-14CF-49B4-8610-A833CA08B657}"/>
    <cellStyle name="Normal 4 2 2 3 4 3 3 3" xfId="22421" xr:uid="{C62B59E3-A72C-4212-8BD3-7AAD99397719}"/>
    <cellStyle name="Normal 4 2 2 3 4 3 3 4" xfId="39278" xr:uid="{504A994B-319F-42B3-860C-46ADBE8602A4}"/>
    <cellStyle name="Normal 4 2 2 3 4 3 3 5" xfId="13986" xr:uid="{D3B82674-2B54-48D4-B337-100C0B8E76FF}"/>
    <cellStyle name="Normal 4 2 2 3 4 3 4" xfId="26632" xr:uid="{D223B921-E9C0-4964-B220-1ACC12189739}"/>
    <cellStyle name="Normal 4 2 2 3 4 3 5" xfId="18203" xr:uid="{BD2D68B4-BA5D-4189-B9D2-EA5C072EBF29}"/>
    <cellStyle name="Normal 4 2 2 3 4 3 6" xfId="35061" xr:uid="{A69EC283-2A3C-4A59-9176-AAD22EA97585}"/>
    <cellStyle name="Normal 4 2 2 3 4 3 7" xfId="9768" xr:uid="{34A6AA5C-0914-4CD8-BFE5-7DB4E68457E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33408" xr:uid="{5D97EF86-DC11-4ACC-B72A-37BD2D8CC169}"/>
    <cellStyle name="Normal 4 2 2 3 4 4 2 2 3" xfId="24979" xr:uid="{58D15E87-56BC-4D9E-96BA-3A31F794BF56}"/>
    <cellStyle name="Normal 4 2 2 3 4 4 2 2 4" xfId="41836" xr:uid="{131E71C6-C0E6-475C-8267-40B7641D278D}"/>
    <cellStyle name="Normal 4 2 2 3 4 4 2 2 5" xfId="16544" xr:uid="{CA16EE62-7C5A-499B-AA28-A19FB5C6D076}"/>
    <cellStyle name="Normal 4 2 2 3 4 4 2 3" xfId="29190" xr:uid="{B73231E9-0C05-45A8-AE96-0290DE36D9A2}"/>
    <cellStyle name="Normal 4 2 2 3 4 4 2 4" xfId="20761" xr:uid="{A11820AB-C31C-4DFF-A61E-83854E942E55}"/>
    <cellStyle name="Normal 4 2 2 3 4 4 2 5" xfId="37619" xr:uid="{A1631910-7A5B-4E5F-889D-CCBA4AB36762}"/>
    <cellStyle name="Normal 4 2 2 3 4 4 2 6" xfId="12326" xr:uid="{BFBE097F-CB43-482E-BBAF-C826EE5E1AAB}"/>
    <cellStyle name="Normal 4 2 2 3 4 4 3" xfId="5964" xr:uid="{00000000-0005-0000-0000-000078120000}"/>
    <cellStyle name="Normal 4 2 2 3 4 4 3 2" xfId="31263" xr:uid="{2ADD4A1F-E2EF-490C-8A1D-A2E5F4F4F1EA}"/>
    <cellStyle name="Normal 4 2 2 3 4 4 3 3" xfId="22834" xr:uid="{4F6CE99B-56EE-4A7A-93AF-CC1AC6B5B009}"/>
    <cellStyle name="Normal 4 2 2 3 4 4 3 4" xfId="39691" xr:uid="{2DC758AD-B84F-41F7-A9E7-51C4C10186C4}"/>
    <cellStyle name="Normal 4 2 2 3 4 4 3 5" xfId="14399" xr:uid="{C42BE816-4166-4C44-9B11-372DF1D9708F}"/>
    <cellStyle name="Normal 4 2 2 3 4 4 4" xfId="27045" xr:uid="{47C59191-3A4C-48C1-BF3D-84F9E1A8BC59}"/>
    <cellStyle name="Normal 4 2 2 3 4 4 5" xfId="18616" xr:uid="{C6FE33BB-E617-428C-9DC8-ECD50FD37F18}"/>
    <cellStyle name="Normal 4 2 2 3 4 4 6" xfId="35474" xr:uid="{25911906-C935-41EB-B3B5-02208A9275C0}"/>
    <cellStyle name="Normal 4 2 2 3 4 4 7" xfId="10181" xr:uid="{C3DEDCA5-7713-4249-93C6-26DB2DEBEFE2}"/>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33821" xr:uid="{8EB6B8B4-89AC-4DE9-BB92-288468D998B4}"/>
    <cellStyle name="Normal 4 2 2 3 4 5 2 2 3" xfId="25392" xr:uid="{C145DAF8-ED5C-41CC-81B4-8C3CF6394014}"/>
    <cellStyle name="Normal 4 2 2 3 4 5 2 2 4" xfId="42249" xr:uid="{88815C6C-1FB1-497B-B041-E4F2629D6F4D}"/>
    <cellStyle name="Normal 4 2 2 3 4 5 2 2 5" xfId="16957" xr:uid="{D590EC3E-7610-4EDF-AEE8-5484E05C7F61}"/>
    <cellStyle name="Normal 4 2 2 3 4 5 2 3" xfId="29603" xr:uid="{81012A2A-2BC2-41F6-97DE-548572E13557}"/>
    <cellStyle name="Normal 4 2 2 3 4 5 2 4" xfId="21174" xr:uid="{05458C4D-DDDD-4B37-A2BA-547770881C37}"/>
    <cellStyle name="Normal 4 2 2 3 4 5 2 5" xfId="38032" xr:uid="{3F5BBF14-1C1B-4BB4-AE13-11C517917BA3}"/>
    <cellStyle name="Normal 4 2 2 3 4 5 2 6" xfId="12739" xr:uid="{4C9C03FC-A9D1-48A6-B6EF-4ED323937AE1}"/>
    <cellStyle name="Normal 4 2 2 3 4 5 3" xfId="6377" xr:uid="{00000000-0005-0000-0000-00007C120000}"/>
    <cellStyle name="Normal 4 2 2 3 4 5 3 2" xfId="31676" xr:uid="{74D5EC24-6C58-47FA-AE73-EE9D632FEDDD}"/>
    <cellStyle name="Normal 4 2 2 3 4 5 3 3" xfId="23247" xr:uid="{96A9737A-4322-4C23-B65A-C45B59A521F9}"/>
    <cellStyle name="Normal 4 2 2 3 4 5 3 4" xfId="40104" xr:uid="{383DA6D8-5E65-468B-AE30-D9D2381DBB19}"/>
    <cellStyle name="Normal 4 2 2 3 4 5 3 5" xfId="14812" xr:uid="{509DAEDF-CF5B-44AC-8389-57D78F35BDF4}"/>
    <cellStyle name="Normal 4 2 2 3 4 5 4" xfId="27458" xr:uid="{F2CD67F7-3559-4C3C-A0FC-7C8B2CEB6C8A}"/>
    <cellStyle name="Normal 4 2 2 3 4 5 5" xfId="19029" xr:uid="{3180A8AF-7125-45AB-BF8F-4E8AE1D192E0}"/>
    <cellStyle name="Normal 4 2 2 3 4 5 6" xfId="35887" xr:uid="{D66C38FA-DB16-464F-9EBE-C56C3F69C1A8}"/>
    <cellStyle name="Normal 4 2 2 3 4 5 7" xfId="10594" xr:uid="{B285DA6F-D452-4F30-A368-58D7913B8AF6}"/>
    <cellStyle name="Normal 4 2 2 3 4 6" xfId="2506" xr:uid="{00000000-0005-0000-0000-00007D120000}"/>
    <cellStyle name="Normal 4 2 2 3 4 6 2" xfId="6790" xr:uid="{00000000-0005-0000-0000-00007E120000}"/>
    <cellStyle name="Normal 4 2 2 3 4 6 2 2" xfId="32089" xr:uid="{090CA9C7-249B-4668-978A-A3DD09F7C7E6}"/>
    <cellStyle name="Normal 4 2 2 3 4 6 2 3" xfId="23660" xr:uid="{EA5A9765-0710-484B-965F-20E5DA1A3148}"/>
    <cellStyle name="Normal 4 2 2 3 4 6 2 4" xfId="40517" xr:uid="{5C17D5D3-488A-40B4-8AC6-45F40219BD4C}"/>
    <cellStyle name="Normal 4 2 2 3 4 6 2 5" xfId="15225" xr:uid="{5370E8D9-CFEC-4A6B-BA91-DADEE5585E9E}"/>
    <cellStyle name="Normal 4 2 2 3 4 6 3" xfId="27871" xr:uid="{D5055C0D-D95E-4AEE-BED6-24068189E8FF}"/>
    <cellStyle name="Normal 4 2 2 3 4 6 4" xfId="19442" xr:uid="{E9DCD40D-FEB9-49C5-8F36-53D8C5EA3189}"/>
    <cellStyle name="Normal 4 2 2 3 4 6 5" xfId="36300" xr:uid="{40439AC9-7EF2-4F0D-B022-582947EDFA6C}"/>
    <cellStyle name="Normal 4 2 2 3 4 6 6" xfId="11007" xr:uid="{1278A8F2-F981-4D66-BDD8-CF871B6FCAE5}"/>
    <cellStyle name="Normal 4 2 2 3 4 7" xfId="4725" xr:uid="{00000000-0005-0000-0000-00007F120000}"/>
    <cellStyle name="Normal 4 2 2 3 4 7 2" xfId="30024" xr:uid="{E933BE15-5067-4EF2-8A2D-E34D3E1E2E31}"/>
    <cellStyle name="Normal 4 2 2 3 4 7 3" xfId="21595" xr:uid="{0F7713C0-98D4-4E03-A19A-07943E2CAD35}"/>
    <cellStyle name="Normal 4 2 2 3 4 7 4" xfId="38452" xr:uid="{C1CE2388-041E-4B4E-8278-B2E2C8A41D50}"/>
    <cellStyle name="Normal 4 2 2 3 4 7 5" xfId="13160" xr:uid="{A9112255-5A5C-4088-9A88-8AAB335E18D6}"/>
    <cellStyle name="Normal 4 2 2 3 4 8" xfId="25806" xr:uid="{A4EBA7A2-7525-42AE-A491-CD6FDB2516A1}"/>
    <cellStyle name="Normal 4 2 2 3 4 9" xfId="17377" xr:uid="{8138B99C-315C-45F4-BA72-ACC523746411}"/>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32575" xr:uid="{7B9D60F4-FC5E-44BB-9BA7-982BF9816397}"/>
    <cellStyle name="Normal 4 2 2 3 5 2 2 3" xfId="24146" xr:uid="{3FC81A2F-8F31-4D06-87CC-9F96E4E50B87}"/>
    <cellStyle name="Normal 4 2 2 3 5 2 2 4" xfId="41003" xr:uid="{44FA189C-82CB-4755-B5DB-D01EBD23429F}"/>
    <cellStyle name="Normal 4 2 2 3 5 2 2 5" xfId="15711" xr:uid="{8EC701AF-F677-49C0-ABA2-F370DC0AE612}"/>
    <cellStyle name="Normal 4 2 2 3 5 2 3" xfId="28357" xr:uid="{726692AD-3AAE-42A6-A57F-32B8D3A05A77}"/>
    <cellStyle name="Normal 4 2 2 3 5 2 4" xfId="19928" xr:uid="{77514C09-346C-4A45-B38E-71C59703BD56}"/>
    <cellStyle name="Normal 4 2 2 3 5 2 5" xfId="36786" xr:uid="{99B50DE0-B1DC-4CFF-A754-9BB32CA64B9E}"/>
    <cellStyle name="Normal 4 2 2 3 5 2 6" xfId="11493" xr:uid="{71098B3D-F128-4CA6-911C-3B614A5323BC}"/>
    <cellStyle name="Normal 4 2 2 3 5 3" xfId="5131" xr:uid="{00000000-0005-0000-0000-000083120000}"/>
    <cellStyle name="Normal 4 2 2 3 5 3 2" xfId="30430" xr:uid="{5BD6B89F-706F-48CF-B81B-9B6206B678ED}"/>
    <cellStyle name="Normal 4 2 2 3 5 3 3" xfId="22001" xr:uid="{00AC6D79-5509-4E9A-986B-47E52E0F1982}"/>
    <cellStyle name="Normal 4 2 2 3 5 3 4" xfId="38858" xr:uid="{7748278B-ED24-4ECB-8402-8CB33EAC9A75}"/>
    <cellStyle name="Normal 4 2 2 3 5 3 5" xfId="13566" xr:uid="{9745E372-E98B-4AC6-A16A-7D86CD4FD333}"/>
    <cellStyle name="Normal 4 2 2 3 5 4" xfId="26212" xr:uid="{ECFBCB1F-56EE-485C-9B18-967A9FC7000E}"/>
    <cellStyle name="Normal 4 2 2 3 5 5" xfId="17783" xr:uid="{58D40D70-46DE-4136-9DE2-49ED8F6CF5FE}"/>
    <cellStyle name="Normal 4 2 2 3 5 6" xfId="34641" xr:uid="{BEB20631-7EB7-42D0-A2A6-413D07DE3A15}"/>
    <cellStyle name="Normal 4 2 2 3 5 7" xfId="9348" xr:uid="{5D361B4F-F42D-4E3D-8B2C-BD1DCE132D30}"/>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32988" xr:uid="{41665D1A-A17E-4370-8D3D-64A2F268E02B}"/>
    <cellStyle name="Normal 4 2 2 3 6 2 2 3" xfId="24559" xr:uid="{26FF26B9-FA00-4C2C-9FE9-E440B7F2516D}"/>
    <cellStyle name="Normal 4 2 2 3 6 2 2 4" xfId="41416" xr:uid="{30E7C184-5FAB-4364-B35B-9EF1AD7CE01A}"/>
    <cellStyle name="Normal 4 2 2 3 6 2 2 5" xfId="16124" xr:uid="{E6158E94-DFEA-4E90-B84C-29677844B0C3}"/>
    <cellStyle name="Normal 4 2 2 3 6 2 3" xfId="28770" xr:uid="{1268DC38-DCD1-4BF9-AEAB-9114BF78768E}"/>
    <cellStyle name="Normal 4 2 2 3 6 2 4" xfId="20341" xr:uid="{7637F596-A08F-4CFE-AD39-2F9F466D170E}"/>
    <cellStyle name="Normal 4 2 2 3 6 2 5" xfId="37199" xr:uid="{2C78C15B-D197-4B12-89E3-BEA106ED7F7D}"/>
    <cellStyle name="Normal 4 2 2 3 6 2 6" xfId="11906" xr:uid="{7E37EB98-7D9D-4653-8463-ECFC59CBC219}"/>
    <cellStyle name="Normal 4 2 2 3 6 3" xfId="5544" xr:uid="{00000000-0005-0000-0000-000087120000}"/>
    <cellStyle name="Normal 4 2 2 3 6 3 2" xfId="30843" xr:uid="{696B424A-403E-4827-B75F-09AFD9FC5549}"/>
    <cellStyle name="Normal 4 2 2 3 6 3 3" xfId="22414" xr:uid="{81160116-976A-4042-B366-8356AA73D3DE}"/>
    <cellStyle name="Normal 4 2 2 3 6 3 4" xfId="39271" xr:uid="{F7801100-72AA-46A9-995A-F24BF1EBDFDF}"/>
    <cellStyle name="Normal 4 2 2 3 6 3 5" xfId="13979" xr:uid="{E10D8779-D3CA-4DF3-8624-ED3DFEC146B0}"/>
    <cellStyle name="Normal 4 2 2 3 6 4" xfId="26625" xr:uid="{3055210E-8584-4373-BFB4-C164848E7C9E}"/>
    <cellStyle name="Normal 4 2 2 3 6 5" xfId="18196" xr:uid="{D6B8B8CE-F134-4780-8130-CBD79E559DB3}"/>
    <cellStyle name="Normal 4 2 2 3 6 6" xfId="35054" xr:uid="{9FB56F1D-0332-4EAC-9B72-136BC7F091EF}"/>
    <cellStyle name="Normal 4 2 2 3 6 7" xfId="9761" xr:uid="{7490865D-5A31-4D97-BAE4-900118955435}"/>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33401" xr:uid="{BCB9B289-3D89-4E50-819B-CAFC4CD773B6}"/>
    <cellStyle name="Normal 4 2 2 3 7 2 2 3" xfId="24972" xr:uid="{84995D03-0B0E-4795-884D-EB7E8D6F025A}"/>
    <cellStyle name="Normal 4 2 2 3 7 2 2 4" xfId="41829" xr:uid="{C2EB72B9-7177-45F1-A7FC-D04BD31E7B05}"/>
    <cellStyle name="Normal 4 2 2 3 7 2 2 5" xfId="16537" xr:uid="{8FE3AC99-013E-414D-988C-99121C02438F}"/>
    <cellStyle name="Normal 4 2 2 3 7 2 3" xfId="29183" xr:uid="{119E2361-06D4-412E-8CE7-139E7E420CAB}"/>
    <cellStyle name="Normal 4 2 2 3 7 2 4" xfId="20754" xr:uid="{37F52DA7-E4B5-43EC-BEAC-8D41151FB1A5}"/>
    <cellStyle name="Normal 4 2 2 3 7 2 5" xfId="37612" xr:uid="{BED0506F-4482-4E40-83CA-66A69D115942}"/>
    <cellStyle name="Normal 4 2 2 3 7 2 6" xfId="12319" xr:uid="{B9242F7C-E80A-4D76-9029-D90FB9C89614}"/>
    <cellStyle name="Normal 4 2 2 3 7 3" xfId="5957" xr:uid="{00000000-0005-0000-0000-00008B120000}"/>
    <cellStyle name="Normal 4 2 2 3 7 3 2" xfId="31256" xr:uid="{095ADBE1-BA2F-46C7-8F5B-9CEDC80AD63D}"/>
    <cellStyle name="Normal 4 2 2 3 7 3 3" xfId="22827" xr:uid="{9FAEC5D9-809E-4DE7-8269-0AAB854E6C9B}"/>
    <cellStyle name="Normal 4 2 2 3 7 3 4" xfId="39684" xr:uid="{57DE2E2F-2EC0-41E2-B442-F6DFD7EC81E1}"/>
    <cellStyle name="Normal 4 2 2 3 7 3 5" xfId="14392" xr:uid="{7F95FD87-F5E8-4451-9DBD-73C4472768F3}"/>
    <cellStyle name="Normal 4 2 2 3 7 4" xfId="27038" xr:uid="{4F887B82-50B6-430A-9DC4-48BBD011FB3E}"/>
    <cellStyle name="Normal 4 2 2 3 7 5" xfId="18609" xr:uid="{436307D9-B41F-49B8-80C5-47987B097B21}"/>
    <cellStyle name="Normal 4 2 2 3 7 6" xfId="35467" xr:uid="{61F1739B-3456-4287-AE25-582AB90FE91E}"/>
    <cellStyle name="Normal 4 2 2 3 7 7" xfId="10174" xr:uid="{06416A63-7402-4E14-86D6-F92029F22C5A}"/>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33814" xr:uid="{C606364E-E737-43FD-89C3-D20CCAFC9EE4}"/>
    <cellStyle name="Normal 4 2 2 3 8 2 2 3" xfId="25385" xr:uid="{3715D01E-80DB-4963-B8AD-58CFFE5772D0}"/>
    <cellStyle name="Normal 4 2 2 3 8 2 2 4" xfId="42242" xr:uid="{AB5AE541-1123-4799-97C2-AA96C64474C3}"/>
    <cellStyle name="Normal 4 2 2 3 8 2 2 5" xfId="16950" xr:uid="{EB1BFAF0-AF3A-46CC-A6E5-8C4D497B12F1}"/>
    <cellStyle name="Normal 4 2 2 3 8 2 3" xfId="29596" xr:uid="{30F38AC6-358D-4356-AE78-E72FAD44025A}"/>
    <cellStyle name="Normal 4 2 2 3 8 2 4" xfId="21167" xr:uid="{DBA65802-FD7D-47AC-A2F7-1B6A98D8FFC1}"/>
    <cellStyle name="Normal 4 2 2 3 8 2 5" xfId="38025" xr:uid="{38457B60-14CF-4376-BC40-007473E7EF4A}"/>
    <cellStyle name="Normal 4 2 2 3 8 2 6" xfId="12732" xr:uid="{AACFC7C3-E2ED-4F38-9EA3-67D5337F8E4B}"/>
    <cellStyle name="Normal 4 2 2 3 8 3" xfId="6370" xr:uid="{00000000-0005-0000-0000-00008F120000}"/>
    <cellStyle name="Normal 4 2 2 3 8 3 2" xfId="31669" xr:uid="{FF055F95-6572-4D12-86BB-1F72628BD22B}"/>
    <cellStyle name="Normal 4 2 2 3 8 3 3" xfId="23240" xr:uid="{3FACF25A-CC36-4A7D-8647-D2C941A8A65E}"/>
    <cellStyle name="Normal 4 2 2 3 8 3 4" xfId="40097" xr:uid="{44C0DEA4-E244-4424-BB06-CE5F66384EB8}"/>
    <cellStyle name="Normal 4 2 2 3 8 3 5" xfId="14805" xr:uid="{D8C6CC9A-C5DD-4E46-ABAC-DFE09C739BB6}"/>
    <cellStyle name="Normal 4 2 2 3 8 4" xfId="27451" xr:uid="{9B2F0A64-5D34-4109-8C1A-11F3F1D398CD}"/>
    <cellStyle name="Normal 4 2 2 3 8 5" xfId="19022" xr:uid="{03B8FE2C-E6D1-41D7-BA3F-2195EBB00D9A}"/>
    <cellStyle name="Normal 4 2 2 3 8 6" xfId="35880" xr:uid="{672B669D-C79D-4A83-A97C-3323F15DEC8A}"/>
    <cellStyle name="Normal 4 2 2 3 8 7" xfId="10587" xr:uid="{D8A6C215-68BD-451E-BDC7-79764B0E8D45}"/>
    <cellStyle name="Normal 4 2 2 3 9" xfId="2499" xr:uid="{00000000-0005-0000-0000-000090120000}"/>
    <cellStyle name="Normal 4 2 2 3 9 2" xfId="6783" xr:uid="{00000000-0005-0000-0000-000091120000}"/>
    <cellStyle name="Normal 4 2 2 3 9 2 2" xfId="32082" xr:uid="{BB34E1AB-9FBA-4459-9C70-DF06A027F647}"/>
    <cellStyle name="Normal 4 2 2 3 9 2 3" xfId="23653" xr:uid="{8918BE53-C12A-40A6-A420-3C0822D741EA}"/>
    <cellStyle name="Normal 4 2 2 3 9 2 4" xfId="40510" xr:uid="{4D3426BE-2EA3-479E-AA6C-246EB1B2AFD6}"/>
    <cellStyle name="Normal 4 2 2 3 9 2 5" xfId="15218" xr:uid="{CFAD2A7A-B73F-4C34-8829-49882F268C5E}"/>
    <cellStyle name="Normal 4 2 2 3 9 3" xfId="27864" xr:uid="{BF45CC08-64A2-45A5-A428-123E3D9B69A4}"/>
    <cellStyle name="Normal 4 2 2 3 9 4" xfId="19435" xr:uid="{16D4CDAB-25DE-49CD-A631-825EDE9D3918}"/>
    <cellStyle name="Normal 4 2 2 3 9 5" xfId="36293" xr:uid="{4444D4C8-BEE7-445D-8424-55518115AC3D}"/>
    <cellStyle name="Normal 4 2 2 3 9 6" xfId="11000" xr:uid="{FFF5B04F-A3A2-4562-8E52-C70B631D5E7E}"/>
    <cellStyle name="Normal 4 2 2 4" xfId="347" xr:uid="{00000000-0005-0000-0000-000092120000}"/>
    <cellStyle name="Normal 4 2 2 4 10" xfId="25807" xr:uid="{8191875C-844E-45E2-B425-003136D53823}"/>
    <cellStyle name="Normal 4 2 2 4 11" xfId="17378" xr:uid="{1FF6E899-793A-4283-AD62-E0E1B7841A14}"/>
    <cellStyle name="Normal 4 2 2 4 12" xfId="34236" xr:uid="{3A43F591-64DE-40D2-91C8-BCD84AD98B1E}"/>
    <cellStyle name="Normal 4 2 2 4 13" xfId="8943" xr:uid="{341470FE-B10D-4EEB-9EEE-049BB6E6754D}"/>
    <cellStyle name="Normal 4 2 2 4 2" xfId="348" xr:uid="{00000000-0005-0000-0000-000093120000}"/>
    <cellStyle name="Normal 4 2 2 4 2 10" xfId="17379" xr:uid="{7B686524-8832-4CE6-B2EA-0B0ABC97AB60}"/>
    <cellStyle name="Normal 4 2 2 4 2 11" xfId="34237" xr:uid="{11026FA9-2082-48A5-9086-DC9B649D5ED0}"/>
    <cellStyle name="Normal 4 2 2 4 2 12" xfId="8944" xr:uid="{EAB0320A-F641-444C-A788-C46B1EF344AF}"/>
    <cellStyle name="Normal 4 2 2 4 2 2" xfId="349" xr:uid="{00000000-0005-0000-0000-000094120000}"/>
    <cellStyle name="Normal 4 2 2 4 2 2 10" xfId="34238" xr:uid="{4955E2FF-9ECF-4F1E-B058-1568DDEB5D44}"/>
    <cellStyle name="Normal 4 2 2 4 2 2 11" xfId="8945" xr:uid="{BB1A4E64-8CDD-4C74-9882-47A0AB8D5DC7}"/>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32585" xr:uid="{D5898A81-1563-49E5-9D3B-D2A0358A00C7}"/>
    <cellStyle name="Normal 4 2 2 4 2 2 2 2 2 3" xfId="24156" xr:uid="{FBC76CDD-5DD6-49E1-8582-ED0458138FAC}"/>
    <cellStyle name="Normal 4 2 2 4 2 2 2 2 2 4" xfId="41013" xr:uid="{594452C6-E65D-4F72-92AF-8D0780427FC0}"/>
    <cellStyle name="Normal 4 2 2 4 2 2 2 2 2 5" xfId="15721" xr:uid="{DF95E61A-4BFE-49DA-9AED-87684461D643}"/>
    <cellStyle name="Normal 4 2 2 4 2 2 2 2 3" xfId="28367" xr:uid="{6519E218-C5C4-4FAD-A06C-FD6C677A5CCC}"/>
    <cellStyle name="Normal 4 2 2 4 2 2 2 2 4" xfId="19938" xr:uid="{91B93599-1644-4D96-B2BB-995DC1499CAA}"/>
    <cellStyle name="Normal 4 2 2 4 2 2 2 2 5" xfId="36796" xr:uid="{3B0C9F94-D23A-49B5-B155-7533103F79F2}"/>
    <cellStyle name="Normal 4 2 2 4 2 2 2 2 6" xfId="11503" xr:uid="{2B81E8C2-5F51-4AFE-8CF3-3B62088DAAB4}"/>
    <cellStyle name="Normal 4 2 2 4 2 2 2 3" xfId="5141" xr:uid="{00000000-0005-0000-0000-000098120000}"/>
    <cellStyle name="Normal 4 2 2 4 2 2 2 3 2" xfId="30440" xr:uid="{340DF9A7-7288-42C2-ACB4-19991E060004}"/>
    <cellStyle name="Normal 4 2 2 4 2 2 2 3 3" xfId="22011" xr:uid="{8099CD2E-1F10-460C-838C-A68630C5BE4A}"/>
    <cellStyle name="Normal 4 2 2 4 2 2 2 3 4" xfId="38868" xr:uid="{C6C3346D-11A0-474D-BC46-1496F602EB99}"/>
    <cellStyle name="Normal 4 2 2 4 2 2 2 3 5" xfId="13576" xr:uid="{308BB238-F5F1-4175-9A99-7E8858BD365A}"/>
    <cellStyle name="Normal 4 2 2 4 2 2 2 4" xfId="26222" xr:uid="{2D8D1B62-C7FB-4C79-A005-F0F95D7BD162}"/>
    <cellStyle name="Normal 4 2 2 4 2 2 2 5" xfId="17793" xr:uid="{06839570-6D9E-4745-9085-57575E67C0AD}"/>
    <cellStyle name="Normal 4 2 2 4 2 2 2 6" xfId="34651" xr:uid="{E0FFF1E5-3850-46C5-AF8D-DD06A84D7F5C}"/>
    <cellStyle name="Normal 4 2 2 4 2 2 2 7" xfId="9358" xr:uid="{4E76A300-BA7D-4211-B902-96841B29D2AD}"/>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32998" xr:uid="{1A7563C2-D93E-42C7-8EE9-3A08273556B4}"/>
    <cellStyle name="Normal 4 2 2 4 2 2 3 2 2 3" xfId="24569" xr:uid="{E498C2F2-C07E-4D83-B44A-FFE8AAE4A248}"/>
    <cellStyle name="Normal 4 2 2 4 2 2 3 2 2 4" xfId="41426" xr:uid="{8D5C6B5F-5611-43D1-8116-ABA4ABDAC755}"/>
    <cellStyle name="Normal 4 2 2 4 2 2 3 2 2 5" xfId="16134" xr:uid="{2EC7D04A-3178-41C7-A895-42A11C206824}"/>
    <cellStyle name="Normal 4 2 2 4 2 2 3 2 3" xfId="28780" xr:uid="{277D4D21-E162-4C63-BE42-5AA402D0754E}"/>
    <cellStyle name="Normal 4 2 2 4 2 2 3 2 4" xfId="20351" xr:uid="{72805CB9-DCE9-4C97-BDDA-F18C465FF294}"/>
    <cellStyle name="Normal 4 2 2 4 2 2 3 2 5" xfId="37209" xr:uid="{C4D3048B-1410-4E31-B9F1-DAB40C8F4BE5}"/>
    <cellStyle name="Normal 4 2 2 4 2 2 3 2 6" xfId="11916" xr:uid="{E21EA9D5-2D99-4B54-9DB8-17C60B99AF08}"/>
    <cellStyle name="Normal 4 2 2 4 2 2 3 3" xfId="5554" xr:uid="{00000000-0005-0000-0000-00009C120000}"/>
    <cellStyle name="Normal 4 2 2 4 2 2 3 3 2" xfId="30853" xr:uid="{2F1B2999-6005-4015-9E31-D514B704AC3C}"/>
    <cellStyle name="Normal 4 2 2 4 2 2 3 3 3" xfId="22424" xr:uid="{7DF35307-A7D7-4371-B154-A16B33F9EB04}"/>
    <cellStyle name="Normal 4 2 2 4 2 2 3 3 4" xfId="39281" xr:uid="{53AC1C6F-E1E7-4197-817D-DADD06B9B1B1}"/>
    <cellStyle name="Normal 4 2 2 4 2 2 3 3 5" xfId="13989" xr:uid="{06DCADD6-4C23-44DD-B1F5-235649BE5954}"/>
    <cellStyle name="Normal 4 2 2 4 2 2 3 4" xfId="26635" xr:uid="{C8575E4C-9BDE-4D34-A08D-AA25F980A2EE}"/>
    <cellStyle name="Normal 4 2 2 4 2 2 3 5" xfId="18206" xr:uid="{440506A9-347A-4894-A187-EA1E398811FD}"/>
    <cellStyle name="Normal 4 2 2 4 2 2 3 6" xfId="35064" xr:uid="{00A8E19A-AD8D-45B8-AEF5-D7223266F322}"/>
    <cellStyle name="Normal 4 2 2 4 2 2 3 7" xfId="9771" xr:uid="{689E4FDD-88FE-4675-B402-82C8119DDBEB}"/>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33411" xr:uid="{D36A80EF-47BB-4807-AB30-AEF18AE33367}"/>
    <cellStyle name="Normal 4 2 2 4 2 2 4 2 2 3" xfId="24982" xr:uid="{ADEA828C-B52D-48A7-9BDF-EB6E8D26687E}"/>
    <cellStyle name="Normal 4 2 2 4 2 2 4 2 2 4" xfId="41839" xr:uid="{2D754822-F349-4DE7-8766-A12DE5A31D3A}"/>
    <cellStyle name="Normal 4 2 2 4 2 2 4 2 2 5" xfId="16547" xr:uid="{088DA460-F918-4C14-8262-73C985F4C44A}"/>
    <cellStyle name="Normal 4 2 2 4 2 2 4 2 3" xfId="29193" xr:uid="{CDDAB1FC-B4CD-4B9D-B222-DA3B69C23C5A}"/>
    <cellStyle name="Normal 4 2 2 4 2 2 4 2 4" xfId="20764" xr:uid="{9EF36C46-B2FE-4CF9-A2B3-79B66957A065}"/>
    <cellStyle name="Normal 4 2 2 4 2 2 4 2 5" xfId="37622" xr:uid="{19ACCBB7-748E-4182-884B-767D96782136}"/>
    <cellStyle name="Normal 4 2 2 4 2 2 4 2 6" xfId="12329" xr:uid="{D4B8F8F9-9A43-41F1-801D-8FDE1551DE79}"/>
    <cellStyle name="Normal 4 2 2 4 2 2 4 3" xfId="5967" xr:uid="{00000000-0005-0000-0000-0000A0120000}"/>
    <cellStyle name="Normal 4 2 2 4 2 2 4 3 2" xfId="31266" xr:uid="{117D3C98-39BE-4E25-9613-3429D7581D95}"/>
    <cellStyle name="Normal 4 2 2 4 2 2 4 3 3" xfId="22837" xr:uid="{BBCFA0AA-EB83-4C2F-9A1C-A3C889F0A9DD}"/>
    <cellStyle name="Normal 4 2 2 4 2 2 4 3 4" xfId="39694" xr:uid="{33C8E0CD-BA47-4842-BC0F-D16B01DE4E50}"/>
    <cellStyle name="Normal 4 2 2 4 2 2 4 3 5" xfId="14402" xr:uid="{E8CD045E-A511-4EC0-AA9F-8F6C47BBAA87}"/>
    <cellStyle name="Normal 4 2 2 4 2 2 4 4" xfId="27048" xr:uid="{39D55C48-8B32-4D31-BCCD-D6B27800F4FC}"/>
    <cellStyle name="Normal 4 2 2 4 2 2 4 5" xfId="18619" xr:uid="{AC41F1F5-C20C-4C11-8926-810271A55A9A}"/>
    <cellStyle name="Normal 4 2 2 4 2 2 4 6" xfId="35477" xr:uid="{941B773D-0FF6-462D-B04F-AD17CF58AC06}"/>
    <cellStyle name="Normal 4 2 2 4 2 2 4 7" xfId="10184" xr:uid="{206829AA-A839-4A7E-8599-CEDA10180D9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33824" xr:uid="{1D6B3994-8C77-4146-9996-D790E8975288}"/>
    <cellStyle name="Normal 4 2 2 4 2 2 5 2 2 3" xfId="25395" xr:uid="{020F9D4E-40A9-4F58-9E62-7D6C18B3E9B5}"/>
    <cellStyle name="Normal 4 2 2 4 2 2 5 2 2 4" xfId="42252" xr:uid="{5C3CB99C-7CDE-4940-BE8C-10B04E98FA93}"/>
    <cellStyle name="Normal 4 2 2 4 2 2 5 2 2 5" xfId="16960" xr:uid="{25963A4A-D774-4232-AEF1-D5B58B03C90E}"/>
    <cellStyle name="Normal 4 2 2 4 2 2 5 2 3" xfId="29606" xr:uid="{0E4BFDB4-59C9-437B-9786-E2A6E6C4B6DD}"/>
    <cellStyle name="Normal 4 2 2 4 2 2 5 2 4" xfId="21177" xr:uid="{FF92ECFF-72D0-4813-B350-63A334481551}"/>
    <cellStyle name="Normal 4 2 2 4 2 2 5 2 5" xfId="38035" xr:uid="{CC0C0D31-3369-4109-B973-2896F5543ADD}"/>
    <cellStyle name="Normal 4 2 2 4 2 2 5 2 6" xfId="12742" xr:uid="{991C71ED-4F3A-4682-9589-C7479236C830}"/>
    <cellStyle name="Normal 4 2 2 4 2 2 5 3" xfId="6380" xr:uid="{00000000-0005-0000-0000-0000A4120000}"/>
    <cellStyle name="Normal 4 2 2 4 2 2 5 3 2" xfId="31679" xr:uid="{9EBA32A1-94E6-4475-874A-BA70BB19D95B}"/>
    <cellStyle name="Normal 4 2 2 4 2 2 5 3 3" xfId="23250" xr:uid="{6400E326-279C-404D-A1BB-888251560D1B}"/>
    <cellStyle name="Normal 4 2 2 4 2 2 5 3 4" xfId="40107" xr:uid="{53D6DB19-B420-4A46-B29C-68D8B67763D7}"/>
    <cellStyle name="Normal 4 2 2 4 2 2 5 3 5" xfId="14815" xr:uid="{B09A1BA1-7EBF-4F2D-82CC-CD983BF203EE}"/>
    <cellStyle name="Normal 4 2 2 4 2 2 5 4" xfId="27461" xr:uid="{275C1216-BADB-4831-9045-4FBAB188689F}"/>
    <cellStyle name="Normal 4 2 2 4 2 2 5 5" xfId="19032" xr:uid="{91F0CABF-95F9-43A1-9178-7A17E2C13584}"/>
    <cellStyle name="Normal 4 2 2 4 2 2 5 6" xfId="35890" xr:uid="{20C21E97-D8C1-4E00-9042-3E475E8067F2}"/>
    <cellStyle name="Normal 4 2 2 4 2 2 5 7" xfId="10597" xr:uid="{32FE5C83-AB99-42EB-B25D-EABA263C5D0B}"/>
    <cellStyle name="Normal 4 2 2 4 2 2 6" xfId="2509" xr:uid="{00000000-0005-0000-0000-0000A5120000}"/>
    <cellStyle name="Normal 4 2 2 4 2 2 6 2" xfId="6793" xr:uid="{00000000-0005-0000-0000-0000A6120000}"/>
    <cellStyle name="Normal 4 2 2 4 2 2 6 2 2" xfId="32092" xr:uid="{E94655C8-80BE-49C0-BF35-5B3F4B7C68EB}"/>
    <cellStyle name="Normal 4 2 2 4 2 2 6 2 3" xfId="23663" xr:uid="{F0C340E6-2DF2-457E-ACED-009E25FEB7E6}"/>
    <cellStyle name="Normal 4 2 2 4 2 2 6 2 4" xfId="40520" xr:uid="{CA146FF4-168F-444F-937A-DEF97B4B8F94}"/>
    <cellStyle name="Normal 4 2 2 4 2 2 6 2 5" xfId="15228" xr:uid="{23BF10E8-C4FF-4D0E-9655-817EAC1D4EB5}"/>
    <cellStyle name="Normal 4 2 2 4 2 2 6 3" xfId="27874" xr:uid="{7EA24D2D-A1BD-4770-8AE4-22F7574E5FC7}"/>
    <cellStyle name="Normal 4 2 2 4 2 2 6 4" xfId="19445" xr:uid="{B1D445FF-B745-434B-9D80-8FCC941485F1}"/>
    <cellStyle name="Normal 4 2 2 4 2 2 6 5" xfId="36303" xr:uid="{56CD41F1-8C45-40E7-AF14-E1C9D4F1319F}"/>
    <cellStyle name="Normal 4 2 2 4 2 2 6 6" xfId="11010" xr:uid="{B116E905-CA59-41E9-A77E-8C8E865C39DC}"/>
    <cellStyle name="Normal 4 2 2 4 2 2 7" xfId="4728" xr:uid="{00000000-0005-0000-0000-0000A7120000}"/>
    <cellStyle name="Normal 4 2 2 4 2 2 7 2" xfId="30027" xr:uid="{291B1C3A-D996-4EF7-B0FA-E8F34868A7F7}"/>
    <cellStyle name="Normal 4 2 2 4 2 2 7 3" xfId="21598" xr:uid="{50D5F53D-C164-4F6C-A47C-EC55123B33B1}"/>
    <cellStyle name="Normal 4 2 2 4 2 2 7 4" xfId="38455" xr:uid="{5C3995D2-E836-4DE4-A58C-788EE82E0E14}"/>
    <cellStyle name="Normal 4 2 2 4 2 2 7 5" xfId="13163" xr:uid="{846C1FF8-DB22-4E6C-BE92-80E9B352CE60}"/>
    <cellStyle name="Normal 4 2 2 4 2 2 8" xfId="25809" xr:uid="{A80EAFF4-CA71-4832-AC74-E7FE74B8B62F}"/>
    <cellStyle name="Normal 4 2 2 4 2 2 9" xfId="17380" xr:uid="{921F1443-3DB4-4ADC-A429-81F9B36AE55D}"/>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32584" xr:uid="{65C3DB92-42B7-4B31-8A49-25F491F30EDF}"/>
    <cellStyle name="Normal 4 2 2 4 2 3 2 2 3" xfId="24155" xr:uid="{D61DD4F5-DEE0-4571-B059-36FFA78EA6E4}"/>
    <cellStyle name="Normal 4 2 2 4 2 3 2 2 4" xfId="41012" xr:uid="{9C63BBE8-BB8D-4437-B9DB-F0FECF772243}"/>
    <cellStyle name="Normal 4 2 2 4 2 3 2 2 5" xfId="15720" xr:uid="{B46E84F8-D3CD-4B79-AEA5-87F328B8CEE8}"/>
    <cellStyle name="Normal 4 2 2 4 2 3 2 3" xfId="28366" xr:uid="{CE1E6D31-2FA5-4129-8DB6-22023276597D}"/>
    <cellStyle name="Normal 4 2 2 4 2 3 2 4" xfId="19937" xr:uid="{0CFB8969-855A-4F59-98E2-482DAE73F9D7}"/>
    <cellStyle name="Normal 4 2 2 4 2 3 2 5" xfId="36795" xr:uid="{44864C26-2E0D-4BE2-9126-93376486B0B5}"/>
    <cellStyle name="Normal 4 2 2 4 2 3 2 6" xfId="11502" xr:uid="{CD4137D6-D753-4FEE-B1F3-84E02A8C2365}"/>
    <cellStyle name="Normal 4 2 2 4 2 3 3" xfId="5140" xr:uid="{00000000-0005-0000-0000-0000AB120000}"/>
    <cellStyle name="Normal 4 2 2 4 2 3 3 2" xfId="30439" xr:uid="{CC96A6B6-2516-4AD8-8156-095FD5893F7B}"/>
    <cellStyle name="Normal 4 2 2 4 2 3 3 3" xfId="22010" xr:uid="{D9CA1B3C-6BC1-4B07-B8A9-B8241E05305F}"/>
    <cellStyle name="Normal 4 2 2 4 2 3 3 4" xfId="38867" xr:uid="{A8BEC434-A26C-4E77-A89F-3CD6FF4D018E}"/>
    <cellStyle name="Normal 4 2 2 4 2 3 3 5" xfId="13575" xr:uid="{695FCD6A-389E-48BF-911E-6D74EFB5D5D9}"/>
    <cellStyle name="Normal 4 2 2 4 2 3 4" xfId="26221" xr:uid="{9A0F0C49-E963-4529-B6AE-5A75F93DCBDE}"/>
    <cellStyle name="Normal 4 2 2 4 2 3 5" xfId="17792" xr:uid="{77E3A4AA-5BA2-402E-B4E6-B1A3C0891B75}"/>
    <cellStyle name="Normal 4 2 2 4 2 3 6" xfId="34650" xr:uid="{5CC27DF2-2FE6-48DA-B113-3CC76FFC5464}"/>
    <cellStyle name="Normal 4 2 2 4 2 3 7" xfId="9357" xr:uid="{B4B5B87D-F7D1-43BA-85AD-295E2A56E67C}"/>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32997" xr:uid="{349B42F1-C359-41A6-8C7C-56B2FB7629F9}"/>
    <cellStyle name="Normal 4 2 2 4 2 4 2 2 3" xfId="24568" xr:uid="{030BA8E5-11BF-467B-B8FA-43BE810F3FE6}"/>
    <cellStyle name="Normal 4 2 2 4 2 4 2 2 4" xfId="41425" xr:uid="{994B4353-724A-456A-921F-AA0F05F97C54}"/>
    <cellStyle name="Normal 4 2 2 4 2 4 2 2 5" xfId="16133" xr:uid="{EDFE25E5-5F2C-4D17-854D-81C211C57377}"/>
    <cellStyle name="Normal 4 2 2 4 2 4 2 3" xfId="28779" xr:uid="{14E6B948-C5C8-449C-9A72-99F85FA1815C}"/>
    <cellStyle name="Normal 4 2 2 4 2 4 2 4" xfId="20350" xr:uid="{288DCA2C-3B9B-425C-8571-B95B01268528}"/>
    <cellStyle name="Normal 4 2 2 4 2 4 2 5" xfId="37208" xr:uid="{9EF0798C-3F40-4BAE-8BCF-FCD3C20B620D}"/>
    <cellStyle name="Normal 4 2 2 4 2 4 2 6" xfId="11915" xr:uid="{AC271345-1842-432C-B69D-90EA1727CAB8}"/>
    <cellStyle name="Normal 4 2 2 4 2 4 3" xfId="5553" xr:uid="{00000000-0005-0000-0000-0000AF120000}"/>
    <cellStyle name="Normal 4 2 2 4 2 4 3 2" xfId="30852" xr:uid="{BC3E8C46-FF2F-44FA-8F58-1962D6EABF52}"/>
    <cellStyle name="Normal 4 2 2 4 2 4 3 3" xfId="22423" xr:uid="{6AE8F4B2-3CDF-4192-A0F4-FF1D9DC41F63}"/>
    <cellStyle name="Normal 4 2 2 4 2 4 3 4" xfId="39280" xr:uid="{CB349B3F-49C2-4421-A2EC-49AF78FFAC7C}"/>
    <cellStyle name="Normal 4 2 2 4 2 4 3 5" xfId="13988" xr:uid="{6D20C38B-FAFC-4DD6-82DF-696301C5C46F}"/>
    <cellStyle name="Normal 4 2 2 4 2 4 4" xfId="26634" xr:uid="{56C21F78-8E82-4C91-8E71-072C988625FF}"/>
    <cellStyle name="Normal 4 2 2 4 2 4 5" xfId="18205" xr:uid="{FC479F04-CD9D-45DF-8E59-ABFB6598CC47}"/>
    <cellStyle name="Normal 4 2 2 4 2 4 6" xfId="35063" xr:uid="{8292AE5B-671E-421A-849B-CA25122D3896}"/>
    <cellStyle name="Normal 4 2 2 4 2 4 7" xfId="9770" xr:uid="{92FFD91A-4040-4B5C-AA6E-523B0BE8751D}"/>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33410" xr:uid="{1B0FF106-FA9D-463F-B61E-D2C562A349C6}"/>
    <cellStyle name="Normal 4 2 2 4 2 5 2 2 3" xfId="24981" xr:uid="{BE657703-9D38-4ED3-A4F1-6C3EB07DF4A6}"/>
    <cellStyle name="Normal 4 2 2 4 2 5 2 2 4" xfId="41838" xr:uid="{7AD64198-A089-4DAB-A22E-25BD5BFE7450}"/>
    <cellStyle name="Normal 4 2 2 4 2 5 2 2 5" xfId="16546" xr:uid="{C4E5429B-C243-4F5E-8E78-CCE79F1899CD}"/>
    <cellStyle name="Normal 4 2 2 4 2 5 2 3" xfId="29192" xr:uid="{ED52BB69-D669-4861-9312-3745871F6614}"/>
    <cellStyle name="Normal 4 2 2 4 2 5 2 4" xfId="20763" xr:uid="{C94D3C60-5A22-4CB3-99C5-7CF370A76413}"/>
    <cellStyle name="Normal 4 2 2 4 2 5 2 5" xfId="37621" xr:uid="{5219009F-1F06-4407-928B-A0991075CAEC}"/>
    <cellStyle name="Normal 4 2 2 4 2 5 2 6" xfId="12328" xr:uid="{C2E058C5-3B6A-4B6C-87AE-E5728CD889BC}"/>
    <cellStyle name="Normal 4 2 2 4 2 5 3" xfId="5966" xr:uid="{00000000-0005-0000-0000-0000B3120000}"/>
    <cellStyle name="Normal 4 2 2 4 2 5 3 2" xfId="31265" xr:uid="{906FB4E0-5616-49E4-8746-4640289A2613}"/>
    <cellStyle name="Normal 4 2 2 4 2 5 3 3" xfId="22836" xr:uid="{C4D93655-69D4-4667-B7C5-038E56C6AE38}"/>
    <cellStyle name="Normal 4 2 2 4 2 5 3 4" xfId="39693" xr:uid="{E3D3BAF5-08A1-4F60-AFD8-276726205E7B}"/>
    <cellStyle name="Normal 4 2 2 4 2 5 3 5" xfId="14401" xr:uid="{B70BD955-C276-4CEE-B97D-B17D714D0188}"/>
    <cellStyle name="Normal 4 2 2 4 2 5 4" xfId="27047" xr:uid="{053807A9-8B72-4E02-B005-DBEE96BA9C33}"/>
    <cellStyle name="Normal 4 2 2 4 2 5 5" xfId="18618" xr:uid="{DAF38B78-64F1-478C-A4D4-266613C52B9E}"/>
    <cellStyle name="Normal 4 2 2 4 2 5 6" xfId="35476" xr:uid="{20485AD7-9265-42CE-8868-E5799AA25EB4}"/>
    <cellStyle name="Normal 4 2 2 4 2 5 7" xfId="10183" xr:uid="{B15B05EE-5B9E-48C7-830D-C671EA8CA873}"/>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33823" xr:uid="{4D9F1D95-CDE7-4600-AF32-115BE77E7305}"/>
    <cellStyle name="Normal 4 2 2 4 2 6 2 2 3" xfId="25394" xr:uid="{3DEF3839-7C8E-4EB9-9E65-174824F02497}"/>
    <cellStyle name="Normal 4 2 2 4 2 6 2 2 4" xfId="42251" xr:uid="{A7F5E494-F7AA-4E53-8F8E-B450A119604E}"/>
    <cellStyle name="Normal 4 2 2 4 2 6 2 2 5" xfId="16959" xr:uid="{79CFB418-124F-4823-B0B8-BAB37856DEE9}"/>
    <cellStyle name="Normal 4 2 2 4 2 6 2 3" xfId="29605" xr:uid="{A9DEFEC1-8020-4F0F-B9AF-AE76C6C43278}"/>
    <cellStyle name="Normal 4 2 2 4 2 6 2 4" xfId="21176" xr:uid="{BB6477B4-8E3D-4C45-BE93-D189EEE28AC5}"/>
    <cellStyle name="Normal 4 2 2 4 2 6 2 5" xfId="38034" xr:uid="{E72187DE-EFCD-4F12-BC70-0517D8706624}"/>
    <cellStyle name="Normal 4 2 2 4 2 6 2 6" xfId="12741" xr:uid="{764AF5A6-1098-4EF2-8AD9-7B57F14DB300}"/>
    <cellStyle name="Normal 4 2 2 4 2 6 3" xfId="6379" xr:uid="{00000000-0005-0000-0000-0000B7120000}"/>
    <cellStyle name="Normal 4 2 2 4 2 6 3 2" xfId="31678" xr:uid="{D13C98CE-5104-4A96-BD45-42CE5CF2316F}"/>
    <cellStyle name="Normal 4 2 2 4 2 6 3 3" xfId="23249" xr:uid="{480A1DF5-C5BC-4C44-BAA7-ABB805BA2093}"/>
    <cellStyle name="Normal 4 2 2 4 2 6 3 4" xfId="40106" xr:uid="{9A44E79B-1A78-4322-B33F-1C5634555DE5}"/>
    <cellStyle name="Normal 4 2 2 4 2 6 3 5" xfId="14814" xr:uid="{00C5C950-0F4A-43DC-A1DE-3B40CD27C960}"/>
    <cellStyle name="Normal 4 2 2 4 2 6 4" xfId="27460" xr:uid="{A26548B6-F895-4402-AD18-591F31CBF36F}"/>
    <cellStyle name="Normal 4 2 2 4 2 6 5" xfId="19031" xr:uid="{E7047C52-1815-4276-95E4-E157A70219DF}"/>
    <cellStyle name="Normal 4 2 2 4 2 6 6" xfId="35889" xr:uid="{7CB4F755-C416-4423-8BB6-F2B29B39F8C4}"/>
    <cellStyle name="Normal 4 2 2 4 2 6 7" xfId="10596" xr:uid="{8A28A4F6-07F6-4D43-854D-B6E8F4B65A34}"/>
    <cellStyle name="Normal 4 2 2 4 2 7" xfId="2508" xr:uid="{00000000-0005-0000-0000-0000B8120000}"/>
    <cellStyle name="Normal 4 2 2 4 2 7 2" xfId="6792" xr:uid="{00000000-0005-0000-0000-0000B9120000}"/>
    <cellStyle name="Normal 4 2 2 4 2 7 2 2" xfId="32091" xr:uid="{43B9314F-EF00-4D2E-AC07-1509F742A635}"/>
    <cellStyle name="Normal 4 2 2 4 2 7 2 3" xfId="23662" xr:uid="{A0DD1985-303A-41BE-A92C-D1B78A4D00B6}"/>
    <cellStyle name="Normal 4 2 2 4 2 7 2 4" xfId="40519" xr:uid="{C8C2B469-DC69-4401-9148-063AA95D4F26}"/>
    <cellStyle name="Normal 4 2 2 4 2 7 2 5" xfId="15227" xr:uid="{38AABC60-6D3B-4CE9-93DE-F5B7A7EEE15A}"/>
    <cellStyle name="Normal 4 2 2 4 2 7 3" xfId="27873" xr:uid="{24DADC5C-8A08-4C50-80B4-26EA5DE34E2D}"/>
    <cellStyle name="Normal 4 2 2 4 2 7 4" xfId="19444" xr:uid="{0D9F01DC-A907-4733-AE8F-72E2E1229FEF}"/>
    <cellStyle name="Normal 4 2 2 4 2 7 5" xfId="36302" xr:uid="{E1466021-244B-4BC7-BA9C-9727CFF97057}"/>
    <cellStyle name="Normal 4 2 2 4 2 7 6" xfId="11009" xr:uid="{209416E9-5A1C-472A-85FA-F49559A7D54A}"/>
    <cellStyle name="Normal 4 2 2 4 2 8" xfId="4727" xr:uid="{00000000-0005-0000-0000-0000BA120000}"/>
    <cellStyle name="Normal 4 2 2 4 2 8 2" xfId="30026" xr:uid="{0AEB9904-F762-4A92-9A6A-CB1CAD888D5A}"/>
    <cellStyle name="Normal 4 2 2 4 2 8 3" xfId="21597" xr:uid="{895FBB0D-57A9-40D1-BBE4-6F12456874D0}"/>
    <cellStyle name="Normal 4 2 2 4 2 8 4" xfId="38454" xr:uid="{B7E375D6-9616-43D9-97FD-98612CD8EA5F}"/>
    <cellStyle name="Normal 4 2 2 4 2 8 5" xfId="13162" xr:uid="{37974C35-6149-419C-AF0A-49D7BA9CB150}"/>
    <cellStyle name="Normal 4 2 2 4 2 9" xfId="25808" xr:uid="{23F32ADE-3488-4F73-BA48-C41A6935B578}"/>
    <cellStyle name="Normal 4 2 2 4 3" xfId="350" xr:uid="{00000000-0005-0000-0000-0000BB120000}"/>
    <cellStyle name="Normal 4 2 2 4 3 10" xfId="34239" xr:uid="{34AD4B25-BC90-403D-8B3B-DA0B5AA9DF1B}"/>
    <cellStyle name="Normal 4 2 2 4 3 11" xfId="8946" xr:uid="{C9D2189A-FF0B-425C-8FDB-9ED50FA67F89}"/>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32586" xr:uid="{08CD7666-CC35-499B-944F-C0C93F1CF59D}"/>
    <cellStyle name="Normal 4 2 2 4 3 2 2 2 3" xfId="24157" xr:uid="{A7215E39-FF57-47D7-B1E3-1E0B1426F95E}"/>
    <cellStyle name="Normal 4 2 2 4 3 2 2 2 4" xfId="41014" xr:uid="{A4F64282-448E-4F7B-A0E1-3F327D40F861}"/>
    <cellStyle name="Normal 4 2 2 4 3 2 2 2 5" xfId="15722" xr:uid="{376DFFAC-7890-4040-8CB7-9056EF3B47B1}"/>
    <cellStyle name="Normal 4 2 2 4 3 2 2 3" xfId="28368" xr:uid="{55801E84-EA22-47F2-91E0-33EB5CCD195B}"/>
    <cellStyle name="Normal 4 2 2 4 3 2 2 4" xfId="19939" xr:uid="{EF266C2A-18ED-4A68-99E7-AFB139B7F2ED}"/>
    <cellStyle name="Normal 4 2 2 4 3 2 2 5" xfId="36797" xr:uid="{F562F4AA-5570-4C47-B371-D3B12B3A9B32}"/>
    <cellStyle name="Normal 4 2 2 4 3 2 2 6" xfId="11504" xr:uid="{7456F1B9-F620-4398-A606-46674F1FC28F}"/>
    <cellStyle name="Normal 4 2 2 4 3 2 3" xfId="5142" xr:uid="{00000000-0005-0000-0000-0000BF120000}"/>
    <cellStyle name="Normal 4 2 2 4 3 2 3 2" xfId="30441" xr:uid="{4F9018F6-3A0C-4D89-9512-03EE44FAFB9C}"/>
    <cellStyle name="Normal 4 2 2 4 3 2 3 3" xfId="22012" xr:uid="{77678107-DDD4-46BB-96D5-5B69A7482ACB}"/>
    <cellStyle name="Normal 4 2 2 4 3 2 3 4" xfId="38869" xr:uid="{9DC0BC22-7186-4A45-BC4A-E241B614D079}"/>
    <cellStyle name="Normal 4 2 2 4 3 2 3 5" xfId="13577" xr:uid="{AB1A2AEE-4E53-42F0-84AD-CACDFD990EB7}"/>
    <cellStyle name="Normal 4 2 2 4 3 2 4" xfId="26223" xr:uid="{1C05B463-4DD4-481B-A831-B24D463D8531}"/>
    <cellStyle name="Normal 4 2 2 4 3 2 5" xfId="17794" xr:uid="{2D9C6F38-52F1-416F-9821-5DB54680207C}"/>
    <cellStyle name="Normal 4 2 2 4 3 2 6" xfId="34652" xr:uid="{AA526DCE-027D-4751-9EC1-A910AFC7E9AD}"/>
    <cellStyle name="Normal 4 2 2 4 3 2 7" xfId="9359" xr:uid="{8B776450-C326-455E-BD49-62FA664E6035}"/>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32999" xr:uid="{F16473D9-28A9-4193-9E43-03B88B1CE3BE}"/>
    <cellStyle name="Normal 4 2 2 4 3 3 2 2 3" xfId="24570" xr:uid="{93CF208C-7542-47FC-8B64-8E79BC17E4C4}"/>
    <cellStyle name="Normal 4 2 2 4 3 3 2 2 4" xfId="41427" xr:uid="{6C5CDBF1-7920-4E20-925D-1B9C8729A627}"/>
    <cellStyle name="Normal 4 2 2 4 3 3 2 2 5" xfId="16135" xr:uid="{EAC862FA-612F-4331-835F-0050EF105C24}"/>
    <cellStyle name="Normal 4 2 2 4 3 3 2 3" xfId="28781" xr:uid="{099E6AB4-0AB8-4998-BCAA-F09C9E48F554}"/>
    <cellStyle name="Normal 4 2 2 4 3 3 2 4" xfId="20352" xr:uid="{3C50EB1E-4369-4B3D-B8DA-FD52F7C2691C}"/>
    <cellStyle name="Normal 4 2 2 4 3 3 2 5" xfId="37210" xr:uid="{18D4DF2F-EB75-4BD0-9CA3-C6502EA5DA22}"/>
    <cellStyle name="Normal 4 2 2 4 3 3 2 6" xfId="11917" xr:uid="{415AD098-F1E1-4A1C-A41F-D1A42DC1E9A8}"/>
    <cellStyle name="Normal 4 2 2 4 3 3 3" xfId="5555" xr:uid="{00000000-0005-0000-0000-0000C3120000}"/>
    <cellStyle name="Normal 4 2 2 4 3 3 3 2" xfId="30854" xr:uid="{63B23105-C60C-47EA-A54D-151B94AFAE6A}"/>
    <cellStyle name="Normal 4 2 2 4 3 3 3 3" xfId="22425" xr:uid="{48676EDD-D631-4D05-A418-6FB0DC088C0D}"/>
    <cellStyle name="Normal 4 2 2 4 3 3 3 4" xfId="39282" xr:uid="{B5146004-C239-471F-8BEA-8BD346DCF0EE}"/>
    <cellStyle name="Normal 4 2 2 4 3 3 3 5" xfId="13990" xr:uid="{5B514998-93B4-4700-BDE2-49077F5BDC86}"/>
    <cellStyle name="Normal 4 2 2 4 3 3 4" xfId="26636" xr:uid="{5C836D8A-09AB-4C5E-955E-1D0A38225F25}"/>
    <cellStyle name="Normal 4 2 2 4 3 3 5" xfId="18207" xr:uid="{01509206-FD67-42A7-AF7C-F63C3416C6DC}"/>
    <cellStyle name="Normal 4 2 2 4 3 3 6" xfId="35065" xr:uid="{77E74F44-718A-4170-8F11-A082FDE1D2CD}"/>
    <cellStyle name="Normal 4 2 2 4 3 3 7" xfId="9772" xr:uid="{BEE6A408-6F93-4870-AD3D-A2DAF3139B06}"/>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33412" xr:uid="{0A807AB9-EE36-4EE4-967F-D1B3F2948D5E}"/>
    <cellStyle name="Normal 4 2 2 4 3 4 2 2 3" xfId="24983" xr:uid="{36E89F67-AB02-4DE7-9A24-59A50DEB767E}"/>
    <cellStyle name="Normal 4 2 2 4 3 4 2 2 4" xfId="41840" xr:uid="{2A7566CE-A802-43F2-8E70-4E1D24D1AE61}"/>
    <cellStyle name="Normal 4 2 2 4 3 4 2 2 5" xfId="16548" xr:uid="{3A9492AE-43EC-49A5-9614-1C3258048951}"/>
    <cellStyle name="Normal 4 2 2 4 3 4 2 3" xfId="29194" xr:uid="{C65B6849-0597-4811-81BA-29DF8E913374}"/>
    <cellStyle name="Normal 4 2 2 4 3 4 2 4" xfId="20765" xr:uid="{0AB4C947-6D29-4FD5-A9AC-5539F7B47974}"/>
    <cellStyle name="Normal 4 2 2 4 3 4 2 5" xfId="37623" xr:uid="{92E7B8B7-8CF2-4B9A-A10B-858C59BD59EC}"/>
    <cellStyle name="Normal 4 2 2 4 3 4 2 6" xfId="12330" xr:uid="{D3E6D964-4EEC-45BA-9EF5-291F8B1F2203}"/>
    <cellStyle name="Normal 4 2 2 4 3 4 3" xfId="5968" xr:uid="{00000000-0005-0000-0000-0000C7120000}"/>
    <cellStyle name="Normal 4 2 2 4 3 4 3 2" xfId="31267" xr:uid="{E7AD28FD-80F9-4A15-8A4A-9DDA62D9B5CA}"/>
    <cellStyle name="Normal 4 2 2 4 3 4 3 3" xfId="22838" xr:uid="{BB32C1F7-3840-429B-AC3D-ED63F578E94E}"/>
    <cellStyle name="Normal 4 2 2 4 3 4 3 4" xfId="39695" xr:uid="{335A0AF0-B7B3-4E2C-B91C-5BEF4BB0C410}"/>
    <cellStyle name="Normal 4 2 2 4 3 4 3 5" xfId="14403" xr:uid="{8ED9AE60-3D82-4D04-924C-E708C9B3EFAA}"/>
    <cellStyle name="Normal 4 2 2 4 3 4 4" xfId="27049" xr:uid="{6C610506-CBB9-4BE1-84D9-549F582D6122}"/>
    <cellStyle name="Normal 4 2 2 4 3 4 5" xfId="18620" xr:uid="{807FD661-6947-4477-8A22-B5DC60E70AA8}"/>
    <cellStyle name="Normal 4 2 2 4 3 4 6" xfId="35478" xr:uid="{7FD943A9-467D-48BD-B613-37FE04EB766E}"/>
    <cellStyle name="Normal 4 2 2 4 3 4 7" xfId="10185" xr:uid="{0EF1001C-610C-4CE4-A817-DAE922F71102}"/>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33825" xr:uid="{636072CE-6A25-41D6-8A20-B83B107B9EBE}"/>
    <cellStyle name="Normal 4 2 2 4 3 5 2 2 3" xfId="25396" xr:uid="{C934B6FF-44AB-43BE-8F24-1D95D1F53D45}"/>
    <cellStyle name="Normal 4 2 2 4 3 5 2 2 4" xfId="42253" xr:uid="{A5FAE2D1-B583-430B-A352-3B2E615882BA}"/>
    <cellStyle name="Normal 4 2 2 4 3 5 2 2 5" xfId="16961" xr:uid="{97F328F2-0E46-4192-B83F-D561B641CF0F}"/>
    <cellStyle name="Normal 4 2 2 4 3 5 2 3" xfId="29607" xr:uid="{944FC965-D607-42AF-A6F2-2A50A296ECF3}"/>
    <cellStyle name="Normal 4 2 2 4 3 5 2 4" xfId="21178" xr:uid="{7458E878-BAC2-4EFF-B1B3-18465D6CBFC2}"/>
    <cellStyle name="Normal 4 2 2 4 3 5 2 5" xfId="38036" xr:uid="{D7A5CC3B-AE5F-4858-BA6D-561A0AC991F3}"/>
    <cellStyle name="Normal 4 2 2 4 3 5 2 6" xfId="12743" xr:uid="{6E4F979A-B88C-4139-9147-C49CF215B1C9}"/>
    <cellStyle name="Normal 4 2 2 4 3 5 3" xfId="6381" xr:uid="{00000000-0005-0000-0000-0000CB120000}"/>
    <cellStyle name="Normal 4 2 2 4 3 5 3 2" xfId="31680" xr:uid="{E80C0D21-7513-4879-B5F8-122120FD9D81}"/>
    <cellStyle name="Normal 4 2 2 4 3 5 3 3" xfId="23251" xr:uid="{E3F5080C-D1B9-435F-BE4E-5541ACDDFE25}"/>
    <cellStyle name="Normal 4 2 2 4 3 5 3 4" xfId="40108" xr:uid="{4890EEEF-F34C-4F8C-AC34-DA6155C20FA5}"/>
    <cellStyle name="Normal 4 2 2 4 3 5 3 5" xfId="14816" xr:uid="{E4667BC5-885B-416D-BDE1-B31E59C0FC7A}"/>
    <cellStyle name="Normal 4 2 2 4 3 5 4" xfId="27462" xr:uid="{53A8A00E-BE73-441A-9C31-A037EAF34E7A}"/>
    <cellStyle name="Normal 4 2 2 4 3 5 5" xfId="19033" xr:uid="{62F64644-2489-44CB-A0FD-99EFF3328C82}"/>
    <cellStyle name="Normal 4 2 2 4 3 5 6" xfId="35891" xr:uid="{FFEEAD0A-C279-48D8-AA7E-53B2AC8D0A90}"/>
    <cellStyle name="Normal 4 2 2 4 3 5 7" xfId="10598" xr:uid="{4A91A0B3-AFD6-4D7F-94F3-6F3414B43E87}"/>
    <cellStyle name="Normal 4 2 2 4 3 6" xfId="2510" xr:uid="{00000000-0005-0000-0000-0000CC120000}"/>
    <cellStyle name="Normal 4 2 2 4 3 6 2" xfId="6794" xr:uid="{00000000-0005-0000-0000-0000CD120000}"/>
    <cellStyle name="Normal 4 2 2 4 3 6 2 2" xfId="32093" xr:uid="{1354F483-1962-4F2C-B1DC-C44F48388705}"/>
    <cellStyle name="Normal 4 2 2 4 3 6 2 3" xfId="23664" xr:uid="{545382CF-BDD0-4A09-B45C-8167364771ED}"/>
    <cellStyle name="Normal 4 2 2 4 3 6 2 4" xfId="40521" xr:uid="{2BE06C25-28A0-47C7-9DAE-76040ED056F3}"/>
    <cellStyle name="Normal 4 2 2 4 3 6 2 5" xfId="15229" xr:uid="{89DC035E-DFD1-4E57-8262-8C2B667CB039}"/>
    <cellStyle name="Normal 4 2 2 4 3 6 3" xfId="27875" xr:uid="{25249322-9169-444E-B3EC-62705D531F31}"/>
    <cellStyle name="Normal 4 2 2 4 3 6 4" xfId="19446" xr:uid="{B38E8A48-61F1-438E-933C-5C7787516E3F}"/>
    <cellStyle name="Normal 4 2 2 4 3 6 5" xfId="36304" xr:uid="{F9D26AF5-ACA9-4FB3-AB17-D3AC1F7FD68F}"/>
    <cellStyle name="Normal 4 2 2 4 3 6 6" xfId="11011" xr:uid="{FD15F2E0-94C8-4F4D-BBFD-EB7EC4EAECFB}"/>
    <cellStyle name="Normal 4 2 2 4 3 7" xfId="4729" xr:uid="{00000000-0005-0000-0000-0000CE120000}"/>
    <cellStyle name="Normal 4 2 2 4 3 7 2" xfId="30028" xr:uid="{6147A6FE-4694-4EC2-A614-D6E3F7B93C11}"/>
    <cellStyle name="Normal 4 2 2 4 3 7 3" xfId="21599" xr:uid="{C2E09291-EB98-4AEA-9D93-6BD6B7A92A39}"/>
    <cellStyle name="Normal 4 2 2 4 3 7 4" xfId="38456" xr:uid="{1CE2207E-3D85-4252-9774-8118D1EB8560}"/>
    <cellStyle name="Normal 4 2 2 4 3 7 5" xfId="13164" xr:uid="{B087618F-6D07-45C3-8789-783316BFC26E}"/>
    <cellStyle name="Normal 4 2 2 4 3 8" xfId="25810" xr:uid="{274864AF-F68B-4699-918D-F1CC5D8EFB4B}"/>
    <cellStyle name="Normal 4 2 2 4 3 9" xfId="17381" xr:uid="{906770C4-0504-4E6B-BF7B-3E1DF4EBA20F}"/>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32583" xr:uid="{B7CDDA0D-4128-4701-8F70-802E6349B7E7}"/>
    <cellStyle name="Normal 4 2 2 4 4 2 2 3" xfId="24154" xr:uid="{E8810CAA-520D-4A4D-A16A-0E2431CDCFA0}"/>
    <cellStyle name="Normal 4 2 2 4 4 2 2 4" xfId="41011" xr:uid="{0A0D7D34-81AC-457D-8E5C-69A7439C3ADB}"/>
    <cellStyle name="Normal 4 2 2 4 4 2 2 5" xfId="15719" xr:uid="{0707DDCE-6A4F-4A3D-AB0B-55599464F10B}"/>
    <cellStyle name="Normal 4 2 2 4 4 2 3" xfId="28365" xr:uid="{28ED4793-C3BE-43A8-9E9B-7962AB63F47F}"/>
    <cellStyle name="Normal 4 2 2 4 4 2 4" xfId="19936" xr:uid="{7FF56303-FFA0-4FC9-BFE3-E693A7040298}"/>
    <cellStyle name="Normal 4 2 2 4 4 2 5" xfId="36794" xr:uid="{26A90F17-4308-40BA-91D1-E422114F4458}"/>
    <cellStyle name="Normal 4 2 2 4 4 2 6" xfId="11501" xr:uid="{98E3E7F9-E7A1-44BF-B539-C2DD20D20DC3}"/>
    <cellStyle name="Normal 4 2 2 4 4 3" xfId="5139" xr:uid="{00000000-0005-0000-0000-0000D2120000}"/>
    <cellStyle name="Normal 4 2 2 4 4 3 2" xfId="30438" xr:uid="{B49FC2ED-78D8-474C-BACD-76CAEF0E1365}"/>
    <cellStyle name="Normal 4 2 2 4 4 3 3" xfId="22009" xr:uid="{AFB3BC72-F10F-4B93-853E-2433DE940C11}"/>
    <cellStyle name="Normal 4 2 2 4 4 3 4" xfId="38866" xr:uid="{0A089C4B-E510-4C47-B048-774E38B5A27D}"/>
    <cellStyle name="Normal 4 2 2 4 4 3 5" xfId="13574" xr:uid="{AD91ABA0-02AF-4359-96BC-B666C576C3D9}"/>
    <cellStyle name="Normal 4 2 2 4 4 4" xfId="26220" xr:uid="{5DB92176-A788-404F-AC81-F15244BB3B47}"/>
    <cellStyle name="Normal 4 2 2 4 4 5" xfId="17791" xr:uid="{AC8BFC7D-95C1-4B32-9C53-C67D08A63810}"/>
    <cellStyle name="Normal 4 2 2 4 4 6" xfId="34649" xr:uid="{9317D4B4-FE09-4E9E-A719-5B9F489A32F7}"/>
    <cellStyle name="Normal 4 2 2 4 4 7" xfId="9356" xr:uid="{8B71D0D3-1CF8-4282-BA17-6A317FBE6709}"/>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32996" xr:uid="{B328371B-5448-43FA-B5FA-0C78655E86AD}"/>
    <cellStyle name="Normal 4 2 2 4 5 2 2 3" xfId="24567" xr:uid="{4853AC53-1C9B-4694-9D81-6BDE9C4388DF}"/>
    <cellStyle name="Normal 4 2 2 4 5 2 2 4" xfId="41424" xr:uid="{5755DFB7-F308-45AA-9755-468BD4C2F704}"/>
    <cellStyle name="Normal 4 2 2 4 5 2 2 5" xfId="16132" xr:uid="{CDA8B872-2152-4558-B287-DB84D244319D}"/>
    <cellStyle name="Normal 4 2 2 4 5 2 3" xfId="28778" xr:uid="{04A29A21-1568-4961-B35F-9CE57DE3FB08}"/>
    <cellStyle name="Normal 4 2 2 4 5 2 4" xfId="20349" xr:uid="{837C2A1A-96B0-406D-81D3-4B490EC9DF03}"/>
    <cellStyle name="Normal 4 2 2 4 5 2 5" xfId="37207" xr:uid="{8E305C1C-D32E-41E4-9707-E811EA3F5410}"/>
    <cellStyle name="Normal 4 2 2 4 5 2 6" xfId="11914" xr:uid="{CF522310-A5EA-430F-9CBE-FC35D5E69E78}"/>
    <cellStyle name="Normal 4 2 2 4 5 3" xfId="5552" xr:uid="{00000000-0005-0000-0000-0000D6120000}"/>
    <cellStyle name="Normal 4 2 2 4 5 3 2" xfId="30851" xr:uid="{CCCBCE2C-54DA-4339-AFF1-238BD15941A0}"/>
    <cellStyle name="Normal 4 2 2 4 5 3 3" xfId="22422" xr:uid="{BC937C24-E395-4659-B15C-51599E38B6D8}"/>
    <cellStyle name="Normal 4 2 2 4 5 3 4" xfId="39279" xr:uid="{C05B5B4D-9506-421E-902D-79556C8EE541}"/>
    <cellStyle name="Normal 4 2 2 4 5 3 5" xfId="13987" xr:uid="{56CDFAAD-A6B1-4319-8804-8D6F94496E13}"/>
    <cellStyle name="Normal 4 2 2 4 5 4" xfId="26633" xr:uid="{0347AD0A-05B9-46E8-8E5D-1128A90CEDC1}"/>
    <cellStyle name="Normal 4 2 2 4 5 5" xfId="18204" xr:uid="{F69FAF39-4697-4FDF-8F24-F09B2393F42A}"/>
    <cellStyle name="Normal 4 2 2 4 5 6" xfId="35062" xr:uid="{58DF26B7-DE7F-43EF-ABF7-F87B38DD3264}"/>
    <cellStyle name="Normal 4 2 2 4 5 7" xfId="9769" xr:uid="{BD4D71D5-9054-4D7C-A8D2-CEF5598BF05F}"/>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33409" xr:uid="{30411E02-F55A-49AF-A4C9-7F007603C1E9}"/>
    <cellStyle name="Normal 4 2 2 4 6 2 2 3" xfId="24980" xr:uid="{4F18A68C-E496-49C3-9913-9AE7BCE891E2}"/>
    <cellStyle name="Normal 4 2 2 4 6 2 2 4" xfId="41837" xr:uid="{EF529060-4CCD-4FBA-B3D1-DC555CF2D971}"/>
    <cellStyle name="Normal 4 2 2 4 6 2 2 5" xfId="16545" xr:uid="{F2EB4B21-1364-4D08-8102-D68DA552EA63}"/>
    <cellStyle name="Normal 4 2 2 4 6 2 3" xfId="29191" xr:uid="{1C66BFDB-4135-4417-8DCC-FE5CA37C8377}"/>
    <cellStyle name="Normal 4 2 2 4 6 2 4" xfId="20762" xr:uid="{2E284C2D-ADF3-4072-A3D6-641084D505D9}"/>
    <cellStyle name="Normal 4 2 2 4 6 2 5" xfId="37620" xr:uid="{562E497C-2D74-44ED-A7A3-5A24A5DADB1F}"/>
    <cellStyle name="Normal 4 2 2 4 6 2 6" xfId="12327" xr:uid="{80BBAE40-DB54-48C6-9D03-2897010CBBB5}"/>
    <cellStyle name="Normal 4 2 2 4 6 3" xfId="5965" xr:uid="{00000000-0005-0000-0000-0000DA120000}"/>
    <cellStyle name="Normal 4 2 2 4 6 3 2" xfId="31264" xr:uid="{4B526291-623B-4F1A-88CF-4D7338FF5BF7}"/>
    <cellStyle name="Normal 4 2 2 4 6 3 3" xfId="22835" xr:uid="{41C63B58-431C-436D-9CC5-D4987D565DB5}"/>
    <cellStyle name="Normal 4 2 2 4 6 3 4" xfId="39692" xr:uid="{84AB0FB4-64C1-41BC-BE5E-1CA54873E394}"/>
    <cellStyle name="Normal 4 2 2 4 6 3 5" xfId="14400" xr:uid="{3BA3AAF6-F848-46B6-B4F0-2F0A619DE8D5}"/>
    <cellStyle name="Normal 4 2 2 4 6 4" xfId="27046" xr:uid="{8B7809B4-A742-41EE-B0E9-86C83EF66DEF}"/>
    <cellStyle name="Normal 4 2 2 4 6 5" xfId="18617" xr:uid="{071694C8-A4AC-40CC-B2A5-FBE4455ABE65}"/>
    <cellStyle name="Normal 4 2 2 4 6 6" xfId="35475" xr:uid="{9C180959-2D0A-4E48-AD1A-5E172E4AE374}"/>
    <cellStyle name="Normal 4 2 2 4 6 7" xfId="10182" xr:uid="{B7E0A8C2-95F7-4651-9541-92B74806D5CC}"/>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33822" xr:uid="{77223189-65C0-4316-9604-D03A535A26F7}"/>
    <cellStyle name="Normal 4 2 2 4 7 2 2 3" xfId="25393" xr:uid="{453C2ECB-1859-4D34-8F2C-BC448095168D}"/>
    <cellStyle name="Normal 4 2 2 4 7 2 2 4" xfId="42250" xr:uid="{3CE0A8A7-AE2A-494B-885C-2774D5F4A2EC}"/>
    <cellStyle name="Normal 4 2 2 4 7 2 2 5" xfId="16958" xr:uid="{9FEE0817-2EF5-4EE4-9464-70A018ECB66C}"/>
    <cellStyle name="Normal 4 2 2 4 7 2 3" xfId="29604" xr:uid="{8038F828-C388-472A-87CB-AF8A02810DB8}"/>
    <cellStyle name="Normal 4 2 2 4 7 2 4" xfId="21175" xr:uid="{059DED4D-9E62-44EA-A776-7758FD9695C2}"/>
    <cellStyle name="Normal 4 2 2 4 7 2 5" xfId="38033" xr:uid="{95FAB356-87C3-42CA-8129-04147AA206F9}"/>
    <cellStyle name="Normal 4 2 2 4 7 2 6" xfId="12740" xr:uid="{72864D42-772D-4FEF-ABE3-E9FB11C1EB1E}"/>
    <cellStyle name="Normal 4 2 2 4 7 3" xfId="6378" xr:uid="{00000000-0005-0000-0000-0000DE120000}"/>
    <cellStyle name="Normal 4 2 2 4 7 3 2" xfId="31677" xr:uid="{BF159535-F2BD-4400-9C4A-719290D994C0}"/>
    <cellStyle name="Normal 4 2 2 4 7 3 3" xfId="23248" xr:uid="{0E1AE0C6-991D-431B-8267-A5DA4D13776C}"/>
    <cellStyle name="Normal 4 2 2 4 7 3 4" xfId="40105" xr:uid="{CB25EC89-31FF-4577-8B2A-23981D2B89DD}"/>
    <cellStyle name="Normal 4 2 2 4 7 3 5" xfId="14813" xr:uid="{9D57EA1B-3427-4A45-8D8E-23641C285F6A}"/>
    <cellStyle name="Normal 4 2 2 4 7 4" xfId="27459" xr:uid="{C6F12BA2-A0B0-4DBC-AD6F-2ECAD692C3A4}"/>
    <cellStyle name="Normal 4 2 2 4 7 5" xfId="19030" xr:uid="{E031C020-8959-4476-95D2-CD712B228DDA}"/>
    <cellStyle name="Normal 4 2 2 4 7 6" xfId="35888" xr:uid="{9245D9B9-3BC7-4602-93E8-23921E94AC4A}"/>
    <cellStyle name="Normal 4 2 2 4 7 7" xfId="10595" xr:uid="{5D5529E5-2CA9-4D51-B739-ECB13D839E76}"/>
    <cellStyle name="Normal 4 2 2 4 8" xfId="2507" xr:uid="{00000000-0005-0000-0000-0000DF120000}"/>
    <cellStyle name="Normal 4 2 2 4 8 2" xfId="6791" xr:uid="{00000000-0005-0000-0000-0000E0120000}"/>
    <cellStyle name="Normal 4 2 2 4 8 2 2" xfId="32090" xr:uid="{72375176-ACEE-4115-BBF1-853BF1021970}"/>
    <cellStyle name="Normal 4 2 2 4 8 2 3" xfId="23661" xr:uid="{C5BC680D-1293-4822-811E-474A0EEBD0CC}"/>
    <cellStyle name="Normal 4 2 2 4 8 2 4" xfId="40518" xr:uid="{6E16F071-65BB-4C24-9400-73FFC9C86D2D}"/>
    <cellStyle name="Normal 4 2 2 4 8 2 5" xfId="15226" xr:uid="{E9316E40-4647-4145-9175-AB6429E9D37A}"/>
    <cellStyle name="Normal 4 2 2 4 8 3" xfId="27872" xr:uid="{A06CC82E-C663-43DE-AFCC-582EB47EC468}"/>
    <cellStyle name="Normal 4 2 2 4 8 4" xfId="19443" xr:uid="{F5A2813C-4232-4FA0-9FE8-4F9BF12A26F8}"/>
    <cellStyle name="Normal 4 2 2 4 8 5" xfId="36301" xr:uid="{9A8F4973-03B9-4672-B5A0-E5FE57EF7D8B}"/>
    <cellStyle name="Normal 4 2 2 4 8 6" xfId="11008" xr:uid="{38B2725B-5897-4475-B80C-B5739B94FE8C}"/>
    <cellStyle name="Normal 4 2 2 4 9" xfId="4726" xr:uid="{00000000-0005-0000-0000-0000E1120000}"/>
    <cellStyle name="Normal 4 2 2 4 9 2" xfId="30025" xr:uid="{CA959416-4571-4646-9FBC-A2DFF200E502}"/>
    <cellStyle name="Normal 4 2 2 4 9 3" xfId="21596" xr:uid="{6B0F58BD-25AA-4A52-BD56-0FAE457F7EBC}"/>
    <cellStyle name="Normal 4 2 2 4 9 4" xfId="38453" xr:uid="{54658C34-D2F9-4C2E-98BE-791BADB13E42}"/>
    <cellStyle name="Normal 4 2 2 4 9 5" xfId="13161" xr:uid="{722346BA-8E13-4267-B9F1-387EF3A51D03}"/>
    <cellStyle name="Normal 4 2 2 5" xfId="351" xr:uid="{00000000-0005-0000-0000-0000E2120000}"/>
    <cellStyle name="Normal 4 2 2 5 10" xfId="17382" xr:uid="{73B03BD6-C1D3-4A4C-92B0-4DE4EB7A5C8E}"/>
    <cellStyle name="Normal 4 2 2 5 11" xfId="34240" xr:uid="{51152089-1684-4B26-B89D-03EC872920A3}"/>
    <cellStyle name="Normal 4 2 2 5 12" xfId="8947" xr:uid="{A89727AB-C0FC-4757-914B-6462AED570D2}"/>
    <cellStyle name="Normal 4 2 2 5 2" xfId="352" xr:uid="{00000000-0005-0000-0000-0000E3120000}"/>
    <cellStyle name="Normal 4 2 2 5 2 10" xfId="34241" xr:uid="{B8478488-F601-4237-A4F7-0B75BC2E1072}"/>
    <cellStyle name="Normal 4 2 2 5 2 11" xfId="8948" xr:uid="{9A3CA1E5-E77D-4C81-9C83-A3B717B3C828}"/>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32588" xr:uid="{29329615-7D40-41BE-9B96-D6280C917BC5}"/>
    <cellStyle name="Normal 4 2 2 5 2 2 2 2 3" xfId="24159" xr:uid="{50D0EC33-E1E8-4921-AFE4-64D1DB2A4624}"/>
    <cellStyle name="Normal 4 2 2 5 2 2 2 2 4" xfId="41016" xr:uid="{285F6E30-9295-4F45-8371-43536798D286}"/>
    <cellStyle name="Normal 4 2 2 5 2 2 2 2 5" xfId="15724" xr:uid="{7D7A6948-1549-4A62-9613-982E874D7EC5}"/>
    <cellStyle name="Normal 4 2 2 5 2 2 2 3" xfId="28370" xr:uid="{CA73B94F-915C-41CD-905A-027EA3BFD5EA}"/>
    <cellStyle name="Normal 4 2 2 5 2 2 2 4" xfId="19941" xr:uid="{FE4A4991-E81F-4603-B364-D0CC1D6A8BC6}"/>
    <cellStyle name="Normal 4 2 2 5 2 2 2 5" xfId="36799" xr:uid="{52BD8AB0-F1A1-47CA-90EF-688A3F351E81}"/>
    <cellStyle name="Normal 4 2 2 5 2 2 2 6" xfId="11506" xr:uid="{D6FB9A17-682E-48CD-8656-272E0EC8E3DD}"/>
    <cellStyle name="Normal 4 2 2 5 2 2 3" xfId="5144" xr:uid="{00000000-0005-0000-0000-0000E7120000}"/>
    <cellStyle name="Normal 4 2 2 5 2 2 3 2" xfId="30443" xr:uid="{BCE49AD0-CA54-427D-B29C-7B89787DACFE}"/>
    <cellStyle name="Normal 4 2 2 5 2 2 3 3" xfId="22014" xr:uid="{0D32015C-8887-4338-B556-09AEE8A3CD06}"/>
    <cellStyle name="Normal 4 2 2 5 2 2 3 4" xfId="38871" xr:uid="{CB53D5B0-786E-4F57-BFE6-BCE45D21A10E}"/>
    <cellStyle name="Normal 4 2 2 5 2 2 3 5" xfId="13579" xr:uid="{E6C0B104-C3F2-487B-9A75-5496052466E5}"/>
    <cellStyle name="Normal 4 2 2 5 2 2 4" xfId="26225" xr:uid="{B6DD11F0-ED21-4186-94E7-6F37A71FC411}"/>
    <cellStyle name="Normal 4 2 2 5 2 2 5" xfId="17796" xr:uid="{6B9873A3-1B21-4D5E-A2FE-38D8C95EB7F0}"/>
    <cellStyle name="Normal 4 2 2 5 2 2 6" xfId="34654" xr:uid="{D829D57F-B448-4B19-A8A6-750ED999808A}"/>
    <cellStyle name="Normal 4 2 2 5 2 2 7" xfId="9361" xr:uid="{BD8441D9-C63E-4094-AFE8-D9C2226EE335}"/>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33001" xr:uid="{03E71834-CB6D-47F3-A08D-D5F6A6BD202F}"/>
    <cellStyle name="Normal 4 2 2 5 2 3 2 2 3" xfId="24572" xr:uid="{1A89BB95-20F6-45A2-A95B-067E4CF8873C}"/>
    <cellStyle name="Normal 4 2 2 5 2 3 2 2 4" xfId="41429" xr:uid="{77854FED-FA98-466D-B85A-4AD3F00054E1}"/>
    <cellStyle name="Normal 4 2 2 5 2 3 2 2 5" xfId="16137" xr:uid="{0891369C-8446-4E9F-B4FF-6296E0D75CAB}"/>
    <cellStyle name="Normal 4 2 2 5 2 3 2 3" xfId="28783" xr:uid="{43466E96-CA1E-47AC-82AB-774C2733593D}"/>
    <cellStyle name="Normal 4 2 2 5 2 3 2 4" xfId="20354" xr:uid="{42355BA1-F17A-47FB-9848-E0D5A4FCEB86}"/>
    <cellStyle name="Normal 4 2 2 5 2 3 2 5" xfId="37212" xr:uid="{B7A40444-BE48-49C5-AB56-4C374DB65773}"/>
    <cellStyle name="Normal 4 2 2 5 2 3 2 6" xfId="11919" xr:uid="{11658BE3-58B7-4039-BF5B-17E18630FABC}"/>
    <cellStyle name="Normal 4 2 2 5 2 3 3" xfId="5557" xr:uid="{00000000-0005-0000-0000-0000EB120000}"/>
    <cellStyle name="Normal 4 2 2 5 2 3 3 2" xfId="30856" xr:uid="{368E98D9-19F0-4949-AB6D-A273466DB709}"/>
    <cellStyle name="Normal 4 2 2 5 2 3 3 3" xfId="22427" xr:uid="{46A22074-3C55-415F-9D02-C276A8609F29}"/>
    <cellStyle name="Normal 4 2 2 5 2 3 3 4" xfId="39284" xr:uid="{9C3F0F83-8487-4A39-97A6-60999A15B299}"/>
    <cellStyle name="Normal 4 2 2 5 2 3 3 5" xfId="13992" xr:uid="{D63BF84D-EF55-44DF-A932-66550B7574C7}"/>
    <cellStyle name="Normal 4 2 2 5 2 3 4" xfId="26638" xr:uid="{C48289AD-CF8D-4E49-BC3F-63FE967B4121}"/>
    <cellStyle name="Normal 4 2 2 5 2 3 5" xfId="18209" xr:uid="{EF50BFE3-198A-42B1-8CD4-2658B737C140}"/>
    <cellStyle name="Normal 4 2 2 5 2 3 6" xfId="35067" xr:uid="{BFECF311-45A6-447C-8963-776B625FDB53}"/>
    <cellStyle name="Normal 4 2 2 5 2 3 7" xfId="9774" xr:uid="{9ACA6164-E57A-48EA-B862-BC9BF354EA7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33414" xr:uid="{B437D17E-019A-40AF-9E4C-F1A15431F812}"/>
    <cellStyle name="Normal 4 2 2 5 2 4 2 2 3" xfId="24985" xr:uid="{14BDCD63-E822-48B6-A4D7-35BE5B7791A7}"/>
    <cellStyle name="Normal 4 2 2 5 2 4 2 2 4" xfId="41842" xr:uid="{644FF6E5-6F3B-4D6E-89B2-7908DE23BF74}"/>
    <cellStyle name="Normal 4 2 2 5 2 4 2 2 5" xfId="16550" xr:uid="{6D5E0610-F43A-4E2E-9696-0F65CAB388EA}"/>
    <cellStyle name="Normal 4 2 2 5 2 4 2 3" xfId="29196" xr:uid="{F2FCB702-1AF3-49F2-ADA3-85D14E7568BE}"/>
    <cellStyle name="Normal 4 2 2 5 2 4 2 4" xfId="20767" xr:uid="{737A8934-176B-4D49-A933-DE195AB72F0B}"/>
    <cellStyle name="Normal 4 2 2 5 2 4 2 5" xfId="37625" xr:uid="{19F83743-DC55-47E9-ABEB-4E863705FC21}"/>
    <cellStyle name="Normal 4 2 2 5 2 4 2 6" xfId="12332" xr:uid="{051052E5-F01B-4BF1-BAEF-F953CA66E093}"/>
    <cellStyle name="Normal 4 2 2 5 2 4 3" xfId="5970" xr:uid="{00000000-0005-0000-0000-0000EF120000}"/>
    <cellStyle name="Normal 4 2 2 5 2 4 3 2" xfId="31269" xr:uid="{3F20592F-C336-40F1-9802-6A5F96381C4F}"/>
    <cellStyle name="Normal 4 2 2 5 2 4 3 3" xfId="22840" xr:uid="{E5AD3806-7A0A-49FA-965B-ABB4D55D587A}"/>
    <cellStyle name="Normal 4 2 2 5 2 4 3 4" xfId="39697" xr:uid="{DD545FC9-98B9-473D-B5D7-BB26719116DE}"/>
    <cellStyle name="Normal 4 2 2 5 2 4 3 5" xfId="14405" xr:uid="{A1C9892C-EE80-423E-8480-5A3E66173AF6}"/>
    <cellStyle name="Normal 4 2 2 5 2 4 4" xfId="27051" xr:uid="{6B1FDD7A-51CE-4459-B544-A9963FB0F900}"/>
    <cellStyle name="Normal 4 2 2 5 2 4 5" xfId="18622" xr:uid="{71359E51-4734-446E-B92A-9381EC3A36FC}"/>
    <cellStyle name="Normal 4 2 2 5 2 4 6" xfId="35480" xr:uid="{23333563-AC96-46E8-BB1B-D304E5306368}"/>
    <cellStyle name="Normal 4 2 2 5 2 4 7" xfId="10187" xr:uid="{A0B8C3A2-BE63-4844-8FDB-D186F967E81B}"/>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33827" xr:uid="{5B21E47E-A04C-479F-9B74-AA6A05C280F0}"/>
    <cellStyle name="Normal 4 2 2 5 2 5 2 2 3" xfId="25398" xr:uid="{7D1DB851-5DC5-4903-A201-1F9F9349D4E3}"/>
    <cellStyle name="Normal 4 2 2 5 2 5 2 2 4" xfId="42255" xr:uid="{6BAA78B1-6339-4EEA-B3E0-09FB554481CA}"/>
    <cellStyle name="Normal 4 2 2 5 2 5 2 2 5" xfId="16963" xr:uid="{ABACF9BC-91DC-4463-9AA7-BF6A65870261}"/>
    <cellStyle name="Normal 4 2 2 5 2 5 2 3" xfId="29609" xr:uid="{EA2D2A55-5410-46B7-AE25-0026C9EDE2B9}"/>
    <cellStyle name="Normal 4 2 2 5 2 5 2 4" xfId="21180" xr:uid="{275989B1-868C-4143-8948-86F3D7B3A9EE}"/>
    <cellStyle name="Normal 4 2 2 5 2 5 2 5" xfId="38038" xr:uid="{C19D9727-E356-48D8-B630-F5E172A45A59}"/>
    <cellStyle name="Normal 4 2 2 5 2 5 2 6" xfId="12745" xr:uid="{49B5BC00-C6B0-44A9-B2A5-5F3186FAC6B7}"/>
    <cellStyle name="Normal 4 2 2 5 2 5 3" xfId="6383" xr:uid="{00000000-0005-0000-0000-0000F3120000}"/>
    <cellStyle name="Normal 4 2 2 5 2 5 3 2" xfId="31682" xr:uid="{D8C8A3A1-BB35-43F3-AE78-1B1342CB71D7}"/>
    <cellStyle name="Normal 4 2 2 5 2 5 3 3" xfId="23253" xr:uid="{2F481C57-5A7C-4D8A-BBFE-04AD1110626C}"/>
    <cellStyle name="Normal 4 2 2 5 2 5 3 4" xfId="40110" xr:uid="{60EA4573-46C6-4C70-82CB-C3E44265959E}"/>
    <cellStyle name="Normal 4 2 2 5 2 5 3 5" xfId="14818" xr:uid="{59EE3CBA-D52B-451C-A614-8423EE6BAFDC}"/>
    <cellStyle name="Normal 4 2 2 5 2 5 4" xfId="27464" xr:uid="{9C900799-E17B-4B92-8F86-9F29366EA94F}"/>
    <cellStyle name="Normal 4 2 2 5 2 5 5" xfId="19035" xr:uid="{93F61009-E5FA-4C15-9301-272399819E90}"/>
    <cellStyle name="Normal 4 2 2 5 2 5 6" xfId="35893" xr:uid="{1913956F-BBB0-4CC3-B4E0-73D1AB655D77}"/>
    <cellStyle name="Normal 4 2 2 5 2 5 7" xfId="10600" xr:uid="{CB5B7C78-AE0C-4DF5-9342-3CB5F6FF471C}"/>
    <cellStyle name="Normal 4 2 2 5 2 6" xfId="2512" xr:uid="{00000000-0005-0000-0000-0000F4120000}"/>
    <cellStyle name="Normal 4 2 2 5 2 6 2" xfId="6796" xr:uid="{00000000-0005-0000-0000-0000F5120000}"/>
    <cellStyle name="Normal 4 2 2 5 2 6 2 2" xfId="32095" xr:uid="{78C3648A-A584-4554-A052-D012EE6EE446}"/>
    <cellStyle name="Normal 4 2 2 5 2 6 2 3" xfId="23666" xr:uid="{0A15F46A-FCF8-4BEC-9087-CEFC23799298}"/>
    <cellStyle name="Normal 4 2 2 5 2 6 2 4" xfId="40523" xr:uid="{3BA6C09C-086D-49D3-9C38-D7D1F5AEB591}"/>
    <cellStyle name="Normal 4 2 2 5 2 6 2 5" xfId="15231" xr:uid="{2A314B47-1725-4D98-89B2-79F9E80F9426}"/>
    <cellStyle name="Normal 4 2 2 5 2 6 3" xfId="27877" xr:uid="{2396E0FF-6898-484C-8239-13DB75B5CECD}"/>
    <cellStyle name="Normal 4 2 2 5 2 6 4" xfId="19448" xr:uid="{C34382BB-5C96-4024-A8A6-7F57D09AA5E6}"/>
    <cellStyle name="Normal 4 2 2 5 2 6 5" xfId="36306" xr:uid="{F90C5FF1-CE47-489E-81CF-218B47880980}"/>
    <cellStyle name="Normal 4 2 2 5 2 6 6" xfId="11013" xr:uid="{65FB8B05-FC65-413C-A23A-624CBEAE3FD2}"/>
    <cellStyle name="Normal 4 2 2 5 2 7" xfId="4731" xr:uid="{00000000-0005-0000-0000-0000F6120000}"/>
    <cellStyle name="Normal 4 2 2 5 2 7 2" xfId="30030" xr:uid="{B4CE72D7-E98B-4F95-AD97-1E9DE5E3C03A}"/>
    <cellStyle name="Normal 4 2 2 5 2 7 3" xfId="21601" xr:uid="{F1171F9A-382C-4ADA-96F3-637A9F638169}"/>
    <cellStyle name="Normal 4 2 2 5 2 7 4" xfId="38458" xr:uid="{DFBCFCF1-2BA2-4BAB-9B5F-40F369B75E12}"/>
    <cellStyle name="Normal 4 2 2 5 2 7 5" xfId="13166" xr:uid="{8A2DB787-77F8-4B5C-821E-6612E685E265}"/>
    <cellStyle name="Normal 4 2 2 5 2 8" xfId="25812" xr:uid="{3CF66443-2E16-46B6-A472-5706B20852E6}"/>
    <cellStyle name="Normal 4 2 2 5 2 9" xfId="17383" xr:uid="{74BA4D4E-8CE3-4656-B262-AD4F5F4AF40D}"/>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32587" xr:uid="{683C18CD-0FEA-4E16-8357-7617BA0B93E0}"/>
    <cellStyle name="Normal 4 2 2 5 3 2 2 3" xfId="24158" xr:uid="{26188981-1E9A-44BD-A6B8-43D09C1D26E4}"/>
    <cellStyle name="Normal 4 2 2 5 3 2 2 4" xfId="41015" xr:uid="{156C3783-7B73-4E42-819B-7C0B0B44EE08}"/>
    <cellStyle name="Normal 4 2 2 5 3 2 2 5" xfId="15723" xr:uid="{F8CD42D3-3B8B-4DDD-A50A-FE67D5FDCF7C}"/>
    <cellStyle name="Normal 4 2 2 5 3 2 3" xfId="28369" xr:uid="{E09842B1-EA32-46B4-8D68-43CDC202F4FC}"/>
    <cellStyle name="Normal 4 2 2 5 3 2 4" xfId="19940" xr:uid="{80FD38B9-931C-4048-A9A7-822E67462E0F}"/>
    <cellStyle name="Normal 4 2 2 5 3 2 5" xfId="36798" xr:uid="{11927846-53C2-47FF-B97C-D509D0ABC21A}"/>
    <cellStyle name="Normal 4 2 2 5 3 2 6" xfId="11505" xr:uid="{DB169C9E-F8F7-473E-AF1A-50B870D05788}"/>
    <cellStyle name="Normal 4 2 2 5 3 3" xfId="5143" xr:uid="{00000000-0005-0000-0000-0000FA120000}"/>
    <cellStyle name="Normal 4 2 2 5 3 3 2" xfId="30442" xr:uid="{3F3BA518-3317-476A-9374-99EAC9065002}"/>
    <cellStyle name="Normal 4 2 2 5 3 3 3" xfId="22013" xr:uid="{83F7ED7A-4D3B-477B-A568-3ECAC4591FC7}"/>
    <cellStyle name="Normal 4 2 2 5 3 3 4" xfId="38870" xr:uid="{856CCE71-374F-432C-800A-EBD19FD58BD5}"/>
    <cellStyle name="Normal 4 2 2 5 3 3 5" xfId="13578" xr:uid="{568ED21C-140E-42F9-BA40-3D39BB9B778A}"/>
    <cellStyle name="Normal 4 2 2 5 3 4" xfId="26224" xr:uid="{8195B46C-C9AC-45A4-96A3-8E2C5F699B50}"/>
    <cellStyle name="Normal 4 2 2 5 3 5" xfId="17795" xr:uid="{B0428A4E-21F3-42DE-9B11-309060972047}"/>
    <cellStyle name="Normal 4 2 2 5 3 6" xfId="34653" xr:uid="{7BAE9BF0-1A53-4981-A544-13D8E62DDCC7}"/>
    <cellStyle name="Normal 4 2 2 5 3 7" xfId="9360" xr:uid="{7B9DA591-581C-4C8A-963B-0E286CB20219}"/>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33000" xr:uid="{DBCF4A60-A956-4A48-8A94-0B62F06B1B3B}"/>
    <cellStyle name="Normal 4 2 2 5 4 2 2 3" xfId="24571" xr:uid="{3E768E45-FCBC-4E74-AE42-65B1A78B53C2}"/>
    <cellStyle name="Normal 4 2 2 5 4 2 2 4" xfId="41428" xr:uid="{E4687941-830C-4C65-9B79-5C711F6D2799}"/>
    <cellStyle name="Normal 4 2 2 5 4 2 2 5" xfId="16136" xr:uid="{7E0D422D-D240-491F-A049-2B5E954251B3}"/>
    <cellStyle name="Normal 4 2 2 5 4 2 3" xfId="28782" xr:uid="{8CFEF34F-75DA-41EE-B775-6E5A227CED00}"/>
    <cellStyle name="Normal 4 2 2 5 4 2 4" xfId="20353" xr:uid="{D571FED0-1934-4974-99C3-F75BBD401B18}"/>
    <cellStyle name="Normal 4 2 2 5 4 2 5" xfId="37211" xr:uid="{D0AB3D30-D635-4609-8D44-9B7E06F15354}"/>
    <cellStyle name="Normal 4 2 2 5 4 2 6" xfId="11918" xr:uid="{76C2D531-174A-4589-AD8D-2A85A85EED4D}"/>
    <cellStyle name="Normal 4 2 2 5 4 3" xfId="5556" xr:uid="{00000000-0005-0000-0000-0000FE120000}"/>
    <cellStyle name="Normal 4 2 2 5 4 3 2" xfId="30855" xr:uid="{1664F396-8A31-423B-9953-A34EA53C3F96}"/>
    <cellStyle name="Normal 4 2 2 5 4 3 3" xfId="22426" xr:uid="{B4A3E678-4DA1-487D-ABC5-34DEB51CFC91}"/>
    <cellStyle name="Normal 4 2 2 5 4 3 4" xfId="39283" xr:uid="{E5C00A17-6567-43FB-B8E1-47F8CA44F8AB}"/>
    <cellStyle name="Normal 4 2 2 5 4 3 5" xfId="13991" xr:uid="{6A624766-6AE1-4B3C-B4C6-638114D43492}"/>
    <cellStyle name="Normal 4 2 2 5 4 4" xfId="26637" xr:uid="{390BEB71-C147-4F01-AA20-E1279316A195}"/>
    <cellStyle name="Normal 4 2 2 5 4 5" xfId="18208" xr:uid="{7C0E6531-6C00-4947-8002-521B833A042D}"/>
    <cellStyle name="Normal 4 2 2 5 4 6" xfId="35066" xr:uid="{4D78A8DF-A57A-44F8-959D-C7B3427A92E6}"/>
    <cellStyle name="Normal 4 2 2 5 4 7" xfId="9773" xr:uid="{CFADDF10-DE87-4C69-91FE-255103A93498}"/>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33413" xr:uid="{3E26C669-87C2-4FE4-981D-589ECBACA570}"/>
    <cellStyle name="Normal 4 2 2 5 5 2 2 3" xfId="24984" xr:uid="{62F229FD-79E7-428C-9716-0EBB28CD0963}"/>
    <cellStyle name="Normal 4 2 2 5 5 2 2 4" xfId="41841" xr:uid="{273C047B-6D01-43BC-84A9-E5374E93BE53}"/>
    <cellStyle name="Normal 4 2 2 5 5 2 2 5" xfId="16549" xr:uid="{3AC013AA-3BD5-4FE7-A9FB-95FC362CE9CB}"/>
    <cellStyle name="Normal 4 2 2 5 5 2 3" xfId="29195" xr:uid="{51B42217-BAFD-49C6-9244-B10C04538825}"/>
    <cellStyle name="Normal 4 2 2 5 5 2 4" xfId="20766" xr:uid="{4D765E82-5BFE-4DE5-ABEE-77A24EB060B1}"/>
    <cellStyle name="Normal 4 2 2 5 5 2 5" xfId="37624" xr:uid="{3BD33415-225F-4961-A76D-1C26BBFD0FF6}"/>
    <cellStyle name="Normal 4 2 2 5 5 2 6" xfId="12331" xr:uid="{91A24A07-D640-469F-A8DC-0351D9E29464}"/>
    <cellStyle name="Normal 4 2 2 5 5 3" xfId="5969" xr:uid="{00000000-0005-0000-0000-000002130000}"/>
    <cellStyle name="Normal 4 2 2 5 5 3 2" xfId="31268" xr:uid="{B7F45D67-72EF-4D10-ABFB-1BE26FF04E27}"/>
    <cellStyle name="Normal 4 2 2 5 5 3 3" xfId="22839" xr:uid="{798F9537-88FA-410B-B3C9-C0DCAE84C1CF}"/>
    <cellStyle name="Normal 4 2 2 5 5 3 4" xfId="39696" xr:uid="{B6B9CA03-214D-4773-8E55-4C788D0C4BB8}"/>
    <cellStyle name="Normal 4 2 2 5 5 3 5" xfId="14404" xr:uid="{6099A90E-A894-4DC8-87E2-EBCB4C51BCA4}"/>
    <cellStyle name="Normal 4 2 2 5 5 4" xfId="27050" xr:uid="{370F1BB6-4372-4ED4-9841-DCFAA3EF289D}"/>
    <cellStyle name="Normal 4 2 2 5 5 5" xfId="18621" xr:uid="{C09AA7D9-D556-44BF-8D69-F99A4954E479}"/>
    <cellStyle name="Normal 4 2 2 5 5 6" xfId="35479" xr:uid="{846F77F1-BC3E-4198-9F65-F27681768D03}"/>
    <cellStyle name="Normal 4 2 2 5 5 7" xfId="10186" xr:uid="{E4313B4A-4987-472B-B1EF-721653DB70EF}"/>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33826" xr:uid="{D58DD05B-9069-4FC7-80B6-4B599D878028}"/>
    <cellStyle name="Normal 4 2 2 5 6 2 2 3" xfId="25397" xr:uid="{4109F5CD-394D-4370-BA4E-D232D433C5B7}"/>
    <cellStyle name="Normal 4 2 2 5 6 2 2 4" xfId="42254" xr:uid="{83B93237-3EC7-4509-A627-5D8574A87E40}"/>
    <cellStyle name="Normal 4 2 2 5 6 2 2 5" xfId="16962" xr:uid="{3AE75F66-C9F7-43B8-90D4-44C1CA2D84BA}"/>
    <cellStyle name="Normal 4 2 2 5 6 2 3" xfId="29608" xr:uid="{F717421A-BD75-4404-9851-A64D00DCBA35}"/>
    <cellStyle name="Normal 4 2 2 5 6 2 4" xfId="21179" xr:uid="{877660E2-0353-41B3-8DBF-BBB9DB9441DF}"/>
    <cellStyle name="Normal 4 2 2 5 6 2 5" xfId="38037" xr:uid="{5CF9CF2B-8FA7-44A1-BA6B-5DAC0D1F0675}"/>
    <cellStyle name="Normal 4 2 2 5 6 2 6" xfId="12744" xr:uid="{280260B8-3BD1-4E25-80E3-D916376EDB6A}"/>
    <cellStyle name="Normal 4 2 2 5 6 3" xfId="6382" xr:uid="{00000000-0005-0000-0000-000006130000}"/>
    <cellStyle name="Normal 4 2 2 5 6 3 2" xfId="31681" xr:uid="{03D84923-2E19-4A37-86D1-896B36668350}"/>
    <cellStyle name="Normal 4 2 2 5 6 3 3" xfId="23252" xr:uid="{6A6CE70B-981A-4E91-85CA-B3AB58AB8FDC}"/>
    <cellStyle name="Normal 4 2 2 5 6 3 4" xfId="40109" xr:uid="{B21276E3-0761-479E-978C-B903FACDA36E}"/>
    <cellStyle name="Normal 4 2 2 5 6 3 5" xfId="14817" xr:uid="{BDC9F384-E640-4E1F-9FAB-5CEB6DCE3502}"/>
    <cellStyle name="Normal 4 2 2 5 6 4" xfId="27463" xr:uid="{2823B15D-5A5B-4064-9D02-56D1AD146C5A}"/>
    <cellStyle name="Normal 4 2 2 5 6 5" xfId="19034" xr:uid="{8871193E-A77E-4C93-B74A-3B131B1082E4}"/>
    <cellStyle name="Normal 4 2 2 5 6 6" xfId="35892" xr:uid="{83D6BA0F-80A0-4D85-89F4-FD2A4C439077}"/>
    <cellStyle name="Normal 4 2 2 5 6 7" xfId="10599" xr:uid="{9F8427A4-061D-45A7-81EA-01D5FA75A63D}"/>
    <cellStyle name="Normal 4 2 2 5 7" xfId="2511" xr:uid="{00000000-0005-0000-0000-000007130000}"/>
    <cellStyle name="Normal 4 2 2 5 7 2" xfId="6795" xr:uid="{00000000-0005-0000-0000-000008130000}"/>
    <cellStyle name="Normal 4 2 2 5 7 2 2" xfId="32094" xr:uid="{0E548C02-FEC7-4138-987B-2219E1CC41D0}"/>
    <cellStyle name="Normal 4 2 2 5 7 2 3" xfId="23665" xr:uid="{CB0DCBD6-DBC1-4DE1-A60E-E6187EA66162}"/>
    <cellStyle name="Normal 4 2 2 5 7 2 4" xfId="40522" xr:uid="{30FF9FD5-739C-4A42-8AAD-AC836E71FA1B}"/>
    <cellStyle name="Normal 4 2 2 5 7 2 5" xfId="15230" xr:uid="{8A69220D-54A1-43A7-9DED-61916D684948}"/>
    <cellStyle name="Normal 4 2 2 5 7 3" xfId="27876" xr:uid="{81589AC7-9D5A-471E-B7F0-0E807CF61242}"/>
    <cellStyle name="Normal 4 2 2 5 7 4" xfId="19447" xr:uid="{ED8A60B9-599D-4509-831E-4EEBE2B5313E}"/>
    <cellStyle name="Normal 4 2 2 5 7 5" xfId="36305" xr:uid="{C96CC014-9201-4A5A-A78A-4FB28DBA72B4}"/>
    <cellStyle name="Normal 4 2 2 5 7 6" xfId="11012" xr:uid="{A786A4EE-6237-4264-9703-52B9964CF24D}"/>
    <cellStyle name="Normal 4 2 2 5 8" xfId="4730" xr:uid="{00000000-0005-0000-0000-000009130000}"/>
    <cellStyle name="Normal 4 2 2 5 8 2" xfId="30029" xr:uid="{65FCDDFD-2F25-4D65-ADAB-ECDDA6A8D6B9}"/>
    <cellStyle name="Normal 4 2 2 5 8 3" xfId="21600" xr:uid="{7F10C5F5-4146-4D9C-8AE4-95E44B890BA2}"/>
    <cellStyle name="Normal 4 2 2 5 8 4" xfId="38457" xr:uid="{7236F157-F208-4F23-9DAF-A1E87ABBF977}"/>
    <cellStyle name="Normal 4 2 2 5 8 5" xfId="13165" xr:uid="{2262A6D0-2890-4AA1-A667-91D766F87E5A}"/>
    <cellStyle name="Normal 4 2 2 5 9" xfId="25811" xr:uid="{ED4BBEA8-D04F-47AB-9357-586F70F045D9}"/>
    <cellStyle name="Normal 4 2 2 6" xfId="353" xr:uid="{00000000-0005-0000-0000-00000A130000}"/>
    <cellStyle name="Normal 4 2 2 6 10" xfId="34242" xr:uid="{1A3D785B-CB44-49AD-A6FE-9E4840474BF7}"/>
    <cellStyle name="Normal 4 2 2 6 11" xfId="8949" xr:uid="{D1B27465-D853-48D5-B4ED-CE6AC3C8A2C5}"/>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32589" xr:uid="{8E344E0D-8081-47D6-9A35-D73F78D8C31F}"/>
    <cellStyle name="Normal 4 2 2 6 2 2 2 3" xfId="24160" xr:uid="{C1FD1A69-A078-4A5A-90C1-6B146664F943}"/>
    <cellStyle name="Normal 4 2 2 6 2 2 2 4" xfId="41017" xr:uid="{07640A22-D0FE-4626-9314-B4DA66774ED1}"/>
    <cellStyle name="Normal 4 2 2 6 2 2 2 5" xfId="15725" xr:uid="{AE6B668D-4CBC-4885-A75D-449BA28B1785}"/>
    <cellStyle name="Normal 4 2 2 6 2 2 3" xfId="28371" xr:uid="{F854D7F4-AD97-428D-BBE1-14C497DDFF26}"/>
    <cellStyle name="Normal 4 2 2 6 2 2 4" xfId="19942" xr:uid="{CA450136-442B-45BA-B95F-31DBE061FC2D}"/>
    <cellStyle name="Normal 4 2 2 6 2 2 5" xfId="36800" xr:uid="{075DDF91-B049-4159-8F58-A17377B25AA9}"/>
    <cellStyle name="Normal 4 2 2 6 2 2 6" xfId="11507" xr:uid="{0BE9DA75-E91E-4E48-A4E4-B13EE2FE0ABD}"/>
    <cellStyle name="Normal 4 2 2 6 2 3" xfId="5145" xr:uid="{00000000-0005-0000-0000-00000E130000}"/>
    <cellStyle name="Normal 4 2 2 6 2 3 2" xfId="30444" xr:uid="{2D325F7E-1666-4F7A-9252-367B7CF3793E}"/>
    <cellStyle name="Normal 4 2 2 6 2 3 3" xfId="22015" xr:uid="{1BAF979A-37AE-4695-981B-77E7634D51CA}"/>
    <cellStyle name="Normal 4 2 2 6 2 3 4" xfId="38872" xr:uid="{F11DF584-956C-445F-A347-F12963B4A159}"/>
    <cellStyle name="Normal 4 2 2 6 2 3 5" xfId="13580" xr:uid="{CCABD6B8-E499-4467-B91F-525F4B2E3D66}"/>
    <cellStyle name="Normal 4 2 2 6 2 4" xfId="26226" xr:uid="{3FF115D9-AEE5-49BA-A510-3F0D85C2454E}"/>
    <cellStyle name="Normal 4 2 2 6 2 5" xfId="17797" xr:uid="{9BFD851F-C573-454D-B139-8EF9FA6DF534}"/>
    <cellStyle name="Normal 4 2 2 6 2 6" xfId="34655" xr:uid="{BB428D12-E019-4B6D-9FE2-9583A2A3D7B2}"/>
    <cellStyle name="Normal 4 2 2 6 2 7" xfId="9362" xr:uid="{DA05D9B5-50A4-48FC-A2EB-3D61C5112EE7}"/>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33002" xr:uid="{48B314E5-F22C-4472-BB25-7147C6C5D537}"/>
    <cellStyle name="Normal 4 2 2 6 3 2 2 3" xfId="24573" xr:uid="{1BF77797-D45C-411B-B99D-667182EB0E76}"/>
    <cellStyle name="Normal 4 2 2 6 3 2 2 4" xfId="41430" xr:uid="{7795F440-9E3B-42B9-8401-916860120A2E}"/>
    <cellStyle name="Normal 4 2 2 6 3 2 2 5" xfId="16138" xr:uid="{64CC1029-EE28-4E00-8525-24E77AE10706}"/>
    <cellStyle name="Normal 4 2 2 6 3 2 3" xfId="28784" xr:uid="{DD375244-2EFB-41B2-8EC0-AD31EBFB4663}"/>
    <cellStyle name="Normal 4 2 2 6 3 2 4" xfId="20355" xr:uid="{F2512F0D-35F3-485D-8D51-673DC1360CE3}"/>
    <cellStyle name="Normal 4 2 2 6 3 2 5" xfId="37213" xr:uid="{6E7C6986-EC16-4C42-BC78-5EC43395F5E2}"/>
    <cellStyle name="Normal 4 2 2 6 3 2 6" xfId="11920" xr:uid="{6C38D271-8990-4C94-9C62-883B12287ADF}"/>
    <cellStyle name="Normal 4 2 2 6 3 3" xfId="5558" xr:uid="{00000000-0005-0000-0000-000012130000}"/>
    <cellStyle name="Normal 4 2 2 6 3 3 2" xfId="30857" xr:uid="{302CED8D-5746-4B31-B29A-AF120674903F}"/>
    <cellStyle name="Normal 4 2 2 6 3 3 3" xfId="22428" xr:uid="{2A6CEA08-7143-40EF-9E2A-182F6B9B2CAC}"/>
    <cellStyle name="Normal 4 2 2 6 3 3 4" xfId="39285" xr:uid="{320DD497-2722-4593-97CF-03011A74A220}"/>
    <cellStyle name="Normal 4 2 2 6 3 3 5" xfId="13993" xr:uid="{EB9951BF-B1E8-439B-97BE-6D41DB98B9AC}"/>
    <cellStyle name="Normal 4 2 2 6 3 4" xfId="26639" xr:uid="{532A6711-9E3D-4302-8934-354DDCAE0C9F}"/>
    <cellStyle name="Normal 4 2 2 6 3 5" xfId="18210" xr:uid="{AEAADD4D-FA78-40D8-B616-6591DCFD4137}"/>
    <cellStyle name="Normal 4 2 2 6 3 6" xfId="35068" xr:uid="{8EB76A23-CB58-4104-990D-A9AB01254708}"/>
    <cellStyle name="Normal 4 2 2 6 3 7" xfId="9775" xr:uid="{C09FAA9D-0DC2-4889-AF4C-DFA8522C63BA}"/>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33415" xr:uid="{E980CAD5-3EB7-43D4-8297-3B84B688C140}"/>
    <cellStyle name="Normal 4 2 2 6 4 2 2 3" xfId="24986" xr:uid="{C7D9DD2D-6D84-494D-B655-7ADA515CC0E1}"/>
    <cellStyle name="Normal 4 2 2 6 4 2 2 4" xfId="41843" xr:uid="{CA5514FA-B6C2-4FEA-A4CD-B45B97E27EBE}"/>
    <cellStyle name="Normal 4 2 2 6 4 2 2 5" xfId="16551" xr:uid="{A3C315C1-85A3-4CA8-8E35-718C65048657}"/>
    <cellStyle name="Normal 4 2 2 6 4 2 3" xfId="29197" xr:uid="{FC3BF213-4FD5-4C96-B678-90D0FEEDA1F7}"/>
    <cellStyle name="Normal 4 2 2 6 4 2 4" xfId="20768" xr:uid="{3975906C-C3AA-4CF3-ABD7-E9FA3B2CEDED}"/>
    <cellStyle name="Normal 4 2 2 6 4 2 5" xfId="37626" xr:uid="{0F0CE9DE-9505-4D4F-BAB5-E40161E02A00}"/>
    <cellStyle name="Normal 4 2 2 6 4 2 6" xfId="12333" xr:uid="{4C19F840-C0F3-4237-B159-9E0785F60AA2}"/>
    <cellStyle name="Normal 4 2 2 6 4 3" xfId="5971" xr:uid="{00000000-0005-0000-0000-000016130000}"/>
    <cellStyle name="Normal 4 2 2 6 4 3 2" xfId="31270" xr:uid="{79607750-C0D5-4643-B8CA-77618577F7F3}"/>
    <cellStyle name="Normal 4 2 2 6 4 3 3" xfId="22841" xr:uid="{293ACF5F-9E57-4CCD-B1B3-FFCA21F6849C}"/>
    <cellStyle name="Normal 4 2 2 6 4 3 4" xfId="39698" xr:uid="{D3A0AF3C-12EA-49FD-B915-C573AA3454A4}"/>
    <cellStyle name="Normal 4 2 2 6 4 3 5" xfId="14406" xr:uid="{6BC6F9BB-8358-4DD1-BEC4-5D7D71B41705}"/>
    <cellStyle name="Normal 4 2 2 6 4 4" xfId="27052" xr:uid="{202F4B35-8C13-4569-8CC9-BB6D42513748}"/>
    <cellStyle name="Normal 4 2 2 6 4 5" xfId="18623" xr:uid="{FCABCB32-5070-4A95-83FC-3B00DBCF50F2}"/>
    <cellStyle name="Normal 4 2 2 6 4 6" xfId="35481" xr:uid="{F8255DA2-D452-499D-BA22-63CEFAD3FFCA}"/>
    <cellStyle name="Normal 4 2 2 6 4 7" xfId="10188" xr:uid="{7D9B764D-2DD8-4279-86BC-2BAB27D8A35E}"/>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33828" xr:uid="{9645D7CB-A3F4-4545-BF54-81EFCAB037C8}"/>
    <cellStyle name="Normal 4 2 2 6 5 2 2 3" xfId="25399" xr:uid="{77AD55F1-95BB-42BE-9D54-613818CEF934}"/>
    <cellStyle name="Normal 4 2 2 6 5 2 2 4" xfId="42256" xr:uid="{2286EFF8-4D86-4F2F-B5DD-AFD237C61F5C}"/>
    <cellStyle name="Normal 4 2 2 6 5 2 2 5" xfId="16964" xr:uid="{38F13F6B-2521-4CE5-AF17-4D07BF89C99E}"/>
    <cellStyle name="Normal 4 2 2 6 5 2 3" xfId="29610" xr:uid="{AC5DE262-E964-4BAF-B854-C38778E2EF07}"/>
    <cellStyle name="Normal 4 2 2 6 5 2 4" xfId="21181" xr:uid="{3456487A-341B-4D35-94E3-4E66CB2C4829}"/>
    <cellStyle name="Normal 4 2 2 6 5 2 5" xfId="38039" xr:uid="{1FF49081-C176-478D-82CD-53E5F5AF1845}"/>
    <cellStyle name="Normal 4 2 2 6 5 2 6" xfId="12746" xr:uid="{1B8C90B4-EACE-4C6A-941C-5E0174CCE1D7}"/>
    <cellStyle name="Normal 4 2 2 6 5 3" xfId="6384" xr:uid="{00000000-0005-0000-0000-00001A130000}"/>
    <cellStyle name="Normal 4 2 2 6 5 3 2" xfId="31683" xr:uid="{490240B8-4F23-406B-BB8E-875E9248E3AB}"/>
    <cellStyle name="Normal 4 2 2 6 5 3 3" xfId="23254" xr:uid="{541019E4-C13C-4100-8EA6-038FFF9DBD00}"/>
    <cellStyle name="Normal 4 2 2 6 5 3 4" xfId="40111" xr:uid="{82DD8EAD-935A-4EAF-A798-C6FC27DC763F}"/>
    <cellStyle name="Normal 4 2 2 6 5 3 5" xfId="14819" xr:uid="{7D86EE4C-A246-43F6-AF8D-C2A2E191A67B}"/>
    <cellStyle name="Normal 4 2 2 6 5 4" xfId="27465" xr:uid="{5A802004-304C-4FA1-8F1E-20F5038495F6}"/>
    <cellStyle name="Normal 4 2 2 6 5 5" xfId="19036" xr:uid="{1431252F-AD28-47E5-A042-58C4B37993E6}"/>
    <cellStyle name="Normal 4 2 2 6 5 6" xfId="35894" xr:uid="{3736464A-ED8E-48C6-A205-AE3DB1069E7A}"/>
    <cellStyle name="Normal 4 2 2 6 5 7" xfId="10601" xr:uid="{2B9746BB-FFD8-4926-9A96-0FCA7D098589}"/>
    <cellStyle name="Normal 4 2 2 6 6" xfId="2513" xr:uid="{00000000-0005-0000-0000-00001B130000}"/>
    <cellStyle name="Normal 4 2 2 6 6 2" xfId="6797" xr:uid="{00000000-0005-0000-0000-00001C130000}"/>
    <cellStyle name="Normal 4 2 2 6 6 2 2" xfId="32096" xr:uid="{F093EDE4-A71D-4D38-8CDD-3A80DCCA2839}"/>
    <cellStyle name="Normal 4 2 2 6 6 2 3" xfId="23667" xr:uid="{0E5CC16D-282C-487F-AA6C-A4429C30372C}"/>
    <cellStyle name="Normal 4 2 2 6 6 2 4" xfId="40524" xr:uid="{FE8C1243-49CE-4460-8A2F-93B3C9583F5A}"/>
    <cellStyle name="Normal 4 2 2 6 6 2 5" xfId="15232" xr:uid="{FB63ACF5-6799-4616-991B-5DAF0D4127F4}"/>
    <cellStyle name="Normal 4 2 2 6 6 3" xfId="27878" xr:uid="{B148C763-13D8-4A55-BC2D-51BDAE7AD588}"/>
    <cellStyle name="Normal 4 2 2 6 6 4" xfId="19449" xr:uid="{789CAAD4-0868-4EBB-AD85-7F7165445A48}"/>
    <cellStyle name="Normal 4 2 2 6 6 5" xfId="36307" xr:uid="{FD4C997B-DAF5-4A5C-B428-F76F06F57795}"/>
    <cellStyle name="Normal 4 2 2 6 6 6" xfId="11014" xr:uid="{323868F0-9C1C-43B1-BA5B-886D627C478E}"/>
    <cellStyle name="Normal 4 2 2 6 7" xfId="4732" xr:uid="{00000000-0005-0000-0000-00001D130000}"/>
    <cellStyle name="Normal 4 2 2 6 7 2" xfId="30031" xr:uid="{ECA08645-B0CF-4612-ABA0-DD487D2486E7}"/>
    <cellStyle name="Normal 4 2 2 6 7 3" xfId="21602" xr:uid="{5CC2C6AC-7DDB-4948-AF90-98CE2543F60A}"/>
    <cellStyle name="Normal 4 2 2 6 7 4" xfId="38459" xr:uid="{71E9DB1F-7AC2-463E-BAD5-2DBC25514E75}"/>
    <cellStyle name="Normal 4 2 2 6 7 5" xfId="13167" xr:uid="{45F3EA3A-3085-44FE-8D1B-14E473E983F3}"/>
    <cellStyle name="Normal 4 2 2 6 8" xfId="25813" xr:uid="{B29DBD01-77DD-4D01-A096-F5A0BDE2D48E}"/>
    <cellStyle name="Normal 4 2 2 6 9" xfId="17384" xr:uid="{3ACFDF24-8489-4E65-AB6F-A33C9952B2A5}"/>
    <cellStyle name="Normal 4 2 2 7" xfId="815" xr:uid="{00000000-0005-0000-0000-00001E130000}"/>
    <cellStyle name="Normal 4 2 2 7 2" xfId="3052" xr:uid="{00000000-0005-0000-0000-00001F130000}"/>
    <cellStyle name="Normal 4 2 2 7 2 2" xfId="7275" xr:uid="{00000000-0005-0000-0000-000020130000}"/>
    <cellStyle name="Normal 4 2 2 7 2 2 2" xfId="32574" xr:uid="{625CBAD0-62A8-46F9-AF44-8439365A33CE}"/>
    <cellStyle name="Normal 4 2 2 7 2 2 3" xfId="24145" xr:uid="{3C2DDA4A-F9DA-4356-8878-DB179BD1A8A5}"/>
    <cellStyle name="Normal 4 2 2 7 2 2 4" xfId="41002" xr:uid="{F103EA52-9AE6-493D-BFB6-A7B14037433F}"/>
    <cellStyle name="Normal 4 2 2 7 2 2 5" xfId="15710" xr:uid="{9B2064CC-1300-4F9B-A0BA-CAACBFE373A4}"/>
    <cellStyle name="Normal 4 2 2 7 2 3" xfId="28356" xr:uid="{C44A2992-E765-40A6-B06C-59D5F860B00D}"/>
    <cellStyle name="Normal 4 2 2 7 2 4" xfId="19927" xr:uid="{6D74E823-995D-43FC-B7B6-5BEF7065E48F}"/>
    <cellStyle name="Normal 4 2 2 7 2 5" xfId="36785" xr:uid="{502D1C17-5D05-4CC7-B62B-7315B37FB241}"/>
    <cellStyle name="Normal 4 2 2 7 2 6" xfId="11492" xr:uid="{99D748F7-B6D9-4996-856F-12D7D325DF49}"/>
    <cellStyle name="Normal 4 2 2 7 3" xfId="5130" xr:uid="{00000000-0005-0000-0000-000021130000}"/>
    <cellStyle name="Normal 4 2 2 7 3 2" xfId="30429" xr:uid="{658871E1-2F90-4BC9-BC9A-BD7AC49B9816}"/>
    <cellStyle name="Normal 4 2 2 7 3 3" xfId="22000" xr:uid="{3FEC877B-31CE-4842-B6AC-0255045BD3F4}"/>
    <cellStyle name="Normal 4 2 2 7 3 4" xfId="38857" xr:uid="{3F16D162-9F41-42A0-9EA8-AAEC416FC18F}"/>
    <cellStyle name="Normal 4 2 2 7 3 5" xfId="13565" xr:uid="{C576A981-79E4-4D9D-900B-E6001D83AE34}"/>
    <cellStyle name="Normal 4 2 2 7 4" xfId="26211" xr:uid="{FB96B1CF-134D-48D6-8C81-BF2BE676962F}"/>
    <cellStyle name="Normal 4 2 2 7 5" xfId="17782" xr:uid="{97F4ADEC-02F8-4642-B5C7-63BE3F5A8B11}"/>
    <cellStyle name="Normal 4 2 2 7 6" xfId="34640" xr:uid="{AD3AD722-3FE2-4BCC-A554-686B6C1BAD83}"/>
    <cellStyle name="Normal 4 2 2 7 7" xfId="9347" xr:uid="{B57C4FF3-DCC9-4606-8648-10B81D134EB5}"/>
    <cellStyle name="Normal 4 2 2 8" xfId="1235" xr:uid="{00000000-0005-0000-0000-000022130000}"/>
    <cellStyle name="Normal 4 2 2 8 2" xfId="3465" xr:uid="{00000000-0005-0000-0000-000023130000}"/>
    <cellStyle name="Normal 4 2 2 8 2 2" xfId="7688" xr:uid="{00000000-0005-0000-0000-000024130000}"/>
    <cellStyle name="Normal 4 2 2 8 2 2 2" xfId="32987" xr:uid="{BBAA8941-FB74-44A5-BDF8-6296FB8783BF}"/>
    <cellStyle name="Normal 4 2 2 8 2 2 3" xfId="24558" xr:uid="{6A32ECF1-A46C-4618-B1D4-274851083B8F}"/>
    <cellStyle name="Normal 4 2 2 8 2 2 4" xfId="41415" xr:uid="{17F426D3-38F2-4182-AC50-7BF761A9DAC1}"/>
    <cellStyle name="Normal 4 2 2 8 2 2 5" xfId="16123" xr:uid="{BE4F7895-0064-4869-8B2E-1B537B613779}"/>
    <cellStyle name="Normal 4 2 2 8 2 3" xfId="28769" xr:uid="{49C11810-4C84-4E15-8E10-A35D07074419}"/>
    <cellStyle name="Normal 4 2 2 8 2 4" xfId="20340" xr:uid="{12386A8F-DFCD-4CEB-93FB-8600F97CE006}"/>
    <cellStyle name="Normal 4 2 2 8 2 5" xfId="37198" xr:uid="{D309DE2A-BC69-4803-AB38-AAC20465D0B7}"/>
    <cellStyle name="Normal 4 2 2 8 2 6" xfId="11905" xr:uid="{5AE9E5A3-AB8C-456E-9D16-DD4E7A1DF921}"/>
    <cellStyle name="Normal 4 2 2 8 3" xfId="5543" xr:uid="{00000000-0005-0000-0000-000025130000}"/>
    <cellStyle name="Normal 4 2 2 8 3 2" xfId="30842" xr:uid="{F51286EF-995F-4FFF-BB12-F2643D1D50BA}"/>
    <cellStyle name="Normal 4 2 2 8 3 3" xfId="22413" xr:uid="{43AB584F-D48E-4BFD-B232-E5CF0D31C689}"/>
    <cellStyle name="Normal 4 2 2 8 3 4" xfId="39270" xr:uid="{550D6F8C-EB23-4689-A659-34CD99D78021}"/>
    <cellStyle name="Normal 4 2 2 8 3 5" xfId="13978" xr:uid="{084902EC-27C2-43F7-A17C-573BB2A0DAD8}"/>
    <cellStyle name="Normal 4 2 2 8 4" xfId="26624" xr:uid="{C130A6E3-350D-4C8F-8EE1-CD13EF859E1D}"/>
    <cellStyle name="Normal 4 2 2 8 5" xfId="18195" xr:uid="{19FE588D-9AD5-4E78-BBD3-7CE6DBFDC3A6}"/>
    <cellStyle name="Normal 4 2 2 8 6" xfId="35053" xr:uid="{75B877D5-F0AA-4A31-8E94-6A59C51EB242}"/>
    <cellStyle name="Normal 4 2 2 8 7" xfId="9760" xr:uid="{3894CD3A-B732-4691-9421-29611B139262}"/>
    <cellStyle name="Normal 4 2 2 9" xfId="1648" xr:uid="{00000000-0005-0000-0000-000026130000}"/>
    <cellStyle name="Normal 4 2 2 9 2" xfId="3878" xr:uid="{00000000-0005-0000-0000-000027130000}"/>
    <cellStyle name="Normal 4 2 2 9 2 2" xfId="8101" xr:uid="{00000000-0005-0000-0000-000028130000}"/>
    <cellStyle name="Normal 4 2 2 9 2 2 2" xfId="33400" xr:uid="{9FE51FC9-8C1E-4E38-A561-F309054E0308}"/>
    <cellStyle name="Normal 4 2 2 9 2 2 3" xfId="24971" xr:uid="{167B209F-25B1-4267-B8BE-A5655C30AAAE}"/>
    <cellStyle name="Normal 4 2 2 9 2 2 4" xfId="41828" xr:uid="{E9E30C7A-AFFC-448E-A5CA-0D33C945DF83}"/>
    <cellStyle name="Normal 4 2 2 9 2 2 5" xfId="16536" xr:uid="{B04D8A01-D9CE-48A9-A70A-D64CF8CC20F0}"/>
    <cellStyle name="Normal 4 2 2 9 2 3" xfId="29182" xr:uid="{06667CCA-2989-4F63-A0D6-41AF6B3D66BC}"/>
    <cellStyle name="Normal 4 2 2 9 2 4" xfId="20753" xr:uid="{C91B1EEB-320B-48C2-BC0E-07C8FD0A204C}"/>
    <cellStyle name="Normal 4 2 2 9 2 5" xfId="37611" xr:uid="{63A608F3-2717-4647-A996-24C32C645439}"/>
    <cellStyle name="Normal 4 2 2 9 2 6" xfId="12318" xr:uid="{1FF8962B-C10C-4A15-9436-37FC3637D985}"/>
    <cellStyle name="Normal 4 2 2 9 3" xfId="5956" xr:uid="{00000000-0005-0000-0000-000029130000}"/>
    <cellStyle name="Normal 4 2 2 9 3 2" xfId="31255" xr:uid="{B6D35320-CE64-4C1C-B608-00F70EC66714}"/>
    <cellStyle name="Normal 4 2 2 9 3 3" xfId="22826" xr:uid="{A75931DC-6D3E-41A1-BED8-C5442298C84B}"/>
    <cellStyle name="Normal 4 2 2 9 3 4" xfId="39683" xr:uid="{86753F3E-6EFF-4222-AB9E-314EAB7732FC}"/>
    <cellStyle name="Normal 4 2 2 9 3 5" xfId="14391" xr:uid="{1B25E8B1-FADA-445E-B99D-4AC806282314}"/>
    <cellStyle name="Normal 4 2 2 9 4" xfId="27037" xr:uid="{FDBF514C-4FF4-4286-8DBD-39899863D856}"/>
    <cellStyle name="Normal 4 2 2 9 5" xfId="18608" xr:uid="{169C4743-6DFB-4E51-865F-8A15A6703E29}"/>
    <cellStyle name="Normal 4 2 2 9 6" xfId="35466" xr:uid="{49CDDBA0-321C-4B92-BC55-8B6FC1AA5958}"/>
    <cellStyle name="Normal 4 2 2 9 7" xfId="10173" xr:uid="{118B7BF8-1423-4C3F-9DA4-C7F1123A0852}"/>
    <cellStyle name="Normal 4 2 3" xfId="354" xr:uid="{00000000-0005-0000-0000-00002A130000}"/>
    <cellStyle name="Normal 4 2 4" xfId="355" xr:uid="{00000000-0005-0000-0000-00002B130000}"/>
    <cellStyle name="Normal 4 2 4 10" xfId="4733" xr:uid="{00000000-0005-0000-0000-00002C130000}"/>
    <cellStyle name="Normal 4 2 4 10 2" xfId="30032" xr:uid="{A55E8863-7F2C-461B-BDF8-1FF850079D9A}"/>
    <cellStyle name="Normal 4 2 4 10 3" xfId="21603" xr:uid="{4AF45F1F-10C5-48A2-8574-1E89AB6C3702}"/>
    <cellStyle name="Normal 4 2 4 10 4" xfId="38460" xr:uid="{8CD6840C-AB7D-4454-A88F-5A46947619C6}"/>
    <cellStyle name="Normal 4 2 4 10 5" xfId="13168" xr:uid="{63D6994E-BA2B-45CF-9729-898007B5319D}"/>
    <cellStyle name="Normal 4 2 4 11" xfId="25814" xr:uid="{769487BC-AE7B-47AF-9A65-EAA8E20C1670}"/>
    <cellStyle name="Normal 4 2 4 12" xfId="17385" xr:uid="{118275E9-C36A-41F5-BCA0-BB44BA479BFB}"/>
    <cellStyle name="Normal 4 2 4 13" xfId="34243" xr:uid="{49F4A66C-798C-4024-A6D8-EEF7602027E4}"/>
    <cellStyle name="Normal 4 2 4 14" xfId="8950" xr:uid="{552F5650-F0AC-416B-824D-E2944023C909}"/>
    <cellStyle name="Normal 4 2 4 2" xfId="356" xr:uid="{00000000-0005-0000-0000-00002D130000}"/>
    <cellStyle name="Normal 4 2 4 2 10" xfId="25815" xr:uid="{41B07A70-DF18-4B32-86B5-4295809B6915}"/>
    <cellStyle name="Normal 4 2 4 2 11" xfId="17386" xr:uid="{60CEDE26-4493-4164-AD3E-58196BE37726}"/>
    <cellStyle name="Normal 4 2 4 2 12" xfId="34244" xr:uid="{F4B8646C-2E9E-4942-BECD-7531C6DFB5E8}"/>
    <cellStyle name="Normal 4 2 4 2 13" xfId="8951" xr:uid="{D6344187-9263-426C-B160-5B5E2DC1B3A6}"/>
    <cellStyle name="Normal 4 2 4 2 2" xfId="357" xr:uid="{00000000-0005-0000-0000-00002E130000}"/>
    <cellStyle name="Normal 4 2 4 2 2 10" xfId="17387" xr:uid="{3A25779E-C4B3-4308-8D25-A598B344DA8A}"/>
    <cellStyle name="Normal 4 2 4 2 2 11" xfId="34245" xr:uid="{18133691-1E55-4C2F-8219-5F86E0B866A5}"/>
    <cellStyle name="Normal 4 2 4 2 2 12" xfId="8952" xr:uid="{F5A36D1B-3C64-4804-A867-F00785076345}"/>
    <cellStyle name="Normal 4 2 4 2 2 2" xfId="358" xr:uid="{00000000-0005-0000-0000-00002F130000}"/>
    <cellStyle name="Normal 4 2 4 2 2 2 10" xfId="34246" xr:uid="{F6705E34-80D0-4C4F-B09F-CA78C788A653}"/>
    <cellStyle name="Normal 4 2 4 2 2 2 11" xfId="8953" xr:uid="{AA329867-DB42-49CA-8106-3F8CB1EE2D29}"/>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32593" xr:uid="{0E30F027-D14C-4DD1-9F96-4E3100D01A43}"/>
    <cellStyle name="Normal 4 2 4 2 2 2 2 2 2 3" xfId="24164" xr:uid="{0ED0C0F0-D1AC-4116-B4DE-D704DCB55446}"/>
    <cellStyle name="Normal 4 2 4 2 2 2 2 2 2 4" xfId="41021" xr:uid="{06E43DA8-119D-468D-AE56-97049A685A58}"/>
    <cellStyle name="Normal 4 2 4 2 2 2 2 2 2 5" xfId="15729" xr:uid="{36B45A15-4563-4C2A-A308-E987F7611D66}"/>
    <cellStyle name="Normal 4 2 4 2 2 2 2 2 3" xfId="28375" xr:uid="{82C7B738-9282-48DA-B98B-556C5A24A6A3}"/>
    <cellStyle name="Normal 4 2 4 2 2 2 2 2 4" xfId="19946" xr:uid="{94518BB9-F450-4B0F-A0B0-667848AF2295}"/>
    <cellStyle name="Normal 4 2 4 2 2 2 2 2 5" xfId="36804" xr:uid="{AD18184A-B55A-46FE-8914-A50193230650}"/>
    <cellStyle name="Normal 4 2 4 2 2 2 2 2 6" xfId="11511" xr:uid="{61DA13FE-B67B-4008-90E9-5F95C9DBC0AA}"/>
    <cellStyle name="Normal 4 2 4 2 2 2 2 3" xfId="5149" xr:uid="{00000000-0005-0000-0000-000033130000}"/>
    <cellStyle name="Normal 4 2 4 2 2 2 2 3 2" xfId="30448" xr:uid="{F641D5D8-41CA-422D-9041-8903C4846ED8}"/>
    <cellStyle name="Normal 4 2 4 2 2 2 2 3 3" xfId="22019" xr:uid="{E24FA112-1174-4886-9C0E-F78A828D206F}"/>
    <cellStyle name="Normal 4 2 4 2 2 2 2 3 4" xfId="38876" xr:uid="{D740BC32-8E0B-485B-8C51-CA4672F2E8E3}"/>
    <cellStyle name="Normal 4 2 4 2 2 2 2 3 5" xfId="13584" xr:uid="{B2E1AFD3-CF26-4195-8951-A722E3E2BD60}"/>
    <cellStyle name="Normal 4 2 4 2 2 2 2 4" xfId="26230" xr:uid="{48E41F8C-0C98-40B8-8CD6-8464D7D48609}"/>
    <cellStyle name="Normal 4 2 4 2 2 2 2 5" xfId="17801" xr:uid="{46B0242F-F305-4984-9942-A6333B095948}"/>
    <cellStyle name="Normal 4 2 4 2 2 2 2 6" xfId="34659" xr:uid="{AB9FFAC7-806D-4FEB-BB27-CBCA2F179037}"/>
    <cellStyle name="Normal 4 2 4 2 2 2 2 7" xfId="9366" xr:uid="{47B8EB75-1BAD-4AD3-BD6F-CED1E0686097}"/>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33006" xr:uid="{5A1B4C18-97BA-4E77-987B-20F9ABFBCA3F}"/>
    <cellStyle name="Normal 4 2 4 2 2 2 3 2 2 3" xfId="24577" xr:uid="{52B45566-3111-4BCF-8B41-523984B81D2E}"/>
    <cellStyle name="Normal 4 2 4 2 2 2 3 2 2 4" xfId="41434" xr:uid="{7D747FEA-7767-4A97-BCC7-9841366A105A}"/>
    <cellStyle name="Normal 4 2 4 2 2 2 3 2 2 5" xfId="16142" xr:uid="{D246CA6E-D4EA-49BA-943A-05925D2D58C8}"/>
    <cellStyle name="Normal 4 2 4 2 2 2 3 2 3" xfId="28788" xr:uid="{2EBFEA2F-B474-4BE7-9388-A70DD0EBEAB4}"/>
    <cellStyle name="Normal 4 2 4 2 2 2 3 2 4" xfId="20359" xr:uid="{26FA775B-64AD-4FAB-A3CC-E5930608695E}"/>
    <cellStyle name="Normal 4 2 4 2 2 2 3 2 5" xfId="37217" xr:uid="{5F18B2B7-A21A-477E-AD63-8B5195605F71}"/>
    <cellStyle name="Normal 4 2 4 2 2 2 3 2 6" xfId="11924" xr:uid="{60A97A7C-DD93-4F5A-8B1B-94B9F3F8E55B}"/>
    <cellStyle name="Normal 4 2 4 2 2 2 3 3" xfId="5562" xr:uid="{00000000-0005-0000-0000-000037130000}"/>
    <cellStyle name="Normal 4 2 4 2 2 2 3 3 2" xfId="30861" xr:uid="{F8B87298-35B4-4002-90D5-A1F9A3340F1F}"/>
    <cellStyle name="Normal 4 2 4 2 2 2 3 3 3" xfId="22432" xr:uid="{1904D062-E876-4D58-B993-D31F14EFF425}"/>
    <cellStyle name="Normal 4 2 4 2 2 2 3 3 4" xfId="39289" xr:uid="{5374D64F-0CC0-41E1-9712-061454FEE369}"/>
    <cellStyle name="Normal 4 2 4 2 2 2 3 3 5" xfId="13997" xr:uid="{449B858F-3C08-4F9B-B098-564C4D01F1A0}"/>
    <cellStyle name="Normal 4 2 4 2 2 2 3 4" xfId="26643" xr:uid="{925FD4B9-D710-43F1-A4EB-99507808F100}"/>
    <cellStyle name="Normal 4 2 4 2 2 2 3 5" xfId="18214" xr:uid="{D8ED74E7-B30F-45CA-BD3B-AAA4793C936B}"/>
    <cellStyle name="Normal 4 2 4 2 2 2 3 6" xfId="35072" xr:uid="{B10D992A-DC6D-4485-98B0-985F0D18F87F}"/>
    <cellStyle name="Normal 4 2 4 2 2 2 3 7" xfId="9779" xr:uid="{3E88A4D4-FB76-4A82-9454-8A97B8C4B039}"/>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33419" xr:uid="{B9A9BB5D-B2E6-41D5-9F51-B654D7605872}"/>
    <cellStyle name="Normal 4 2 4 2 2 2 4 2 2 3" xfId="24990" xr:uid="{918AE3CF-CA75-48C7-8741-3B9CB6B49008}"/>
    <cellStyle name="Normal 4 2 4 2 2 2 4 2 2 4" xfId="41847" xr:uid="{257C49ED-EA41-49AA-91DE-39C2DBEF4ED4}"/>
    <cellStyle name="Normal 4 2 4 2 2 2 4 2 2 5" xfId="16555" xr:uid="{63F86EEF-98BF-4929-AB5E-0198704492F1}"/>
    <cellStyle name="Normal 4 2 4 2 2 2 4 2 3" xfId="29201" xr:uid="{2FA8EEA8-C882-4F3E-8EB7-5D0DF0886D37}"/>
    <cellStyle name="Normal 4 2 4 2 2 2 4 2 4" xfId="20772" xr:uid="{A88FD741-A0E4-4EB8-978E-38E61DD83B70}"/>
    <cellStyle name="Normal 4 2 4 2 2 2 4 2 5" xfId="37630" xr:uid="{E1535816-8587-4EA7-8893-02D94766117B}"/>
    <cellStyle name="Normal 4 2 4 2 2 2 4 2 6" xfId="12337" xr:uid="{08B48AC5-4AE5-4B6C-97F4-589BF84C2DA2}"/>
    <cellStyle name="Normal 4 2 4 2 2 2 4 3" xfId="5975" xr:uid="{00000000-0005-0000-0000-00003B130000}"/>
    <cellStyle name="Normal 4 2 4 2 2 2 4 3 2" xfId="31274" xr:uid="{6BEF602C-54CA-4324-BCD7-70BDA3902CF2}"/>
    <cellStyle name="Normal 4 2 4 2 2 2 4 3 3" xfId="22845" xr:uid="{6A2528F4-7C6F-4C5F-8650-BC9E661FA7CE}"/>
    <cellStyle name="Normal 4 2 4 2 2 2 4 3 4" xfId="39702" xr:uid="{4AC11282-6024-488A-8750-8DE6A4F66798}"/>
    <cellStyle name="Normal 4 2 4 2 2 2 4 3 5" xfId="14410" xr:uid="{FDE23352-C3F4-4E47-B101-3A63D8E61A4F}"/>
    <cellStyle name="Normal 4 2 4 2 2 2 4 4" xfId="27056" xr:uid="{AB70DA8F-55D9-4BA1-AE23-A46C20E65122}"/>
    <cellStyle name="Normal 4 2 4 2 2 2 4 5" xfId="18627" xr:uid="{28DDD9BF-3C18-4CAA-9467-F4CB60A6147B}"/>
    <cellStyle name="Normal 4 2 4 2 2 2 4 6" xfId="35485" xr:uid="{DE33ABAE-AA68-4DD0-9D98-9FA649D824B9}"/>
    <cellStyle name="Normal 4 2 4 2 2 2 4 7" xfId="10192" xr:uid="{F3EA8949-5EA1-4FF5-A3BD-BAE05279F99C}"/>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33832" xr:uid="{44B25E70-EC5B-4E7A-A32B-4D9B4FB2AD0C}"/>
    <cellStyle name="Normal 4 2 4 2 2 2 5 2 2 3" xfId="25403" xr:uid="{BA6AC112-08B7-423F-A767-BEED5D80AD91}"/>
    <cellStyle name="Normal 4 2 4 2 2 2 5 2 2 4" xfId="42260" xr:uid="{D4545228-62CC-457B-AA67-0B8A8BE8B85F}"/>
    <cellStyle name="Normal 4 2 4 2 2 2 5 2 2 5" xfId="16968" xr:uid="{72EF9808-07EC-46C0-AFE2-FFC272886D1D}"/>
    <cellStyle name="Normal 4 2 4 2 2 2 5 2 3" xfId="29614" xr:uid="{5CC6DF00-8586-475B-8A67-C5F2924BE40F}"/>
    <cellStyle name="Normal 4 2 4 2 2 2 5 2 4" xfId="21185" xr:uid="{20DB280A-AE91-454B-9D64-F0DF9AF7A7C2}"/>
    <cellStyle name="Normal 4 2 4 2 2 2 5 2 5" xfId="38043" xr:uid="{294D986A-4DAE-4FE5-A7F2-DB80CD3B2B9F}"/>
    <cellStyle name="Normal 4 2 4 2 2 2 5 2 6" xfId="12750" xr:uid="{828B34F4-1B93-4F90-AB18-38CA41F2A912}"/>
    <cellStyle name="Normal 4 2 4 2 2 2 5 3" xfId="6388" xr:uid="{00000000-0005-0000-0000-00003F130000}"/>
    <cellStyle name="Normal 4 2 4 2 2 2 5 3 2" xfId="31687" xr:uid="{D60E81A2-8297-4C51-AE50-FB5A68FC558C}"/>
    <cellStyle name="Normal 4 2 4 2 2 2 5 3 3" xfId="23258" xr:uid="{CFAF3320-1EA4-47A3-B8D6-FBBE5847525B}"/>
    <cellStyle name="Normal 4 2 4 2 2 2 5 3 4" xfId="40115" xr:uid="{6F5A8122-DA7A-49C5-828D-C68846103221}"/>
    <cellStyle name="Normal 4 2 4 2 2 2 5 3 5" xfId="14823" xr:uid="{541959CC-8225-4078-98E4-73E4548081D3}"/>
    <cellStyle name="Normal 4 2 4 2 2 2 5 4" xfId="27469" xr:uid="{D879E6B8-E0E0-4714-8204-25123152CC17}"/>
    <cellStyle name="Normal 4 2 4 2 2 2 5 5" xfId="19040" xr:uid="{DE78751D-A80C-475B-80B7-B95210087F5F}"/>
    <cellStyle name="Normal 4 2 4 2 2 2 5 6" xfId="35898" xr:uid="{283935D8-4666-40E0-BC90-C55557F44436}"/>
    <cellStyle name="Normal 4 2 4 2 2 2 5 7" xfId="10605" xr:uid="{691E4273-1D6A-4CC7-A77D-01EDC02E4A61}"/>
    <cellStyle name="Normal 4 2 4 2 2 2 6" xfId="2517" xr:uid="{00000000-0005-0000-0000-000040130000}"/>
    <cellStyle name="Normal 4 2 4 2 2 2 6 2" xfId="6801" xr:uid="{00000000-0005-0000-0000-000041130000}"/>
    <cellStyle name="Normal 4 2 4 2 2 2 6 2 2" xfId="32100" xr:uid="{34DF94F3-6D61-434F-B4D2-3203F7E9BA62}"/>
    <cellStyle name="Normal 4 2 4 2 2 2 6 2 3" xfId="23671" xr:uid="{972CA239-7DDC-4190-B1B8-585C19859BC9}"/>
    <cellStyle name="Normal 4 2 4 2 2 2 6 2 4" xfId="40528" xr:uid="{13C8A6E1-3DB1-4D53-ABE5-FA7C11D3292F}"/>
    <cellStyle name="Normal 4 2 4 2 2 2 6 2 5" xfId="15236" xr:uid="{35CF623A-0EE8-4266-8CCA-AE3B120481DE}"/>
    <cellStyle name="Normal 4 2 4 2 2 2 6 3" xfId="27882" xr:uid="{72EBEE8B-DEAB-4930-9AFB-E37675C079F8}"/>
    <cellStyle name="Normal 4 2 4 2 2 2 6 4" xfId="19453" xr:uid="{56F8F92D-1563-4341-91E8-EFBEED53DFDC}"/>
    <cellStyle name="Normal 4 2 4 2 2 2 6 5" xfId="36311" xr:uid="{4804C03E-661C-49C5-92F1-F5FC076481F4}"/>
    <cellStyle name="Normal 4 2 4 2 2 2 6 6" xfId="11018" xr:uid="{38BC911B-B4CF-4A0D-A1A5-6C84701215FA}"/>
    <cellStyle name="Normal 4 2 4 2 2 2 7" xfId="4736" xr:uid="{00000000-0005-0000-0000-000042130000}"/>
    <cellStyle name="Normal 4 2 4 2 2 2 7 2" xfId="30035" xr:uid="{16BA05EA-BAB5-4B3E-90F2-4121EE6296C1}"/>
    <cellStyle name="Normal 4 2 4 2 2 2 7 3" xfId="21606" xr:uid="{1A86504A-196F-448D-9AA3-A5EAC7BEBC10}"/>
    <cellStyle name="Normal 4 2 4 2 2 2 7 4" xfId="38463" xr:uid="{D034E589-0D3E-45BD-8ABE-FD8AE9CC3E10}"/>
    <cellStyle name="Normal 4 2 4 2 2 2 7 5" xfId="13171" xr:uid="{383D515C-A1D3-46C2-B99A-DA7782A9DA53}"/>
    <cellStyle name="Normal 4 2 4 2 2 2 8" xfId="25817" xr:uid="{CC82AF38-CA90-4588-B416-2A524B09B5BA}"/>
    <cellStyle name="Normal 4 2 4 2 2 2 9" xfId="17388" xr:uid="{09DAD340-6A3B-4688-B754-DE0439222418}"/>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32592" xr:uid="{76B79D40-27D2-41AB-A159-3E610AE7B59C}"/>
    <cellStyle name="Normal 4 2 4 2 2 3 2 2 3" xfId="24163" xr:uid="{3E370DD8-C256-41B7-862E-7F2EF65C1759}"/>
    <cellStyle name="Normal 4 2 4 2 2 3 2 2 4" xfId="41020" xr:uid="{61BC9341-7AA7-48BB-9E6D-E91B86BE2D71}"/>
    <cellStyle name="Normal 4 2 4 2 2 3 2 2 5" xfId="15728" xr:uid="{A12D25B0-207F-46BC-9727-E9451D514143}"/>
    <cellStyle name="Normal 4 2 4 2 2 3 2 3" xfId="28374" xr:uid="{2169AA1E-D2EF-4842-9D95-3E6294D82E33}"/>
    <cellStyle name="Normal 4 2 4 2 2 3 2 4" xfId="19945" xr:uid="{B74B0E44-A8D4-492C-86E1-DEC2754E8AB6}"/>
    <cellStyle name="Normal 4 2 4 2 2 3 2 5" xfId="36803" xr:uid="{B9799FC1-89D3-4977-8764-055A1730DDB6}"/>
    <cellStyle name="Normal 4 2 4 2 2 3 2 6" xfId="11510" xr:uid="{58FE1216-8727-4857-8E7C-261C54ADBE3D}"/>
    <cellStyle name="Normal 4 2 4 2 2 3 3" xfId="5148" xr:uid="{00000000-0005-0000-0000-000046130000}"/>
    <cellStyle name="Normal 4 2 4 2 2 3 3 2" xfId="30447" xr:uid="{5F78435C-AD1E-4711-8090-7C6189547B36}"/>
    <cellStyle name="Normal 4 2 4 2 2 3 3 3" xfId="22018" xr:uid="{117CFFFF-80DA-4838-BA92-717D8E4BB226}"/>
    <cellStyle name="Normal 4 2 4 2 2 3 3 4" xfId="38875" xr:uid="{BBF489F6-0143-4E85-85E4-401B57185688}"/>
    <cellStyle name="Normal 4 2 4 2 2 3 3 5" xfId="13583" xr:uid="{F0C4C167-8C11-4D1C-9A0B-6D9DC1CD6CF8}"/>
    <cellStyle name="Normal 4 2 4 2 2 3 4" xfId="26229" xr:uid="{307246F9-BF43-4749-A3A5-D018294AA888}"/>
    <cellStyle name="Normal 4 2 4 2 2 3 5" xfId="17800" xr:uid="{0589F414-C71E-4157-9BCB-4E2209292708}"/>
    <cellStyle name="Normal 4 2 4 2 2 3 6" xfId="34658" xr:uid="{8D11C4E5-D6F5-4A44-9F38-1BAE8B309C3F}"/>
    <cellStyle name="Normal 4 2 4 2 2 3 7" xfId="9365" xr:uid="{7496BE48-6FEA-4BA6-A290-382F31839DB8}"/>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33005" xr:uid="{C5219E6A-483C-4CCF-B82E-A8975EECFCBE}"/>
    <cellStyle name="Normal 4 2 4 2 2 4 2 2 3" xfId="24576" xr:uid="{D078D5F5-19AC-458F-9EC9-A3733435C513}"/>
    <cellStyle name="Normal 4 2 4 2 2 4 2 2 4" xfId="41433" xr:uid="{6718417E-B813-4BDB-BBC6-610700DB451D}"/>
    <cellStyle name="Normal 4 2 4 2 2 4 2 2 5" xfId="16141" xr:uid="{C50D6F16-7DAA-4798-AC46-C23A15BD6E36}"/>
    <cellStyle name="Normal 4 2 4 2 2 4 2 3" xfId="28787" xr:uid="{69406963-268F-4DA3-A05C-30C4DD0E6DFF}"/>
    <cellStyle name="Normal 4 2 4 2 2 4 2 4" xfId="20358" xr:uid="{E1C6347F-20F3-4579-AAF6-9B467EF794FA}"/>
    <cellStyle name="Normal 4 2 4 2 2 4 2 5" xfId="37216" xr:uid="{AB3A7FDB-8843-4F5B-8FCC-E0AA2C81F9C0}"/>
    <cellStyle name="Normal 4 2 4 2 2 4 2 6" xfId="11923" xr:uid="{5828D83C-5448-4F31-910D-7197025FF3DA}"/>
    <cellStyle name="Normal 4 2 4 2 2 4 3" xfId="5561" xr:uid="{00000000-0005-0000-0000-00004A130000}"/>
    <cellStyle name="Normal 4 2 4 2 2 4 3 2" xfId="30860" xr:uid="{50029469-7EFA-4B10-9FA7-E7281355DEAA}"/>
    <cellStyle name="Normal 4 2 4 2 2 4 3 3" xfId="22431" xr:uid="{B62971E8-7DCF-4DA7-A4EB-3872D78D20D6}"/>
    <cellStyle name="Normal 4 2 4 2 2 4 3 4" xfId="39288" xr:uid="{7E77C208-9D2A-4B81-A2C6-B74BBEDB8E98}"/>
    <cellStyle name="Normal 4 2 4 2 2 4 3 5" xfId="13996" xr:uid="{6459F6B2-53D3-48D1-8109-EAA7B20282EC}"/>
    <cellStyle name="Normal 4 2 4 2 2 4 4" xfId="26642" xr:uid="{790DD77A-8F25-4898-8C46-A104C12E74A6}"/>
    <cellStyle name="Normal 4 2 4 2 2 4 5" xfId="18213" xr:uid="{98227948-9628-4687-ACA3-E572F82FEAAF}"/>
    <cellStyle name="Normal 4 2 4 2 2 4 6" xfId="35071" xr:uid="{CC88A2DA-542B-434D-9049-B26A0A7AED8E}"/>
    <cellStyle name="Normal 4 2 4 2 2 4 7" xfId="9778" xr:uid="{A4285073-5037-438B-BA3F-960A05D3489F}"/>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33418" xr:uid="{D7094CAF-4F57-4458-88AD-EB52BAA438FF}"/>
    <cellStyle name="Normal 4 2 4 2 2 5 2 2 3" xfId="24989" xr:uid="{1D915439-7B75-4D58-B7E9-321E4A19E279}"/>
    <cellStyle name="Normal 4 2 4 2 2 5 2 2 4" xfId="41846" xr:uid="{9551D1E6-318A-459E-9936-892D4F745C2B}"/>
    <cellStyle name="Normal 4 2 4 2 2 5 2 2 5" xfId="16554" xr:uid="{6C56BCB0-88C0-44EF-90B4-4197B9908362}"/>
    <cellStyle name="Normal 4 2 4 2 2 5 2 3" xfId="29200" xr:uid="{37BC0873-92CB-4939-A09B-C24AEA5C5CD4}"/>
    <cellStyle name="Normal 4 2 4 2 2 5 2 4" xfId="20771" xr:uid="{EA3F57A1-D557-4F2C-9FCA-D2B0ED84D03E}"/>
    <cellStyle name="Normal 4 2 4 2 2 5 2 5" xfId="37629" xr:uid="{2E9FC792-FD97-4B5C-B3B3-13ED34AD6DB8}"/>
    <cellStyle name="Normal 4 2 4 2 2 5 2 6" xfId="12336" xr:uid="{D44C5804-1AA8-49C2-867C-BA5C17E4F804}"/>
    <cellStyle name="Normal 4 2 4 2 2 5 3" xfId="5974" xr:uid="{00000000-0005-0000-0000-00004E130000}"/>
    <cellStyle name="Normal 4 2 4 2 2 5 3 2" xfId="31273" xr:uid="{9D00C09B-9ACA-4B94-82A4-6DADD570E7FF}"/>
    <cellStyle name="Normal 4 2 4 2 2 5 3 3" xfId="22844" xr:uid="{CB15F7C0-442A-4BDA-B943-898A18A73F6E}"/>
    <cellStyle name="Normal 4 2 4 2 2 5 3 4" xfId="39701" xr:uid="{3F29A10E-FE03-4D91-BB4D-4EC581ABAFC9}"/>
    <cellStyle name="Normal 4 2 4 2 2 5 3 5" xfId="14409" xr:uid="{65126262-3A92-4B01-9920-9BFA0C4695E2}"/>
    <cellStyle name="Normal 4 2 4 2 2 5 4" xfId="27055" xr:uid="{A071AC54-3890-4F56-B1F8-5CF5EEC58B43}"/>
    <cellStyle name="Normal 4 2 4 2 2 5 5" xfId="18626" xr:uid="{EB2D2B4D-5225-410F-AB7A-27DAA0D4EC01}"/>
    <cellStyle name="Normal 4 2 4 2 2 5 6" xfId="35484" xr:uid="{437C36E4-C2F5-4D11-B39F-C5ABDED16AB2}"/>
    <cellStyle name="Normal 4 2 4 2 2 5 7" xfId="10191" xr:uid="{86439178-C071-4BAF-A614-ED4F40A2CA3C}"/>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33831" xr:uid="{CABF08C6-9D3F-45EB-988C-E9F6E5F09018}"/>
    <cellStyle name="Normal 4 2 4 2 2 6 2 2 3" xfId="25402" xr:uid="{3FB41A72-CE46-4C7B-94EA-F2492CC89FC9}"/>
    <cellStyle name="Normal 4 2 4 2 2 6 2 2 4" xfId="42259" xr:uid="{6B8126C8-237E-42E1-9848-78A6731979BD}"/>
    <cellStyle name="Normal 4 2 4 2 2 6 2 2 5" xfId="16967" xr:uid="{D3AE4934-5CFB-4795-BA66-71C2078F094A}"/>
    <cellStyle name="Normal 4 2 4 2 2 6 2 3" xfId="29613" xr:uid="{DCE73435-AC5E-473A-915F-F4B57A8E5697}"/>
    <cellStyle name="Normal 4 2 4 2 2 6 2 4" xfId="21184" xr:uid="{725085C0-396C-4634-8E0A-86E98DED7390}"/>
    <cellStyle name="Normal 4 2 4 2 2 6 2 5" xfId="38042" xr:uid="{B4214EC4-E2AB-4553-9DB1-CE3D8CE7A260}"/>
    <cellStyle name="Normal 4 2 4 2 2 6 2 6" xfId="12749" xr:uid="{091303DF-081F-439E-B8C6-AD2C16E5BD47}"/>
    <cellStyle name="Normal 4 2 4 2 2 6 3" xfId="6387" xr:uid="{00000000-0005-0000-0000-000052130000}"/>
    <cellStyle name="Normal 4 2 4 2 2 6 3 2" xfId="31686" xr:uid="{9BC9B907-EDC3-4FAB-8C56-752049C14C75}"/>
    <cellStyle name="Normal 4 2 4 2 2 6 3 3" xfId="23257" xr:uid="{75D7549C-7FF2-4ED2-B98A-D83D58F08896}"/>
    <cellStyle name="Normal 4 2 4 2 2 6 3 4" xfId="40114" xr:uid="{D2F60B96-DD3B-4CC5-BDB5-5231AFF45833}"/>
    <cellStyle name="Normal 4 2 4 2 2 6 3 5" xfId="14822" xr:uid="{0F11ECF8-E2D3-4C63-8BF4-70AF86BE893E}"/>
    <cellStyle name="Normal 4 2 4 2 2 6 4" xfId="27468" xr:uid="{21E0E40F-B401-4930-9F8C-E54E9EC11E63}"/>
    <cellStyle name="Normal 4 2 4 2 2 6 5" xfId="19039" xr:uid="{6709E9E7-18F0-4375-8D75-9FB482655FCF}"/>
    <cellStyle name="Normal 4 2 4 2 2 6 6" xfId="35897" xr:uid="{8627DCC3-0989-43C5-8DC8-A0701A26820E}"/>
    <cellStyle name="Normal 4 2 4 2 2 6 7" xfId="10604" xr:uid="{8C80A86A-F861-4BA2-85CC-32E8230AC165}"/>
    <cellStyle name="Normal 4 2 4 2 2 7" xfId="2516" xr:uid="{00000000-0005-0000-0000-000053130000}"/>
    <cellStyle name="Normal 4 2 4 2 2 7 2" xfId="6800" xr:uid="{00000000-0005-0000-0000-000054130000}"/>
    <cellStyle name="Normal 4 2 4 2 2 7 2 2" xfId="32099" xr:uid="{C3AF591F-4FC3-473B-B7FE-57688E2913CB}"/>
    <cellStyle name="Normal 4 2 4 2 2 7 2 3" xfId="23670" xr:uid="{1E51BF07-017A-4374-9854-CA6B65C138BE}"/>
    <cellStyle name="Normal 4 2 4 2 2 7 2 4" xfId="40527" xr:uid="{3591D352-17B9-4B51-95AF-BD6B80922852}"/>
    <cellStyle name="Normal 4 2 4 2 2 7 2 5" xfId="15235" xr:uid="{7F02F400-D1B9-471B-936B-F7BD338F6645}"/>
    <cellStyle name="Normal 4 2 4 2 2 7 3" xfId="27881" xr:uid="{D07A7E67-3234-4A3F-BDCC-0720538A0109}"/>
    <cellStyle name="Normal 4 2 4 2 2 7 4" xfId="19452" xr:uid="{ABCA8DF7-13FC-4027-8916-2C90FAFFD09D}"/>
    <cellStyle name="Normal 4 2 4 2 2 7 5" xfId="36310" xr:uid="{07C381E1-A708-4A7A-B1FA-CE24760AFAF3}"/>
    <cellStyle name="Normal 4 2 4 2 2 7 6" xfId="11017" xr:uid="{7E47CA56-34DB-460F-BA52-AF4D389800EB}"/>
    <cellStyle name="Normal 4 2 4 2 2 8" xfId="4735" xr:uid="{00000000-0005-0000-0000-000055130000}"/>
    <cellStyle name="Normal 4 2 4 2 2 8 2" xfId="30034" xr:uid="{320FE9D8-D304-4834-BC37-6A7E88789215}"/>
    <cellStyle name="Normal 4 2 4 2 2 8 3" xfId="21605" xr:uid="{7E6E87EB-D6E8-4FCF-935A-19C7602EBFA6}"/>
    <cellStyle name="Normal 4 2 4 2 2 8 4" xfId="38462" xr:uid="{FF889215-0A8F-4AA5-BCA6-00448735BECB}"/>
    <cellStyle name="Normal 4 2 4 2 2 8 5" xfId="13170" xr:uid="{1E21B80C-9C5E-4E43-BE6A-EC9620410E3B}"/>
    <cellStyle name="Normal 4 2 4 2 2 9" xfId="25816" xr:uid="{ED2026D0-3E79-46CB-A6CD-E3A445CC7BF6}"/>
    <cellStyle name="Normal 4 2 4 2 3" xfId="359" xr:uid="{00000000-0005-0000-0000-000056130000}"/>
    <cellStyle name="Normal 4 2 4 2 3 10" xfId="34247" xr:uid="{440B0D20-AED0-4294-8BCA-3209D7710398}"/>
    <cellStyle name="Normal 4 2 4 2 3 11" xfId="8954" xr:uid="{77B4A1F3-555E-480F-9285-87287744CC5D}"/>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32594" xr:uid="{D2E8408B-B07C-49F2-ABD1-49B323F9FEDD}"/>
    <cellStyle name="Normal 4 2 4 2 3 2 2 2 3" xfId="24165" xr:uid="{529A8586-B350-4299-BF38-7B687F249A06}"/>
    <cellStyle name="Normal 4 2 4 2 3 2 2 2 4" xfId="41022" xr:uid="{DB2F4B21-56E2-4522-A85B-01E41CD0E16D}"/>
    <cellStyle name="Normal 4 2 4 2 3 2 2 2 5" xfId="15730" xr:uid="{F32F4B59-36C7-47A0-A713-FF4E4790379D}"/>
    <cellStyle name="Normal 4 2 4 2 3 2 2 3" xfId="28376" xr:uid="{437C0367-17AA-4ADA-9792-5268C17CE6ED}"/>
    <cellStyle name="Normal 4 2 4 2 3 2 2 4" xfId="19947" xr:uid="{865FAB8E-C0E0-4E20-B8B6-B35A0E5C5488}"/>
    <cellStyle name="Normal 4 2 4 2 3 2 2 5" xfId="36805" xr:uid="{5CFA9902-A0C4-48B6-BE5D-85139C12BC2B}"/>
    <cellStyle name="Normal 4 2 4 2 3 2 2 6" xfId="11512" xr:uid="{BB4B3E6C-D123-46AE-8D36-0517A914EE9D}"/>
    <cellStyle name="Normal 4 2 4 2 3 2 3" xfId="5150" xr:uid="{00000000-0005-0000-0000-00005A130000}"/>
    <cellStyle name="Normal 4 2 4 2 3 2 3 2" xfId="30449" xr:uid="{3C7E08D5-38D2-416C-8951-480B7B47AA7E}"/>
    <cellStyle name="Normal 4 2 4 2 3 2 3 3" xfId="22020" xr:uid="{4610419E-B811-4FF9-A639-AD7166B7F6A2}"/>
    <cellStyle name="Normal 4 2 4 2 3 2 3 4" xfId="38877" xr:uid="{5F6E7B1A-615F-4A6A-8AC0-0797F46B0889}"/>
    <cellStyle name="Normal 4 2 4 2 3 2 3 5" xfId="13585" xr:uid="{18BD8CEE-D193-4056-88E3-0478D7F149EB}"/>
    <cellStyle name="Normal 4 2 4 2 3 2 4" xfId="26231" xr:uid="{0B72C6AB-7172-47DC-9E0F-A500236B5522}"/>
    <cellStyle name="Normal 4 2 4 2 3 2 5" xfId="17802" xr:uid="{E82966E6-46D9-4AFC-8FCE-24F90AE2D918}"/>
    <cellStyle name="Normal 4 2 4 2 3 2 6" xfId="34660" xr:uid="{514E61B6-E57B-4A7A-B26F-C04F7C7A2193}"/>
    <cellStyle name="Normal 4 2 4 2 3 2 7" xfId="9367" xr:uid="{803DE215-C526-47D6-A666-AF9CC1C4CE4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33007" xr:uid="{24559EC9-C2BB-437E-82F5-85CD4B4FC24B}"/>
    <cellStyle name="Normal 4 2 4 2 3 3 2 2 3" xfId="24578" xr:uid="{50E8E21F-EBC1-4211-B575-866904D4D32F}"/>
    <cellStyle name="Normal 4 2 4 2 3 3 2 2 4" xfId="41435" xr:uid="{3119FBDA-8755-4781-A5C1-6AA200B641ED}"/>
    <cellStyle name="Normal 4 2 4 2 3 3 2 2 5" xfId="16143" xr:uid="{1AB5E85A-DD91-4D75-B7F6-657DFEAF5B5F}"/>
    <cellStyle name="Normal 4 2 4 2 3 3 2 3" xfId="28789" xr:uid="{7EE699D4-5D9A-485A-9DFD-7E7F25395577}"/>
    <cellStyle name="Normal 4 2 4 2 3 3 2 4" xfId="20360" xr:uid="{71F6E920-847A-4F42-B544-6A9FE4F7A61B}"/>
    <cellStyle name="Normal 4 2 4 2 3 3 2 5" xfId="37218" xr:uid="{940ACC12-CFCF-43CB-9A58-3C7BD1721E56}"/>
    <cellStyle name="Normal 4 2 4 2 3 3 2 6" xfId="11925" xr:uid="{C17EBDE0-E84A-477A-A27C-C6E0FFF27AED}"/>
    <cellStyle name="Normal 4 2 4 2 3 3 3" xfId="5563" xr:uid="{00000000-0005-0000-0000-00005E130000}"/>
    <cellStyle name="Normal 4 2 4 2 3 3 3 2" xfId="30862" xr:uid="{C7A6C9BA-7F61-4206-ADF5-145B5E77B51B}"/>
    <cellStyle name="Normal 4 2 4 2 3 3 3 3" xfId="22433" xr:uid="{FC3CF47D-81A6-4A93-A21E-4E4879938F6F}"/>
    <cellStyle name="Normal 4 2 4 2 3 3 3 4" xfId="39290" xr:uid="{33551FD6-992D-48D1-9451-9AA6870A8F3E}"/>
    <cellStyle name="Normal 4 2 4 2 3 3 3 5" xfId="13998" xr:uid="{EAC58DC5-1133-41A7-BB0D-67BD8669540F}"/>
    <cellStyle name="Normal 4 2 4 2 3 3 4" xfId="26644" xr:uid="{FE04515D-23C2-4A66-8B79-5286849F62C7}"/>
    <cellStyle name="Normal 4 2 4 2 3 3 5" xfId="18215" xr:uid="{6D2D9223-FA27-434A-ADC9-4B42267122D8}"/>
    <cellStyle name="Normal 4 2 4 2 3 3 6" xfId="35073" xr:uid="{7E137EAB-6F36-4B44-8170-DD3D4FDA2E48}"/>
    <cellStyle name="Normal 4 2 4 2 3 3 7" xfId="9780" xr:uid="{0D65DFD9-4170-4869-866B-6C0110E1761A}"/>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33420" xr:uid="{922F6609-29F9-4022-A071-1C14BD8CF681}"/>
    <cellStyle name="Normal 4 2 4 2 3 4 2 2 3" xfId="24991" xr:uid="{302193C9-7F3B-48C9-9DB0-11C32FCC287C}"/>
    <cellStyle name="Normal 4 2 4 2 3 4 2 2 4" xfId="41848" xr:uid="{979D9828-C391-4E91-9A12-F552B5ADF76C}"/>
    <cellStyle name="Normal 4 2 4 2 3 4 2 2 5" xfId="16556" xr:uid="{CD4C3000-04F3-4FEA-BA78-ADFFE4E2A504}"/>
    <cellStyle name="Normal 4 2 4 2 3 4 2 3" xfId="29202" xr:uid="{273D2C94-05E8-4ECD-A5ED-6B3FD68A8074}"/>
    <cellStyle name="Normal 4 2 4 2 3 4 2 4" xfId="20773" xr:uid="{1EB41804-8A81-4C25-B52A-99207E3DDBD2}"/>
    <cellStyle name="Normal 4 2 4 2 3 4 2 5" xfId="37631" xr:uid="{3E5AF2A0-E439-4415-8E6B-34DDFB3C532A}"/>
    <cellStyle name="Normal 4 2 4 2 3 4 2 6" xfId="12338" xr:uid="{8D992351-C9F9-4202-9306-EA0288B31B8A}"/>
    <cellStyle name="Normal 4 2 4 2 3 4 3" xfId="5976" xr:uid="{00000000-0005-0000-0000-000062130000}"/>
    <cellStyle name="Normal 4 2 4 2 3 4 3 2" xfId="31275" xr:uid="{B8E9486F-D6DF-45CD-8E47-5ED714B7CCA5}"/>
    <cellStyle name="Normal 4 2 4 2 3 4 3 3" xfId="22846" xr:uid="{98899B90-9C40-4D6C-964C-47D9F5EFB307}"/>
    <cellStyle name="Normal 4 2 4 2 3 4 3 4" xfId="39703" xr:uid="{2CE362C3-2F6F-4840-A595-85C688562C12}"/>
    <cellStyle name="Normal 4 2 4 2 3 4 3 5" xfId="14411" xr:uid="{85DEBEF3-38FA-401E-B0D1-166134267ED0}"/>
    <cellStyle name="Normal 4 2 4 2 3 4 4" xfId="27057" xr:uid="{4BB39A01-373E-4A58-BC39-0A7EAA5A0427}"/>
    <cellStyle name="Normal 4 2 4 2 3 4 5" xfId="18628" xr:uid="{D22C5837-2DB8-4709-B8BA-E30008A6E391}"/>
    <cellStyle name="Normal 4 2 4 2 3 4 6" xfId="35486" xr:uid="{0A1CDB07-DB9B-4009-8481-1FF617FEE093}"/>
    <cellStyle name="Normal 4 2 4 2 3 4 7" xfId="10193" xr:uid="{BD75430D-8244-4B76-A99C-14EEF4AD9567}"/>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33833" xr:uid="{5427A978-801C-4770-B11F-7966259F5858}"/>
    <cellStyle name="Normal 4 2 4 2 3 5 2 2 3" xfId="25404" xr:uid="{AD0C534F-EEBF-4C3C-BCFC-45C6497AE778}"/>
    <cellStyle name="Normal 4 2 4 2 3 5 2 2 4" xfId="42261" xr:uid="{76BCAF1C-A40E-4331-9C93-BE5C87CF0954}"/>
    <cellStyle name="Normal 4 2 4 2 3 5 2 2 5" xfId="16969" xr:uid="{4DC35178-082B-4BFF-98A3-6DC594DF7B7C}"/>
    <cellStyle name="Normal 4 2 4 2 3 5 2 3" xfId="29615" xr:uid="{1B14A817-E4B0-421D-B083-8542E08DB6ED}"/>
    <cellStyle name="Normal 4 2 4 2 3 5 2 4" xfId="21186" xr:uid="{666D8848-3E8C-4BFE-8DD8-BB4F65F9D093}"/>
    <cellStyle name="Normal 4 2 4 2 3 5 2 5" xfId="38044" xr:uid="{46129F0D-DCD4-4FC2-A9EA-6A60B7147507}"/>
    <cellStyle name="Normal 4 2 4 2 3 5 2 6" xfId="12751" xr:uid="{20E7EEDD-0D9D-4DE7-82EE-A0E5C8180290}"/>
    <cellStyle name="Normal 4 2 4 2 3 5 3" xfId="6389" xr:uid="{00000000-0005-0000-0000-000066130000}"/>
    <cellStyle name="Normal 4 2 4 2 3 5 3 2" xfId="31688" xr:uid="{49BCF8C0-FA46-465A-A497-73456AB0FC77}"/>
    <cellStyle name="Normal 4 2 4 2 3 5 3 3" xfId="23259" xr:uid="{70B05A3C-4000-496C-9F9D-B29E6FB5703D}"/>
    <cellStyle name="Normal 4 2 4 2 3 5 3 4" xfId="40116" xr:uid="{4B6527B0-FBDE-4A76-A397-1DB9D2F73AD0}"/>
    <cellStyle name="Normal 4 2 4 2 3 5 3 5" xfId="14824" xr:uid="{21B29AA3-9BC7-48E9-8B5D-1A29AE3E527A}"/>
    <cellStyle name="Normal 4 2 4 2 3 5 4" xfId="27470" xr:uid="{08F2AFA9-D0DC-4F93-8079-7739F53D0CF6}"/>
    <cellStyle name="Normal 4 2 4 2 3 5 5" xfId="19041" xr:uid="{F7D9F969-3360-4694-9B86-58F62B5F2E41}"/>
    <cellStyle name="Normal 4 2 4 2 3 5 6" xfId="35899" xr:uid="{DE25FD4D-5877-4FEF-882B-3DE40ED312DF}"/>
    <cellStyle name="Normal 4 2 4 2 3 5 7" xfId="10606" xr:uid="{CDF43AB3-BB41-4A30-85D8-E40A93589051}"/>
    <cellStyle name="Normal 4 2 4 2 3 6" xfId="2518" xr:uid="{00000000-0005-0000-0000-000067130000}"/>
    <cellStyle name="Normal 4 2 4 2 3 6 2" xfId="6802" xr:uid="{00000000-0005-0000-0000-000068130000}"/>
    <cellStyle name="Normal 4 2 4 2 3 6 2 2" xfId="32101" xr:uid="{DCDBF547-8B85-4FAA-AF1E-7484781A5EA7}"/>
    <cellStyle name="Normal 4 2 4 2 3 6 2 3" xfId="23672" xr:uid="{608B3BE5-37ED-4648-A06D-CFDE40D242F7}"/>
    <cellStyle name="Normal 4 2 4 2 3 6 2 4" xfId="40529" xr:uid="{8CBC3493-D434-4621-A3CE-BF1CBA9D666F}"/>
    <cellStyle name="Normal 4 2 4 2 3 6 2 5" xfId="15237" xr:uid="{0E05C52A-9EAA-49CC-BB50-2EDB0432EEFB}"/>
    <cellStyle name="Normal 4 2 4 2 3 6 3" xfId="27883" xr:uid="{6D78A0CF-56A2-430B-BAE9-A1F62983CB8A}"/>
    <cellStyle name="Normal 4 2 4 2 3 6 4" xfId="19454" xr:uid="{3A0B6654-9123-4FC5-80EE-D1386D6F0E01}"/>
    <cellStyle name="Normal 4 2 4 2 3 6 5" xfId="36312" xr:uid="{0B4F16F0-CC3F-4412-AC34-85C737911DA6}"/>
    <cellStyle name="Normal 4 2 4 2 3 6 6" xfId="11019" xr:uid="{130647D5-8610-4A65-BA73-FFCE19A28846}"/>
    <cellStyle name="Normal 4 2 4 2 3 7" xfId="4737" xr:uid="{00000000-0005-0000-0000-000069130000}"/>
    <cellStyle name="Normal 4 2 4 2 3 7 2" xfId="30036" xr:uid="{677ECDA3-DAD8-4D1E-9431-0F57DB1D2047}"/>
    <cellStyle name="Normal 4 2 4 2 3 7 3" xfId="21607" xr:uid="{320DA29F-DFB0-4B9B-B219-63707D8CFB0A}"/>
    <cellStyle name="Normal 4 2 4 2 3 7 4" xfId="38464" xr:uid="{5D697003-C614-4672-B911-B483339E41E8}"/>
    <cellStyle name="Normal 4 2 4 2 3 7 5" xfId="13172" xr:uid="{C804C5A0-1D54-4FF0-9869-B42C23024A3D}"/>
    <cellStyle name="Normal 4 2 4 2 3 8" xfId="25818" xr:uid="{06CCA835-0C93-49CD-BCDF-0AECF2252F02}"/>
    <cellStyle name="Normal 4 2 4 2 3 9" xfId="17389" xr:uid="{9F036F2A-A71D-446C-811D-CC436F44BE40}"/>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32591" xr:uid="{8B19C6BE-53D7-4E35-B9AE-F3D6AD17D5A7}"/>
    <cellStyle name="Normal 4 2 4 2 4 2 2 3" xfId="24162" xr:uid="{471AA671-EFAE-494F-845B-E35178EF1AA5}"/>
    <cellStyle name="Normal 4 2 4 2 4 2 2 4" xfId="41019" xr:uid="{9DF20AD0-1DF3-4B61-ACE0-2D9E19FB9CEF}"/>
    <cellStyle name="Normal 4 2 4 2 4 2 2 5" xfId="15727" xr:uid="{0F699BAB-93B1-4D9B-BC85-E5A0714075BA}"/>
    <cellStyle name="Normal 4 2 4 2 4 2 3" xfId="28373" xr:uid="{E7CBEBDD-7C2A-48AF-AA32-A75C29D4DB45}"/>
    <cellStyle name="Normal 4 2 4 2 4 2 4" xfId="19944" xr:uid="{5A0AE0BF-8AB2-4F02-8308-F7BDAA77558A}"/>
    <cellStyle name="Normal 4 2 4 2 4 2 5" xfId="36802" xr:uid="{D3FE78C6-F862-4BE1-9F7E-F6B22913CD62}"/>
    <cellStyle name="Normal 4 2 4 2 4 2 6" xfId="11509" xr:uid="{4E2AC0F3-F92C-47BF-98DB-14F63E0142C7}"/>
    <cellStyle name="Normal 4 2 4 2 4 3" xfId="5147" xr:uid="{00000000-0005-0000-0000-00006D130000}"/>
    <cellStyle name="Normal 4 2 4 2 4 3 2" xfId="30446" xr:uid="{9BD64F3C-3295-4D95-9F7D-A455890067FD}"/>
    <cellStyle name="Normal 4 2 4 2 4 3 3" xfId="22017" xr:uid="{148F7A8B-B727-44CB-B122-CDA9E3B046CA}"/>
    <cellStyle name="Normal 4 2 4 2 4 3 4" xfId="38874" xr:uid="{D1C15FE4-AFB1-4FB5-B01F-300C3508F2D0}"/>
    <cellStyle name="Normal 4 2 4 2 4 3 5" xfId="13582" xr:uid="{2DCAD0C4-C03A-4409-AA56-ABF663B3E799}"/>
    <cellStyle name="Normal 4 2 4 2 4 4" xfId="26228" xr:uid="{9BAD2FC2-5682-4258-961A-71415F22C694}"/>
    <cellStyle name="Normal 4 2 4 2 4 5" xfId="17799" xr:uid="{8DBE1D63-6DE6-4C44-8997-B719DD229653}"/>
    <cellStyle name="Normal 4 2 4 2 4 6" xfId="34657" xr:uid="{30A7AC7E-57F4-4C14-80D8-97E85CA78C1E}"/>
    <cellStyle name="Normal 4 2 4 2 4 7" xfId="9364" xr:uid="{7C385F00-6E4E-4FFB-BF12-A1E47C71EA1D}"/>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33004" xr:uid="{952EA8F0-928F-414D-BAC1-20CB09AF3236}"/>
    <cellStyle name="Normal 4 2 4 2 5 2 2 3" xfId="24575" xr:uid="{02B58A16-D566-40E8-AD49-1F515E1ECCAC}"/>
    <cellStyle name="Normal 4 2 4 2 5 2 2 4" xfId="41432" xr:uid="{8A64395A-28B3-4566-87B3-8698C3C77E23}"/>
    <cellStyle name="Normal 4 2 4 2 5 2 2 5" xfId="16140" xr:uid="{AC656CC8-E61C-4C3B-ABA0-643BFDBF7E12}"/>
    <cellStyle name="Normal 4 2 4 2 5 2 3" xfId="28786" xr:uid="{CC3D86FE-F2F4-4AE1-9D81-5BA52592DEF9}"/>
    <cellStyle name="Normal 4 2 4 2 5 2 4" xfId="20357" xr:uid="{15A07DFE-E627-42D7-AF1C-23A6206808E8}"/>
    <cellStyle name="Normal 4 2 4 2 5 2 5" xfId="37215" xr:uid="{8094C040-E32F-4B24-99E6-8CE3A6651C18}"/>
    <cellStyle name="Normal 4 2 4 2 5 2 6" xfId="11922" xr:uid="{F0B50D94-CB7B-447D-9A9F-08CDC4FCB581}"/>
    <cellStyle name="Normal 4 2 4 2 5 3" xfId="5560" xr:uid="{00000000-0005-0000-0000-000071130000}"/>
    <cellStyle name="Normal 4 2 4 2 5 3 2" xfId="30859" xr:uid="{75C76300-EE3E-4414-9B53-F233167721B2}"/>
    <cellStyle name="Normal 4 2 4 2 5 3 3" xfId="22430" xr:uid="{82A70440-0459-45B2-9FD5-34B1B740F404}"/>
    <cellStyle name="Normal 4 2 4 2 5 3 4" xfId="39287" xr:uid="{1288BAEE-791D-4522-9659-CF119C15AEAA}"/>
    <cellStyle name="Normal 4 2 4 2 5 3 5" xfId="13995" xr:uid="{AD8D52ED-0108-455C-A25D-EB7CE4387EE0}"/>
    <cellStyle name="Normal 4 2 4 2 5 4" xfId="26641" xr:uid="{43768DE9-C94F-45E4-93C1-B172C3FC8D43}"/>
    <cellStyle name="Normal 4 2 4 2 5 5" xfId="18212" xr:uid="{136BB30B-C73E-4472-8F6C-20C00D6CAE85}"/>
    <cellStyle name="Normal 4 2 4 2 5 6" xfId="35070" xr:uid="{B3F69B4A-F9EE-44C1-8981-29847FC85F34}"/>
    <cellStyle name="Normal 4 2 4 2 5 7" xfId="9777" xr:uid="{FDCC1B69-CC76-4FB1-A5F9-3391A2FA49C1}"/>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33417" xr:uid="{6D3E0B63-7DA7-4BAF-A7D5-8AA213D5A48C}"/>
    <cellStyle name="Normal 4 2 4 2 6 2 2 3" xfId="24988" xr:uid="{22074F85-4AE3-4C3C-9696-7D4CF1817F1A}"/>
    <cellStyle name="Normal 4 2 4 2 6 2 2 4" xfId="41845" xr:uid="{9B66FEBB-E494-4CCC-BDFF-E41BDDD3FA62}"/>
    <cellStyle name="Normal 4 2 4 2 6 2 2 5" xfId="16553" xr:uid="{166BDC64-4830-4CB1-8CEF-E7BE7E02F1A5}"/>
    <cellStyle name="Normal 4 2 4 2 6 2 3" xfId="29199" xr:uid="{00A1DCC2-5C3C-47BC-A723-C709A69FC0C3}"/>
    <cellStyle name="Normal 4 2 4 2 6 2 4" xfId="20770" xr:uid="{F698301F-5DA1-400E-BACD-36DA7BD1316F}"/>
    <cellStyle name="Normal 4 2 4 2 6 2 5" xfId="37628" xr:uid="{61C9D135-7F1E-4C67-B046-452EECC92686}"/>
    <cellStyle name="Normal 4 2 4 2 6 2 6" xfId="12335" xr:uid="{6305DD4D-B8D0-4F04-8C6A-9E18D77471E1}"/>
    <cellStyle name="Normal 4 2 4 2 6 3" xfId="5973" xr:uid="{00000000-0005-0000-0000-000075130000}"/>
    <cellStyle name="Normal 4 2 4 2 6 3 2" xfId="31272" xr:uid="{320CD3E6-2C39-4822-8031-F5477F00ADBF}"/>
    <cellStyle name="Normal 4 2 4 2 6 3 3" xfId="22843" xr:uid="{4A8D36CF-6B41-49E6-9B67-CB7F4772C0EC}"/>
    <cellStyle name="Normal 4 2 4 2 6 3 4" xfId="39700" xr:uid="{A2222B65-04F2-4B15-B4C5-9A7891EF1F4B}"/>
    <cellStyle name="Normal 4 2 4 2 6 3 5" xfId="14408" xr:uid="{90D9E5D0-8D44-4729-85FD-C5B420B47E83}"/>
    <cellStyle name="Normal 4 2 4 2 6 4" xfId="27054" xr:uid="{E602C928-E3AB-4E85-8928-F7287D313C81}"/>
    <cellStyle name="Normal 4 2 4 2 6 5" xfId="18625" xr:uid="{DABFE338-B101-4E47-BD46-5FBE291BE34C}"/>
    <cellStyle name="Normal 4 2 4 2 6 6" xfId="35483" xr:uid="{017C3BA1-D8FB-42BF-9E25-4E39520814A3}"/>
    <cellStyle name="Normal 4 2 4 2 6 7" xfId="10190" xr:uid="{18268C4F-88B8-4ED2-992D-913A7FCE8BC6}"/>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33830" xr:uid="{8D4C06D6-CA26-469D-BEEE-410A1C9AE781}"/>
    <cellStyle name="Normal 4 2 4 2 7 2 2 3" xfId="25401" xr:uid="{A3F92D87-375F-47AD-B021-69378D58CB03}"/>
    <cellStyle name="Normal 4 2 4 2 7 2 2 4" xfId="42258" xr:uid="{7785CD4D-2FD6-45AE-B4FA-B6602F97E830}"/>
    <cellStyle name="Normal 4 2 4 2 7 2 2 5" xfId="16966" xr:uid="{39BCC685-E2F5-4A1E-9BC5-DFEBA5BAC178}"/>
    <cellStyle name="Normal 4 2 4 2 7 2 3" xfId="29612" xr:uid="{A100EAC7-D037-4316-B05F-D79953A0B142}"/>
    <cellStyle name="Normal 4 2 4 2 7 2 4" xfId="21183" xr:uid="{6467DAFE-C104-46B4-B8D6-A33D9E68F917}"/>
    <cellStyle name="Normal 4 2 4 2 7 2 5" xfId="38041" xr:uid="{6665E287-D3EB-4B16-B3F2-D6DE2C84D8FA}"/>
    <cellStyle name="Normal 4 2 4 2 7 2 6" xfId="12748" xr:uid="{7B6C8B99-406C-40A2-8EC3-9347547BF8D8}"/>
    <cellStyle name="Normal 4 2 4 2 7 3" xfId="6386" xr:uid="{00000000-0005-0000-0000-000079130000}"/>
    <cellStyle name="Normal 4 2 4 2 7 3 2" xfId="31685" xr:uid="{65865AC8-B2F8-46A6-947E-4DBE82F018E1}"/>
    <cellStyle name="Normal 4 2 4 2 7 3 3" xfId="23256" xr:uid="{C4A8D8BC-B223-4923-81E5-CB0E9FE7916D}"/>
    <cellStyle name="Normal 4 2 4 2 7 3 4" xfId="40113" xr:uid="{3851E66D-97DB-4520-B367-F2CA983A9A4B}"/>
    <cellStyle name="Normal 4 2 4 2 7 3 5" xfId="14821" xr:uid="{009E67D9-EEC4-4D1F-ADDE-3BE420B69EDF}"/>
    <cellStyle name="Normal 4 2 4 2 7 4" xfId="27467" xr:uid="{5D1D3E24-A455-4370-910B-F600481108AF}"/>
    <cellStyle name="Normal 4 2 4 2 7 5" xfId="19038" xr:uid="{40AFABAA-00D5-492B-A845-968FB1D8C665}"/>
    <cellStyle name="Normal 4 2 4 2 7 6" xfId="35896" xr:uid="{1CE7A1BF-2488-4EFE-B4FF-C77E5FBD59E8}"/>
    <cellStyle name="Normal 4 2 4 2 7 7" xfId="10603" xr:uid="{646B0977-03E1-4303-BC34-2A9DC9CABBD8}"/>
    <cellStyle name="Normal 4 2 4 2 8" xfId="2515" xr:uid="{00000000-0005-0000-0000-00007A130000}"/>
    <cellStyle name="Normal 4 2 4 2 8 2" xfId="6799" xr:uid="{00000000-0005-0000-0000-00007B130000}"/>
    <cellStyle name="Normal 4 2 4 2 8 2 2" xfId="32098" xr:uid="{7D033874-D62C-4292-B38B-95B41B809608}"/>
    <cellStyle name="Normal 4 2 4 2 8 2 3" xfId="23669" xr:uid="{020BF03B-5005-4F94-9EC7-F3AE6FFE2229}"/>
    <cellStyle name="Normal 4 2 4 2 8 2 4" xfId="40526" xr:uid="{35570506-E97F-4033-9F37-61972EB28EAC}"/>
    <cellStyle name="Normal 4 2 4 2 8 2 5" xfId="15234" xr:uid="{81D77709-1EE5-4CAB-8FBF-2ED01C5D1CEB}"/>
    <cellStyle name="Normal 4 2 4 2 8 3" xfId="27880" xr:uid="{5E17D637-CD5E-4396-9E63-62CE01F0409D}"/>
    <cellStyle name="Normal 4 2 4 2 8 4" xfId="19451" xr:uid="{C8C454B6-D30F-489A-9968-9AFE6C67D067}"/>
    <cellStyle name="Normal 4 2 4 2 8 5" xfId="36309" xr:uid="{7453C138-7E48-42F9-BEA0-2043A316EC12}"/>
    <cellStyle name="Normal 4 2 4 2 8 6" xfId="11016" xr:uid="{A011C479-1246-4C03-8420-B11352331361}"/>
    <cellStyle name="Normal 4 2 4 2 9" xfId="4734" xr:uid="{00000000-0005-0000-0000-00007C130000}"/>
    <cellStyle name="Normal 4 2 4 2 9 2" xfId="30033" xr:uid="{FD37B5E2-17D9-43BC-8AB2-840EB5016DCC}"/>
    <cellStyle name="Normal 4 2 4 2 9 3" xfId="21604" xr:uid="{4ACF75EA-CE08-4E76-A433-55A67F177BF4}"/>
    <cellStyle name="Normal 4 2 4 2 9 4" xfId="38461" xr:uid="{11ADB723-ADC2-4165-AE1C-EAE29A6B32D2}"/>
    <cellStyle name="Normal 4 2 4 2 9 5" xfId="13169" xr:uid="{F2DB5701-E052-402A-BF3E-8065B8AEBE46}"/>
    <cellStyle name="Normal 4 2 4 3" xfId="360" xr:uid="{00000000-0005-0000-0000-00007D130000}"/>
    <cellStyle name="Normal 4 2 4 3 10" xfId="17390" xr:uid="{FFF10276-738B-4097-8B73-B93D148376C6}"/>
    <cellStyle name="Normal 4 2 4 3 11" xfId="34248" xr:uid="{42803C7B-1DC4-45BE-9EB7-40AF0988CE48}"/>
    <cellStyle name="Normal 4 2 4 3 12" xfId="8955" xr:uid="{95AA109A-310F-48C3-9202-4748C4E02E03}"/>
    <cellStyle name="Normal 4 2 4 3 2" xfId="361" xr:uid="{00000000-0005-0000-0000-00007E130000}"/>
    <cellStyle name="Normal 4 2 4 3 2 10" xfId="34249" xr:uid="{B14B2593-A941-4BE1-9EC8-223B726FCE2E}"/>
    <cellStyle name="Normal 4 2 4 3 2 11" xfId="8956" xr:uid="{D3BFFE42-C66B-4D91-9B47-25EEFC98705A}"/>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32596" xr:uid="{D6748ED5-9781-41E9-848D-490C8DEB040F}"/>
    <cellStyle name="Normal 4 2 4 3 2 2 2 2 3" xfId="24167" xr:uid="{EDA4E8F1-BAFA-4E28-908B-CA0924D0C47C}"/>
    <cellStyle name="Normal 4 2 4 3 2 2 2 2 4" xfId="41024" xr:uid="{9FB51940-6C58-4610-B43E-696ADB8DA90A}"/>
    <cellStyle name="Normal 4 2 4 3 2 2 2 2 5" xfId="15732" xr:uid="{6E3CD6CC-223C-4023-9F7B-CEAEA67ABDC4}"/>
    <cellStyle name="Normal 4 2 4 3 2 2 2 3" xfId="28378" xr:uid="{0BEB605F-C48F-4088-9361-858D7CD28015}"/>
    <cellStyle name="Normal 4 2 4 3 2 2 2 4" xfId="19949" xr:uid="{89DEB241-33C9-4187-A07D-9CB37CB1F275}"/>
    <cellStyle name="Normal 4 2 4 3 2 2 2 5" xfId="36807" xr:uid="{F91657FA-26A6-4B87-80CD-523F1C6DB996}"/>
    <cellStyle name="Normal 4 2 4 3 2 2 2 6" xfId="11514" xr:uid="{DFE42A50-497E-470D-9818-2DF34827519C}"/>
    <cellStyle name="Normal 4 2 4 3 2 2 3" xfId="5152" xr:uid="{00000000-0005-0000-0000-000082130000}"/>
    <cellStyle name="Normal 4 2 4 3 2 2 3 2" xfId="30451" xr:uid="{CE69AC15-F974-4BCE-AAE6-D17C5F4596AE}"/>
    <cellStyle name="Normal 4 2 4 3 2 2 3 3" xfId="22022" xr:uid="{2E540D1E-1EEB-4DBC-A0BF-8B5335B53D63}"/>
    <cellStyle name="Normal 4 2 4 3 2 2 3 4" xfId="38879" xr:uid="{08068D82-A4D3-4309-A704-930D584A14D9}"/>
    <cellStyle name="Normal 4 2 4 3 2 2 3 5" xfId="13587" xr:uid="{6E1F276A-484F-4596-BF73-76DE9A40C337}"/>
    <cellStyle name="Normal 4 2 4 3 2 2 4" xfId="26233" xr:uid="{591097F7-0FB2-45C4-8572-0B380FA42191}"/>
    <cellStyle name="Normal 4 2 4 3 2 2 5" xfId="17804" xr:uid="{E2E060FE-19F9-4E7F-917A-0EB93FF8E8F2}"/>
    <cellStyle name="Normal 4 2 4 3 2 2 6" xfId="34662" xr:uid="{96F16560-92F7-4C54-8EB4-D81E6360A02A}"/>
    <cellStyle name="Normal 4 2 4 3 2 2 7" xfId="9369" xr:uid="{08D141A7-E98B-47C8-8FFF-45F7DBCD8728}"/>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33009" xr:uid="{14D6463C-EE4E-454C-A647-741365FF59DD}"/>
    <cellStyle name="Normal 4 2 4 3 2 3 2 2 3" xfId="24580" xr:uid="{37428018-DC71-421D-9473-A5EC1EF13627}"/>
    <cellStyle name="Normal 4 2 4 3 2 3 2 2 4" xfId="41437" xr:uid="{763E2565-EF0C-49A7-9585-BD37597923B4}"/>
    <cellStyle name="Normal 4 2 4 3 2 3 2 2 5" xfId="16145" xr:uid="{34C3109B-B3D6-4151-A745-514B557253AE}"/>
    <cellStyle name="Normal 4 2 4 3 2 3 2 3" xfId="28791" xr:uid="{365EDD69-7545-48F8-B7C8-ADC732BF410B}"/>
    <cellStyle name="Normal 4 2 4 3 2 3 2 4" xfId="20362" xr:uid="{1BDE913C-E02C-4E5E-B48F-E6FDF5CFA9A4}"/>
    <cellStyle name="Normal 4 2 4 3 2 3 2 5" xfId="37220" xr:uid="{164E9807-FB96-42DC-98FB-5A7776AE30F3}"/>
    <cellStyle name="Normal 4 2 4 3 2 3 2 6" xfId="11927" xr:uid="{28CA847A-9D2D-4EEC-8ACB-57148917BBDA}"/>
    <cellStyle name="Normal 4 2 4 3 2 3 3" xfId="5565" xr:uid="{00000000-0005-0000-0000-000086130000}"/>
    <cellStyle name="Normal 4 2 4 3 2 3 3 2" xfId="30864" xr:uid="{38DB32C7-00BF-4003-80B3-F46762B29AE8}"/>
    <cellStyle name="Normal 4 2 4 3 2 3 3 3" xfId="22435" xr:uid="{CC9671D0-FFD7-458D-AD4A-F7ED65D9859E}"/>
    <cellStyle name="Normal 4 2 4 3 2 3 3 4" xfId="39292" xr:uid="{EB26E47A-BCC8-457E-A095-914FBEE542DC}"/>
    <cellStyle name="Normal 4 2 4 3 2 3 3 5" xfId="14000" xr:uid="{EB5FC362-ABA8-4A4D-B14A-ED4E2C4683C1}"/>
    <cellStyle name="Normal 4 2 4 3 2 3 4" xfId="26646" xr:uid="{2AD3D6C1-AD1B-4D13-B02E-FBA6E0D26067}"/>
    <cellStyle name="Normal 4 2 4 3 2 3 5" xfId="18217" xr:uid="{25ED18A2-D196-44CF-811F-D5F6D9DC8C46}"/>
    <cellStyle name="Normal 4 2 4 3 2 3 6" xfId="35075" xr:uid="{D5B80086-E5DA-481B-AD8D-108FF95F879E}"/>
    <cellStyle name="Normal 4 2 4 3 2 3 7" xfId="9782" xr:uid="{14A88677-F6B0-4820-9163-F81CE2EA0AF4}"/>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33422" xr:uid="{38B32D0A-A8AD-40FE-A039-C30F1063FA23}"/>
    <cellStyle name="Normal 4 2 4 3 2 4 2 2 3" xfId="24993" xr:uid="{EAFADFB4-D8B3-4FBE-B31B-4B882BF9EB32}"/>
    <cellStyle name="Normal 4 2 4 3 2 4 2 2 4" xfId="41850" xr:uid="{28F1ECAD-91C2-4479-B1B1-B32FC61F411E}"/>
    <cellStyle name="Normal 4 2 4 3 2 4 2 2 5" xfId="16558" xr:uid="{F844DAF5-E5C4-4DAF-8244-76405729FC24}"/>
    <cellStyle name="Normal 4 2 4 3 2 4 2 3" xfId="29204" xr:uid="{86A5B173-6814-42E3-BC7E-5D2921A8995C}"/>
    <cellStyle name="Normal 4 2 4 3 2 4 2 4" xfId="20775" xr:uid="{0B804D9F-3B0D-464B-A0C8-EAA947CFE2EE}"/>
    <cellStyle name="Normal 4 2 4 3 2 4 2 5" xfId="37633" xr:uid="{2F85E80B-3B27-4BF0-8FCA-DBA408CE4DC1}"/>
    <cellStyle name="Normal 4 2 4 3 2 4 2 6" xfId="12340" xr:uid="{879859E9-F414-42AD-917B-388F76F429F3}"/>
    <cellStyle name="Normal 4 2 4 3 2 4 3" xfId="5978" xr:uid="{00000000-0005-0000-0000-00008A130000}"/>
    <cellStyle name="Normal 4 2 4 3 2 4 3 2" xfId="31277" xr:uid="{E9B0A091-61A3-4F3F-832B-510370934FAD}"/>
    <cellStyle name="Normal 4 2 4 3 2 4 3 3" xfId="22848" xr:uid="{6ECA2952-76DE-425A-8A80-37A6CBC3EBD8}"/>
    <cellStyle name="Normal 4 2 4 3 2 4 3 4" xfId="39705" xr:uid="{7BCA4862-8F7D-401F-A44B-0DF03C37EB9E}"/>
    <cellStyle name="Normal 4 2 4 3 2 4 3 5" xfId="14413" xr:uid="{3A451368-3E6F-49F0-B91B-F3E83842BC2F}"/>
    <cellStyle name="Normal 4 2 4 3 2 4 4" xfId="27059" xr:uid="{D1268BAF-201B-4005-9755-AA85D4C3ED33}"/>
    <cellStyle name="Normal 4 2 4 3 2 4 5" xfId="18630" xr:uid="{242D435A-D273-4AFC-8A45-F11A5A958CC8}"/>
    <cellStyle name="Normal 4 2 4 3 2 4 6" xfId="35488" xr:uid="{90D6394B-AB78-4CC4-B8EA-1D7C15EAEB19}"/>
    <cellStyle name="Normal 4 2 4 3 2 4 7" xfId="10195" xr:uid="{9815A355-E7F5-4805-ABC4-5C66D2A0F471}"/>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33835" xr:uid="{A07BEE3E-DC96-4E51-802A-D85842D5CFC8}"/>
    <cellStyle name="Normal 4 2 4 3 2 5 2 2 3" xfId="25406" xr:uid="{BC7458AE-7320-41D8-9024-FB298EB3FBFB}"/>
    <cellStyle name="Normal 4 2 4 3 2 5 2 2 4" xfId="42263" xr:uid="{FC9DF73C-C356-4362-9F68-8F3A8E28544E}"/>
    <cellStyle name="Normal 4 2 4 3 2 5 2 2 5" xfId="16971" xr:uid="{FFB0372F-2CC2-41AC-B169-2C3F0BFAE069}"/>
    <cellStyle name="Normal 4 2 4 3 2 5 2 3" xfId="29617" xr:uid="{D2098D77-CCC3-47ED-863B-55899264319F}"/>
    <cellStyle name="Normal 4 2 4 3 2 5 2 4" xfId="21188" xr:uid="{9D08AB5D-9393-4FDD-A5F2-8A1A018EF41F}"/>
    <cellStyle name="Normal 4 2 4 3 2 5 2 5" xfId="38046" xr:uid="{DEF1F5B6-1A98-4B7A-A955-63018DC3D465}"/>
    <cellStyle name="Normal 4 2 4 3 2 5 2 6" xfId="12753" xr:uid="{BE438B5E-9B66-463D-8AC2-B7147FC08770}"/>
    <cellStyle name="Normal 4 2 4 3 2 5 3" xfId="6391" xr:uid="{00000000-0005-0000-0000-00008E130000}"/>
    <cellStyle name="Normal 4 2 4 3 2 5 3 2" xfId="31690" xr:uid="{F6E7E39B-21E9-46C4-BCF3-7318BCBFD7C8}"/>
    <cellStyle name="Normal 4 2 4 3 2 5 3 3" xfId="23261" xr:uid="{4468DFA5-6F6A-47E2-B7AA-D844E35DD441}"/>
    <cellStyle name="Normal 4 2 4 3 2 5 3 4" xfId="40118" xr:uid="{5F1A6D5B-7E23-422A-9C5B-A4D2DB59C97E}"/>
    <cellStyle name="Normal 4 2 4 3 2 5 3 5" xfId="14826" xr:uid="{83A92364-1917-4B42-BB0A-10F47D6F1D57}"/>
    <cellStyle name="Normal 4 2 4 3 2 5 4" xfId="27472" xr:uid="{729463D8-C069-4227-AB1C-C788908BB894}"/>
    <cellStyle name="Normal 4 2 4 3 2 5 5" xfId="19043" xr:uid="{E3F6B617-9880-40A8-9827-15BED3323131}"/>
    <cellStyle name="Normal 4 2 4 3 2 5 6" xfId="35901" xr:uid="{0E6DFD11-B509-43BE-A318-C463C9E660AD}"/>
    <cellStyle name="Normal 4 2 4 3 2 5 7" xfId="10608" xr:uid="{23D43343-EDFE-4BFA-8EA7-7E55598F9714}"/>
    <cellStyle name="Normal 4 2 4 3 2 6" xfId="2520" xr:uid="{00000000-0005-0000-0000-00008F130000}"/>
    <cellStyle name="Normal 4 2 4 3 2 6 2" xfId="6804" xr:uid="{00000000-0005-0000-0000-000090130000}"/>
    <cellStyle name="Normal 4 2 4 3 2 6 2 2" xfId="32103" xr:uid="{8E342387-CB45-4F43-95F4-85C46F1A8CAF}"/>
    <cellStyle name="Normal 4 2 4 3 2 6 2 3" xfId="23674" xr:uid="{28E92939-BE27-445A-B803-C37A38E35396}"/>
    <cellStyle name="Normal 4 2 4 3 2 6 2 4" xfId="40531" xr:uid="{CEABE0D6-D6A2-420F-A4C3-06114CEAB4BB}"/>
    <cellStyle name="Normal 4 2 4 3 2 6 2 5" xfId="15239" xr:uid="{6C77CE13-2E6E-4E4B-B4CE-B81F0B453820}"/>
    <cellStyle name="Normal 4 2 4 3 2 6 3" xfId="27885" xr:uid="{F4787D75-475A-47EA-9037-B5D5590E17D0}"/>
    <cellStyle name="Normal 4 2 4 3 2 6 4" xfId="19456" xr:uid="{BA03C617-0B58-4554-89A5-3118755D67A7}"/>
    <cellStyle name="Normal 4 2 4 3 2 6 5" xfId="36314" xr:uid="{9F479253-B5AA-426E-AC95-B84014E4301C}"/>
    <cellStyle name="Normal 4 2 4 3 2 6 6" xfId="11021" xr:uid="{63331B8C-C393-4F96-9800-6CBD1242DB0E}"/>
    <cellStyle name="Normal 4 2 4 3 2 7" xfId="4739" xr:uid="{00000000-0005-0000-0000-000091130000}"/>
    <cellStyle name="Normal 4 2 4 3 2 7 2" xfId="30038" xr:uid="{E56BC8FA-D9BB-4054-922D-519EE524FD84}"/>
    <cellStyle name="Normal 4 2 4 3 2 7 3" xfId="21609" xr:uid="{2D3AF929-9D77-4FA3-B7AC-F2D7F73B7C9C}"/>
    <cellStyle name="Normal 4 2 4 3 2 7 4" xfId="38466" xr:uid="{1A548235-C713-4379-BB3F-4AEA8324F124}"/>
    <cellStyle name="Normal 4 2 4 3 2 7 5" xfId="13174" xr:uid="{6CD198D6-6375-4935-AD75-A69B1012F6A7}"/>
    <cellStyle name="Normal 4 2 4 3 2 8" xfId="25820" xr:uid="{D543D0AD-A688-4114-B4B5-33B4FA29294F}"/>
    <cellStyle name="Normal 4 2 4 3 2 9" xfId="17391" xr:uid="{37D5E4F3-886E-45AE-A8EC-BFD22B0C634A}"/>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32595" xr:uid="{9408C377-19C5-4847-B78A-1FBFEED80C33}"/>
    <cellStyle name="Normal 4 2 4 3 3 2 2 3" xfId="24166" xr:uid="{B0D913B4-DD87-40AB-9396-BC2033908ACE}"/>
    <cellStyle name="Normal 4 2 4 3 3 2 2 4" xfId="41023" xr:uid="{38BB7FD3-3D12-418D-B48F-492E71D811E6}"/>
    <cellStyle name="Normal 4 2 4 3 3 2 2 5" xfId="15731" xr:uid="{D60E547C-63D9-4A67-8465-DC7A89359466}"/>
    <cellStyle name="Normal 4 2 4 3 3 2 3" xfId="28377" xr:uid="{F516DAA8-B20D-41B0-B57B-B93AFBFF1A32}"/>
    <cellStyle name="Normal 4 2 4 3 3 2 4" xfId="19948" xr:uid="{92F8D394-9118-4EFE-B991-1F7A44199105}"/>
    <cellStyle name="Normal 4 2 4 3 3 2 5" xfId="36806" xr:uid="{8BE02582-880B-48BA-8898-05A9F0D2CA63}"/>
    <cellStyle name="Normal 4 2 4 3 3 2 6" xfId="11513" xr:uid="{73D94597-82B8-4F9B-BC4C-4B5BF1118E4E}"/>
    <cellStyle name="Normal 4 2 4 3 3 3" xfId="5151" xr:uid="{00000000-0005-0000-0000-000095130000}"/>
    <cellStyle name="Normal 4 2 4 3 3 3 2" xfId="30450" xr:uid="{01603A9E-14C4-4951-B382-96B273577FE4}"/>
    <cellStyle name="Normal 4 2 4 3 3 3 3" xfId="22021" xr:uid="{EC6E0CF1-783C-43EE-B476-1E9B4F3F049A}"/>
    <cellStyle name="Normal 4 2 4 3 3 3 4" xfId="38878" xr:uid="{48364728-296E-44D0-B22E-B24B7BA7049B}"/>
    <cellStyle name="Normal 4 2 4 3 3 3 5" xfId="13586" xr:uid="{644D5ACB-531B-4AD8-A4EC-745FEE667FED}"/>
    <cellStyle name="Normal 4 2 4 3 3 4" xfId="26232" xr:uid="{713B3397-05E4-4A33-B601-B25CE0F3F8C4}"/>
    <cellStyle name="Normal 4 2 4 3 3 5" xfId="17803" xr:uid="{FEAB6C96-DC74-448B-99B8-14473AAE573E}"/>
    <cellStyle name="Normal 4 2 4 3 3 6" xfId="34661" xr:uid="{426C8269-0206-4558-BE76-3AC93A5311C2}"/>
    <cellStyle name="Normal 4 2 4 3 3 7" xfId="9368" xr:uid="{944DF5A3-772F-4ABB-920A-AB214F765085}"/>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33008" xr:uid="{D5304301-9E2C-4DE1-AEC1-71EE6FFC01E1}"/>
    <cellStyle name="Normal 4 2 4 3 4 2 2 3" xfId="24579" xr:uid="{90C5FDCD-A38E-47E2-802E-F37DEA7800AB}"/>
    <cellStyle name="Normal 4 2 4 3 4 2 2 4" xfId="41436" xr:uid="{75B3203B-83FF-4639-B151-0DE2B3DE2F33}"/>
    <cellStyle name="Normal 4 2 4 3 4 2 2 5" xfId="16144" xr:uid="{62D437BD-CCE6-40EE-82F6-2C352DE41240}"/>
    <cellStyle name="Normal 4 2 4 3 4 2 3" xfId="28790" xr:uid="{588FBFAC-829D-4F14-BB7D-73DC1F0FD8C3}"/>
    <cellStyle name="Normal 4 2 4 3 4 2 4" xfId="20361" xr:uid="{0F5BEAA6-6C82-48DA-AC0E-5C1D817BC964}"/>
    <cellStyle name="Normal 4 2 4 3 4 2 5" xfId="37219" xr:uid="{DA4722C0-43DF-49A2-8978-071739853E6B}"/>
    <cellStyle name="Normal 4 2 4 3 4 2 6" xfId="11926" xr:uid="{15511EE8-A35A-442C-AC00-0D5AB42C78DC}"/>
    <cellStyle name="Normal 4 2 4 3 4 3" xfId="5564" xr:uid="{00000000-0005-0000-0000-000099130000}"/>
    <cellStyle name="Normal 4 2 4 3 4 3 2" xfId="30863" xr:uid="{FE37A81A-30E5-48B1-8F04-35461692495B}"/>
    <cellStyle name="Normal 4 2 4 3 4 3 3" xfId="22434" xr:uid="{4617C5E1-BB23-4CE5-B139-9A46DE7CA577}"/>
    <cellStyle name="Normal 4 2 4 3 4 3 4" xfId="39291" xr:uid="{FDA3A394-2DA3-4DF2-AE79-89524323E8C5}"/>
    <cellStyle name="Normal 4 2 4 3 4 3 5" xfId="13999" xr:uid="{B79C579C-3C87-4674-9966-AB9099D79E08}"/>
    <cellStyle name="Normal 4 2 4 3 4 4" xfId="26645" xr:uid="{0F5820AC-C494-425B-B467-800CAFFE5A4D}"/>
    <cellStyle name="Normal 4 2 4 3 4 5" xfId="18216" xr:uid="{70C0195B-153B-4B89-A027-8A614D3D8659}"/>
    <cellStyle name="Normal 4 2 4 3 4 6" xfId="35074" xr:uid="{50DCA4E3-9682-4191-8E65-DECFD308270E}"/>
    <cellStyle name="Normal 4 2 4 3 4 7" xfId="9781" xr:uid="{B5B6E5EF-B95F-4FED-BEC2-CB27200097AA}"/>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33421" xr:uid="{11148010-2F8A-4FB8-B40E-886B75750F56}"/>
    <cellStyle name="Normal 4 2 4 3 5 2 2 3" xfId="24992" xr:uid="{2ED4A11D-F6C3-4B94-AABC-4655A463A4FB}"/>
    <cellStyle name="Normal 4 2 4 3 5 2 2 4" xfId="41849" xr:uid="{91BD9DB7-8C67-472D-8D36-5AB02D0C7FA5}"/>
    <cellStyle name="Normal 4 2 4 3 5 2 2 5" xfId="16557" xr:uid="{1FF6C735-6873-43FE-B582-11920A261082}"/>
    <cellStyle name="Normal 4 2 4 3 5 2 3" xfId="29203" xr:uid="{1D9A3989-A47A-4DE3-9759-FCB79E0CEA29}"/>
    <cellStyle name="Normal 4 2 4 3 5 2 4" xfId="20774" xr:uid="{72CA24BC-CA66-4991-A043-AC1358972238}"/>
    <cellStyle name="Normal 4 2 4 3 5 2 5" xfId="37632" xr:uid="{D8516C93-5D87-43D7-8326-24202352F9CE}"/>
    <cellStyle name="Normal 4 2 4 3 5 2 6" xfId="12339" xr:uid="{48B03D4D-3A8C-4CA9-8FE8-E3DF88E1FDAD}"/>
    <cellStyle name="Normal 4 2 4 3 5 3" xfId="5977" xr:uid="{00000000-0005-0000-0000-00009D130000}"/>
    <cellStyle name="Normal 4 2 4 3 5 3 2" xfId="31276" xr:uid="{EE871BB3-5C14-483C-9B86-1E140805B0E0}"/>
    <cellStyle name="Normal 4 2 4 3 5 3 3" xfId="22847" xr:uid="{22ED5193-8075-423E-BAD2-1DD210746B80}"/>
    <cellStyle name="Normal 4 2 4 3 5 3 4" xfId="39704" xr:uid="{512617A4-698E-49F6-B96C-E64FFA0E37B9}"/>
    <cellStyle name="Normal 4 2 4 3 5 3 5" xfId="14412" xr:uid="{86A5E35A-73CF-4712-830C-0B6317102F9C}"/>
    <cellStyle name="Normal 4 2 4 3 5 4" xfId="27058" xr:uid="{9C92B276-C54D-4DF7-B9D3-51A5A2CE2C9E}"/>
    <cellStyle name="Normal 4 2 4 3 5 5" xfId="18629" xr:uid="{5E8D5246-BB6C-4ACE-AB39-B2B3A3F65FC2}"/>
    <cellStyle name="Normal 4 2 4 3 5 6" xfId="35487" xr:uid="{D7030BA3-D743-4CE4-A560-726BFFD37477}"/>
    <cellStyle name="Normal 4 2 4 3 5 7" xfId="10194" xr:uid="{8B86F58A-05E6-42EC-A84D-B00E160DFD8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33834" xr:uid="{50B3D36F-E25C-4015-B574-0CE1C9CD8E40}"/>
    <cellStyle name="Normal 4 2 4 3 6 2 2 3" xfId="25405" xr:uid="{13B78A6A-D89A-4A2A-8389-6A211A61DFC6}"/>
    <cellStyle name="Normal 4 2 4 3 6 2 2 4" xfId="42262" xr:uid="{A6770ADC-B884-4C28-9E5E-026BB4A8D095}"/>
    <cellStyle name="Normal 4 2 4 3 6 2 2 5" xfId="16970" xr:uid="{20013CB8-7082-4CA9-BAC5-6A7195CAAE6D}"/>
    <cellStyle name="Normal 4 2 4 3 6 2 3" xfId="29616" xr:uid="{19FBADCC-FEDC-478F-96BD-57F5E4A40632}"/>
    <cellStyle name="Normal 4 2 4 3 6 2 4" xfId="21187" xr:uid="{B8EE952B-0911-4D72-B884-E3E806562C60}"/>
    <cellStyle name="Normal 4 2 4 3 6 2 5" xfId="38045" xr:uid="{F7796DDB-9899-4F98-B4D8-FC64F6127202}"/>
    <cellStyle name="Normal 4 2 4 3 6 2 6" xfId="12752" xr:uid="{DB364202-A19A-4738-98C9-DC9E277903A2}"/>
    <cellStyle name="Normal 4 2 4 3 6 3" xfId="6390" xr:uid="{00000000-0005-0000-0000-0000A1130000}"/>
    <cellStyle name="Normal 4 2 4 3 6 3 2" xfId="31689" xr:uid="{3A4A591D-762C-4178-AFC8-36FEB505E5C7}"/>
    <cellStyle name="Normal 4 2 4 3 6 3 3" xfId="23260" xr:uid="{F00D5965-BA01-4242-AF45-B5836C044A07}"/>
    <cellStyle name="Normal 4 2 4 3 6 3 4" xfId="40117" xr:uid="{E18C2C85-AF53-4B2B-B6DB-7ECA718BDF9C}"/>
    <cellStyle name="Normal 4 2 4 3 6 3 5" xfId="14825" xr:uid="{FE0DE6FD-1418-4354-AEC4-4D3D6CF52373}"/>
    <cellStyle name="Normal 4 2 4 3 6 4" xfId="27471" xr:uid="{E8EC1C5D-0FC3-42F3-8797-46912671C009}"/>
    <cellStyle name="Normal 4 2 4 3 6 5" xfId="19042" xr:uid="{A1C93950-A480-4EC6-9010-89AD6B23070F}"/>
    <cellStyle name="Normal 4 2 4 3 6 6" xfId="35900" xr:uid="{430BE722-DDF3-46F4-9555-F45597ABDD3F}"/>
    <cellStyle name="Normal 4 2 4 3 6 7" xfId="10607" xr:uid="{104878EC-A625-4C74-A228-4C65C0C1A64D}"/>
    <cellStyle name="Normal 4 2 4 3 7" xfId="2519" xr:uid="{00000000-0005-0000-0000-0000A2130000}"/>
    <cellStyle name="Normal 4 2 4 3 7 2" xfId="6803" xr:uid="{00000000-0005-0000-0000-0000A3130000}"/>
    <cellStyle name="Normal 4 2 4 3 7 2 2" xfId="32102" xr:uid="{BB1EE495-94FD-4289-A347-CB3BB772F722}"/>
    <cellStyle name="Normal 4 2 4 3 7 2 3" xfId="23673" xr:uid="{A2355BD0-8039-4247-A05A-5EDCA4406AD0}"/>
    <cellStyle name="Normal 4 2 4 3 7 2 4" xfId="40530" xr:uid="{3D761214-0DDC-4ADA-A989-749CE4DFAEBF}"/>
    <cellStyle name="Normal 4 2 4 3 7 2 5" xfId="15238" xr:uid="{D72836A1-C42E-484E-A5BC-CC7726A3A44F}"/>
    <cellStyle name="Normal 4 2 4 3 7 3" xfId="27884" xr:uid="{FE1AC540-8BF9-4C7F-A88C-B7F9479EDCF0}"/>
    <cellStyle name="Normal 4 2 4 3 7 4" xfId="19455" xr:uid="{C4DA4AE3-64EE-4893-B478-5BFF7F8BBA29}"/>
    <cellStyle name="Normal 4 2 4 3 7 5" xfId="36313" xr:uid="{CD1669CD-5485-422D-AF03-31C60BED0DE3}"/>
    <cellStyle name="Normal 4 2 4 3 7 6" xfId="11020" xr:uid="{32BE0F58-0D9D-4286-9319-C58F0B9B2375}"/>
    <cellStyle name="Normal 4 2 4 3 8" xfId="4738" xr:uid="{00000000-0005-0000-0000-0000A4130000}"/>
    <cellStyle name="Normal 4 2 4 3 8 2" xfId="30037" xr:uid="{9B556CB2-A752-4769-B094-ADAB708B15B9}"/>
    <cellStyle name="Normal 4 2 4 3 8 3" xfId="21608" xr:uid="{E5ABEBD3-8A71-4C89-82BC-1B0B3C06AE03}"/>
    <cellStyle name="Normal 4 2 4 3 8 4" xfId="38465" xr:uid="{8D9D036E-D738-4DB4-86BD-775F53FC03FD}"/>
    <cellStyle name="Normal 4 2 4 3 8 5" xfId="13173" xr:uid="{AB7DD714-B07C-4343-8F9E-A3D70A936F16}"/>
    <cellStyle name="Normal 4 2 4 3 9" xfId="25819" xr:uid="{B3AA8415-FB1C-4FCF-AE48-26C26FC40940}"/>
    <cellStyle name="Normal 4 2 4 4" xfId="362" xr:uid="{00000000-0005-0000-0000-0000A5130000}"/>
    <cellStyle name="Normal 4 2 4 4 10" xfId="34250" xr:uid="{902CE35C-753C-4C2F-9BA7-84FC596E664C}"/>
    <cellStyle name="Normal 4 2 4 4 11" xfId="8957" xr:uid="{0618B022-DBBF-412F-828B-06112516CF1C}"/>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32597" xr:uid="{2AEB2B6D-D3E8-42A8-966B-D2FE07E154D2}"/>
    <cellStyle name="Normal 4 2 4 4 2 2 2 3" xfId="24168" xr:uid="{550873FF-B717-43B9-BAC6-C85E8B36EC6F}"/>
    <cellStyle name="Normal 4 2 4 4 2 2 2 4" xfId="41025" xr:uid="{1CBC5E83-45E0-43B4-B3F3-6DB66B135616}"/>
    <cellStyle name="Normal 4 2 4 4 2 2 2 5" xfId="15733" xr:uid="{3D0DF26E-3EB8-411E-85EC-CBB16EBFC1FF}"/>
    <cellStyle name="Normal 4 2 4 4 2 2 3" xfId="28379" xr:uid="{9685FA23-F197-4BF5-AA59-8C946F2ADA4B}"/>
    <cellStyle name="Normal 4 2 4 4 2 2 4" xfId="19950" xr:uid="{42F3795A-9EB8-40C7-9D9C-F58396655286}"/>
    <cellStyle name="Normal 4 2 4 4 2 2 5" xfId="36808" xr:uid="{B761AB72-999C-4E8B-A80E-8D5BDC83F375}"/>
    <cellStyle name="Normal 4 2 4 4 2 2 6" xfId="11515" xr:uid="{C9E1C73C-210E-4B9C-9C75-38D4CDA38877}"/>
    <cellStyle name="Normal 4 2 4 4 2 3" xfId="5153" xr:uid="{00000000-0005-0000-0000-0000A9130000}"/>
    <cellStyle name="Normal 4 2 4 4 2 3 2" xfId="30452" xr:uid="{E3F0927A-7248-4123-8104-1EB58DBA079D}"/>
    <cellStyle name="Normal 4 2 4 4 2 3 3" xfId="22023" xr:uid="{523ABE65-C4E2-412E-8DBF-21F28ED8AE28}"/>
    <cellStyle name="Normal 4 2 4 4 2 3 4" xfId="38880" xr:uid="{E7BEA8B8-5375-4A28-88A3-C1E0CF555617}"/>
    <cellStyle name="Normal 4 2 4 4 2 3 5" xfId="13588" xr:uid="{4EFD2DEB-99C2-4438-A0EC-ADFA5535F811}"/>
    <cellStyle name="Normal 4 2 4 4 2 4" xfId="26234" xr:uid="{80E6C898-F486-4B4E-97E5-240885AA390D}"/>
    <cellStyle name="Normal 4 2 4 4 2 5" xfId="17805" xr:uid="{97212EB6-E6F6-4298-8B22-79CC91E96287}"/>
    <cellStyle name="Normal 4 2 4 4 2 6" xfId="34663" xr:uid="{E5359058-7A31-4E97-A873-7447B40A5F57}"/>
    <cellStyle name="Normal 4 2 4 4 2 7" xfId="9370" xr:uid="{C92B475B-7223-40A7-9DEA-1B900F5CE131}"/>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33010" xr:uid="{DF2AE146-3511-496E-AC11-FE6BBE93BE71}"/>
    <cellStyle name="Normal 4 2 4 4 3 2 2 3" xfId="24581" xr:uid="{DF6FA346-2FC7-4E17-A390-4FDFCF16B196}"/>
    <cellStyle name="Normal 4 2 4 4 3 2 2 4" xfId="41438" xr:uid="{2C94C8AF-42E2-46D7-89C6-DDBC86AEB0E3}"/>
    <cellStyle name="Normal 4 2 4 4 3 2 2 5" xfId="16146" xr:uid="{CC5276E5-1FAB-4166-BCC6-C8E6A60B7E46}"/>
    <cellStyle name="Normal 4 2 4 4 3 2 3" xfId="28792" xr:uid="{E48A988D-1CCF-422A-98F4-26BE0CF6073C}"/>
    <cellStyle name="Normal 4 2 4 4 3 2 4" xfId="20363" xr:uid="{891A4353-FCC7-46E0-8F86-7E1D63B83210}"/>
    <cellStyle name="Normal 4 2 4 4 3 2 5" xfId="37221" xr:uid="{C081DC5C-1974-401C-824F-F4310CCE094B}"/>
    <cellStyle name="Normal 4 2 4 4 3 2 6" xfId="11928" xr:uid="{31132ECA-7B85-4349-AC76-2588C0472B4C}"/>
    <cellStyle name="Normal 4 2 4 4 3 3" xfId="5566" xr:uid="{00000000-0005-0000-0000-0000AD130000}"/>
    <cellStyle name="Normal 4 2 4 4 3 3 2" xfId="30865" xr:uid="{08873744-E748-4117-A675-5A024693D956}"/>
    <cellStyle name="Normal 4 2 4 4 3 3 3" xfId="22436" xr:uid="{AB7D4382-2F08-4676-BA60-EC260885CD76}"/>
    <cellStyle name="Normal 4 2 4 4 3 3 4" xfId="39293" xr:uid="{D4AC3D08-960C-4853-A97B-1300FAB6B43D}"/>
    <cellStyle name="Normal 4 2 4 4 3 3 5" xfId="14001" xr:uid="{A67F5132-78FB-43CC-96C7-63A879554119}"/>
    <cellStyle name="Normal 4 2 4 4 3 4" xfId="26647" xr:uid="{7AA43625-8AD2-422A-9978-05B4F296CEDE}"/>
    <cellStyle name="Normal 4 2 4 4 3 5" xfId="18218" xr:uid="{D620168C-DE12-4791-9EF8-B6CF0E0F6987}"/>
    <cellStyle name="Normal 4 2 4 4 3 6" xfId="35076" xr:uid="{EFB8BA28-A9C9-4DE1-AF19-FC9E5AA8E1A9}"/>
    <cellStyle name="Normal 4 2 4 4 3 7" xfId="9783" xr:uid="{82214EB2-83A7-48BB-9FFA-4D5EB59FED49}"/>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33423" xr:uid="{6802C74D-A3B2-4E43-8285-D96D0E29DCCE}"/>
    <cellStyle name="Normal 4 2 4 4 4 2 2 3" xfId="24994" xr:uid="{3287C08F-1140-40FD-AB18-1C321F771C10}"/>
    <cellStyle name="Normal 4 2 4 4 4 2 2 4" xfId="41851" xr:uid="{348DF9D5-FAF7-481A-8095-FDAE12BEE419}"/>
    <cellStyle name="Normal 4 2 4 4 4 2 2 5" xfId="16559" xr:uid="{F6BE1DFF-56FF-4BCD-96F3-B373B8FA84E6}"/>
    <cellStyle name="Normal 4 2 4 4 4 2 3" xfId="29205" xr:uid="{10C570E7-15C4-4743-9518-0C9B0CC792D1}"/>
    <cellStyle name="Normal 4 2 4 4 4 2 4" xfId="20776" xr:uid="{71D0E831-CF8F-4208-AF42-67EFD2CD810F}"/>
    <cellStyle name="Normal 4 2 4 4 4 2 5" xfId="37634" xr:uid="{BE2FB0CD-D777-48C6-AE17-CC19A13FDD86}"/>
    <cellStyle name="Normal 4 2 4 4 4 2 6" xfId="12341" xr:uid="{967A8AF3-643A-4AB9-AFC4-74EE15B60C95}"/>
    <cellStyle name="Normal 4 2 4 4 4 3" xfId="5979" xr:uid="{00000000-0005-0000-0000-0000B1130000}"/>
    <cellStyle name="Normal 4 2 4 4 4 3 2" xfId="31278" xr:uid="{67CD1C4B-8B42-48C3-BAA9-95757308436F}"/>
    <cellStyle name="Normal 4 2 4 4 4 3 3" xfId="22849" xr:uid="{47002CB4-5F68-45C3-968C-011484541420}"/>
    <cellStyle name="Normal 4 2 4 4 4 3 4" xfId="39706" xr:uid="{EB21C3D3-D686-4BC5-94EC-D921C21673C2}"/>
    <cellStyle name="Normal 4 2 4 4 4 3 5" xfId="14414" xr:uid="{4F81999B-70B1-44E8-B89D-759CF77D85CD}"/>
    <cellStyle name="Normal 4 2 4 4 4 4" xfId="27060" xr:uid="{84242D75-6E76-47D5-8B48-6465A41E0AC3}"/>
    <cellStyle name="Normal 4 2 4 4 4 5" xfId="18631" xr:uid="{E70439EC-FE4E-4674-8AAC-5BB39DF4E168}"/>
    <cellStyle name="Normal 4 2 4 4 4 6" xfId="35489" xr:uid="{FC969BD6-0BAA-4B8E-A78B-2BFAEAB2F414}"/>
    <cellStyle name="Normal 4 2 4 4 4 7" xfId="10196" xr:uid="{808D1080-E50A-4A43-9766-DD80AEC75A6E}"/>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33836" xr:uid="{7DFB3A98-24F3-420B-80E2-F55D0236160F}"/>
    <cellStyle name="Normal 4 2 4 4 5 2 2 3" xfId="25407" xr:uid="{96786105-5126-4C67-B933-9C82461E652F}"/>
    <cellStyle name="Normal 4 2 4 4 5 2 2 4" xfId="42264" xr:uid="{1111A462-25F5-4422-84D1-1DB4156B883C}"/>
    <cellStyle name="Normal 4 2 4 4 5 2 2 5" xfId="16972" xr:uid="{04F25156-0F1E-42C1-B37E-8BDDCE95E752}"/>
    <cellStyle name="Normal 4 2 4 4 5 2 3" xfId="29618" xr:uid="{EA1A5CC5-C200-4A6B-9829-C68FAA7C977F}"/>
    <cellStyle name="Normal 4 2 4 4 5 2 4" xfId="21189" xr:uid="{CC86F3F2-221E-4E92-BD1D-81EC2049C4F3}"/>
    <cellStyle name="Normal 4 2 4 4 5 2 5" xfId="38047" xr:uid="{6F332BB2-52DF-4B62-B491-8FABD2D5262B}"/>
    <cellStyle name="Normal 4 2 4 4 5 2 6" xfId="12754" xr:uid="{ED726389-FCAB-421E-9BBA-398B3DBE2C88}"/>
    <cellStyle name="Normal 4 2 4 4 5 3" xfId="6392" xr:uid="{00000000-0005-0000-0000-0000B5130000}"/>
    <cellStyle name="Normal 4 2 4 4 5 3 2" xfId="31691" xr:uid="{EFFC401A-6AEC-4711-BBBE-8EFD5DD4A96D}"/>
    <cellStyle name="Normal 4 2 4 4 5 3 3" xfId="23262" xr:uid="{F1E61D30-B590-4993-9859-652619D09905}"/>
    <cellStyle name="Normal 4 2 4 4 5 3 4" xfId="40119" xr:uid="{B64351D8-8B52-49A3-80B0-382BBFD21401}"/>
    <cellStyle name="Normal 4 2 4 4 5 3 5" xfId="14827" xr:uid="{10511E71-AB28-431B-9A5A-96F0D897590A}"/>
    <cellStyle name="Normal 4 2 4 4 5 4" xfId="27473" xr:uid="{981091D8-88FA-479D-B301-4D4622F8A931}"/>
    <cellStyle name="Normal 4 2 4 4 5 5" xfId="19044" xr:uid="{08680064-6D1E-4F4B-AD2D-5EB0077B438F}"/>
    <cellStyle name="Normal 4 2 4 4 5 6" xfId="35902" xr:uid="{FACA6AC1-C879-4AB5-82F5-685B20A5B0D1}"/>
    <cellStyle name="Normal 4 2 4 4 5 7" xfId="10609" xr:uid="{B0BBF6EA-3467-461B-A097-BA476FB3F448}"/>
    <cellStyle name="Normal 4 2 4 4 6" xfId="2521" xr:uid="{00000000-0005-0000-0000-0000B6130000}"/>
    <cellStyle name="Normal 4 2 4 4 6 2" xfId="6805" xr:uid="{00000000-0005-0000-0000-0000B7130000}"/>
    <cellStyle name="Normal 4 2 4 4 6 2 2" xfId="32104" xr:uid="{F8CB9A6A-F3AA-4561-8E9B-C3CF71ECF312}"/>
    <cellStyle name="Normal 4 2 4 4 6 2 3" xfId="23675" xr:uid="{13511E8F-A3D2-4898-A4BD-8C5BB100818E}"/>
    <cellStyle name="Normal 4 2 4 4 6 2 4" xfId="40532" xr:uid="{910D4DB8-12D0-455D-A955-7125CB11ABA0}"/>
    <cellStyle name="Normal 4 2 4 4 6 2 5" xfId="15240" xr:uid="{6DFDBC3D-749F-434F-A47C-BF5084FBD032}"/>
    <cellStyle name="Normal 4 2 4 4 6 3" xfId="27886" xr:uid="{83D5D9CD-6BFB-4ED2-8282-6032BB1C5127}"/>
    <cellStyle name="Normal 4 2 4 4 6 4" xfId="19457" xr:uid="{64217F09-25E4-4D12-9097-6960F178316E}"/>
    <cellStyle name="Normal 4 2 4 4 6 5" xfId="36315" xr:uid="{26EAF835-14F2-4D05-8EAB-8161F1492CAF}"/>
    <cellStyle name="Normal 4 2 4 4 6 6" xfId="11022" xr:uid="{87BE7ACA-B426-433F-ABB4-0BC11061C95C}"/>
    <cellStyle name="Normal 4 2 4 4 7" xfId="4740" xr:uid="{00000000-0005-0000-0000-0000B8130000}"/>
    <cellStyle name="Normal 4 2 4 4 7 2" xfId="30039" xr:uid="{9D2F03F9-EDD3-4D00-895B-32B2E9A67851}"/>
    <cellStyle name="Normal 4 2 4 4 7 3" xfId="21610" xr:uid="{53073554-A3F9-4993-8A16-391EE2599F95}"/>
    <cellStyle name="Normal 4 2 4 4 7 4" xfId="38467" xr:uid="{4700DB8D-1AFF-4DDF-A17A-DC0E74BEC2ED}"/>
    <cellStyle name="Normal 4 2 4 4 7 5" xfId="13175" xr:uid="{22353B20-1D7C-4B65-83AB-D24A31E53D2D}"/>
    <cellStyle name="Normal 4 2 4 4 8" xfId="25821" xr:uid="{EF42AADC-1EF4-43E6-91F4-E4305243E037}"/>
    <cellStyle name="Normal 4 2 4 4 9" xfId="17392" xr:uid="{987E0E23-8F0D-4E53-ABE8-792F0B643C3D}"/>
    <cellStyle name="Normal 4 2 4 5" xfId="831" xr:uid="{00000000-0005-0000-0000-0000B9130000}"/>
    <cellStyle name="Normal 4 2 4 5 2" xfId="3068" xr:uid="{00000000-0005-0000-0000-0000BA130000}"/>
    <cellStyle name="Normal 4 2 4 5 2 2" xfId="7291" xr:uid="{00000000-0005-0000-0000-0000BB130000}"/>
    <cellStyle name="Normal 4 2 4 5 2 2 2" xfId="32590" xr:uid="{4874F8B2-92A5-4602-B102-5C3C5738026A}"/>
    <cellStyle name="Normal 4 2 4 5 2 2 3" xfId="24161" xr:uid="{C19902E5-03D0-4FEE-8612-1640FB7ED059}"/>
    <cellStyle name="Normal 4 2 4 5 2 2 4" xfId="41018" xr:uid="{EF7768AD-E86F-44AA-BA73-E313E1014810}"/>
    <cellStyle name="Normal 4 2 4 5 2 2 5" xfId="15726" xr:uid="{6D3637BC-6099-489A-B5F9-6F65259D9B05}"/>
    <cellStyle name="Normal 4 2 4 5 2 3" xfId="28372" xr:uid="{22F47D1C-8AD3-44F2-8429-947304474EF2}"/>
    <cellStyle name="Normal 4 2 4 5 2 4" xfId="19943" xr:uid="{5164574C-F683-4587-9A64-DF2E53FA5F11}"/>
    <cellStyle name="Normal 4 2 4 5 2 5" xfId="36801" xr:uid="{1302A453-EC9F-48F8-8228-C5B548075A1A}"/>
    <cellStyle name="Normal 4 2 4 5 2 6" xfId="11508" xr:uid="{F2E742A9-9B59-42C5-B1D3-6CD1B5E69AB9}"/>
    <cellStyle name="Normal 4 2 4 5 3" xfId="5146" xr:uid="{00000000-0005-0000-0000-0000BC130000}"/>
    <cellStyle name="Normal 4 2 4 5 3 2" xfId="30445" xr:uid="{CA4AFF39-A503-4D6E-B928-B7EBF85C11C2}"/>
    <cellStyle name="Normal 4 2 4 5 3 3" xfId="22016" xr:uid="{17B6F979-9649-42C8-AACD-EB4663B3075F}"/>
    <cellStyle name="Normal 4 2 4 5 3 4" xfId="38873" xr:uid="{7CA27778-F1E1-48F5-AB8C-8350A3FF0681}"/>
    <cellStyle name="Normal 4 2 4 5 3 5" xfId="13581" xr:uid="{EFCC8708-3A7B-45A8-BDEA-8C7AB9D9BF14}"/>
    <cellStyle name="Normal 4 2 4 5 4" xfId="26227" xr:uid="{38C10A2F-C7C5-480B-9A08-90DD76F2CEB0}"/>
    <cellStyle name="Normal 4 2 4 5 5" xfId="17798" xr:uid="{D2DE58F9-4818-4F24-B74E-DEE8696C73B1}"/>
    <cellStyle name="Normal 4 2 4 5 6" xfId="34656" xr:uid="{A12DA385-74F1-435C-8222-64FCEBFF4DF1}"/>
    <cellStyle name="Normal 4 2 4 5 7" xfId="9363" xr:uid="{E233D18D-2615-4860-A4F2-FAEAF800CD58}"/>
    <cellStyle name="Normal 4 2 4 6" xfId="1251" xr:uid="{00000000-0005-0000-0000-0000BD130000}"/>
    <cellStyle name="Normal 4 2 4 6 2" xfId="3481" xr:uid="{00000000-0005-0000-0000-0000BE130000}"/>
    <cellStyle name="Normal 4 2 4 6 2 2" xfId="7704" xr:uid="{00000000-0005-0000-0000-0000BF130000}"/>
    <cellStyle name="Normal 4 2 4 6 2 2 2" xfId="33003" xr:uid="{66AA4F89-5ED3-466F-8BAC-5105198E9B3C}"/>
    <cellStyle name="Normal 4 2 4 6 2 2 3" xfId="24574" xr:uid="{2B35A5AF-D008-4B75-AE45-DD763462CC11}"/>
    <cellStyle name="Normal 4 2 4 6 2 2 4" xfId="41431" xr:uid="{363CB0F1-2C10-4B76-A83C-404CB3F5732C}"/>
    <cellStyle name="Normal 4 2 4 6 2 2 5" xfId="16139" xr:uid="{FB1D0E19-DB32-422F-9EBC-FED289A7B094}"/>
    <cellStyle name="Normal 4 2 4 6 2 3" xfId="28785" xr:uid="{D158DD03-C43F-47BF-824A-9DF7854BB173}"/>
    <cellStyle name="Normal 4 2 4 6 2 4" xfId="20356" xr:uid="{C5A809FB-C76A-456C-9A4A-A7BF2DBC6FA3}"/>
    <cellStyle name="Normal 4 2 4 6 2 5" xfId="37214" xr:uid="{0FEBA69D-E306-4160-8C3C-34F8508B4B07}"/>
    <cellStyle name="Normal 4 2 4 6 2 6" xfId="11921" xr:uid="{18C8850C-6E06-4746-B9D4-2FE8DA7F21FA}"/>
    <cellStyle name="Normal 4 2 4 6 3" xfId="5559" xr:uid="{00000000-0005-0000-0000-0000C0130000}"/>
    <cellStyle name="Normal 4 2 4 6 3 2" xfId="30858" xr:uid="{907EFC32-2C81-4E97-960F-7EAD3566D321}"/>
    <cellStyle name="Normal 4 2 4 6 3 3" xfId="22429" xr:uid="{553EE93F-88A1-499C-8645-A3EC3AC0B8CF}"/>
    <cellStyle name="Normal 4 2 4 6 3 4" xfId="39286" xr:uid="{D730C87A-751D-49AB-A78B-ECDED4C01C52}"/>
    <cellStyle name="Normal 4 2 4 6 3 5" xfId="13994" xr:uid="{1E5AE956-28D9-4CAB-9DC0-1ECB42B132FE}"/>
    <cellStyle name="Normal 4 2 4 6 4" xfId="26640" xr:uid="{5273187E-179B-46B7-A4BA-1419A2FEEDFC}"/>
    <cellStyle name="Normal 4 2 4 6 5" xfId="18211" xr:uid="{79443D97-4BE1-48E1-BB83-90B7BEFCE7A6}"/>
    <cellStyle name="Normal 4 2 4 6 6" xfId="35069" xr:uid="{7EDFCEE7-A419-4137-AF21-FB3DD3BD8E06}"/>
    <cellStyle name="Normal 4 2 4 6 7" xfId="9776" xr:uid="{2BE3470C-FA7A-4B5E-8861-72CC3548B988}"/>
    <cellStyle name="Normal 4 2 4 7" xfId="1664" xr:uid="{00000000-0005-0000-0000-0000C1130000}"/>
    <cellStyle name="Normal 4 2 4 7 2" xfId="3894" xr:uid="{00000000-0005-0000-0000-0000C2130000}"/>
    <cellStyle name="Normal 4 2 4 7 2 2" xfId="8117" xr:uid="{00000000-0005-0000-0000-0000C3130000}"/>
    <cellStyle name="Normal 4 2 4 7 2 2 2" xfId="33416" xr:uid="{F3706922-2189-49FE-BD6E-346B30044AA9}"/>
    <cellStyle name="Normal 4 2 4 7 2 2 3" xfId="24987" xr:uid="{24C1C62F-B4EB-4D0A-84E6-C517B96DCE4B}"/>
    <cellStyle name="Normal 4 2 4 7 2 2 4" xfId="41844" xr:uid="{3AC2F2BB-964D-4C0D-93D3-9B2ACAF786C1}"/>
    <cellStyle name="Normal 4 2 4 7 2 2 5" xfId="16552" xr:uid="{0D385266-348F-4F2C-A50A-FD72956B59EF}"/>
    <cellStyle name="Normal 4 2 4 7 2 3" xfId="29198" xr:uid="{1E33EFFB-5867-4C02-B466-5DCC944F6195}"/>
    <cellStyle name="Normal 4 2 4 7 2 4" xfId="20769" xr:uid="{F2A52DA8-A15D-4ED4-B290-56864AC0BA28}"/>
    <cellStyle name="Normal 4 2 4 7 2 5" xfId="37627" xr:uid="{9AE7CF47-56C9-4021-9ABF-9681D6C51448}"/>
    <cellStyle name="Normal 4 2 4 7 2 6" xfId="12334" xr:uid="{E814022B-9250-4D68-914E-6CB2C279468E}"/>
    <cellStyle name="Normal 4 2 4 7 3" xfId="5972" xr:uid="{00000000-0005-0000-0000-0000C4130000}"/>
    <cellStyle name="Normal 4 2 4 7 3 2" xfId="31271" xr:uid="{2472E841-1BD6-40E6-850E-E80253B759B1}"/>
    <cellStyle name="Normal 4 2 4 7 3 3" xfId="22842" xr:uid="{179619F2-2BD1-44ED-88BF-FC751DD23FA4}"/>
    <cellStyle name="Normal 4 2 4 7 3 4" xfId="39699" xr:uid="{E392B204-8E4E-420B-90BD-39B9AF26D478}"/>
    <cellStyle name="Normal 4 2 4 7 3 5" xfId="14407" xr:uid="{274EE999-BA0C-4404-A3B5-E13966258A54}"/>
    <cellStyle name="Normal 4 2 4 7 4" xfId="27053" xr:uid="{C0C7B256-02E6-4013-926D-A693456D2B2C}"/>
    <cellStyle name="Normal 4 2 4 7 5" xfId="18624" xr:uid="{2560A3A9-C004-45FC-9B42-961A2D13C8C6}"/>
    <cellStyle name="Normal 4 2 4 7 6" xfId="35482" xr:uid="{D351FBA9-65B5-40B0-9063-8422A1176402}"/>
    <cellStyle name="Normal 4 2 4 7 7" xfId="10189" xr:uid="{938FB386-14CC-426F-A345-92B4B0D95446}"/>
    <cellStyle name="Normal 4 2 4 8" xfId="2078" xr:uid="{00000000-0005-0000-0000-0000C5130000}"/>
    <cellStyle name="Normal 4 2 4 8 2" xfId="4307" xr:uid="{00000000-0005-0000-0000-0000C6130000}"/>
    <cellStyle name="Normal 4 2 4 8 2 2" xfId="8530" xr:uid="{00000000-0005-0000-0000-0000C7130000}"/>
    <cellStyle name="Normal 4 2 4 8 2 2 2" xfId="33829" xr:uid="{3E684AB2-DBD3-41AB-BCB3-38723DBCC053}"/>
    <cellStyle name="Normal 4 2 4 8 2 2 3" xfId="25400" xr:uid="{91FD08F7-8C3E-4300-9F8B-74F1423692B2}"/>
    <cellStyle name="Normal 4 2 4 8 2 2 4" xfId="42257" xr:uid="{CF72050D-9621-4547-B9E8-44A340B97617}"/>
    <cellStyle name="Normal 4 2 4 8 2 2 5" xfId="16965" xr:uid="{737B3C5B-0832-42C5-8563-4FF947A8F530}"/>
    <cellStyle name="Normal 4 2 4 8 2 3" xfId="29611" xr:uid="{BA307106-C455-42BE-98FA-73FB5B6FF2D9}"/>
    <cellStyle name="Normal 4 2 4 8 2 4" xfId="21182" xr:uid="{DD5A1371-F202-4B57-BF88-EA168B301451}"/>
    <cellStyle name="Normal 4 2 4 8 2 5" xfId="38040" xr:uid="{0CC8270F-2A57-42A5-BC89-75A572EB5300}"/>
    <cellStyle name="Normal 4 2 4 8 2 6" xfId="12747" xr:uid="{2A9BA24F-3748-43A0-B681-4E29B4F830E0}"/>
    <cellStyle name="Normal 4 2 4 8 3" xfId="6385" xr:uid="{00000000-0005-0000-0000-0000C8130000}"/>
    <cellStyle name="Normal 4 2 4 8 3 2" xfId="31684" xr:uid="{45C2AB87-AABB-4630-A568-00AE8835E882}"/>
    <cellStyle name="Normal 4 2 4 8 3 3" xfId="23255" xr:uid="{D6A34C94-820E-46A2-AB3B-CF5B4A4CE3D7}"/>
    <cellStyle name="Normal 4 2 4 8 3 4" xfId="40112" xr:uid="{99F68BB7-E7D1-4FB7-9DAF-EFF4E4935C0B}"/>
    <cellStyle name="Normal 4 2 4 8 3 5" xfId="14820" xr:uid="{CB5C80AD-0342-424B-883C-82DFB0EB4B73}"/>
    <cellStyle name="Normal 4 2 4 8 4" xfId="27466" xr:uid="{F6FDA82F-029C-4040-A840-E785CCF14BA8}"/>
    <cellStyle name="Normal 4 2 4 8 5" xfId="19037" xr:uid="{EBA5BD18-630C-43A7-8937-03848D5D32DD}"/>
    <cellStyle name="Normal 4 2 4 8 6" xfId="35895" xr:uid="{78917D65-9314-4EAC-A40F-2A078E5A75C0}"/>
    <cellStyle name="Normal 4 2 4 8 7" xfId="10602" xr:uid="{28D4F58A-000E-479A-85A3-9F9691BC8F45}"/>
    <cellStyle name="Normal 4 2 4 9" xfId="2514" xr:uid="{00000000-0005-0000-0000-0000C9130000}"/>
    <cellStyle name="Normal 4 2 4 9 2" xfId="6798" xr:uid="{00000000-0005-0000-0000-0000CA130000}"/>
    <cellStyle name="Normal 4 2 4 9 2 2" xfId="32097" xr:uid="{DCD30430-C80E-4E44-92DF-A88D89F04498}"/>
    <cellStyle name="Normal 4 2 4 9 2 3" xfId="23668" xr:uid="{C97CB2BB-27D1-4C37-9F41-FA31932CE162}"/>
    <cellStyle name="Normal 4 2 4 9 2 4" xfId="40525" xr:uid="{35A25820-0A1A-4973-A92F-578DFB072E41}"/>
    <cellStyle name="Normal 4 2 4 9 2 5" xfId="15233" xr:uid="{2104437A-CBED-4626-9916-AA36E0D0EE52}"/>
    <cellStyle name="Normal 4 2 4 9 3" xfId="27879" xr:uid="{3D3EAD69-0B8B-4727-A30B-FC63677AA433}"/>
    <cellStyle name="Normal 4 2 4 9 4" xfId="19450" xr:uid="{79E6A5FD-1385-4C7D-A1D8-3F772518504D}"/>
    <cellStyle name="Normal 4 2 4 9 5" xfId="36308" xr:uid="{789F4045-9E13-47E8-92A7-6FFA82DF138B}"/>
    <cellStyle name="Normal 4 2 4 9 6" xfId="11015" xr:uid="{7B69A1AD-4ABA-4577-A6AE-EE9B47BC3C49}"/>
    <cellStyle name="Normal 4 2 5" xfId="363" xr:uid="{00000000-0005-0000-0000-0000CB130000}"/>
    <cellStyle name="Normal 4 2 5 10" xfId="17393" xr:uid="{6D437CDF-F3E2-466A-935F-73B00893E0CC}"/>
    <cellStyle name="Normal 4 2 5 11" xfId="34251" xr:uid="{066897D8-11BC-43A5-94FB-A212E7DC2947}"/>
    <cellStyle name="Normal 4 2 5 12" xfId="8958" xr:uid="{828A9C8B-AAE4-4BBA-8CCE-1F942AA8B7CE}"/>
    <cellStyle name="Normal 4 2 5 2" xfId="364" xr:uid="{00000000-0005-0000-0000-0000CC130000}"/>
    <cellStyle name="Normal 4 2 5 2 10" xfId="34252" xr:uid="{F4F2F75D-C8CE-448F-A85F-442BBFB5FCB8}"/>
    <cellStyle name="Normal 4 2 5 2 11" xfId="8959" xr:uid="{F5865E78-FFB4-494D-B1C4-97E77953E7C9}"/>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32599" xr:uid="{1652BDBF-D5D0-483E-B63D-7D1249648430}"/>
    <cellStyle name="Normal 4 2 5 2 2 2 2 3" xfId="24170" xr:uid="{C263C03B-7118-47BB-AF5F-639B6CDFE70C}"/>
    <cellStyle name="Normal 4 2 5 2 2 2 2 4" xfId="41027" xr:uid="{590CCC48-7B95-409A-B30C-DF363BB3EFED}"/>
    <cellStyle name="Normal 4 2 5 2 2 2 2 5" xfId="15735" xr:uid="{1BD50E15-6A51-4D62-BFFF-1FEDB98C79B3}"/>
    <cellStyle name="Normal 4 2 5 2 2 2 3" xfId="28381" xr:uid="{5B5BE182-73F6-4886-861A-5E7974D9B172}"/>
    <cellStyle name="Normal 4 2 5 2 2 2 4" xfId="19952" xr:uid="{DC31172D-3334-48FF-8EC8-36A64FC1B8C7}"/>
    <cellStyle name="Normal 4 2 5 2 2 2 5" xfId="36810" xr:uid="{9B9DB0FA-F0F6-4B27-B6B9-ECB3613AFB5E}"/>
    <cellStyle name="Normal 4 2 5 2 2 2 6" xfId="11517" xr:uid="{C740933E-2901-41F0-A1AA-08F43FDEDDF6}"/>
    <cellStyle name="Normal 4 2 5 2 2 3" xfId="5155" xr:uid="{00000000-0005-0000-0000-0000D0130000}"/>
    <cellStyle name="Normal 4 2 5 2 2 3 2" xfId="30454" xr:uid="{B2659DA1-8A23-4817-AE08-0CE2E4C796EA}"/>
    <cellStyle name="Normal 4 2 5 2 2 3 3" xfId="22025" xr:uid="{1AAAB057-F3D1-44D0-BA9B-32D0ABCD9397}"/>
    <cellStyle name="Normal 4 2 5 2 2 3 4" xfId="38882" xr:uid="{861CDA69-88BD-4DA7-9598-7105E905C953}"/>
    <cellStyle name="Normal 4 2 5 2 2 3 5" xfId="13590" xr:uid="{83A44977-A618-46E0-B64A-67F1EC31DFBA}"/>
    <cellStyle name="Normal 4 2 5 2 2 4" xfId="26236" xr:uid="{FA1F9454-6C18-4289-A35B-1B1FA2C17157}"/>
    <cellStyle name="Normal 4 2 5 2 2 5" xfId="17807" xr:uid="{34A88136-CD03-4383-A2A2-585FA062A6B7}"/>
    <cellStyle name="Normal 4 2 5 2 2 6" xfId="34665" xr:uid="{7AF82110-7E30-4116-9AF3-D57BF0A8C072}"/>
    <cellStyle name="Normal 4 2 5 2 2 7" xfId="9372" xr:uid="{E85CEE69-6D5B-41F9-8D78-D97EADD563F4}"/>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33012" xr:uid="{D425F8A6-0674-4F8B-B190-054EA4E6D36C}"/>
    <cellStyle name="Normal 4 2 5 2 3 2 2 3" xfId="24583" xr:uid="{FA07040B-1853-480F-ACE8-0B7AB05FC390}"/>
    <cellStyle name="Normal 4 2 5 2 3 2 2 4" xfId="41440" xr:uid="{1FC9E74D-3966-498D-97DB-B0CEFB0F24AC}"/>
    <cellStyle name="Normal 4 2 5 2 3 2 2 5" xfId="16148" xr:uid="{4A0D7F98-EA96-4F8F-B930-BC4003AE4959}"/>
    <cellStyle name="Normal 4 2 5 2 3 2 3" xfId="28794" xr:uid="{6880D2E9-F2BD-4F1D-A8C2-6DA5E04B9366}"/>
    <cellStyle name="Normal 4 2 5 2 3 2 4" xfId="20365" xr:uid="{65B4292D-3DD8-4BB7-BD39-6DE3613A3A47}"/>
    <cellStyle name="Normal 4 2 5 2 3 2 5" xfId="37223" xr:uid="{8D603404-F271-48C3-81DB-91D2D1E01F23}"/>
    <cellStyle name="Normal 4 2 5 2 3 2 6" xfId="11930" xr:uid="{7C916B38-EE62-495D-B0A2-33563EEE856D}"/>
    <cellStyle name="Normal 4 2 5 2 3 3" xfId="5568" xr:uid="{00000000-0005-0000-0000-0000D4130000}"/>
    <cellStyle name="Normal 4 2 5 2 3 3 2" xfId="30867" xr:uid="{2EE49B55-5CEB-4907-AD4E-0102BE9BFCF2}"/>
    <cellStyle name="Normal 4 2 5 2 3 3 3" xfId="22438" xr:uid="{9F30C3F8-6AAC-43BD-ADA9-5F956B9EB36A}"/>
    <cellStyle name="Normal 4 2 5 2 3 3 4" xfId="39295" xr:uid="{F259F9B5-0F3B-4738-8F2C-7600E83D0ED6}"/>
    <cellStyle name="Normal 4 2 5 2 3 3 5" xfId="14003" xr:uid="{DE2F3CBA-9A09-4B18-86CA-3F7BCB1F0843}"/>
    <cellStyle name="Normal 4 2 5 2 3 4" xfId="26649" xr:uid="{410DEB22-17B5-4A61-9872-88B278DE168E}"/>
    <cellStyle name="Normal 4 2 5 2 3 5" xfId="18220" xr:uid="{DBFDB29C-8037-4C61-B79A-9AF3A6F6B6F6}"/>
    <cellStyle name="Normal 4 2 5 2 3 6" xfId="35078" xr:uid="{D7445B48-D105-438A-A34C-75617FFAB2DF}"/>
    <cellStyle name="Normal 4 2 5 2 3 7" xfId="9785" xr:uid="{B1E82DB5-B057-4323-92BB-BEEFE84D982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33425" xr:uid="{D2D6B37D-9BEE-45EC-A686-02BFE273A6AD}"/>
    <cellStyle name="Normal 4 2 5 2 4 2 2 3" xfId="24996" xr:uid="{E5579B0F-8F78-460A-8285-1498827D82E2}"/>
    <cellStyle name="Normal 4 2 5 2 4 2 2 4" xfId="41853" xr:uid="{48D1CE7F-906E-499B-B328-20324D64F044}"/>
    <cellStyle name="Normal 4 2 5 2 4 2 2 5" xfId="16561" xr:uid="{890386AC-6DC5-4358-B1FC-A36170617FF3}"/>
    <cellStyle name="Normal 4 2 5 2 4 2 3" xfId="29207" xr:uid="{CB2492A0-96B2-462B-B4E2-8664452A38DE}"/>
    <cellStyle name="Normal 4 2 5 2 4 2 4" xfId="20778" xr:uid="{9F7DDC45-96D3-4C2B-9392-D3A7DD22623E}"/>
    <cellStyle name="Normal 4 2 5 2 4 2 5" xfId="37636" xr:uid="{38E1E068-FFF3-4395-94AF-5D0EDD7C1479}"/>
    <cellStyle name="Normal 4 2 5 2 4 2 6" xfId="12343" xr:uid="{F69B03A7-CB18-4537-B210-CEE8E1D3AFE6}"/>
    <cellStyle name="Normal 4 2 5 2 4 3" xfId="5981" xr:uid="{00000000-0005-0000-0000-0000D8130000}"/>
    <cellStyle name="Normal 4 2 5 2 4 3 2" xfId="31280" xr:uid="{7E58384C-C377-4327-80C9-E4E3A3C46BFC}"/>
    <cellStyle name="Normal 4 2 5 2 4 3 3" xfId="22851" xr:uid="{735CB447-1001-43EB-BED6-DC050FE95964}"/>
    <cellStyle name="Normal 4 2 5 2 4 3 4" xfId="39708" xr:uid="{59003F5C-E008-43F3-BE4D-7DAEDB9877C7}"/>
    <cellStyle name="Normal 4 2 5 2 4 3 5" xfId="14416" xr:uid="{088C6338-9BDF-4399-B509-C36C05899036}"/>
    <cellStyle name="Normal 4 2 5 2 4 4" xfId="27062" xr:uid="{3427B3AF-617D-4FEB-8932-499E263FB9B9}"/>
    <cellStyle name="Normal 4 2 5 2 4 5" xfId="18633" xr:uid="{46577D43-071B-44A9-9418-B8544972CC53}"/>
    <cellStyle name="Normal 4 2 5 2 4 6" xfId="35491" xr:uid="{B96C0C1F-4B6D-4FB1-9932-819232EAD31F}"/>
    <cellStyle name="Normal 4 2 5 2 4 7" xfId="10198" xr:uid="{C8CB05AC-1B04-4EBA-9297-E6705ADD9A37}"/>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33838" xr:uid="{B45E08FB-6852-4397-ACD4-8633341D486A}"/>
    <cellStyle name="Normal 4 2 5 2 5 2 2 3" xfId="25409" xr:uid="{6D47D092-ED24-46E2-8A38-CE208AEE23C8}"/>
    <cellStyle name="Normal 4 2 5 2 5 2 2 4" xfId="42266" xr:uid="{7122046D-5A97-455C-B565-6B1969792A8D}"/>
    <cellStyle name="Normal 4 2 5 2 5 2 2 5" xfId="16974" xr:uid="{0143F3FA-7648-4DA7-96FE-A365E5A769D2}"/>
    <cellStyle name="Normal 4 2 5 2 5 2 3" xfId="29620" xr:uid="{35BB28CA-A337-43BF-BF79-D212893A25FB}"/>
    <cellStyle name="Normal 4 2 5 2 5 2 4" xfId="21191" xr:uid="{1D448CE2-AD24-410A-958B-7DE795A31DD3}"/>
    <cellStyle name="Normal 4 2 5 2 5 2 5" xfId="38049" xr:uid="{CC80871A-B16C-4EBC-AC9D-6F148889CC9A}"/>
    <cellStyle name="Normal 4 2 5 2 5 2 6" xfId="12756" xr:uid="{28F8384B-F13A-4A63-878C-1D0D96E0B251}"/>
    <cellStyle name="Normal 4 2 5 2 5 3" xfId="6394" xr:uid="{00000000-0005-0000-0000-0000DC130000}"/>
    <cellStyle name="Normal 4 2 5 2 5 3 2" xfId="31693" xr:uid="{60AA18AA-4534-45C2-960A-E94FE55D04A6}"/>
    <cellStyle name="Normal 4 2 5 2 5 3 3" xfId="23264" xr:uid="{19EDFDA5-9ACB-4308-B8EA-7BB450F2B3F7}"/>
    <cellStyle name="Normal 4 2 5 2 5 3 4" xfId="40121" xr:uid="{14894CF4-B60C-4FE6-A3CF-07A576BDC350}"/>
    <cellStyle name="Normal 4 2 5 2 5 3 5" xfId="14829" xr:uid="{9F468495-4FA3-4EF1-B73E-88F173483653}"/>
    <cellStyle name="Normal 4 2 5 2 5 4" xfId="27475" xr:uid="{84249B2F-FDEA-4BC0-9191-EE1751943562}"/>
    <cellStyle name="Normal 4 2 5 2 5 5" xfId="19046" xr:uid="{3193F16F-54D5-46B4-9FBC-5FB43D862F41}"/>
    <cellStyle name="Normal 4 2 5 2 5 6" xfId="35904" xr:uid="{23305C33-0756-4D92-986A-D59ED90AC5EB}"/>
    <cellStyle name="Normal 4 2 5 2 5 7" xfId="10611" xr:uid="{8AEEE9DD-C53D-4AC8-83CC-961A43BB8C0B}"/>
    <cellStyle name="Normal 4 2 5 2 6" xfId="2523" xr:uid="{00000000-0005-0000-0000-0000DD130000}"/>
    <cellStyle name="Normal 4 2 5 2 6 2" xfId="6807" xr:uid="{00000000-0005-0000-0000-0000DE130000}"/>
    <cellStyle name="Normal 4 2 5 2 6 2 2" xfId="32106" xr:uid="{1CBA5CB7-A924-4C86-9B4E-22C58B74DD27}"/>
    <cellStyle name="Normal 4 2 5 2 6 2 3" xfId="23677" xr:uid="{5665317D-5394-463F-946C-B2D42AEF521D}"/>
    <cellStyle name="Normal 4 2 5 2 6 2 4" xfId="40534" xr:uid="{F5314D65-86EB-4A5D-8EFA-CCE9873591AA}"/>
    <cellStyle name="Normal 4 2 5 2 6 2 5" xfId="15242" xr:uid="{D5FA6F73-E14E-4A6F-B38E-DF1EA3AFD332}"/>
    <cellStyle name="Normal 4 2 5 2 6 3" xfId="27888" xr:uid="{B63F5C35-F591-4782-8823-16AFE0C6E697}"/>
    <cellStyle name="Normal 4 2 5 2 6 4" xfId="19459" xr:uid="{98241DF5-CC47-4032-9C1A-86A6EA60D5E1}"/>
    <cellStyle name="Normal 4 2 5 2 6 5" xfId="36317" xr:uid="{A492127C-7EC6-4DBA-9D91-611CA2EC4039}"/>
    <cellStyle name="Normal 4 2 5 2 6 6" xfId="11024" xr:uid="{507DF3F6-7CC5-4EBB-80D1-779E63AEA0DC}"/>
    <cellStyle name="Normal 4 2 5 2 7" xfId="4742" xr:uid="{00000000-0005-0000-0000-0000DF130000}"/>
    <cellStyle name="Normal 4 2 5 2 7 2" xfId="30041" xr:uid="{72A111F2-2D25-466C-8256-71C692D6F395}"/>
    <cellStyle name="Normal 4 2 5 2 7 3" xfId="21612" xr:uid="{3918DA00-D5DF-4652-A905-A45A5DA800E3}"/>
    <cellStyle name="Normal 4 2 5 2 7 4" xfId="38469" xr:uid="{90A7630B-6D67-4858-A7FB-CC0B7046236A}"/>
    <cellStyle name="Normal 4 2 5 2 7 5" xfId="13177" xr:uid="{3C953DDD-8446-4883-AD62-4DDE93D85C77}"/>
    <cellStyle name="Normal 4 2 5 2 8" xfId="25823" xr:uid="{CEAD171E-E31B-474F-A355-84C67C3B4C8E}"/>
    <cellStyle name="Normal 4 2 5 2 9" xfId="17394" xr:uid="{115155EA-5806-4E14-80FF-A66B7FBE8AC6}"/>
    <cellStyle name="Normal 4 2 5 3" xfId="839" xr:uid="{00000000-0005-0000-0000-0000E0130000}"/>
    <cellStyle name="Normal 4 2 5 3 2" xfId="3076" xr:uid="{00000000-0005-0000-0000-0000E1130000}"/>
    <cellStyle name="Normal 4 2 5 3 2 2" xfId="7299" xr:uid="{00000000-0005-0000-0000-0000E2130000}"/>
    <cellStyle name="Normal 4 2 5 3 2 2 2" xfId="32598" xr:uid="{41CBFDD9-9C18-49C5-A41D-01E96BB73349}"/>
    <cellStyle name="Normal 4 2 5 3 2 2 3" xfId="24169" xr:uid="{99E144E3-EDE9-4B67-BA32-55A7EFD58D40}"/>
    <cellStyle name="Normal 4 2 5 3 2 2 4" xfId="41026" xr:uid="{F5D3D11A-55A4-4846-AAD2-D44AD47EACCC}"/>
    <cellStyle name="Normal 4 2 5 3 2 2 5" xfId="15734" xr:uid="{6085B119-10AC-4D13-8CB2-AC4BF3E5C1DC}"/>
    <cellStyle name="Normal 4 2 5 3 2 3" xfId="28380" xr:uid="{30587621-BC56-484D-AC34-A670B330D431}"/>
    <cellStyle name="Normal 4 2 5 3 2 4" xfId="19951" xr:uid="{F5A74DFD-F0D4-490E-8E77-9AEF81F9EA45}"/>
    <cellStyle name="Normal 4 2 5 3 2 5" xfId="36809" xr:uid="{BF90A05D-C9AB-4186-8AEE-CD285B747E22}"/>
    <cellStyle name="Normal 4 2 5 3 2 6" xfId="11516" xr:uid="{58608BAC-4BC7-456E-B381-ABF9AEC94785}"/>
    <cellStyle name="Normal 4 2 5 3 3" xfId="5154" xr:uid="{00000000-0005-0000-0000-0000E3130000}"/>
    <cellStyle name="Normal 4 2 5 3 3 2" xfId="30453" xr:uid="{D8602912-291F-44B7-BB55-5153078E9D1D}"/>
    <cellStyle name="Normal 4 2 5 3 3 3" xfId="22024" xr:uid="{027803BE-BAF5-4A0D-B262-40B153785911}"/>
    <cellStyle name="Normal 4 2 5 3 3 4" xfId="38881" xr:uid="{41210276-0194-4431-9E67-9AC9066968EC}"/>
    <cellStyle name="Normal 4 2 5 3 3 5" xfId="13589" xr:uid="{BF05BE0D-C30F-4490-8ADB-5DE6A4B7729D}"/>
    <cellStyle name="Normal 4 2 5 3 4" xfId="26235" xr:uid="{78253978-DD8C-40DE-A42F-E0FC79C5AEE0}"/>
    <cellStyle name="Normal 4 2 5 3 5" xfId="17806" xr:uid="{BA3BBCFF-21BC-462C-BE84-CC2F5F39D3A6}"/>
    <cellStyle name="Normal 4 2 5 3 6" xfId="34664" xr:uid="{960699C7-C231-4A45-A499-E4C9B720C664}"/>
    <cellStyle name="Normal 4 2 5 3 7" xfId="9371" xr:uid="{3EC8F2CB-EC09-4723-8AE8-23976EE4F5E0}"/>
    <cellStyle name="Normal 4 2 5 4" xfId="1259" xr:uid="{00000000-0005-0000-0000-0000E4130000}"/>
    <cellStyle name="Normal 4 2 5 4 2" xfId="3489" xr:uid="{00000000-0005-0000-0000-0000E5130000}"/>
    <cellStyle name="Normal 4 2 5 4 2 2" xfId="7712" xr:uid="{00000000-0005-0000-0000-0000E6130000}"/>
    <cellStyle name="Normal 4 2 5 4 2 2 2" xfId="33011" xr:uid="{C73D74B3-790D-4A11-AFFB-4D9CD9F6A590}"/>
    <cellStyle name="Normal 4 2 5 4 2 2 3" xfId="24582" xr:uid="{5A97DC5E-26FA-4B94-ABBF-EEE1C9F8244A}"/>
    <cellStyle name="Normal 4 2 5 4 2 2 4" xfId="41439" xr:uid="{0FBDC2D7-6DB7-4875-B76E-501D59DE5ED9}"/>
    <cellStyle name="Normal 4 2 5 4 2 2 5" xfId="16147" xr:uid="{E1D84D21-8FBA-42D5-A444-1845ECF2A2F6}"/>
    <cellStyle name="Normal 4 2 5 4 2 3" xfId="28793" xr:uid="{623BE5D1-314B-4D15-8E30-460D32C66965}"/>
    <cellStyle name="Normal 4 2 5 4 2 4" xfId="20364" xr:uid="{A6E4E3C4-C070-44EE-814E-E96A6298C599}"/>
    <cellStyle name="Normal 4 2 5 4 2 5" xfId="37222" xr:uid="{970A53F5-F74B-4DED-A188-C8DE23EE42F7}"/>
    <cellStyle name="Normal 4 2 5 4 2 6" xfId="11929" xr:uid="{9201785B-2266-42C9-A756-334791D8C57B}"/>
    <cellStyle name="Normal 4 2 5 4 3" xfId="5567" xr:uid="{00000000-0005-0000-0000-0000E7130000}"/>
    <cellStyle name="Normal 4 2 5 4 3 2" xfId="30866" xr:uid="{399EBEC9-3624-4917-814F-0D2D4FAE5D2E}"/>
    <cellStyle name="Normal 4 2 5 4 3 3" xfId="22437" xr:uid="{70347677-ED66-4A2A-9F07-385B555C7574}"/>
    <cellStyle name="Normal 4 2 5 4 3 4" xfId="39294" xr:uid="{5746646C-E3E9-4E4E-8881-978E6A2AF26D}"/>
    <cellStyle name="Normal 4 2 5 4 3 5" xfId="14002" xr:uid="{B723695E-7E38-4563-B21C-3AAB70F07FBB}"/>
    <cellStyle name="Normal 4 2 5 4 4" xfId="26648" xr:uid="{54DAE7E7-1AC1-4B67-B7CD-3F28B33F6E60}"/>
    <cellStyle name="Normal 4 2 5 4 5" xfId="18219" xr:uid="{B0C5F8CA-D391-4806-B9C7-14ECAC43315D}"/>
    <cellStyle name="Normal 4 2 5 4 6" xfId="35077" xr:uid="{D09A5150-FAA5-4DF1-8474-48A188E2D01A}"/>
    <cellStyle name="Normal 4 2 5 4 7" xfId="9784" xr:uid="{C412AB9E-F31B-4661-9563-0EF542764890}"/>
    <cellStyle name="Normal 4 2 5 5" xfId="1672" xr:uid="{00000000-0005-0000-0000-0000E8130000}"/>
    <cellStyle name="Normal 4 2 5 5 2" xfId="3902" xr:uid="{00000000-0005-0000-0000-0000E9130000}"/>
    <cellStyle name="Normal 4 2 5 5 2 2" xfId="8125" xr:uid="{00000000-0005-0000-0000-0000EA130000}"/>
    <cellStyle name="Normal 4 2 5 5 2 2 2" xfId="33424" xr:uid="{8CEE620A-7CD0-4C53-92F6-CDC2652328D2}"/>
    <cellStyle name="Normal 4 2 5 5 2 2 3" xfId="24995" xr:uid="{91A89522-AB60-4547-8B90-EF92067C4A60}"/>
    <cellStyle name="Normal 4 2 5 5 2 2 4" xfId="41852" xr:uid="{4BA0261C-FF81-44AE-A1D5-E2E0CE3B6083}"/>
    <cellStyle name="Normal 4 2 5 5 2 2 5" xfId="16560" xr:uid="{D71DEAF9-61C7-4CC6-B3D2-7B8642CB852D}"/>
    <cellStyle name="Normal 4 2 5 5 2 3" xfId="29206" xr:uid="{90DA65D5-0D69-4AF1-B0E8-6EA59636DE9E}"/>
    <cellStyle name="Normal 4 2 5 5 2 4" xfId="20777" xr:uid="{0C03A414-8615-4632-A709-7148C55E56D8}"/>
    <cellStyle name="Normal 4 2 5 5 2 5" xfId="37635" xr:uid="{82EB8E47-0726-4893-BB22-0E391B58F01D}"/>
    <cellStyle name="Normal 4 2 5 5 2 6" xfId="12342" xr:uid="{DA6E9773-2AC0-4080-82D4-252C1F367FB2}"/>
    <cellStyle name="Normal 4 2 5 5 3" xfId="5980" xr:uid="{00000000-0005-0000-0000-0000EB130000}"/>
    <cellStyle name="Normal 4 2 5 5 3 2" xfId="31279" xr:uid="{BF5B289D-876D-4C63-BE54-FD8EE6F1AB1D}"/>
    <cellStyle name="Normal 4 2 5 5 3 3" xfId="22850" xr:uid="{6A0A5CBC-5F36-407B-A250-673009635A19}"/>
    <cellStyle name="Normal 4 2 5 5 3 4" xfId="39707" xr:uid="{DCFD39AD-7486-4747-831C-7A2910577137}"/>
    <cellStyle name="Normal 4 2 5 5 3 5" xfId="14415" xr:uid="{7DF46CCB-FB50-483D-A3DF-41B433FE9A77}"/>
    <cellStyle name="Normal 4 2 5 5 4" xfId="27061" xr:uid="{35E65F0E-3811-4282-BDB4-160EB4370BF6}"/>
    <cellStyle name="Normal 4 2 5 5 5" xfId="18632" xr:uid="{E41964E9-0948-4A65-8787-D3693578DC6A}"/>
    <cellStyle name="Normal 4 2 5 5 6" xfId="35490" xr:uid="{8C4C77CB-C6D3-4666-B189-2B22D2600141}"/>
    <cellStyle name="Normal 4 2 5 5 7" xfId="10197" xr:uid="{C2A4ACAB-C175-4DEE-A92B-B5B3ABA14E4E}"/>
    <cellStyle name="Normal 4 2 5 6" xfId="2086" xr:uid="{00000000-0005-0000-0000-0000EC130000}"/>
    <cellStyle name="Normal 4 2 5 6 2" xfId="4315" xr:uid="{00000000-0005-0000-0000-0000ED130000}"/>
    <cellStyle name="Normal 4 2 5 6 2 2" xfId="8538" xr:uid="{00000000-0005-0000-0000-0000EE130000}"/>
    <cellStyle name="Normal 4 2 5 6 2 2 2" xfId="33837" xr:uid="{478B9A45-8C30-4B48-9A2B-5F630AA30A57}"/>
    <cellStyle name="Normal 4 2 5 6 2 2 3" xfId="25408" xr:uid="{40E7BA1D-A13E-49B4-820E-8DE2B9115CA4}"/>
    <cellStyle name="Normal 4 2 5 6 2 2 4" xfId="42265" xr:uid="{BA0DF7FC-B117-4230-90BB-22D04CF89DEB}"/>
    <cellStyle name="Normal 4 2 5 6 2 2 5" xfId="16973" xr:uid="{498934B7-BEB0-4314-BE1C-E565AA31AC5F}"/>
    <cellStyle name="Normal 4 2 5 6 2 3" xfId="29619" xr:uid="{134CDE2A-A4DB-48FB-B641-011F11A4198F}"/>
    <cellStyle name="Normal 4 2 5 6 2 4" xfId="21190" xr:uid="{23720192-A7DD-4498-B494-35946A726408}"/>
    <cellStyle name="Normal 4 2 5 6 2 5" xfId="38048" xr:uid="{741B5EDA-AE03-4392-BABA-9AB7F75A7F72}"/>
    <cellStyle name="Normal 4 2 5 6 2 6" xfId="12755" xr:uid="{ACA056B0-5128-4D66-AF5E-4A78B2B5C38A}"/>
    <cellStyle name="Normal 4 2 5 6 3" xfId="6393" xr:uid="{00000000-0005-0000-0000-0000EF130000}"/>
    <cellStyle name="Normal 4 2 5 6 3 2" xfId="31692" xr:uid="{1D64A3CF-E1CE-4082-A9D7-43BA14B00656}"/>
    <cellStyle name="Normal 4 2 5 6 3 3" xfId="23263" xr:uid="{091B44FF-FF18-48CC-8AA4-CDFC0166F6B6}"/>
    <cellStyle name="Normal 4 2 5 6 3 4" xfId="40120" xr:uid="{103E2EA2-058F-416F-AAE2-0545DEBEE5EF}"/>
    <cellStyle name="Normal 4 2 5 6 3 5" xfId="14828" xr:uid="{571BC4A4-498A-4B1A-99CD-6C0BF8EE1129}"/>
    <cellStyle name="Normal 4 2 5 6 4" xfId="27474" xr:uid="{DBBF3B86-E047-405F-8D04-59C0B9BEE446}"/>
    <cellStyle name="Normal 4 2 5 6 5" xfId="19045" xr:uid="{D75AB282-ED1B-4592-AECA-ABD5E102B9CE}"/>
    <cellStyle name="Normal 4 2 5 6 6" xfId="35903" xr:uid="{92A215A3-2F01-48DA-9920-9151523BA804}"/>
    <cellStyle name="Normal 4 2 5 6 7" xfId="10610" xr:uid="{2EEA9714-BB88-4AE5-A2F5-37F065E1B584}"/>
    <cellStyle name="Normal 4 2 5 7" xfId="2522" xr:uid="{00000000-0005-0000-0000-0000F0130000}"/>
    <cellStyle name="Normal 4 2 5 7 2" xfId="6806" xr:uid="{00000000-0005-0000-0000-0000F1130000}"/>
    <cellStyle name="Normal 4 2 5 7 2 2" xfId="32105" xr:uid="{43A93708-F156-407A-99E8-D7B65A4D378A}"/>
    <cellStyle name="Normal 4 2 5 7 2 3" xfId="23676" xr:uid="{D867C5C2-2994-4CEB-996E-E299E28722B3}"/>
    <cellStyle name="Normal 4 2 5 7 2 4" xfId="40533" xr:uid="{4D087F97-67D3-48DE-8332-C1267197C54B}"/>
    <cellStyle name="Normal 4 2 5 7 2 5" xfId="15241" xr:uid="{2273338D-E846-4C6E-8AF2-8D9773E4B150}"/>
    <cellStyle name="Normal 4 2 5 7 3" xfId="27887" xr:uid="{6CCD31A7-AA8F-46CE-B7C0-CB9AE8A71856}"/>
    <cellStyle name="Normal 4 2 5 7 4" xfId="19458" xr:uid="{9F52D302-8ED2-4F25-9666-D7933EA365DD}"/>
    <cellStyle name="Normal 4 2 5 7 5" xfId="36316" xr:uid="{3455B269-6B50-40B6-8051-C3294E3AE387}"/>
    <cellStyle name="Normal 4 2 5 7 6" xfId="11023" xr:uid="{0DD9A451-790C-40C3-BB93-9C53BB320CB0}"/>
    <cellStyle name="Normal 4 2 5 8" xfId="4741" xr:uid="{00000000-0005-0000-0000-0000F2130000}"/>
    <cellStyle name="Normal 4 2 5 8 2" xfId="30040" xr:uid="{5A089CD5-86E9-4C08-8BFF-00F37934B4E0}"/>
    <cellStyle name="Normal 4 2 5 8 3" xfId="21611" xr:uid="{736E5913-F7C1-4678-8051-CF4A9BFB18FB}"/>
    <cellStyle name="Normal 4 2 5 8 4" xfId="38468" xr:uid="{95755BDE-4FA7-4BB6-B02D-D8908C457587}"/>
    <cellStyle name="Normal 4 2 5 8 5" xfId="13176" xr:uid="{BC638DE5-C039-41EB-9326-3E17B57D1120}"/>
    <cellStyle name="Normal 4 2 5 9" xfId="25822" xr:uid="{9B41CF3A-6F08-47C7-82E6-EBCBE4C7D08A}"/>
    <cellStyle name="Normal 4 2 6" xfId="365" xr:uid="{00000000-0005-0000-0000-0000F3130000}"/>
    <cellStyle name="Normal 4 2 6 10" xfId="34253" xr:uid="{0895879F-F81B-41F8-8B5F-66D0C591811C}"/>
    <cellStyle name="Normal 4 2 6 11" xfId="8960" xr:uid="{A7CD78F9-2CE3-48AC-9F2D-1456CD7F8801}"/>
    <cellStyle name="Normal 4 2 6 2" xfId="841" xr:uid="{00000000-0005-0000-0000-0000F4130000}"/>
    <cellStyle name="Normal 4 2 6 2 2" xfId="3078" xr:uid="{00000000-0005-0000-0000-0000F5130000}"/>
    <cellStyle name="Normal 4 2 6 2 2 2" xfId="7301" xr:uid="{00000000-0005-0000-0000-0000F6130000}"/>
    <cellStyle name="Normal 4 2 6 2 2 2 2" xfId="32600" xr:uid="{5F1D197D-286B-4141-85CA-EECD30F3F0DC}"/>
    <cellStyle name="Normal 4 2 6 2 2 2 3" xfId="24171" xr:uid="{7ABD9973-BD6B-4F56-8A61-ADA1F090B839}"/>
    <cellStyle name="Normal 4 2 6 2 2 2 4" xfId="41028" xr:uid="{E10BAB4F-127B-4031-8AFE-642A57FA1C63}"/>
    <cellStyle name="Normal 4 2 6 2 2 2 5" xfId="15736" xr:uid="{7EA6EA33-8C74-4723-A3FC-138760688EF4}"/>
    <cellStyle name="Normal 4 2 6 2 2 3" xfId="28382" xr:uid="{E1969880-E489-4C63-8313-5A3A15A34E03}"/>
    <cellStyle name="Normal 4 2 6 2 2 4" xfId="19953" xr:uid="{E398AFEF-6815-4569-9916-8F437C290D7D}"/>
    <cellStyle name="Normal 4 2 6 2 2 5" xfId="36811" xr:uid="{AF2C812B-2EA7-4DC2-85C7-72624750D646}"/>
    <cellStyle name="Normal 4 2 6 2 2 6" xfId="11518" xr:uid="{9685C483-04EB-4163-B7AF-722FBFC12B03}"/>
    <cellStyle name="Normal 4 2 6 2 3" xfId="5156" xr:uid="{00000000-0005-0000-0000-0000F7130000}"/>
    <cellStyle name="Normal 4 2 6 2 3 2" xfId="30455" xr:uid="{98B9CD7E-C0D2-4B2B-8FFA-A394859B7B02}"/>
    <cellStyle name="Normal 4 2 6 2 3 3" xfId="22026" xr:uid="{8DE18458-9CC7-46BF-8B87-AB8C5F478CAD}"/>
    <cellStyle name="Normal 4 2 6 2 3 4" xfId="38883" xr:uid="{05DDB06E-81F0-400B-BE81-4EFD1E47192E}"/>
    <cellStyle name="Normal 4 2 6 2 3 5" xfId="13591" xr:uid="{EE930D9B-FCC2-441F-8DE0-72ECC6F9E9FA}"/>
    <cellStyle name="Normal 4 2 6 2 4" xfId="26237" xr:uid="{620C657B-55E3-491F-AC78-2E6A13CC5185}"/>
    <cellStyle name="Normal 4 2 6 2 5" xfId="17808" xr:uid="{AD7BF4E5-BD2F-4F70-9A6D-154A3EC08D27}"/>
    <cellStyle name="Normal 4 2 6 2 6" xfId="34666" xr:uid="{D3AC566D-B6D3-46D0-820C-06D79BF2FA8D}"/>
    <cellStyle name="Normal 4 2 6 2 7" xfId="9373" xr:uid="{0EFD7688-E7A9-45C5-A2E9-EFD7CC45B4DE}"/>
    <cellStyle name="Normal 4 2 6 3" xfId="1261" xr:uid="{00000000-0005-0000-0000-0000F8130000}"/>
    <cellStyle name="Normal 4 2 6 3 2" xfId="3491" xr:uid="{00000000-0005-0000-0000-0000F9130000}"/>
    <cellStyle name="Normal 4 2 6 3 2 2" xfId="7714" xr:uid="{00000000-0005-0000-0000-0000FA130000}"/>
    <cellStyle name="Normal 4 2 6 3 2 2 2" xfId="33013" xr:uid="{645AE432-C440-428B-8F0E-0C34DDA0749F}"/>
    <cellStyle name="Normal 4 2 6 3 2 2 3" xfId="24584" xr:uid="{B455664F-8A56-4E19-8192-650648C5415B}"/>
    <cellStyle name="Normal 4 2 6 3 2 2 4" xfId="41441" xr:uid="{364CE819-8432-424B-95BE-98E978F06ACE}"/>
    <cellStyle name="Normal 4 2 6 3 2 2 5" xfId="16149" xr:uid="{780F7683-B05A-49D1-888F-8EE5198A00E5}"/>
    <cellStyle name="Normal 4 2 6 3 2 3" xfId="28795" xr:uid="{03A1B6CF-D5F7-450D-8786-F1EFFB239E7E}"/>
    <cellStyle name="Normal 4 2 6 3 2 4" xfId="20366" xr:uid="{12EB7BA8-8602-4CD9-B42C-D72D97D406E3}"/>
    <cellStyle name="Normal 4 2 6 3 2 5" xfId="37224" xr:uid="{1B7C310D-7DA2-4152-8DA4-91DE348C2BC0}"/>
    <cellStyle name="Normal 4 2 6 3 2 6" xfId="11931" xr:uid="{4E9889A8-6F03-4343-B9F1-392D84DF0079}"/>
    <cellStyle name="Normal 4 2 6 3 3" xfId="5569" xr:uid="{00000000-0005-0000-0000-0000FB130000}"/>
    <cellStyle name="Normal 4 2 6 3 3 2" xfId="30868" xr:uid="{9A8910EB-7D30-4D89-AA1C-479CA0127413}"/>
    <cellStyle name="Normal 4 2 6 3 3 3" xfId="22439" xr:uid="{74289EFA-9AC7-46FB-8184-55AE3349F675}"/>
    <cellStyle name="Normal 4 2 6 3 3 4" xfId="39296" xr:uid="{79621965-7F52-4B00-BF7D-07BBD17F67AD}"/>
    <cellStyle name="Normal 4 2 6 3 3 5" xfId="14004" xr:uid="{9028F19C-AEC2-462F-AC84-424C92CC6776}"/>
    <cellStyle name="Normal 4 2 6 3 4" xfId="26650" xr:uid="{C446FF23-4E75-46B2-AC2F-406B7F655119}"/>
    <cellStyle name="Normal 4 2 6 3 5" xfId="18221" xr:uid="{D7A142F1-40B9-4FDF-9670-1C57FCD8FF9D}"/>
    <cellStyle name="Normal 4 2 6 3 6" xfId="35079" xr:uid="{F0EB965C-2819-481E-9514-D42877B12847}"/>
    <cellStyle name="Normal 4 2 6 3 7" xfId="9786" xr:uid="{8E03649E-F9A8-49B2-B014-FF12DBC45D3A}"/>
    <cellStyle name="Normal 4 2 6 4" xfId="1674" xr:uid="{00000000-0005-0000-0000-0000FC130000}"/>
    <cellStyle name="Normal 4 2 6 4 2" xfId="3904" xr:uid="{00000000-0005-0000-0000-0000FD130000}"/>
    <cellStyle name="Normal 4 2 6 4 2 2" xfId="8127" xr:uid="{00000000-0005-0000-0000-0000FE130000}"/>
    <cellStyle name="Normal 4 2 6 4 2 2 2" xfId="33426" xr:uid="{C9A57237-25CC-4627-A8FF-FC9CBE6B0976}"/>
    <cellStyle name="Normal 4 2 6 4 2 2 3" xfId="24997" xr:uid="{E5B7856F-29BA-4C0B-A8C7-94BBF43EB732}"/>
    <cellStyle name="Normal 4 2 6 4 2 2 4" xfId="41854" xr:uid="{D8032811-EECA-4057-9AFF-4423939612E2}"/>
    <cellStyle name="Normal 4 2 6 4 2 2 5" xfId="16562" xr:uid="{DB6EA5C3-96D3-4E48-92DD-F483BFC97779}"/>
    <cellStyle name="Normal 4 2 6 4 2 3" xfId="29208" xr:uid="{8AAF4722-F3DE-4412-A4B7-9892CC439F31}"/>
    <cellStyle name="Normal 4 2 6 4 2 4" xfId="20779" xr:uid="{AC8298D7-55F9-4B34-9381-54E5DFC3EFDC}"/>
    <cellStyle name="Normal 4 2 6 4 2 5" xfId="37637" xr:uid="{3D7181AE-719B-43A4-B8FF-E41456872B6C}"/>
    <cellStyle name="Normal 4 2 6 4 2 6" xfId="12344" xr:uid="{FCDF5D24-1AB0-4D7F-8275-06BB0E72ABD1}"/>
    <cellStyle name="Normal 4 2 6 4 3" xfId="5982" xr:uid="{00000000-0005-0000-0000-0000FF130000}"/>
    <cellStyle name="Normal 4 2 6 4 3 2" xfId="31281" xr:uid="{48D69A59-6EFD-4047-A9C4-3F6E070B7D2A}"/>
    <cellStyle name="Normal 4 2 6 4 3 3" xfId="22852" xr:uid="{BA87E2BD-B473-4AA4-BEBF-6754C171A30B}"/>
    <cellStyle name="Normal 4 2 6 4 3 4" xfId="39709" xr:uid="{296AABD4-96DB-4254-A230-D085C5E45384}"/>
    <cellStyle name="Normal 4 2 6 4 3 5" xfId="14417" xr:uid="{38052143-B1F6-47AE-9A7F-A9EEB1B63DB1}"/>
    <cellStyle name="Normal 4 2 6 4 4" xfId="27063" xr:uid="{E1F27554-0A0D-4FDA-85B9-37C1213D996F}"/>
    <cellStyle name="Normal 4 2 6 4 5" xfId="18634" xr:uid="{20224652-5B61-4A52-9D02-FF94206D9045}"/>
    <cellStyle name="Normal 4 2 6 4 6" xfId="35492" xr:uid="{04CB91E9-C5A3-4A1C-B3E3-82259B356F35}"/>
    <cellStyle name="Normal 4 2 6 4 7" xfId="10199" xr:uid="{E285B4F9-678A-40C9-8AB3-801E34210834}"/>
    <cellStyle name="Normal 4 2 6 5" xfId="2088" xr:uid="{00000000-0005-0000-0000-000000140000}"/>
    <cellStyle name="Normal 4 2 6 5 2" xfId="4317" xr:uid="{00000000-0005-0000-0000-000001140000}"/>
    <cellStyle name="Normal 4 2 6 5 2 2" xfId="8540" xr:uid="{00000000-0005-0000-0000-000002140000}"/>
    <cellStyle name="Normal 4 2 6 5 2 2 2" xfId="33839" xr:uid="{F21FDCB2-DE25-41C1-B0FA-3A14D485EE9C}"/>
    <cellStyle name="Normal 4 2 6 5 2 2 3" xfId="25410" xr:uid="{2AEE4E96-C1B0-4C5F-BEBF-4317EFE4AE36}"/>
    <cellStyle name="Normal 4 2 6 5 2 2 4" xfId="42267" xr:uid="{74B37E44-95D3-4EF0-84F8-2FC658D6EC7C}"/>
    <cellStyle name="Normal 4 2 6 5 2 2 5" xfId="16975" xr:uid="{1AC10BD7-E331-41A2-9BAA-02D819E7F39B}"/>
    <cellStyle name="Normal 4 2 6 5 2 3" xfId="29621" xr:uid="{5C6DFCD9-A74E-4519-BECF-9DF17F08864F}"/>
    <cellStyle name="Normal 4 2 6 5 2 4" xfId="21192" xr:uid="{6B38DBD0-86C9-4DBB-82C4-D471FA91E11B}"/>
    <cellStyle name="Normal 4 2 6 5 2 5" xfId="38050" xr:uid="{7D2F85DF-CEB6-497B-8567-438418B7AD39}"/>
    <cellStyle name="Normal 4 2 6 5 2 6" xfId="12757" xr:uid="{05ECE027-683F-4246-9C48-CAC605B6740C}"/>
    <cellStyle name="Normal 4 2 6 5 3" xfId="6395" xr:uid="{00000000-0005-0000-0000-000003140000}"/>
    <cellStyle name="Normal 4 2 6 5 3 2" xfId="31694" xr:uid="{F0B6FD9C-5D0D-4ABA-9CCD-FE6ED718BC70}"/>
    <cellStyle name="Normal 4 2 6 5 3 3" xfId="23265" xr:uid="{42B7DBA2-AAFB-4710-9447-05DF5F41D01B}"/>
    <cellStyle name="Normal 4 2 6 5 3 4" xfId="40122" xr:uid="{CB9AB13F-D090-4A4D-BEC3-3E68712F7D32}"/>
    <cellStyle name="Normal 4 2 6 5 3 5" xfId="14830" xr:uid="{0411DB44-C58C-4D21-92F7-97CA5CEF9F8D}"/>
    <cellStyle name="Normal 4 2 6 5 4" xfId="27476" xr:uid="{3BF8DB7D-15ED-4F57-8EE8-EE5DBA935790}"/>
    <cellStyle name="Normal 4 2 6 5 5" xfId="19047" xr:uid="{BB25485A-1F6B-4F3C-87BE-7385EBA16E7C}"/>
    <cellStyle name="Normal 4 2 6 5 6" xfId="35905" xr:uid="{7E0A04C3-851B-4175-8A4D-F22D1F28C692}"/>
    <cellStyle name="Normal 4 2 6 5 7" xfId="10612" xr:uid="{DC823236-3566-48DC-9DF6-8A2EA06C8E65}"/>
    <cellStyle name="Normal 4 2 6 6" xfId="2524" xr:uid="{00000000-0005-0000-0000-000004140000}"/>
    <cellStyle name="Normal 4 2 6 6 2" xfId="6808" xr:uid="{00000000-0005-0000-0000-000005140000}"/>
    <cellStyle name="Normal 4 2 6 6 2 2" xfId="32107" xr:uid="{45BB8CD0-C78D-438D-AE92-7BB477DB0D4F}"/>
    <cellStyle name="Normal 4 2 6 6 2 3" xfId="23678" xr:uid="{48052595-662B-481A-B3F6-615B572AB090}"/>
    <cellStyle name="Normal 4 2 6 6 2 4" xfId="40535" xr:uid="{D5A0D62A-1A89-4E52-8ACF-FF04337E99A2}"/>
    <cellStyle name="Normal 4 2 6 6 2 5" xfId="15243" xr:uid="{0A91C241-BFFA-4937-BB14-774FDFB3D12E}"/>
    <cellStyle name="Normal 4 2 6 6 3" xfId="27889" xr:uid="{12A28414-AA80-4030-AAEC-061F1F88A331}"/>
    <cellStyle name="Normal 4 2 6 6 4" xfId="19460" xr:uid="{BF4C0029-10CE-46A7-8077-33104E8D9651}"/>
    <cellStyle name="Normal 4 2 6 6 5" xfId="36318" xr:uid="{21E9FA0A-C342-46AE-89B6-837149159D9C}"/>
    <cellStyle name="Normal 4 2 6 6 6" xfId="11025" xr:uid="{59B6AC6C-8A2F-4782-8900-8E8353A7552C}"/>
    <cellStyle name="Normal 4 2 6 7" xfId="4743" xr:uid="{00000000-0005-0000-0000-000006140000}"/>
    <cellStyle name="Normal 4 2 6 7 2" xfId="30042" xr:uid="{2F7CA0D9-2402-42B3-9E10-DFFCFC665DE3}"/>
    <cellStyle name="Normal 4 2 6 7 3" xfId="21613" xr:uid="{6BEE5F42-BFE4-493C-BDDE-6B547937CD77}"/>
    <cellStyle name="Normal 4 2 6 7 4" xfId="38470" xr:uid="{3E93A789-BDE9-4B89-893F-058806BF7875}"/>
    <cellStyle name="Normal 4 2 6 7 5" xfId="13178" xr:uid="{082A455C-199E-4A0A-82C9-C0C68721C995}"/>
    <cellStyle name="Normal 4 2 6 8" xfId="25824" xr:uid="{8D26E1A1-B8F7-4971-AF8B-AE8BD2C67C07}"/>
    <cellStyle name="Normal 4 2 6 9" xfId="17395" xr:uid="{BC60FEC5-29E9-4F4D-8957-6A2F223E7B56}"/>
    <cellStyle name="Normal 4 3" xfId="366" xr:uid="{00000000-0005-0000-0000-000007140000}"/>
    <cellStyle name="Normal 4 3 10" xfId="25825" xr:uid="{13ADBD2A-073F-4589-80B9-4E11B5FA10F2}"/>
    <cellStyle name="Normal 4 3 11" xfId="17396" xr:uid="{3DD742D5-3B29-40D4-ADAA-5A1E4E34E07B}"/>
    <cellStyle name="Normal 4 3 12" xfId="34254" xr:uid="{0FFF1BCA-0D30-464E-9559-3A621A0781A5}"/>
    <cellStyle name="Normal 4 3 13" xfId="8961" xr:uid="{B342A947-A425-4477-A410-59BC3EDAA772}"/>
    <cellStyle name="Normal 4 3 2" xfId="367" xr:uid="{00000000-0005-0000-0000-000008140000}"/>
    <cellStyle name="Normal 4 3 2 2" xfId="368" xr:uid="{00000000-0005-0000-0000-000009140000}"/>
    <cellStyle name="Normal 4 3 2 2 2" xfId="369" xr:uid="{00000000-0005-0000-0000-00000A140000}"/>
    <cellStyle name="Normal 4 3 2 2 2 10" xfId="25826" xr:uid="{9CC99DAC-C157-4EE2-8D9A-4D66AC4700A1}"/>
    <cellStyle name="Normal 4 3 2 2 2 11" xfId="17397" xr:uid="{D8B784FD-9DF4-45D7-A443-CFF0FBAF1548}"/>
    <cellStyle name="Normal 4 3 2 2 2 12" xfId="34255" xr:uid="{6AAD8372-1116-4BAB-8EBA-37DC28C61863}"/>
    <cellStyle name="Normal 4 3 2 2 2 13" xfId="8962" xr:uid="{563C681D-C0E1-45D5-BBE4-BC5884E9D1A6}"/>
    <cellStyle name="Normal 4 3 2 2 2 2" xfId="370" xr:uid="{00000000-0005-0000-0000-00000B140000}"/>
    <cellStyle name="Normal 4 3 2 2 2 2 10" xfId="17398" xr:uid="{19C8491D-7A49-4E47-9AD1-765A7F794102}"/>
    <cellStyle name="Normal 4 3 2 2 2 2 11" xfId="34256" xr:uid="{D45B83FB-1D6D-4153-8138-7FBDE619A3D8}"/>
    <cellStyle name="Normal 4 3 2 2 2 2 12" xfId="8963" xr:uid="{6CF778E8-F13E-484A-9770-B7F89CB53AF8}"/>
    <cellStyle name="Normal 4 3 2 2 2 2 2" xfId="371" xr:uid="{00000000-0005-0000-0000-00000C140000}"/>
    <cellStyle name="Normal 4 3 2 2 2 2 2 10" xfId="34257" xr:uid="{E80A41B3-D46A-4235-B7A9-1F146FE91318}"/>
    <cellStyle name="Normal 4 3 2 2 2 2 2 11" xfId="8964" xr:uid="{69EC873D-BEE4-4927-8D1C-F202BC4ECE03}"/>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32604" xr:uid="{D47AB93E-4944-40F1-AC40-39B03AC580A3}"/>
    <cellStyle name="Normal 4 3 2 2 2 2 2 2 2 2 3" xfId="24175" xr:uid="{CD82D2A8-4EA8-4134-B6DB-A6922F2258A0}"/>
    <cellStyle name="Normal 4 3 2 2 2 2 2 2 2 2 4" xfId="41032" xr:uid="{5C416CF2-9717-4DDB-A4A6-A46B92DB413D}"/>
    <cellStyle name="Normal 4 3 2 2 2 2 2 2 2 2 5" xfId="15740" xr:uid="{9B843416-F948-4BD1-A3F3-9054AB965A21}"/>
    <cellStyle name="Normal 4 3 2 2 2 2 2 2 2 3" xfId="28386" xr:uid="{7DFBC3C5-319B-48E5-89A5-26AD5BBAEAA0}"/>
    <cellStyle name="Normal 4 3 2 2 2 2 2 2 2 4" xfId="19957" xr:uid="{5803DD86-27CC-4D35-A7BE-B35CBEF1514E}"/>
    <cellStyle name="Normal 4 3 2 2 2 2 2 2 2 5" xfId="36815" xr:uid="{25213B62-505C-4C9E-92DE-1154891CE284}"/>
    <cellStyle name="Normal 4 3 2 2 2 2 2 2 2 6" xfId="11522" xr:uid="{652920A8-E3ED-4FA9-840E-49B54FC40840}"/>
    <cellStyle name="Normal 4 3 2 2 2 2 2 2 3" xfId="5160" xr:uid="{00000000-0005-0000-0000-000010140000}"/>
    <cellStyle name="Normal 4 3 2 2 2 2 2 2 3 2" xfId="30459" xr:uid="{A068F9F9-16FB-4FB1-BE08-1158112C9320}"/>
    <cellStyle name="Normal 4 3 2 2 2 2 2 2 3 3" xfId="22030" xr:uid="{FC29FBC1-B301-41D2-A531-AADEEADB43FA}"/>
    <cellStyle name="Normal 4 3 2 2 2 2 2 2 3 4" xfId="38887" xr:uid="{86B1FE50-32F6-4169-8CEE-7DE17EBE2F0E}"/>
    <cellStyle name="Normal 4 3 2 2 2 2 2 2 3 5" xfId="13595" xr:uid="{12CAE39E-919F-41F7-B52A-8D3FF41FFC0D}"/>
    <cellStyle name="Normal 4 3 2 2 2 2 2 2 4" xfId="26241" xr:uid="{8D381A12-8298-4F4A-A2C2-DC67BF1A7BDE}"/>
    <cellStyle name="Normal 4 3 2 2 2 2 2 2 5" xfId="17812" xr:uid="{2CEB01F8-ABD7-4047-B9B4-63D1308657E8}"/>
    <cellStyle name="Normal 4 3 2 2 2 2 2 2 6" xfId="34670" xr:uid="{56F65507-07EC-4817-B0B3-321D7515A7BF}"/>
    <cellStyle name="Normal 4 3 2 2 2 2 2 2 7" xfId="9377" xr:uid="{F6F3BFF1-E9B7-477D-9102-53DE2A98813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33017" xr:uid="{28AD2DDD-2E5B-4E6A-ADE0-689BEE92FBDA}"/>
    <cellStyle name="Normal 4 3 2 2 2 2 2 3 2 2 3" xfId="24588" xr:uid="{0F735297-04DC-47F1-BF68-0403721E2B67}"/>
    <cellStyle name="Normal 4 3 2 2 2 2 2 3 2 2 4" xfId="41445" xr:uid="{75795D4B-FC42-4B6C-B625-54FA8F5711D9}"/>
    <cellStyle name="Normal 4 3 2 2 2 2 2 3 2 2 5" xfId="16153" xr:uid="{6AB027B3-5C34-42AE-AF04-CFF022FA7723}"/>
    <cellStyle name="Normal 4 3 2 2 2 2 2 3 2 3" xfId="28799" xr:uid="{4BCF5087-D38C-4664-A5D7-794BF15757AE}"/>
    <cellStyle name="Normal 4 3 2 2 2 2 2 3 2 4" xfId="20370" xr:uid="{450DD958-7E6C-446E-B2A5-A14A993B80F5}"/>
    <cellStyle name="Normal 4 3 2 2 2 2 2 3 2 5" xfId="37228" xr:uid="{ED16A05B-5C0B-4C22-8ACE-06AD1891405A}"/>
    <cellStyle name="Normal 4 3 2 2 2 2 2 3 2 6" xfId="11935" xr:uid="{9214AA2D-829F-4150-9943-AF9AF1C32747}"/>
    <cellStyle name="Normal 4 3 2 2 2 2 2 3 3" xfId="5573" xr:uid="{00000000-0005-0000-0000-000014140000}"/>
    <cellStyle name="Normal 4 3 2 2 2 2 2 3 3 2" xfId="30872" xr:uid="{F0C61051-1ECD-4379-A4A8-37081C8AA0E0}"/>
    <cellStyle name="Normal 4 3 2 2 2 2 2 3 3 3" xfId="22443" xr:uid="{09AB018A-1582-41BB-A94A-B949254665DA}"/>
    <cellStyle name="Normal 4 3 2 2 2 2 2 3 3 4" xfId="39300" xr:uid="{E51E52A3-25BF-44F0-858E-3CB9C7DC017B}"/>
    <cellStyle name="Normal 4 3 2 2 2 2 2 3 3 5" xfId="14008" xr:uid="{D16B404F-33AC-4A40-B543-81EA9E511506}"/>
    <cellStyle name="Normal 4 3 2 2 2 2 2 3 4" xfId="26654" xr:uid="{3857B685-4AC8-4F3A-94EF-47839212F3CC}"/>
    <cellStyle name="Normal 4 3 2 2 2 2 2 3 5" xfId="18225" xr:uid="{1E47E027-7C03-4DF2-99FC-7E7C4879ED49}"/>
    <cellStyle name="Normal 4 3 2 2 2 2 2 3 6" xfId="35083" xr:uid="{FF6460C8-8A3A-4243-A486-762AAB625576}"/>
    <cellStyle name="Normal 4 3 2 2 2 2 2 3 7" xfId="9790" xr:uid="{C34A15F4-54D7-41A6-8674-3C2C71B17719}"/>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33430" xr:uid="{6A1EE130-45BD-4EBB-83A5-E4A52D928881}"/>
    <cellStyle name="Normal 4 3 2 2 2 2 2 4 2 2 3" xfId="25001" xr:uid="{D3159BDF-AFF2-448B-99FB-95D29FE535CE}"/>
    <cellStyle name="Normal 4 3 2 2 2 2 2 4 2 2 4" xfId="41858" xr:uid="{93B31CAB-FC24-4ED8-AF2F-6FA530A9EE79}"/>
    <cellStyle name="Normal 4 3 2 2 2 2 2 4 2 2 5" xfId="16566" xr:uid="{B39A5100-7B2F-41AB-AB81-F32B12C16922}"/>
    <cellStyle name="Normal 4 3 2 2 2 2 2 4 2 3" xfId="29212" xr:uid="{E7331F71-7245-4604-8CC1-FC54F64FB2EB}"/>
    <cellStyle name="Normal 4 3 2 2 2 2 2 4 2 4" xfId="20783" xr:uid="{24B96D6A-190E-43FF-850C-CB6D81F7FAF5}"/>
    <cellStyle name="Normal 4 3 2 2 2 2 2 4 2 5" xfId="37641" xr:uid="{CD21A6D4-0939-4ECE-B784-D000EFE210EA}"/>
    <cellStyle name="Normal 4 3 2 2 2 2 2 4 2 6" xfId="12348" xr:uid="{96A2848C-5776-4498-A784-33F345461B95}"/>
    <cellStyle name="Normal 4 3 2 2 2 2 2 4 3" xfId="5986" xr:uid="{00000000-0005-0000-0000-000018140000}"/>
    <cellStyle name="Normal 4 3 2 2 2 2 2 4 3 2" xfId="31285" xr:uid="{581BA829-E426-4A8E-BEC0-02B087CB1495}"/>
    <cellStyle name="Normal 4 3 2 2 2 2 2 4 3 3" xfId="22856" xr:uid="{D8ED3B88-6B64-42DF-9766-FC2EDC5CA86F}"/>
    <cellStyle name="Normal 4 3 2 2 2 2 2 4 3 4" xfId="39713" xr:uid="{FE2C701D-147B-49A7-82AC-1ADEB3BECEFD}"/>
    <cellStyle name="Normal 4 3 2 2 2 2 2 4 3 5" xfId="14421" xr:uid="{8D4C9677-CF39-4B7E-9A24-55FDE19C9662}"/>
    <cellStyle name="Normal 4 3 2 2 2 2 2 4 4" xfId="27067" xr:uid="{E666D47C-4EC5-413E-B6FE-AC285A8571B3}"/>
    <cellStyle name="Normal 4 3 2 2 2 2 2 4 5" xfId="18638" xr:uid="{56FE35C6-0710-4C79-8033-194E7D94BDFF}"/>
    <cellStyle name="Normal 4 3 2 2 2 2 2 4 6" xfId="35496" xr:uid="{605C80EE-3E99-414B-8490-2D86F9522016}"/>
    <cellStyle name="Normal 4 3 2 2 2 2 2 4 7" xfId="10203" xr:uid="{E3FF9717-F1D3-4CEC-9038-9D57C6F0C6EF}"/>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33843" xr:uid="{CDAFD1C0-32C1-4A07-876E-342AC46AAE17}"/>
    <cellStyle name="Normal 4 3 2 2 2 2 2 5 2 2 3" xfId="25414" xr:uid="{FE776E53-2BB1-48B1-A1F2-427904B5955A}"/>
    <cellStyle name="Normal 4 3 2 2 2 2 2 5 2 2 4" xfId="42271" xr:uid="{D1B51B73-E533-4796-94D8-55FA3584813D}"/>
    <cellStyle name="Normal 4 3 2 2 2 2 2 5 2 2 5" xfId="16979" xr:uid="{7F6FB7E7-289D-4A27-BD08-B9AA3D51BBC7}"/>
    <cellStyle name="Normal 4 3 2 2 2 2 2 5 2 3" xfId="29625" xr:uid="{AC37A513-7C63-4E83-9CA1-18B03B0BCF62}"/>
    <cellStyle name="Normal 4 3 2 2 2 2 2 5 2 4" xfId="21196" xr:uid="{01B2376C-4E89-4C31-9A7A-9F2D61CF7274}"/>
    <cellStyle name="Normal 4 3 2 2 2 2 2 5 2 5" xfId="38054" xr:uid="{7546F3AF-29AB-4CB9-BD78-9C29C81E717B}"/>
    <cellStyle name="Normal 4 3 2 2 2 2 2 5 2 6" xfId="12761" xr:uid="{49B9988B-F217-4924-AC91-2570327246BA}"/>
    <cellStyle name="Normal 4 3 2 2 2 2 2 5 3" xfId="6399" xr:uid="{00000000-0005-0000-0000-00001C140000}"/>
    <cellStyle name="Normal 4 3 2 2 2 2 2 5 3 2" xfId="31698" xr:uid="{9841BD97-43EB-4D22-B593-C039F5E027EF}"/>
    <cellStyle name="Normal 4 3 2 2 2 2 2 5 3 3" xfId="23269" xr:uid="{B69944BF-46F2-45A3-8EAC-3901DDE0F349}"/>
    <cellStyle name="Normal 4 3 2 2 2 2 2 5 3 4" xfId="40126" xr:uid="{2BD0CBFA-0755-41DE-AE0F-26DEAD45A271}"/>
    <cellStyle name="Normal 4 3 2 2 2 2 2 5 3 5" xfId="14834" xr:uid="{07786FEB-12DD-417A-89F9-6B8955F2ABBD}"/>
    <cellStyle name="Normal 4 3 2 2 2 2 2 5 4" xfId="27480" xr:uid="{B64AF55D-214A-4F9E-A1AF-B2D1C1713984}"/>
    <cellStyle name="Normal 4 3 2 2 2 2 2 5 5" xfId="19051" xr:uid="{52897E22-DD9F-43C3-B959-8A5073FCD1A0}"/>
    <cellStyle name="Normal 4 3 2 2 2 2 2 5 6" xfId="35909" xr:uid="{F40B93CB-354B-4EBA-AE6D-2E9232E4662F}"/>
    <cellStyle name="Normal 4 3 2 2 2 2 2 5 7" xfId="10616" xr:uid="{F84C8697-066C-437C-BB4B-F5C991F6DC2E}"/>
    <cellStyle name="Normal 4 3 2 2 2 2 2 6" xfId="2528" xr:uid="{00000000-0005-0000-0000-00001D140000}"/>
    <cellStyle name="Normal 4 3 2 2 2 2 2 6 2" xfId="6812" xr:uid="{00000000-0005-0000-0000-00001E140000}"/>
    <cellStyle name="Normal 4 3 2 2 2 2 2 6 2 2" xfId="32111" xr:uid="{93F41502-2EBA-42D3-9798-CE1E2575E781}"/>
    <cellStyle name="Normal 4 3 2 2 2 2 2 6 2 3" xfId="23682" xr:uid="{F1D96926-8ACC-438B-A256-33C915EBCEA8}"/>
    <cellStyle name="Normal 4 3 2 2 2 2 2 6 2 4" xfId="40539" xr:uid="{A8339198-D079-474A-B155-880984692749}"/>
    <cellStyle name="Normal 4 3 2 2 2 2 2 6 2 5" xfId="15247" xr:uid="{43E0057C-E40C-4F53-9616-654727F20298}"/>
    <cellStyle name="Normal 4 3 2 2 2 2 2 6 3" xfId="27893" xr:uid="{854F3459-0A4C-423B-AA9E-E0AA7B19CF32}"/>
    <cellStyle name="Normal 4 3 2 2 2 2 2 6 4" xfId="19464" xr:uid="{BC07CB24-63DC-443E-9C44-AF60AD70E49A}"/>
    <cellStyle name="Normal 4 3 2 2 2 2 2 6 5" xfId="36322" xr:uid="{E4362B32-835E-4678-A3E5-A163DD6DF8DD}"/>
    <cellStyle name="Normal 4 3 2 2 2 2 2 6 6" xfId="11029" xr:uid="{C5C07650-2449-4B32-81D0-DB2B91762D66}"/>
    <cellStyle name="Normal 4 3 2 2 2 2 2 7" xfId="4747" xr:uid="{00000000-0005-0000-0000-00001F140000}"/>
    <cellStyle name="Normal 4 3 2 2 2 2 2 7 2" xfId="30046" xr:uid="{A8E311CD-BF20-4738-A820-CE2C7C98DA58}"/>
    <cellStyle name="Normal 4 3 2 2 2 2 2 7 3" xfId="21617" xr:uid="{38D66F7A-6B73-4753-993F-7EE6D13C8FA0}"/>
    <cellStyle name="Normal 4 3 2 2 2 2 2 7 4" xfId="38474" xr:uid="{BD625ADC-AD04-4B24-9436-395256A7E00B}"/>
    <cellStyle name="Normal 4 3 2 2 2 2 2 7 5" xfId="13182" xr:uid="{5B5F6B4E-F31C-4FFF-B8AE-E65A1DB42A3C}"/>
    <cellStyle name="Normal 4 3 2 2 2 2 2 8" xfId="25828" xr:uid="{5F9E7978-3A12-4C1C-B4C0-CA37DDC103BD}"/>
    <cellStyle name="Normal 4 3 2 2 2 2 2 9" xfId="17399" xr:uid="{EF303AE2-76E2-409B-B7DC-4CE40938AFAB}"/>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32603" xr:uid="{DF637FF3-E70D-40B1-8C17-D1B02EED5330}"/>
    <cellStyle name="Normal 4 3 2 2 2 2 3 2 2 3" xfId="24174" xr:uid="{A334E060-E814-479A-96FE-1C220D8A07C6}"/>
    <cellStyle name="Normal 4 3 2 2 2 2 3 2 2 4" xfId="41031" xr:uid="{E6D390F8-C7D8-4A21-B0FB-F9D7E9C15BC5}"/>
    <cellStyle name="Normal 4 3 2 2 2 2 3 2 2 5" xfId="15739" xr:uid="{4380E45A-6F6C-46CD-B398-6495C030F220}"/>
    <cellStyle name="Normal 4 3 2 2 2 2 3 2 3" xfId="28385" xr:uid="{101E68AC-D726-4E01-A27A-51AD37817360}"/>
    <cellStyle name="Normal 4 3 2 2 2 2 3 2 4" xfId="19956" xr:uid="{A85EDC24-E7C9-4165-931B-88930BE64301}"/>
    <cellStyle name="Normal 4 3 2 2 2 2 3 2 5" xfId="36814" xr:uid="{1DAC00F4-05D6-49AD-8869-40F6995750EB}"/>
    <cellStyle name="Normal 4 3 2 2 2 2 3 2 6" xfId="11521" xr:uid="{42402822-7E1B-43EA-97FE-693EA7E39898}"/>
    <cellStyle name="Normal 4 3 2 2 2 2 3 3" xfId="5159" xr:uid="{00000000-0005-0000-0000-000023140000}"/>
    <cellStyle name="Normal 4 3 2 2 2 2 3 3 2" xfId="30458" xr:uid="{406D2588-C6B3-4225-A4ED-622085BE62C3}"/>
    <cellStyle name="Normal 4 3 2 2 2 2 3 3 3" xfId="22029" xr:uid="{A22E1F65-3E41-4D54-AE20-6202791963E3}"/>
    <cellStyle name="Normal 4 3 2 2 2 2 3 3 4" xfId="38886" xr:uid="{C4B333E7-3529-444E-9D17-8C01BB21A0D8}"/>
    <cellStyle name="Normal 4 3 2 2 2 2 3 3 5" xfId="13594" xr:uid="{317E60A6-57A2-4A9C-9655-8EE51D37D63E}"/>
    <cellStyle name="Normal 4 3 2 2 2 2 3 4" xfId="26240" xr:uid="{BD32A97C-ECE9-4ECD-AE8C-63E6342C3162}"/>
    <cellStyle name="Normal 4 3 2 2 2 2 3 5" xfId="17811" xr:uid="{5389BCA0-D331-4672-A897-575759B40D37}"/>
    <cellStyle name="Normal 4 3 2 2 2 2 3 6" xfId="34669" xr:uid="{AD515093-F318-4F73-971A-CC175BF26A15}"/>
    <cellStyle name="Normal 4 3 2 2 2 2 3 7" xfId="9376" xr:uid="{6119C809-3BB1-43AD-AA3D-C4BE04837AC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33016" xr:uid="{615C6D97-3607-44E3-816D-DC709713D40E}"/>
    <cellStyle name="Normal 4 3 2 2 2 2 4 2 2 3" xfId="24587" xr:uid="{7C0718F7-5CD9-46C5-B354-1937960DC40D}"/>
    <cellStyle name="Normal 4 3 2 2 2 2 4 2 2 4" xfId="41444" xr:uid="{51CAA480-C955-4C06-86FD-6F4D453FD292}"/>
    <cellStyle name="Normal 4 3 2 2 2 2 4 2 2 5" xfId="16152" xr:uid="{64D935BC-C801-4BFD-8651-83849B5BF86B}"/>
    <cellStyle name="Normal 4 3 2 2 2 2 4 2 3" xfId="28798" xr:uid="{E1F071B2-3671-47B6-AFCC-AF27C5242B2C}"/>
    <cellStyle name="Normal 4 3 2 2 2 2 4 2 4" xfId="20369" xr:uid="{0639C956-38F9-47CF-B896-E68669A8EFCF}"/>
    <cellStyle name="Normal 4 3 2 2 2 2 4 2 5" xfId="37227" xr:uid="{AE5C6B85-FACD-438B-891F-C911BABC3580}"/>
    <cellStyle name="Normal 4 3 2 2 2 2 4 2 6" xfId="11934" xr:uid="{DBEB3232-E579-4939-AA74-8BCA7EEEBEFE}"/>
    <cellStyle name="Normal 4 3 2 2 2 2 4 3" xfId="5572" xr:uid="{00000000-0005-0000-0000-000027140000}"/>
    <cellStyle name="Normal 4 3 2 2 2 2 4 3 2" xfId="30871" xr:uid="{7B7E20A4-9F95-4ADD-A8F0-34931CD9D154}"/>
    <cellStyle name="Normal 4 3 2 2 2 2 4 3 3" xfId="22442" xr:uid="{48723B75-4FF8-4C8D-BF7B-B19120870115}"/>
    <cellStyle name="Normal 4 3 2 2 2 2 4 3 4" xfId="39299" xr:uid="{2F20D256-6831-4737-A9A0-48CEE4C0D907}"/>
    <cellStyle name="Normal 4 3 2 2 2 2 4 3 5" xfId="14007" xr:uid="{44E36328-369B-48E0-9D6F-F7D2074F0460}"/>
    <cellStyle name="Normal 4 3 2 2 2 2 4 4" xfId="26653" xr:uid="{3FBCC123-44F7-42A7-BA06-52165DE497CD}"/>
    <cellStyle name="Normal 4 3 2 2 2 2 4 5" xfId="18224" xr:uid="{B29D6AD5-1F51-4D90-94D0-8C4807896472}"/>
    <cellStyle name="Normal 4 3 2 2 2 2 4 6" xfId="35082" xr:uid="{8B5A0C18-CEDE-438D-A444-05FC092F64F8}"/>
    <cellStyle name="Normal 4 3 2 2 2 2 4 7" xfId="9789" xr:uid="{21860214-BA6D-47B5-9A43-CC9FEBA67A0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33429" xr:uid="{8AC24F37-34A6-4FDD-B3A6-C1A15C92DF53}"/>
    <cellStyle name="Normal 4 3 2 2 2 2 5 2 2 3" xfId="25000" xr:uid="{7D7A5869-87D5-4470-8B5C-3CC0D3A20D61}"/>
    <cellStyle name="Normal 4 3 2 2 2 2 5 2 2 4" xfId="41857" xr:uid="{BF47392B-0782-4CBF-A2D7-32ECF7DC4410}"/>
    <cellStyle name="Normal 4 3 2 2 2 2 5 2 2 5" xfId="16565" xr:uid="{70D3F341-3E36-465E-AC2E-87A8AC554121}"/>
    <cellStyle name="Normal 4 3 2 2 2 2 5 2 3" xfId="29211" xr:uid="{35A9FDB1-0BCB-465E-9163-282836DA33BF}"/>
    <cellStyle name="Normal 4 3 2 2 2 2 5 2 4" xfId="20782" xr:uid="{B23EED2B-26AA-4E0E-B1F0-4270FC775EA7}"/>
    <cellStyle name="Normal 4 3 2 2 2 2 5 2 5" xfId="37640" xr:uid="{17BC1CFA-57E8-41CD-ABB2-B9661B1C5E8C}"/>
    <cellStyle name="Normal 4 3 2 2 2 2 5 2 6" xfId="12347" xr:uid="{AD501A8A-3080-4D38-9747-25BB590E5241}"/>
    <cellStyle name="Normal 4 3 2 2 2 2 5 3" xfId="5985" xr:uid="{00000000-0005-0000-0000-00002B140000}"/>
    <cellStyle name="Normal 4 3 2 2 2 2 5 3 2" xfId="31284" xr:uid="{1119D4B9-E17D-4990-8A39-21EF17F3753D}"/>
    <cellStyle name="Normal 4 3 2 2 2 2 5 3 3" xfId="22855" xr:uid="{252E4313-C260-439D-A704-393785681AD8}"/>
    <cellStyle name="Normal 4 3 2 2 2 2 5 3 4" xfId="39712" xr:uid="{74EF056D-B3F5-4C3A-A529-81ED6746E8BB}"/>
    <cellStyle name="Normal 4 3 2 2 2 2 5 3 5" xfId="14420" xr:uid="{01EE44D6-1C25-47F3-9EB0-B28F2B86CD5F}"/>
    <cellStyle name="Normal 4 3 2 2 2 2 5 4" xfId="27066" xr:uid="{A2DE0F14-CAE9-41D0-8684-DC127FC45F84}"/>
    <cellStyle name="Normal 4 3 2 2 2 2 5 5" xfId="18637" xr:uid="{E4D6F2E5-3DA5-4B79-AA8E-D2B829C928B9}"/>
    <cellStyle name="Normal 4 3 2 2 2 2 5 6" xfId="35495" xr:uid="{E90CEF91-0FB1-4825-A929-CB553B570A00}"/>
    <cellStyle name="Normal 4 3 2 2 2 2 5 7" xfId="10202" xr:uid="{C689AC05-CF4C-4428-8CFB-A713129249DF}"/>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33842" xr:uid="{B149D747-A5F6-4783-A710-2E242DD2AF3B}"/>
    <cellStyle name="Normal 4 3 2 2 2 2 6 2 2 3" xfId="25413" xr:uid="{B769F39C-76E7-454C-92D8-AF98697E6D86}"/>
    <cellStyle name="Normal 4 3 2 2 2 2 6 2 2 4" xfId="42270" xr:uid="{EF519D2A-39BB-4E29-806A-C36190192263}"/>
    <cellStyle name="Normal 4 3 2 2 2 2 6 2 2 5" xfId="16978" xr:uid="{C68DC5B4-0F31-4DD8-AF1C-CD3B73063CB7}"/>
    <cellStyle name="Normal 4 3 2 2 2 2 6 2 3" xfId="29624" xr:uid="{D4FB0608-3415-4B74-AD95-81B443D81853}"/>
    <cellStyle name="Normal 4 3 2 2 2 2 6 2 4" xfId="21195" xr:uid="{09601DB9-965F-494A-AEB9-A5CAC49293A2}"/>
    <cellStyle name="Normal 4 3 2 2 2 2 6 2 5" xfId="38053" xr:uid="{B79F3332-6A81-4B2E-B65A-14B649C2C7E5}"/>
    <cellStyle name="Normal 4 3 2 2 2 2 6 2 6" xfId="12760" xr:uid="{4563DBEA-6403-4DC2-BD29-C42CA010283C}"/>
    <cellStyle name="Normal 4 3 2 2 2 2 6 3" xfId="6398" xr:uid="{00000000-0005-0000-0000-00002F140000}"/>
    <cellStyle name="Normal 4 3 2 2 2 2 6 3 2" xfId="31697" xr:uid="{FFF0B269-7DA9-4A29-9908-6CCA75812CE8}"/>
    <cellStyle name="Normal 4 3 2 2 2 2 6 3 3" xfId="23268" xr:uid="{BF797CB6-04F9-4192-8183-995BC3E32977}"/>
    <cellStyle name="Normal 4 3 2 2 2 2 6 3 4" xfId="40125" xr:uid="{139F5C8C-D4D5-450E-AD86-1DD5090878F3}"/>
    <cellStyle name="Normal 4 3 2 2 2 2 6 3 5" xfId="14833" xr:uid="{4430D7E7-9572-43F8-B0CC-2E8D08F25E2C}"/>
    <cellStyle name="Normal 4 3 2 2 2 2 6 4" xfId="27479" xr:uid="{E6C99C70-5C7B-495A-BFBF-9ECB562574F1}"/>
    <cellStyle name="Normal 4 3 2 2 2 2 6 5" xfId="19050" xr:uid="{A34C506E-5D93-43E7-A267-BB5AB72063E1}"/>
    <cellStyle name="Normal 4 3 2 2 2 2 6 6" xfId="35908" xr:uid="{7C4EEF51-B686-4C28-A3B1-FFEE89B7F5AD}"/>
    <cellStyle name="Normal 4 3 2 2 2 2 6 7" xfId="10615" xr:uid="{5FC6A68D-B0BC-4005-8C2D-CE3B84C0588A}"/>
    <cellStyle name="Normal 4 3 2 2 2 2 7" xfId="2527" xr:uid="{00000000-0005-0000-0000-000030140000}"/>
    <cellStyle name="Normal 4 3 2 2 2 2 7 2" xfId="6811" xr:uid="{00000000-0005-0000-0000-000031140000}"/>
    <cellStyle name="Normal 4 3 2 2 2 2 7 2 2" xfId="32110" xr:uid="{77D2674C-D023-4493-8EF1-B27BFF9EF007}"/>
    <cellStyle name="Normal 4 3 2 2 2 2 7 2 3" xfId="23681" xr:uid="{54FE6BF6-1CA0-4242-A7E3-389795189A0E}"/>
    <cellStyle name="Normal 4 3 2 2 2 2 7 2 4" xfId="40538" xr:uid="{2012B280-FB96-4E14-BCF7-79E0D3379635}"/>
    <cellStyle name="Normal 4 3 2 2 2 2 7 2 5" xfId="15246" xr:uid="{B9CBC9B2-970F-483A-ACA5-BC05E635A9FD}"/>
    <cellStyle name="Normal 4 3 2 2 2 2 7 3" xfId="27892" xr:uid="{2B981688-96D4-4D36-ABF0-3E0B888B6288}"/>
    <cellStyle name="Normal 4 3 2 2 2 2 7 4" xfId="19463" xr:uid="{FC6D7F5B-6024-4A73-8EF6-B1BA07F69EB1}"/>
    <cellStyle name="Normal 4 3 2 2 2 2 7 5" xfId="36321" xr:uid="{EE8A06D3-710F-4075-B705-75E5ECF6D1DE}"/>
    <cellStyle name="Normal 4 3 2 2 2 2 7 6" xfId="11028" xr:uid="{49F413B1-2FED-4BF1-8A9A-9883B21751AB}"/>
    <cellStyle name="Normal 4 3 2 2 2 2 8" xfId="4746" xr:uid="{00000000-0005-0000-0000-000032140000}"/>
    <cellStyle name="Normal 4 3 2 2 2 2 8 2" xfId="30045" xr:uid="{3A3CA3C8-B46D-4D11-B15C-EA5734A74FF1}"/>
    <cellStyle name="Normal 4 3 2 2 2 2 8 3" xfId="21616" xr:uid="{EB5230A7-5982-45F2-B924-C2B3111DBC71}"/>
    <cellStyle name="Normal 4 3 2 2 2 2 8 4" xfId="38473" xr:uid="{E2723AB8-3637-4AB4-8B34-67D6BBF852C2}"/>
    <cellStyle name="Normal 4 3 2 2 2 2 8 5" xfId="13181" xr:uid="{9EEDC413-ADA0-488B-9248-FB26D380A758}"/>
    <cellStyle name="Normal 4 3 2 2 2 2 9" xfId="25827" xr:uid="{22543E59-6F71-46A4-977D-C3E19431A3BE}"/>
    <cellStyle name="Normal 4 3 2 2 2 3" xfId="372" xr:uid="{00000000-0005-0000-0000-000033140000}"/>
    <cellStyle name="Normal 4 3 2 2 2 3 10" xfId="34258" xr:uid="{D550DA4E-8271-4D66-8B74-C29F366AEA6B}"/>
    <cellStyle name="Normal 4 3 2 2 2 3 11" xfId="8965" xr:uid="{969390B1-8824-4660-8FF8-4CBDEBBE91FB}"/>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32605" xr:uid="{7359812A-4ECA-4708-8C9C-397BD163EBDB}"/>
    <cellStyle name="Normal 4 3 2 2 2 3 2 2 2 3" xfId="24176" xr:uid="{F974A5BD-D085-479E-B456-D75696272BB0}"/>
    <cellStyle name="Normal 4 3 2 2 2 3 2 2 2 4" xfId="41033" xr:uid="{F4C47C06-65E2-42A5-BCB7-9FFF1F822C6F}"/>
    <cellStyle name="Normal 4 3 2 2 2 3 2 2 2 5" xfId="15741" xr:uid="{5AC0808F-3E3A-4FA7-915D-386F7E291668}"/>
    <cellStyle name="Normal 4 3 2 2 2 3 2 2 3" xfId="28387" xr:uid="{752FE921-F1C4-4908-A523-241AB959C92B}"/>
    <cellStyle name="Normal 4 3 2 2 2 3 2 2 4" xfId="19958" xr:uid="{95993FFF-B0A5-4AEC-9932-9A31991C7607}"/>
    <cellStyle name="Normal 4 3 2 2 2 3 2 2 5" xfId="36816" xr:uid="{793D76FE-B509-47FA-9A19-2F2F2EF4C26A}"/>
    <cellStyle name="Normal 4 3 2 2 2 3 2 2 6" xfId="11523" xr:uid="{2C0130EC-85EB-45CB-9F11-5DE2058B1450}"/>
    <cellStyle name="Normal 4 3 2 2 2 3 2 3" xfId="5161" xr:uid="{00000000-0005-0000-0000-000037140000}"/>
    <cellStyle name="Normal 4 3 2 2 2 3 2 3 2" xfId="30460" xr:uid="{8C3BACD8-21DF-48AC-A04C-0BB7FD6CD5E5}"/>
    <cellStyle name="Normal 4 3 2 2 2 3 2 3 3" xfId="22031" xr:uid="{D11D7268-9A66-4979-91D0-4FCDE042844E}"/>
    <cellStyle name="Normal 4 3 2 2 2 3 2 3 4" xfId="38888" xr:uid="{F9D449B0-3BD3-499D-A6D8-45343052C679}"/>
    <cellStyle name="Normal 4 3 2 2 2 3 2 3 5" xfId="13596" xr:uid="{BB5DC96B-7BFF-4B1D-9643-73AF281AD005}"/>
    <cellStyle name="Normal 4 3 2 2 2 3 2 4" xfId="26242" xr:uid="{0FBC843F-FB02-4427-9436-4C38BAE657A8}"/>
    <cellStyle name="Normal 4 3 2 2 2 3 2 5" xfId="17813" xr:uid="{37C1CFFE-C278-40B1-AF5A-C30DF65E7787}"/>
    <cellStyle name="Normal 4 3 2 2 2 3 2 6" xfId="34671" xr:uid="{D3C0AB31-3D05-49A5-A0E6-CE4FDB1DC29E}"/>
    <cellStyle name="Normal 4 3 2 2 2 3 2 7" xfId="9378" xr:uid="{55570F0F-270E-4A00-9419-A6F91B01F559}"/>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33018" xr:uid="{7BE0FFDD-0703-46E0-BC25-F820829EEF8B}"/>
    <cellStyle name="Normal 4 3 2 2 2 3 3 2 2 3" xfId="24589" xr:uid="{6E6023E5-E0D4-4460-9279-FFFC789FEBFC}"/>
    <cellStyle name="Normal 4 3 2 2 2 3 3 2 2 4" xfId="41446" xr:uid="{C2FB620D-35BC-4BF2-AACD-093B9A56CBE1}"/>
    <cellStyle name="Normal 4 3 2 2 2 3 3 2 2 5" xfId="16154" xr:uid="{E94CF6EE-7A1F-4F4F-9695-7582DC881556}"/>
    <cellStyle name="Normal 4 3 2 2 2 3 3 2 3" xfId="28800" xr:uid="{07996BF2-1E7F-485B-818E-6DCF9FA504C8}"/>
    <cellStyle name="Normal 4 3 2 2 2 3 3 2 4" xfId="20371" xr:uid="{D3DB6504-9A06-41CE-A391-C56048C3A9E3}"/>
    <cellStyle name="Normal 4 3 2 2 2 3 3 2 5" xfId="37229" xr:uid="{0445446E-465F-441E-9E3B-155A02BE9CF2}"/>
    <cellStyle name="Normal 4 3 2 2 2 3 3 2 6" xfId="11936" xr:uid="{5C25339D-EFCF-43C5-A07B-16ECA1E18F7A}"/>
    <cellStyle name="Normal 4 3 2 2 2 3 3 3" xfId="5574" xr:uid="{00000000-0005-0000-0000-00003B140000}"/>
    <cellStyle name="Normal 4 3 2 2 2 3 3 3 2" xfId="30873" xr:uid="{6FECB93F-E616-4281-A486-BE56D5ED951E}"/>
    <cellStyle name="Normal 4 3 2 2 2 3 3 3 3" xfId="22444" xr:uid="{F4489A04-0333-47D6-BC14-A212792FCCB9}"/>
    <cellStyle name="Normal 4 3 2 2 2 3 3 3 4" xfId="39301" xr:uid="{3F660632-0CBD-49AB-9410-15F5E5612700}"/>
    <cellStyle name="Normal 4 3 2 2 2 3 3 3 5" xfId="14009" xr:uid="{63F73CF2-0583-4236-A504-82ED19332AF1}"/>
    <cellStyle name="Normal 4 3 2 2 2 3 3 4" xfId="26655" xr:uid="{A57886ED-D379-41F3-B507-711E731A0092}"/>
    <cellStyle name="Normal 4 3 2 2 2 3 3 5" xfId="18226" xr:uid="{61068622-D194-40D8-99A8-D3E8F170A21C}"/>
    <cellStyle name="Normal 4 3 2 2 2 3 3 6" xfId="35084" xr:uid="{BDC5857E-451D-4E99-AC4D-076BF5CA17E1}"/>
    <cellStyle name="Normal 4 3 2 2 2 3 3 7" xfId="9791" xr:uid="{1BBB9C61-9AE4-4ABE-AAA1-F4C50A97E2A8}"/>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33431" xr:uid="{51AA35F2-935E-4762-8942-6E324B4018A1}"/>
    <cellStyle name="Normal 4 3 2 2 2 3 4 2 2 3" xfId="25002" xr:uid="{5E31D918-1E40-46C4-8F18-1B0599D578DA}"/>
    <cellStyle name="Normal 4 3 2 2 2 3 4 2 2 4" xfId="41859" xr:uid="{C4887DD2-049A-4313-9598-57BF57475181}"/>
    <cellStyle name="Normal 4 3 2 2 2 3 4 2 2 5" xfId="16567" xr:uid="{04B0A0E7-781D-414B-AF90-B809A9B567D9}"/>
    <cellStyle name="Normal 4 3 2 2 2 3 4 2 3" xfId="29213" xr:uid="{AFC87F19-FAB9-405A-9B1C-E35EE24F7975}"/>
    <cellStyle name="Normal 4 3 2 2 2 3 4 2 4" xfId="20784" xr:uid="{B2DAE6D6-85FA-4CCB-9802-FEBE084A6471}"/>
    <cellStyle name="Normal 4 3 2 2 2 3 4 2 5" xfId="37642" xr:uid="{305D93C5-D825-441D-BD07-23931F93AF5A}"/>
    <cellStyle name="Normal 4 3 2 2 2 3 4 2 6" xfId="12349" xr:uid="{9E738FEC-2341-4D5A-BDA5-CAC6D1721B76}"/>
    <cellStyle name="Normal 4 3 2 2 2 3 4 3" xfId="5987" xr:uid="{00000000-0005-0000-0000-00003F140000}"/>
    <cellStyle name="Normal 4 3 2 2 2 3 4 3 2" xfId="31286" xr:uid="{78476056-1A16-40CF-9D35-A2C05BD0E72A}"/>
    <cellStyle name="Normal 4 3 2 2 2 3 4 3 3" xfId="22857" xr:uid="{BE0B2193-DC14-43EE-A329-2E3244175C4C}"/>
    <cellStyle name="Normal 4 3 2 2 2 3 4 3 4" xfId="39714" xr:uid="{4709506C-3C94-4E3A-A9F4-23F311C30170}"/>
    <cellStyle name="Normal 4 3 2 2 2 3 4 3 5" xfId="14422" xr:uid="{91D3652E-7B5C-456D-9330-0C4512ED4134}"/>
    <cellStyle name="Normal 4 3 2 2 2 3 4 4" xfId="27068" xr:uid="{C5D10208-FBA7-47DB-A836-E82B12A0AFD2}"/>
    <cellStyle name="Normal 4 3 2 2 2 3 4 5" xfId="18639" xr:uid="{93352288-32E3-4D72-A9CD-E0F305285DDB}"/>
    <cellStyle name="Normal 4 3 2 2 2 3 4 6" xfId="35497" xr:uid="{9713A4CB-1347-4E87-B8FE-C35C2C4D9574}"/>
    <cellStyle name="Normal 4 3 2 2 2 3 4 7" xfId="10204" xr:uid="{8ACB6F4E-598F-4AA8-9B55-37CCE019991D}"/>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33844" xr:uid="{03F00987-5D98-4872-8643-47597281F3A2}"/>
    <cellStyle name="Normal 4 3 2 2 2 3 5 2 2 3" xfId="25415" xr:uid="{5E17F3A8-AF82-4D95-A590-E2E08F0471F9}"/>
    <cellStyle name="Normal 4 3 2 2 2 3 5 2 2 4" xfId="42272" xr:uid="{3B9400FF-1771-4681-B679-EC4F1761FFA2}"/>
    <cellStyle name="Normal 4 3 2 2 2 3 5 2 2 5" xfId="16980" xr:uid="{48B3EDD8-816E-4342-B84B-047BA72B2AC5}"/>
    <cellStyle name="Normal 4 3 2 2 2 3 5 2 3" xfId="29626" xr:uid="{7AF95022-CDA7-49C9-825F-0189A4DB8247}"/>
    <cellStyle name="Normal 4 3 2 2 2 3 5 2 4" xfId="21197" xr:uid="{102652BA-3C59-4CA5-9D6E-50D4DEC9F76E}"/>
    <cellStyle name="Normal 4 3 2 2 2 3 5 2 5" xfId="38055" xr:uid="{9407899A-3860-4526-B2D3-83007D87D35F}"/>
    <cellStyle name="Normal 4 3 2 2 2 3 5 2 6" xfId="12762" xr:uid="{A7D0C4DF-5886-4C13-83FB-50022AE16380}"/>
    <cellStyle name="Normal 4 3 2 2 2 3 5 3" xfId="6400" xr:uid="{00000000-0005-0000-0000-000043140000}"/>
    <cellStyle name="Normal 4 3 2 2 2 3 5 3 2" xfId="31699" xr:uid="{25019C6C-C1EF-4C24-A7E7-44711037E43F}"/>
    <cellStyle name="Normal 4 3 2 2 2 3 5 3 3" xfId="23270" xr:uid="{77657C1F-03B6-46C0-966F-F52D353CF4E6}"/>
    <cellStyle name="Normal 4 3 2 2 2 3 5 3 4" xfId="40127" xr:uid="{E8C7F1A0-37ED-4EF0-9EE0-6C31E8FBAE1D}"/>
    <cellStyle name="Normal 4 3 2 2 2 3 5 3 5" xfId="14835" xr:uid="{CC42EFEC-A8C6-44FB-BE60-44DD6533A5DD}"/>
    <cellStyle name="Normal 4 3 2 2 2 3 5 4" xfId="27481" xr:uid="{95FA3B80-CBFB-4C99-AC49-FA67F6C31F24}"/>
    <cellStyle name="Normal 4 3 2 2 2 3 5 5" xfId="19052" xr:uid="{EECF343F-5B7C-44FF-A6A5-8622CA47A86F}"/>
    <cellStyle name="Normal 4 3 2 2 2 3 5 6" xfId="35910" xr:uid="{6D281525-DC13-41A8-8E6D-6D5F00939A21}"/>
    <cellStyle name="Normal 4 3 2 2 2 3 5 7" xfId="10617" xr:uid="{CFC78E57-08C8-4778-AADC-DAF6C3659835}"/>
    <cellStyle name="Normal 4 3 2 2 2 3 6" xfId="2529" xr:uid="{00000000-0005-0000-0000-000044140000}"/>
    <cellStyle name="Normal 4 3 2 2 2 3 6 2" xfId="6813" xr:uid="{00000000-0005-0000-0000-000045140000}"/>
    <cellStyle name="Normal 4 3 2 2 2 3 6 2 2" xfId="32112" xr:uid="{19E63EDC-19D8-4987-A3B8-FF9350AAAF07}"/>
    <cellStyle name="Normal 4 3 2 2 2 3 6 2 3" xfId="23683" xr:uid="{637223DF-6A8A-400F-B3B2-86584F430BAA}"/>
    <cellStyle name="Normal 4 3 2 2 2 3 6 2 4" xfId="40540" xr:uid="{B77E1826-0FDF-41A1-A175-FBB68D787B4E}"/>
    <cellStyle name="Normal 4 3 2 2 2 3 6 2 5" xfId="15248" xr:uid="{9CB8A1F2-62AF-4956-A0F3-58D67FEA7B89}"/>
    <cellStyle name="Normal 4 3 2 2 2 3 6 3" xfId="27894" xr:uid="{D3E0D078-F0BC-4855-BAEF-AAB6D7D017E4}"/>
    <cellStyle name="Normal 4 3 2 2 2 3 6 4" xfId="19465" xr:uid="{A38BAE16-6C73-49A2-AB45-CC72F77A7A7C}"/>
    <cellStyle name="Normal 4 3 2 2 2 3 6 5" xfId="36323" xr:uid="{7BE5B47C-1CD2-4409-97BD-A67908943ACC}"/>
    <cellStyle name="Normal 4 3 2 2 2 3 6 6" xfId="11030" xr:uid="{421E1021-B706-4D22-8591-5A839D5F9A7C}"/>
    <cellStyle name="Normal 4 3 2 2 2 3 7" xfId="4748" xr:uid="{00000000-0005-0000-0000-000046140000}"/>
    <cellStyle name="Normal 4 3 2 2 2 3 7 2" xfId="30047" xr:uid="{B1AFD55C-FE0C-4A68-9FD5-B8ABABC45410}"/>
    <cellStyle name="Normal 4 3 2 2 2 3 7 3" xfId="21618" xr:uid="{2EE9F6DE-A58F-4405-A0BB-1A86A495361A}"/>
    <cellStyle name="Normal 4 3 2 2 2 3 7 4" xfId="38475" xr:uid="{3586A2B0-9AA2-4F60-B5CC-D26F9413BBDE}"/>
    <cellStyle name="Normal 4 3 2 2 2 3 7 5" xfId="13183" xr:uid="{CE5BB8C8-1B74-40AC-A0C0-CAF83F86800A}"/>
    <cellStyle name="Normal 4 3 2 2 2 3 8" xfId="25829" xr:uid="{5C6B40A5-3A73-4A5C-A946-B786E91777A2}"/>
    <cellStyle name="Normal 4 3 2 2 2 3 9" xfId="17400" xr:uid="{532F533D-665D-416F-951E-B11972CD33DE}"/>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32602" xr:uid="{DBB59188-59CB-4CFC-A5EB-4DEB51252128}"/>
    <cellStyle name="Normal 4 3 2 2 2 4 2 2 3" xfId="24173" xr:uid="{51DF16AB-2B0F-436A-8EBE-DEF1100E109E}"/>
    <cellStyle name="Normal 4 3 2 2 2 4 2 2 4" xfId="41030" xr:uid="{7653ADD7-5A1D-46CA-BCEC-3584F76D2468}"/>
    <cellStyle name="Normal 4 3 2 2 2 4 2 2 5" xfId="15738" xr:uid="{F85FBF3F-40CE-4614-8910-87F2929A4BB2}"/>
    <cellStyle name="Normal 4 3 2 2 2 4 2 3" xfId="28384" xr:uid="{DA791815-3ED5-4462-B5A2-62F32FE22D25}"/>
    <cellStyle name="Normal 4 3 2 2 2 4 2 4" xfId="19955" xr:uid="{6AA4F1B8-AE53-4BB9-9E2A-740E29093BE5}"/>
    <cellStyle name="Normal 4 3 2 2 2 4 2 5" xfId="36813" xr:uid="{9F2168E3-AF8E-4B76-94AF-1AC2D72938FA}"/>
    <cellStyle name="Normal 4 3 2 2 2 4 2 6" xfId="11520" xr:uid="{7A09F2FA-EA62-4C38-A7EF-F0B8D3CDA10E}"/>
    <cellStyle name="Normal 4 3 2 2 2 4 3" xfId="5158" xr:uid="{00000000-0005-0000-0000-00004A140000}"/>
    <cellStyle name="Normal 4 3 2 2 2 4 3 2" xfId="30457" xr:uid="{3CAC90A5-8A12-451C-8642-4C30CF9DC6C1}"/>
    <cellStyle name="Normal 4 3 2 2 2 4 3 3" xfId="22028" xr:uid="{4354D4F4-08B7-41B7-8AE1-865B27175F1D}"/>
    <cellStyle name="Normal 4 3 2 2 2 4 3 4" xfId="38885" xr:uid="{7F1F4470-54E1-4845-89EC-BD1F4CA5E6C0}"/>
    <cellStyle name="Normal 4 3 2 2 2 4 3 5" xfId="13593" xr:uid="{FB28241F-DDDF-4F45-9A96-BF3189C373BF}"/>
    <cellStyle name="Normal 4 3 2 2 2 4 4" xfId="26239" xr:uid="{C8A05A28-D153-47DB-AF9E-1A619C9C7047}"/>
    <cellStyle name="Normal 4 3 2 2 2 4 5" xfId="17810" xr:uid="{AA34EB97-BB1C-47E6-A249-B5BE982BEF84}"/>
    <cellStyle name="Normal 4 3 2 2 2 4 6" xfId="34668" xr:uid="{4B2956A0-C40C-40A3-BCE2-14F4E41E6365}"/>
    <cellStyle name="Normal 4 3 2 2 2 4 7" xfId="9375" xr:uid="{8B03D7DC-F663-44D0-B547-18867415FFD9}"/>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33015" xr:uid="{15D81F57-CC2C-4E25-A87B-EFEDD83ED0F0}"/>
    <cellStyle name="Normal 4 3 2 2 2 5 2 2 3" xfId="24586" xr:uid="{F526447E-7C21-49A6-93DD-EFC2D322B36E}"/>
    <cellStyle name="Normal 4 3 2 2 2 5 2 2 4" xfId="41443" xr:uid="{F97EC290-DD5F-4014-B598-9AC7AE1CAEDB}"/>
    <cellStyle name="Normal 4 3 2 2 2 5 2 2 5" xfId="16151" xr:uid="{E359A491-882E-487F-8D82-658AB9DEB082}"/>
    <cellStyle name="Normal 4 3 2 2 2 5 2 3" xfId="28797" xr:uid="{896A62BA-8BA0-45AC-8560-018DAC84657A}"/>
    <cellStyle name="Normal 4 3 2 2 2 5 2 4" xfId="20368" xr:uid="{E989929B-A40F-46AC-B878-F5009A407DE4}"/>
    <cellStyle name="Normal 4 3 2 2 2 5 2 5" xfId="37226" xr:uid="{91864A51-F262-41B6-B9FB-D498E02CA137}"/>
    <cellStyle name="Normal 4 3 2 2 2 5 2 6" xfId="11933" xr:uid="{B3C8D1B7-8C86-4D3B-8A7C-80AEA6597461}"/>
    <cellStyle name="Normal 4 3 2 2 2 5 3" xfId="5571" xr:uid="{00000000-0005-0000-0000-00004E140000}"/>
    <cellStyle name="Normal 4 3 2 2 2 5 3 2" xfId="30870" xr:uid="{951D915B-AC22-4055-8E46-EDA47C34016F}"/>
    <cellStyle name="Normal 4 3 2 2 2 5 3 3" xfId="22441" xr:uid="{2ACAAA96-3E8E-45F9-B7CE-E26908EB3100}"/>
    <cellStyle name="Normal 4 3 2 2 2 5 3 4" xfId="39298" xr:uid="{9811BEAA-C1E9-4D5B-99DF-E1BEAAB3F4E6}"/>
    <cellStyle name="Normal 4 3 2 2 2 5 3 5" xfId="14006" xr:uid="{928CFE4F-ACBB-4069-BE4F-48B9D9E23092}"/>
    <cellStyle name="Normal 4 3 2 2 2 5 4" xfId="26652" xr:uid="{9A08E8E4-56AB-4EAE-BE8E-A0EE86070FEC}"/>
    <cellStyle name="Normal 4 3 2 2 2 5 5" xfId="18223" xr:uid="{453E758F-43A0-476F-AABE-7B0AF66F4774}"/>
    <cellStyle name="Normal 4 3 2 2 2 5 6" xfId="35081" xr:uid="{1B820F09-D985-42DD-914F-94714CF58A3E}"/>
    <cellStyle name="Normal 4 3 2 2 2 5 7" xfId="9788" xr:uid="{1A03ECD4-DC2B-4C94-901E-A6B4A3CBF40A}"/>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33428" xr:uid="{DC2184D6-4841-45E2-930A-75B4919D4AA3}"/>
    <cellStyle name="Normal 4 3 2 2 2 6 2 2 3" xfId="24999" xr:uid="{1AC060AB-F2CF-4C36-9F8F-00686906C55C}"/>
    <cellStyle name="Normal 4 3 2 2 2 6 2 2 4" xfId="41856" xr:uid="{CC76657D-9490-4DF8-A740-219EAFD1047E}"/>
    <cellStyle name="Normal 4 3 2 2 2 6 2 2 5" xfId="16564" xr:uid="{EBBCEDC1-F697-45A5-8AA4-4F8B668F4044}"/>
    <cellStyle name="Normal 4 3 2 2 2 6 2 3" xfId="29210" xr:uid="{0AE5A1AD-D1B0-463E-9E7B-655903E88109}"/>
    <cellStyle name="Normal 4 3 2 2 2 6 2 4" xfId="20781" xr:uid="{C3BBAA9E-DB16-4759-8C68-BC0699701BA6}"/>
    <cellStyle name="Normal 4 3 2 2 2 6 2 5" xfId="37639" xr:uid="{28CE8CE7-5548-4CE0-A1E4-F502A70AE103}"/>
    <cellStyle name="Normal 4 3 2 2 2 6 2 6" xfId="12346" xr:uid="{2896A6E4-D0ED-4C44-8D34-6E0EB8BDF53B}"/>
    <cellStyle name="Normal 4 3 2 2 2 6 3" xfId="5984" xr:uid="{00000000-0005-0000-0000-000052140000}"/>
    <cellStyle name="Normal 4 3 2 2 2 6 3 2" xfId="31283" xr:uid="{17150204-25C3-465B-9BC4-FC1AEAB320EA}"/>
    <cellStyle name="Normal 4 3 2 2 2 6 3 3" xfId="22854" xr:uid="{3AEA3E6E-8DEC-478A-B7A0-D5CC18A395D1}"/>
    <cellStyle name="Normal 4 3 2 2 2 6 3 4" xfId="39711" xr:uid="{44653FB5-0625-47E9-973C-3215FBBFCB51}"/>
    <cellStyle name="Normal 4 3 2 2 2 6 3 5" xfId="14419" xr:uid="{9E4D7E45-D139-4F88-BCBF-9D5F9824280B}"/>
    <cellStyle name="Normal 4 3 2 2 2 6 4" xfId="27065" xr:uid="{8F114295-D43C-4126-8B33-8850BE14007E}"/>
    <cellStyle name="Normal 4 3 2 2 2 6 5" xfId="18636" xr:uid="{8D2C87F8-BA63-46F3-9BD8-5D41E1F920D9}"/>
    <cellStyle name="Normal 4 3 2 2 2 6 6" xfId="35494" xr:uid="{760E0989-4A08-48AC-A047-5E2F505CB64C}"/>
    <cellStyle name="Normal 4 3 2 2 2 6 7" xfId="10201" xr:uid="{891F11B0-B737-4191-B5DD-6B69279B9C11}"/>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33841" xr:uid="{67911115-8AB2-4E7A-B159-D9DE0F0150D1}"/>
    <cellStyle name="Normal 4 3 2 2 2 7 2 2 3" xfId="25412" xr:uid="{A1EF2AB9-C0C0-4A26-AA61-EE07D25A714E}"/>
    <cellStyle name="Normal 4 3 2 2 2 7 2 2 4" xfId="42269" xr:uid="{1BDFCD5D-FE9A-477E-8FC4-EC5BA6B22BA2}"/>
    <cellStyle name="Normal 4 3 2 2 2 7 2 2 5" xfId="16977" xr:uid="{F1B0A972-DB28-43D8-B466-7F04E65DEE23}"/>
    <cellStyle name="Normal 4 3 2 2 2 7 2 3" xfId="29623" xr:uid="{71253B68-8468-489B-9DC0-0062EB635A1C}"/>
    <cellStyle name="Normal 4 3 2 2 2 7 2 4" xfId="21194" xr:uid="{41AF2E33-B23C-4F08-B183-4D009B71BE26}"/>
    <cellStyle name="Normal 4 3 2 2 2 7 2 5" xfId="38052" xr:uid="{C142570A-7D52-4FCA-9D65-85821231CFF6}"/>
    <cellStyle name="Normal 4 3 2 2 2 7 2 6" xfId="12759" xr:uid="{C35DB196-000E-492D-8AF9-4DC80389314D}"/>
    <cellStyle name="Normal 4 3 2 2 2 7 3" xfId="6397" xr:uid="{00000000-0005-0000-0000-000056140000}"/>
    <cellStyle name="Normal 4 3 2 2 2 7 3 2" xfId="31696" xr:uid="{3734A0FE-C4B8-4B1E-8592-778F81D3F01C}"/>
    <cellStyle name="Normal 4 3 2 2 2 7 3 3" xfId="23267" xr:uid="{D84D9E96-40D6-4974-A957-E0D6DB47CAF9}"/>
    <cellStyle name="Normal 4 3 2 2 2 7 3 4" xfId="40124" xr:uid="{E33FB819-232F-4AF9-A387-1FF34198C375}"/>
    <cellStyle name="Normal 4 3 2 2 2 7 3 5" xfId="14832" xr:uid="{3DE22D53-B70B-4A65-B2A0-BE60389F6A29}"/>
    <cellStyle name="Normal 4 3 2 2 2 7 4" xfId="27478" xr:uid="{0E82E984-0C0A-4E9C-AB09-1EE24D799D8D}"/>
    <cellStyle name="Normal 4 3 2 2 2 7 5" xfId="19049" xr:uid="{F999DC47-FCD5-4328-86D7-E3D6FD34CD07}"/>
    <cellStyle name="Normal 4 3 2 2 2 7 6" xfId="35907" xr:uid="{5F1C866C-4A26-44A6-A971-61910E7344E7}"/>
    <cellStyle name="Normal 4 3 2 2 2 7 7" xfId="10614" xr:uid="{78C2C2B4-A7DC-4B6F-B103-CE323CE4C90E}"/>
    <cellStyle name="Normal 4 3 2 2 2 8" xfId="2526" xr:uid="{00000000-0005-0000-0000-000057140000}"/>
    <cellStyle name="Normal 4 3 2 2 2 8 2" xfId="6810" xr:uid="{00000000-0005-0000-0000-000058140000}"/>
    <cellStyle name="Normal 4 3 2 2 2 8 2 2" xfId="32109" xr:uid="{D496EAB6-A469-4A3E-9251-67890D2A7EB4}"/>
    <cellStyle name="Normal 4 3 2 2 2 8 2 3" xfId="23680" xr:uid="{4DBB6B60-C958-48ED-ACD1-7ACB67A25074}"/>
    <cellStyle name="Normal 4 3 2 2 2 8 2 4" xfId="40537" xr:uid="{7C1E87DE-CFBA-45B8-8DE5-E72E85DCA9C4}"/>
    <cellStyle name="Normal 4 3 2 2 2 8 2 5" xfId="15245" xr:uid="{78BF4721-6424-4D59-A0DF-9F8AFD85147D}"/>
    <cellStyle name="Normal 4 3 2 2 2 8 3" xfId="27891" xr:uid="{CABF4509-E2F1-4C55-9A93-8CC166D0AB5F}"/>
    <cellStyle name="Normal 4 3 2 2 2 8 4" xfId="19462" xr:uid="{C937BBDF-2C80-4F10-8BC2-DA278C7D7DFA}"/>
    <cellStyle name="Normal 4 3 2 2 2 8 5" xfId="36320" xr:uid="{7797976A-338B-4AB0-8607-6D491C12090C}"/>
    <cellStyle name="Normal 4 3 2 2 2 8 6" xfId="11027" xr:uid="{5FD57610-B2A5-4F33-8A4F-442AE86D998C}"/>
    <cellStyle name="Normal 4 3 2 2 2 9" xfId="4745" xr:uid="{00000000-0005-0000-0000-000059140000}"/>
    <cellStyle name="Normal 4 3 2 2 2 9 2" xfId="30044" xr:uid="{C4D4D616-B911-4862-93F2-04612486E50B}"/>
    <cellStyle name="Normal 4 3 2 2 2 9 3" xfId="21615" xr:uid="{8641B962-8FB3-4CA6-A585-08662724DECE}"/>
    <cellStyle name="Normal 4 3 2 2 2 9 4" xfId="38472" xr:uid="{27FD476C-0337-466E-AB94-B3B5D60922C8}"/>
    <cellStyle name="Normal 4 3 2 2 2 9 5" xfId="13180" xr:uid="{EDF790E1-FC50-4BB0-9B9B-38B734A6C037}"/>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25830" xr:uid="{1EFA6D35-30A8-40C1-8260-69757CAAA1E3}"/>
    <cellStyle name="Normal 4 3 3 11" xfId="17401" xr:uid="{F6B0110E-F79B-474E-98B0-5374E3147983}"/>
    <cellStyle name="Normal 4 3 3 12" xfId="34259" xr:uid="{E0E3E67F-064A-41D7-B78E-0E4A5D86DA56}"/>
    <cellStyle name="Normal 4 3 3 13" xfId="8966" xr:uid="{99A3B055-8FA9-4AD2-B3E2-CC1C43234876}"/>
    <cellStyle name="Normal 4 3 3 2" xfId="375" xr:uid="{00000000-0005-0000-0000-00005E140000}"/>
    <cellStyle name="Normal 4 3 3 2 10" xfId="17402" xr:uid="{CDC43A81-4719-4C62-994D-294360E7513C}"/>
    <cellStyle name="Normal 4 3 3 2 11" xfId="34260" xr:uid="{D164C6C8-880B-4F4E-BD2D-2E4E880C3FB2}"/>
    <cellStyle name="Normal 4 3 3 2 12" xfId="8967" xr:uid="{2CD32AC1-E341-4FE5-832E-38667B22D67A}"/>
    <cellStyle name="Normal 4 3 3 2 2" xfId="376" xr:uid="{00000000-0005-0000-0000-00005F140000}"/>
    <cellStyle name="Normal 4 3 3 2 2 10" xfId="34261" xr:uid="{39250B97-085F-473B-B23D-BE1CA6304B27}"/>
    <cellStyle name="Normal 4 3 3 2 2 11" xfId="8968" xr:uid="{DFBD735E-BA50-4F8E-8396-80CC237E2E4D}"/>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32608" xr:uid="{245BCD90-8DE1-40E8-8423-D1F261AF3F75}"/>
    <cellStyle name="Normal 4 3 3 2 2 2 2 2 3" xfId="24179" xr:uid="{7DDB3385-4FCF-4F0B-AD29-5B1B832C1A05}"/>
    <cellStyle name="Normal 4 3 3 2 2 2 2 2 4" xfId="41036" xr:uid="{4B9CF40F-A9E5-456F-BC93-DF7C4A245135}"/>
    <cellStyle name="Normal 4 3 3 2 2 2 2 2 5" xfId="15744" xr:uid="{B5DE5F0E-E044-4F8F-8EDD-B598B15AFD35}"/>
    <cellStyle name="Normal 4 3 3 2 2 2 2 3" xfId="28390" xr:uid="{61ADC196-6CF2-4A31-941E-0AED33BDD37D}"/>
    <cellStyle name="Normal 4 3 3 2 2 2 2 4" xfId="19961" xr:uid="{537F64E6-30BD-4083-AA51-3271AFFF30EF}"/>
    <cellStyle name="Normal 4 3 3 2 2 2 2 5" xfId="36819" xr:uid="{1FEEFAE1-D428-47B7-A0DD-412416746F56}"/>
    <cellStyle name="Normal 4 3 3 2 2 2 2 6" xfId="11526" xr:uid="{51AFBC3D-ADA0-44ED-9AF6-EEF066456EBA}"/>
    <cellStyle name="Normal 4 3 3 2 2 2 3" xfId="5164" xr:uid="{00000000-0005-0000-0000-000063140000}"/>
    <cellStyle name="Normal 4 3 3 2 2 2 3 2" xfId="30463" xr:uid="{023F9F56-A88C-4DF6-9BFF-4AC7DA079070}"/>
    <cellStyle name="Normal 4 3 3 2 2 2 3 3" xfId="22034" xr:uid="{3C6B7621-C296-40CE-A219-0ADC4FC6CF1D}"/>
    <cellStyle name="Normal 4 3 3 2 2 2 3 4" xfId="38891" xr:uid="{C11E64FF-C567-476E-817C-2DB33F739F79}"/>
    <cellStyle name="Normal 4 3 3 2 2 2 3 5" xfId="13599" xr:uid="{D4FCE953-2C1E-4B0C-83E3-BC88AF65D07E}"/>
    <cellStyle name="Normal 4 3 3 2 2 2 4" xfId="26245" xr:uid="{5E63C39D-C26C-42DF-8340-537F4D707BCA}"/>
    <cellStyle name="Normal 4 3 3 2 2 2 5" xfId="17816" xr:uid="{8F815883-5676-4DE6-A543-15A2C0B4B605}"/>
    <cellStyle name="Normal 4 3 3 2 2 2 6" xfId="34674" xr:uid="{467CDB64-BD0A-40C5-8C59-20051F0CE59F}"/>
    <cellStyle name="Normal 4 3 3 2 2 2 7" xfId="9381" xr:uid="{3A5FCD8E-F5ED-4ABC-B43B-F65B1D3B8ED9}"/>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33021" xr:uid="{EC6451A5-6E86-49E3-91DA-FA843CB4C6F3}"/>
    <cellStyle name="Normal 4 3 3 2 2 3 2 2 3" xfId="24592" xr:uid="{1C8172E5-4639-4D96-9D3E-187FCC309446}"/>
    <cellStyle name="Normal 4 3 3 2 2 3 2 2 4" xfId="41449" xr:uid="{7773E0C2-AAB5-4DBF-956F-9E3DB2C6A7A5}"/>
    <cellStyle name="Normal 4 3 3 2 2 3 2 2 5" xfId="16157" xr:uid="{DC89CB2C-CEA8-4EA4-BA6B-AD0BC6B94825}"/>
    <cellStyle name="Normal 4 3 3 2 2 3 2 3" xfId="28803" xr:uid="{579BA78F-3CA0-4404-9817-B5CB22FCAFAD}"/>
    <cellStyle name="Normal 4 3 3 2 2 3 2 4" xfId="20374" xr:uid="{FF343ADD-64F1-4095-886A-63803620AD99}"/>
    <cellStyle name="Normal 4 3 3 2 2 3 2 5" xfId="37232" xr:uid="{A7C70BDA-B8BA-4FCE-82DA-C9551A741A66}"/>
    <cellStyle name="Normal 4 3 3 2 2 3 2 6" xfId="11939" xr:uid="{7055F8AD-4F95-40D8-88B3-26B83474F719}"/>
    <cellStyle name="Normal 4 3 3 2 2 3 3" xfId="5577" xr:uid="{00000000-0005-0000-0000-000067140000}"/>
    <cellStyle name="Normal 4 3 3 2 2 3 3 2" xfId="30876" xr:uid="{38DFB013-EE5F-43A2-A5D9-52CF0A958FC6}"/>
    <cellStyle name="Normal 4 3 3 2 2 3 3 3" xfId="22447" xr:uid="{44538B83-7214-4C5D-A1E5-0BFC459F8903}"/>
    <cellStyle name="Normal 4 3 3 2 2 3 3 4" xfId="39304" xr:uid="{4990EA4C-CE1A-48CB-B593-6A891051FDCC}"/>
    <cellStyle name="Normal 4 3 3 2 2 3 3 5" xfId="14012" xr:uid="{5DF02B16-B952-4DFD-943C-6A36E0727111}"/>
    <cellStyle name="Normal 4 3 3 2 2 3 4" xfId="26658" xr:uid="{C90E99AE-2B46-430C-A896-312AC5862F8B}"/>
    <cellStyle name="Normal 4 3 3 2 2 3 5" xfId="18229" xr:uid="{A3604CC4-3524-47B0-87A5-B577EED27E41}"/>
    <cellStyle name="Normal 4 3 3 2 2 3 6" xfId="35087" xr:uid="{D62ADCF9-4688-4772-AFB9-3B7FE76B472A}"/>
    <cellStyle name="Normal 4 3 3 2 2 3 7" xfId="9794" xr:uid="{43ADE42F-5883-4A2D-B632-470CA107F58F}"/>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33434" xr:uid="{EE397C33-0C26-4A5E-9A08-8FBEE4CD9A52}"/>
    <cellStyle name="Normal 4 3 3 2 2 4 2 2 3" xfId="25005" xr:uid="{22FCD4B6-692A-4733-A95D-3887EA404E6D}"/>
    <cellStyle name="Normal 4 3 3 2 2 4 2 2 4" xfId="41862" xr:uid="{672C27F9-2DA0-4419-A632-3374B2167F0B}"/>
    <cellStyle name="Normal 4 3 3 2 2 4 2 2 5" xfId="16570" xr:uid="{0B6782C8-735A-46A5-B4ED-987FC28C3D9E}"/>
    <cellStyle name="Normal 4 3 3 2 2 4 2 3" xfId="29216" xr:uid="{DDE322A5-2CA8-446E-97EE-A152234CA583}"/>
    <cellStyle name="Normal 4 3 3 2 2 4 2 4" xfId="20787" xr:uid="{97388485-9276-4F8A-8D5D-30EF56A73410}"/>
    <cellStyle name="Normal 4 3 3 2 2 4 2 5" xfId="37645" xr:uid="{F16CEAE7-786E-49F6-A1B2-C0E1FD8ED48B}"/>
    <cellStyle name="Normal 4 3 3 2 2 4 2 6" xfId="12352" xr:uid="{4EDD45D7-6D7A-4B4E-9EF3-BE8A0FC166F2}"/>
    <cellStyle name="Normal 4 3 3 2 2 4 3" xfId="5990" xr:uid="{00000000-0005-0000-0000-00006B140000}"/>
    <cellStyle name="Normal 4 3 3 2 2 4 3 2" xfId="31289" xr:uid="{FC3B3032-5669-464C-9AC3-AA240BF6DA46}"/>
    <cellStyle name="Normal 4 3 3 2 2 4 3 3" xfId="22860" xr:uid="{4869FD13-BCE6-42AD-B385-7F1215090ABE}"/>
    <cellStyle name="Normal 4 3 3 2 2 4 3 4" xfId="39717" xr:uid="{7996693D-6211-469E-AB58-79054C11203E}"/>
    <cellStyle name="Normal 4 3 3 2 2 4 3 5" xfId="14425" xr:uid="{A99D5379-E9B6-42DC-9589-876A6AF1044A}"/>
    <cellStyle name="Normal 4 3 3 2 2 4 4" xfId="27071" xr:uid="{305660B5-1408-42AB-BE86-EFDE72C05CBE}"/>
    <cellStyle name="Normal 4 3 3 2 2 4 5" xfId="18642" xr:uid="{5DE95BEE-3E9A-49A8-9329-79318A1AE418}"/>
    <cellStyle name="Normal 4 3 3 2 2 4 6" xfId="35500" xr:uid="{55AC1EF6-CBFE-44C9-BFBF-34414974CDBE}"/>
    <cellStyle name="Normal 4 3 3 2 2 4 7" xfId="10207" xr:uid="{E6D1AC2B-B84F-4194-9D62-DB0EA24CA939}"/>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33847" xr:uid="{41610493-7B9E-408D-9E38-F915FF5FDC3B}"/>
    <cellStyle name="Normal 4 3 3 2 2 5 2 2 3" xfId="25418" xr:uid="{B68F2081-5D0A-4115-9504-5EE3EC11F0CB}"/>
    <cellStyle name="Normal 4 3 3 2 2 5 2 2 4" xfId="42275" xr:uid="{4BF16D66-6572-4DC4-BE68-9364BF993901}"/>
    <cellStyle name="Normal 4 3 3 2 2 5 2 2 5" xfId="16983" xr:uid="{1CA4FD3E-9D9A-430C-B72B-AEFA3D6DC032}"/>
    <cellStyle name="Normal 4 3 3 2 2 5 2 3" xfId="29629" xr:uid="{4D7D04D7-7FC2-4B22-9D58-38EBF3FCB79D}"/>
    <cellStyle name="Normal 4 3 3 2 2 5 2 4" xfId="21200" xr:uid="{D4AF67CC-22A4-4FB1-A8E9-E678F017C5FB}"/>
    <cellStyle name="Normal 4 3 3 2 2 5 2 5" xfId="38058" xr:uid="{BD3E2FE6-70C6-4DE1-9E8B-EAD95F2E3A66}"/>
    <cellStyle name="Normal 4 3 3 2 2 5 2 6" xfId="12765" xr:uid="{B3DFA096-A580-4387-9597-DFCDDEC29F5A}"/>
    <cellStyle name="Normal 4 3 3 2 2 5 3" xfId="6403" xr:uid="{00000000-0005-0000-0000-00006F140000}"/>
    <cellStyle name="Normal 4 3 3 2 2 5 3 2" xfId="31702" xr:uid="{4A13F0B4-2FAC-41B8-8C4E-3230A124F96E}"/>
    <cellStyle name="Normal 4 3 3 2 2 5 3 3" xfId="23273" xr:uid="{A3F05BD4-2E93-46C7-8277-F460FEEEC345}"/>
    <cellStyle name="Normal 4 3 3 2 2 5 3 4" xfId="40130" xr:uid="{04F97C8B-0222-454C-9980-A1E681A310DC}"/>
    <cellStyle name="Normal 4 3 3 2 2 5 3 5" xfId="14838" xr:uid="{9959903D-34CF-4869-8E11-FE6B8F123B1F}"/>
    <cellStyle name="Normal 4 3 3 2 2 5 4" xfId="27484" xr:uid="{D1CF9448-74B9-45F9-A03C-4C04D78FC895}"/>
    <cellStyle name="Normal 4 3 3 2 2 5 5" xfId="19055" xr:uid="{34340ADA-D1C0-4CFF-8F08-0EC3E7688942}"/>
    <cellStyle name="Normal 4 3 3 2 2 5 6" xfId="35913" xr:uid="{E795AA28-7B90-4A60-ADE6-9E84C9E9162A}"/>
    <cellStyle name="Normal 4 3 3 2 2 5 7" xfId="10620" xr:uid="{FFC4CBEC-4C32-45FE-A981-8034CE93F5EF}"/>
    <cellStyle name="Normal 4 3 3 2 2 6" xfId="2532" xr:uid="{00000000-0005-0000-0000-000070140000}"/>
    <cellStyle name="Normal 4 3 3 2 2 6 2" xfId="6816" xr:uid="{00000000-0005-0000-0000-000071140000}"/>
    <cellStyle name="Normal 4 3 3 2 2 6 2 2" xfId="32115" xr:uid="{DC8810B9-6762-4C4E-8822-928A57CEDF7C}"/>
    <cellStyle name="Normal 4 3 3 2 2 6 2 3" xfId="23686" xr:uid="{E4E3D407-9244-4F2A-9B7D-CB1E40660FFA}"/>
    <cellStyle name="Normal 4 3 3 2 2 6 2 4" xfId="40543" xr:uid="{74734D8C-92CD-4A15-B819-EAC56D18308C}"/>
    <cellStyle name="Normal 4 3 3 2 2 6 2 5" xfId="15251" xr:uid="{414025F3-8093-49C1-AB73-8DC1DF5ED646}"/>
    <cellStyle name="Normal 4 3 3 2 2 6 3" xfId="27897" xr:uid="{9D21BE66-03A9-4401-8D74-BF6375181CA3}"/>
    <cellStyle name="Normal 4 3 3 2 2 6 4" xfId="19468" xr:uid="{7B33AF58-5FBE-483F-B910-C3B2C0992F1D}"/>
    <cellStyle name="Normal 4 3 3 2 2 6 5" xfId="36326" xr:uid="{70864A27-E8B1-47A0-BCFA-A3373FC6DC0F}"/>
    <cellStyle name="Normal 4 3 3 2 2 6 6" xfId="11033" xr:uid="{8A234134-F6D7-471A-B164-7ECF8E3082FC}"/>
    <cellStyle name="Normal 4 3 3 2 2 7" xfId="4751" xr:uid="{00000000-0005-0000-0000-000072140000}"/>
    <cellStyle name="Normal 4 3 3 2 2 7 2" xfId="30050" xr:uid="{B506228C-9CA6-4CF2-905C-6C106046A2F8}"/>
    <cellStyle name="Normal 4 3 3 2 2 7 3" xfId="21621" xr:uid="{17898C18-F0FF-4641-B4C6-90317E9B9831}"/>
    <cellStyle name="Normal 4 3 3 2 2 7 4" xfId="38478" xr:uid="{0BE52443-D956-4F78-87DB-3766FDBBCD74}"/>
    <cellStyle name="Normal 4 3 3 2 2 7 5" xfId="13186" xr:uid="{2136E313-BCC8-4D57-A9A6-CACA769F14F2}"/>
    <cellStyle name="Normal 4 3 3 2 2 8" xfId="25832" xr:uid="{E864FA0B-DEBC-4AD8-8800-F45B6F836D6D}"/>
    <cellStyle name="Normal 4 3 3 2 2 9" xfId="17403" xr:uid="{9E9867C6-4EE2-48F8-9D6F-B4E10D15BB7A}"/>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32607" xr:uid="{A849BE92-229E-4DF2-A150-2B1C262ACB54}"/>
    <cellStyle name="Normal 4 3 3 2 3 2 2 3" xfId="24178" xr:uid="{4C21AFE9-28AC-4871-8E2C-309BBB169069}"/>
    <cellStyle name="Normal 4 3 3 2 3 2 2 4" xfId="41035" xr:uid="{7FDAEEBB-41B1-4D4E-9639-1BA7BE7940F7}"/>
    <cellStyle name="Normal 4 3 3 2 3 2 2 5" xfId="15743" xr:uid="{675E0CD2-82E8-447D-99F5-23930CA78848}"/>
    <cellStyle name="Normal 4 3 3 2 3 2 3" xfId="28389" xr:uid="{A471E237-E0BF-4085-B323-940469E035AE}"/>
    <cellStyle name="Normal 4 3 3 2 3 2 4" xfId="19960" xr:uid="{520B28EA-23BB-408C-938E-F16BCBCACDFF}"/>
    <cellStyle name="Normal 4 3 3 2 3 2 5" xfId="36818" xr:uid="{667E3295-88F3-410B-9DE0-8E55565E5F83}"/>
    <cellStyle name="Normal 4 3 3 2 3 2 6" xfId="11525" xr:uid="{B6EB5091-09C8-4752-A050-48ED12CBFF92}"/>
    <cellStyle name="Normal 4 3 3 2 3 3" xfId="5163" xr:uid="{00000000-0005-0000-0000-000076140000}"/>
    <cellStyle name="Normal 4 3 3 2 3 3 2" xfId="30462" xr:uid="{8ACE73A0-4312-41DF-8F65-54D2314E223B}"/>
    <cellStyle name="Normal 4 3 3 2 3 3 3" xfId="22033" xr:uid="{7E844263-76F1-4EFE-A842-F320BBE66087}"/>
    <cellStyle name="Normal 4 3 3 2 3 3 4" xfId="38890" xr:uid="{F397AB24-A5C1-4D5A-A7AD-6DA18FB60196}"/>
    <cellStyle name="Normal 4 3 3 2 3 3 5" xfId="13598" xr:uid="{82E80E5C-E6BF-4E83-826A-86401390EC74}"/>
    <cellStyle name="Normal 4 3 3 2 3 4" xfId="26244" xr:uid="{8E7A9412-CFAC-44EF-8339-1E2D5FD0B008}"/>
    <cellStyle name="Normal 4 3 3 2 3 5" xfId="17815" xr:uid="{FBCF67FF-0273-482F-B683-57EDBFF5CB97}"/>
    <cellStyle name="Normal 4 3 3 2 3 6" xfId="34673" xr:uid="{7D2D74D8-471A-4FEB-BFCE-AE74FFDB16DB}"/>
    <cellStyle name="Normal 4 3 3 2 3 7" xfId="9380" xr:uid="{9CA7D0D9-08A8-424A-B78E-D3D858703C88}"/>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33020" xr:uid="{8E239370-E279-4089-9DF6-8278C3F79895}"/>
    <cellStyle name="Normal 4 3 3 2 4 2 2 3" xfId="24591" xr:uid="{76A850C7-73CE-4DFD-99B8-A998BB26BD64}"/>
    <cellStyle name="Normal 4 3 3 2 4 2 2 4" xfId="41448" xr:uid="{AFEAF439-45FF-4493-B19F-D68197CBC9E3}"/>
    <cellStyle name="Normal 4 3 3 2 4 2 2 5" xfId="16156" xr:uid="{E1CCE0DF-A076-4ED9-8EC4-456AA0D20723}"/>
    <cellStyle name="Normal 4 3 3 2 4 2 3" xfId="28802" xr:uid="{B1BC8D20-D941-4D6A-B2D0-83AC9FC06591}"/>
    <cellStyle name="Normal 4 3 3 2 4 2 4" xfId="20373" xr:uid="{7637761D-A4B3-455C-BED5-3AF705B1D000}"/>
    <cellStyle name="Normal 4 3 3 2 4 2 5" xfId="37231" xr:uid="{B0F1A7CD-0941-43DE-B153-E38629228477}"/>
    <cellStyle name="Normal 4 3 3 2 4 2 6" xfId="11938" xr:uid="{351083CB-88BA-4394-A257-CEC17E10461E}"/>
    <cellStyle name="Normal 4 3 3 2 4 3" xfId="5576" xr:uid="{00000000-0005-0000-0000-00007A140000}"/>
    <cellStyle name="Normal 4 3 3 2 4 3 2" xfId="30875" xr:uid="{B3F002E9-E660-4D6F-99F0-2C2A726060B7}"/>
    <cellStyle name="Normal 4 3 3 2 4 3 3" xfId="22446" xr:uid="{DF79D2D5-1AA6-4767-AADB-0BB2C66711C1}"/>
    <cellStyle name="Normal 4 3 3 2 4 3 4" xfId="39303" xr:uid="{D0063380-FD3C-4047-B666-DAE6BFF97262}"/>
    <cellStyle name="Normal 4 3 3 2 4 3 5" xfId="14011" xr:uid="{CDC5CACB-44D3-4E34-97F4-C8691DC0078F}"/>
    <cellStyle name="Normal 4 3 3 2 4 4" xfId="26657" xr:uid="{E8C9C79D-32B1-4FC1-8ED6-FA295261D6CF}"/>
    <cellStyle name="Normal 4 3 3 2 4 5" xfId="18228" xr:uid="{ACA3EAFB-5B70-4FD9-A81E-0294D3324EA3}"/>
    <cellStyle name="Normal 4 3 3 2 4 6" xfId="35086" xr:uid="{7C286EA6-B849-466A-BF81-C9BDE00FBCDD}"/>
    <cellStyle name="Normal 4 3 3 2 4 7" xfId="9793" xr:uid="{12B88E40-CC64-4C41-A280-C85964AD6194}"/>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33433" xr:uid="{90DC1C69-68AE-4390-8A89-B908FB8CF57C}"/>
    <cellStyle name="Normal 4 3 3 2 5 2 2 3" xfId="25004" xr:uid="{3FE0053F-10DC-4EFA-BE74-E52447D339C4}"/>
    <cellStyle name="Normal 4 3 3 2 5 2 2 4" xfId="41861" xr:uid="{2755C756-6A53-4473-A22A-11F5715EA132}"/>
    <cellStyle name="Normal 4 3 3 2 5 2 2 5" xfId="16569" xr:uid="{F0AB18A5-0FA9-4358-B0EE-BF07D344D1FA}"/>
    <cellStyle name="Normal 4 3 3 2 5 2 3" xfId="29215" xr:uid="{5E1A23C2-E239-415B-BCE4-8BC45DB3858E}"/>
    <cellStyle name="Normal 4 3 3 2 5 2 4" xfId="20786" xr:uid="{F521C3F6-36BA-4D4B-918E-DE0A19100318}"/>
    <cellStyle name="Normal 4 3 3 2 5 2 5" xfId="37644" xr:uid="{D4A29EDA-6830-4EB2-82D6-7E5FE4660C3B}"/>
    <cellStyle name="Normal 4 3 3 2 5 2 6" xfId="12351" xr:uid="{6D44B8A6-CEEB-4B74-BF76-EEA7FEEDB313}"/>
    <cellStyle name="Normal 4 3 3 2 5 3" xfId="5989" xr:uid="{00000000-0005-0000-0000-00007E140000}"/>
    <cellStyle name="Normal 4 3 3 2 5 3 2" xfId="31288" xr:uid="{80A01F72-BF28-4CF9-A4B1-CAD76CE48805}"/>
    <cellStyle name="Normal 4 3 3 2 5 3 3" xfId="22859" xr:uid="{C6424BB5-6B6E-4F2F-AE8B-1ECAD5FF1D28}"/>
    <cellStyle name="Normal 4 3 3 2 5 3 4" xfId="39716" xr:uid="{77364E42-F088-4470-AC9D-3EBB26B1FC1D}"/>
    <cellStyle name="Normal 4 3 3 2 5 3 5" xfId="14424" xr:uid="{9A26FC45-6104-4B20-9DA8-F30D916B0C92}"/>
    <cellStyle name="Normal 4 3 3 2 5 4" xfId="27070" xr:uid="{5C451342-F611-4089-A7D8-2BB8B7C7788E}"/>
    <cellStyle name="Normal 4 3 3 2 5 5" xfId="18641" xr:uid="{E9475D57-7B4B-460F-95A1-6E2E03FDF498}"/>
    <cellStyle name="Normal 4 3 3 2 5 6" xfId="35499" xr:uid="{FA05449F-74EF-425F-B90F-3B61B6CF7839}"/>
    <cellStyle name="Normal 4 3 3 2 5 7" xfId="10206" xr:uid="{2C32DCB9-CD8D-42F3-8F48-3F384C8E15BA}"/>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33846" xr:uid="{101F39CF-C311-4BE4-A88D-6DB43A8186E0}"/>
    <cellStyle name="Normal 4 3 3 2 6 2 2 3" xfId="25417" xr:uid="{140A7970-97E8-4447-B132-0E33E460D64B}"/>
    <cellStyle name="Normal 4 3 3 2 6 2 2 4" xfId="42274" xr:uid="{2217DAB9-E447-4D23-B945-BAB3F93EF685}"/>
    <cellStyle name="Normal 4 3 3 2 6 2 2 5" xfId="16982" xr:uid="{549DE22F-E636-42EC-8C47-DCED5AE95D38}"/>
    <cellStyle name="Normal 4 3 3 2 6 2 3" xfId="29628" xr:uid="{F945C0AE-0D2C-40CB-AA5E-F267B44B511F}"/>
    <cellStyle name="Normal 4 3 3 2 6 2 4" xfId="21199" xr:uid="{9BFE1A3E-F072-4DEE-B1CD-8A8429161115}"/>
    <cellStyle name="Normal 4 3 3 2 6 2 5" xfId="38057" xr:uid="{38F1803E-7195-48D8-B5CD-E179D90FC037}"/>
    <cellStyle name="Normal 4 3 3 2 6 2 6" xfId="12764" xr:uid="{87DCD0EF-D197-47BD-8F4A-8B63BCB11999}"/>
    <cellStyle name="Normal 4 3 3 2 6 3" xfId="6402" xr:uid="{00000000-0005-0000-0000-000082140000}"/>
    <cellStyle name="Normal 4 3 3 2 6 3 2" xfId="31701" xr:uid="{56F0A533-B2FD-4735-B71D-28EBCBA63A47}"/>
    <cellStyle name="Normal 4 3 3 2 6 3 3" xfId="23272" xr:uid="{FC700F80-D734-4AEE-BB26-D97A0FFC1C50}"/>
    <cellStyle name="Normal 4 3 3 2 6 3 4" xfId="40129" xr:uid="{0D080924-4859-48E9-8B6D-6FDA1DA95820}"/>
    <cellStyle name="Normal 4 3 3 2 6 3 5" xfId="14837" xr:uid="{525E0BE4-A18F-4933-AC18-754765C2C522}"/>
    <cellStyle name="Normal 4 3 3 2 6 4" xfId="27483" xr:uid="{9C842A3E-8F3D-4830-A8EF-33473EA00824}"/>
    <cellStyle name="Normal 4 3 3 2 6 5" xfId="19054" xr:uid="{A5DF4378-EFA9-431F-AF13-E6CABC27ACEB}"/>
    <cellStyle name="Normal 4 3 3 2 6 6" xfId="35912" xr:uid="{A6DF2FB5-C3C4-4061-8176-FA4D2A6F7EB0}"/>
    <cellStyle name="Normal 4 3 3 2 6 7" xfId="10619" xr:uid="{275FC624-85A0-494A-9A9E-225F1D636827}"/>
    <cellStyle name="Normal 4 3 3 2 7" xfId="2531" xr:uid="{00000000-0005-0000-0000-000083140000}"/>
    <cellStyle name="Normal 4 3 3 2 7 2" xfId="6815" xr:uid="{00000000-0005-0000-0000-000084140000}"/>
    <cellStyle name="Normal 4 3 3 2 7 2 2" xfId="32114" xr:uid="{A7186427-40E8-4E1D-89B3-477AE65A40ED}"/>
    <cellStyle name="Normal 4 3 3 2 7 2 3" xfId="23685" xr:uid="{87BD5498-FDE6-45A0-B2B8-0D46662165FD}"/>
    <cellStyle name="Normal 4 3 3 2 7 2 4" xfId="40542" xr:uid="{4887614F-5385-448E-8A25-EFCCD72EDE03}"/>
    <cellStyle name="Normal 4 3 3 2 7 2 5" xfId="15250" xr:uid="{B968A519-C38F-4D5B-A72E-6B3E02525ABD}"/>
    <cellStyle name="Normal 4 3 3 2 7 3" xfId="27896" xr:uid="{34D80C58-2A93-4830-B7C6-28A8883B6356}"/>
    <cellStyle name="Normal 4 3 3 2 7 4" xfId="19467" xr:uid="{E91DC6FC-5D9D-4730-9240-83D0B4E34FD9}"/>
    <cellStyle name="Normal 4 3 3 2 7 5" xfId="36325" xr:uid="{F382E83F-460C-4B5E-856A-278635D268E8}"/>
    <cellStyle name="Normal 4 3 3 2 7 6" xfId="11032" xr:uid="{19A24568-0735-4612-A0BF-2CE5F91C34A0}"/>
    <cellStyle name="Normal 4 3 3 2 8" xfId="4750" xr:uid="{00000000-0005-0000-0000-000085140000}"/>
    <cellStyle name="Normal 4 3 3 2 8 2" xfId="30049" xr:uid="{21F6D19E-202A-4855-9077-F79AE3DCC615}"/>
    <cellStyle name="Normal 4 3 3 2 8 3" xfId="21620" xr:uid="{F23FE461-5DD7-4781-B070-422E9A391A32}"/>
    <cellStyle name="Normal 4 3 3 2 8 4" xfId="38477" xr:uid="{86DD6DE1-328E-47AB-BB7C-A0336A109385}"/>
    <cellStyle name="Normal 4 3 3 2 8 5" xfId="13185" xr:uid="{1042D0A2-A8C7-4F6D-9F77-99692023227E}"/>
    <cellStyle name="Normal 4 3 3 2 9" xfId="25831" xr:uid="{850EFD2B-90DE-496E-AFF5-3C088363887C}"/>
    <cellStyle name="Normal 4 3 3 3" xfId="377" xr:uid="{00000000-0005-0000-0000-000086140000}"/>
    <cellStyle name="Normal 4 3 3 3 10" xfId="34262" xr:uid="{7C600B7A-72DF-44D4-A9E2-653D4301949C}"/>
    <cellStyle name="Normal 4 3 3 3 11" xfId="8969" xr:uid="{6FF66ECB-FD5D-414A-A7F8-44AD7E26654E}"/>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32609" xr:uid="{3FC609D7-5A8D-49C8-9016-821C1D0EF310}"/>
    <cellStyle name="Normal 4 3 3 3 2 2 2 3" xfId="24180" xr:uid="{461811C2-D8D2-4902-80F2-679DB9D42164}"/>
    <cellStyle name="Normal 4 3 3 3 2 2 2 4" xfId="41037" xr:uid="{B02BCD98-3E90-462D-9AA6-66A05C7DF9C3}"/>
    <cellStyle name="Normal 4 3 3 3 2 2 2 5" xfId="15745" xr:uid="{8E2A5E5E-FA55-4A51-B401-01EF1527E956}"/>
    <cellStyle name="Normal 4 3 3 3 2 2 3" xfId="28391" xr:uid="{9048383D-752C-4C14-ABAE-3ED40893793E}"/>
    <cellStyle name="Normal 4 3 3 3 2 2 4" xfId="19962" xr:uid="{9429776E-DC75-4E5E-97BC-DBF18BF306D0}"/>
    <cellStyle name="Normal 4 3 3 3 2 2 5" xfId="36820" xr:uid="{6CE6F7D6-8FBF-46DA-8E68-9C67D0C18D52}"/>
    <cellStyle name="Normal 4 3 3 3 2 2 6" xfId="11527" xr:uid="{ACE1631A-B63C-49BA-BFFD-B5974D0B5234}"/>
    <cellStyle name="Normal 4 3 3 3 2 3" xfId="5165" xr:uid="{00000000-0005-0000-0000-00008A140000}"/>
    <cellStyle name="Normal 4 3 3 3 2 3 2" xfId="30464" xr:uid="{A38EB504-C752-4D00-9334-83C3C437EFB0}"/>
    <cellStyle name="Normal 4 3 3 3 2 3 3" xfId="22035" xr:uid="{81EE6C79-9027-430C-9EE5-6C19C01BAD7F}"/>
    <cellStyle name="Normal 4 3 3 3 2 3 4" xfId="38892" xr:uid="{A5600AF8-6C96-4AE5-97A2-02A873BFCEBC}"/>
    <cellStyle name="Normal 4 3 3 3 2 3 5" xfId="13600" xr:uid="{DF05B129-31EB-4048-8375-5459AC0EB808}"/>
    <cellStyle name="Normal 4 3 3 3 2 4" xfId="26246" xr:uid="{7B2636DA-302C-4B7F-A5D9-CFC77A0BC155}"/>
    <cellStyle name="Normal 4 3 3 3 2 5" xfId="17817" xr:uid="{AE850028-01ED-497C-84F3-829CA0A5C4D4}"/>
    <cellStyle name="Normal 4 3 3 3 2 6" xfId="34675" xr:uid="{8FAC305C-FAF8-4FF3-ADB8-C2FD5A19DBB5}"/>
    <cellStyle name="Normal 4 3 3 3 2 7" xfId="9382" xr:uid="{ED44611C-FA2C-4036-B10B-7A5890A8013E}"/>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33022" xr:uid="{5D89E49F-6329-4365-AA02-08154C6FCE6E}"/>
    <cellStyle name="Normal 4 3 3 3 3 2 2 3" xfId="24593" xr:uid="{F0C15259-DC2D-4B43-8348-B63F377A384D}"/>
    <cellStyle name="Normal 4 3 3 3 3 2 2 4" xfId="41450" xr:uid="{05572A34-0A01-497D-89A2-C7B523C34F54}"/>
    <cellStyle name="Normal 4 3 3 3 3 2 2 5" xfId="16158" xr:uid="{AF2704A1-8F0E-408B-A983-2782CEECABF7}"/>
    <cellStyle name="Normal 4 3 3 3 3 2 3" xfId="28804" xr:uid="{A7850075-BFF0-4DA7-B1E7-129086CDEC06}"/>
    <cellStyle name="Normal 4 3 3 3 3 2 4" xfId="20375" xr:uid="{ECDE305F-C622-4533-B96A-AD930794DB87}"/>
    <cellStyle name="Normal 4 3 3 3 3 2 5" xfId="37233" xr:uid="{AA39DE83-CEC0-4FCB-A464-BEB4A4732D30}"/>
    <cellStyle name="Normal 4 3 3 3 3 2 6" xfId="11940" xr:uid="{0950E759-2356-406E-91C5-F77220B3D05E}"/>
    <cellStyle name="Normal 4 3 3 3 3 3" xfId="5578" xr:uid="{00000000-0005-0000-0000-00008E140000}"/>
    <cellStyle name="Normal 4 3 3 3 3 3 2" xfId="30877" xr:uid="{F44F228F-B38E-45D8-8472-B7CC3EC8E87C}"/>
    <cellStyle name="Normal 4 3 3 3 3 3 3" xfId="22448" xr:uid="{00C2EBF0-6AFE-4AE4-992F-C316DAF1D40B}"/>
    <cellStyle name="Normal 4 3 3 3 3 3 4" xfId="39305" xr:uid="{241F2EA5-8A16-4D16-94E8-F76DA101A096}"/>
    <cellStyle name="Normal 4 3 3 3 3 3 5" xfId="14013" xr:uid="{72D6A458-60D7-4ABF-ADD2-AE526B94D9EF}"/>
    <cellStyle name="Normal 4 3 3 3 3 4" xfId="26659" xr:uid="{58B1B76B-636E-458D-BBD4-D311F77FB673}"/>
    <cellStyle name="Normal 4 3 3 3 3 5" xfId="18230" xr:uid="{52C1C802-DED7-410D-904F-E0E1D64A2A8E}"/>
    <cellStyle name="Normal 4 3 3 3 3 6" xfId="35088" xr:uid="{F71DE2C0-BA4B-4186-BD62-3C510B6528DB}"/>
    <cellStyle name="Normal 4 3 3 3 3 7" xfId="9795" xr:uid="{B312C8C6-7F97-45AA-BADE-D1DC917A9D80}"/>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33435" xr:uid="{3EED9370-43AD-4280-87FC-9AB8E37E2E32}"/>
    <cellStyle name="Normal 4 3 3 3 4 2 2 3" xfId="25006" xr:uid="{AAD9AE0D-273E-4941-9212-E74996C46A7F}"/>
    <cellStyle name="Normal 4 3 3 3 4 2 2 4" xfId="41863" xr:uid="{3F0CFB22-8105-4435-9785-01669B9DCAF0}"/>
    <cellStyle name="Normal 4 3 3 3 4 2 2 5" xfId="16571" xr:uid="{CA7A3212-5799-4755-8BC1-BEF95C99E0B9}"/>
    <cellStyle name="Normal 4 3 3 3 4 2 3" xfId="29217" xr:uid="{C41E550A-5772-4B71-AAC5-B8D825E2956E}"/>
    <cellStyle name="Normal 4 3 3 3 4 2 4" xfId="20788" xr:uid="{45024169-AF05-4228-A691-1B539E549148}"/>
    <cellStyle name="Normal 4 3 3 3 4 2 5" xfId="37646" xr:uid="{CE22C1BE-7EDC-446A-AD0F-83869F262E89}"/>
    <cellStyle name="Normal 4 3 3 3 4 2 6" xfId="12353" xr:uid="{168C4E88-A7AC-440E-8DF8-2D95BDF076E1}"/>
    <cellStyle name="Normal 4 3 3 3 4 3" xfId="5991" xr:uid="{00000000-0005-0000-0000-000092140000}"/>
    <cellStyle name="Normal 4 3 3 3 4 3 2" xfId="31290" xr:uid="{18C30B09-2A23-489A-9E53-8AE558C17977}"/>
    <cellStyle name="Normal 4 3 3 3 4 3 3" xfId="22861" xr:uid="{0D971551-4803-4308-9F51-D6101BB818C5}"/>
    <cellStyle name="Normal 4 3 3 3 4 3 4" xfId="39718" xr:uid="{DC14A923-C8F7-4E94-AF6C-39DB92299CB9}"/>
    <cellStyle name="Normal 4 3 3 3 4 3 5" xfId="14426" xr:uid="{D1018AA2-D476-4FE4-B3BE-604117DC7E6E}"/>
    <cellStyle name="Normal 4 3 3 3 4 4" xfId="27072" xr:uid="{9CE17C24-4DBB-451C-A4F0-88BA1C773525}"/>
    <cellStyle name="Normal 4 3 3 3 4 5" xfId="18643" xr:uid="{222AF1B2-9B49-48C9-BA07-2C87218A521C}"/>
    <cellStyle name="Normal 4 3 3 3 4 6" xfId="35501" xr:uid="{0AE9E2AA-CDC3-450D-A1B4-1297011DB5BC}"/>
    <cellStyle name="Normal 4 3 3 3 4 7" xfId="10208" xr:uid="{3E48D6BD-16B1-4B36-96B8-FC3C21F35D11}"/>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33848" xr:uid="{7EE8A5D9-F6EA-4C23-8BB2-41B92605C249}"/>
    <cellStyle name="Normal 4 3 3 3 5 2 2 3" xfId="25419" xr:uid="{868A7958-90B7-4AB1-A3F3-78A592BD1435}"/>
    <cellStyle name="Normal 4 3 3 3 5 2 2 4" xfId="42276" xr:uid="{325BEBB2-1811-42D1-94BC-CDEE02E93698}"/>
    <cellStyle name="Normal 4 3 3 3 5 2 2 5" xfId="16984" xr:uid="{6773A1EA-A392-4ACB-9B13-8D57C1ADF234}"/>
    <cellStyle name="Normal 4 3 3 3 5 2 3" xfId="29630" xr:uid="{41C57520-38EB-44F3-8C64-82177F79ECF0}"/>
    <cellStyle name="Normal 4 3 3 3 5 2 4" xfId="21201" xr:uid="{EE39271A-E1BD-4C1C-81D6-ED266B698AF0}"/>
    <cellStyle name="Normal 4 3 3 3 5 2 5" xfId="38059" xr:uid="{289FA4A3-2270-46FE-9D4F-9DB5DA33E7C0}"/>
    <cellStyle name="Normal 4 3 3 3 5 2 6" xfId="12766" xr:uid="{6D5D6A77-EE3E-4129-91CC-C04CA324F7D9}"/>
    <cellStyle name="Normal 4 3 3 3 5 3" xfId="6404" xr:uid="{00000000-0005-0000-0000-000096140000}"/>
    <cellStyle name="Normal 4 3 3 3 5 3 2" xfId="31703" xr:uid="{3567D366-F256-4122-97D9-842229EA7AA8}"/>
    <cellStyle name="Normal 4 3 3 3 5 3 3" xfId="23274" xr:uid="{ECEFABA2-A639-4C2D-8D25-B6E396995E3C}"/>
    <cellStyle name="Normal 4 3 3 3 5 3 4" xfId="40131" xr:uid="{A4B87765-898B-4255-939B-6085F71A83DE}"/>
    <cellStyle name="Normal 4 3 3 3 5 3 5" xfId="14839" xr:uid="{620B7B10-DFDE-4055-B996-F7D6F9AF43AB}"/>
    <cellStyle name="Normal 4 3 3 3 5 4" xfId="27485" xr:uid="{DF5C21A9-CE17-4D05-9C11-DE55FF2A74F2}"/>
    <cellStyle name="Normal 4 3 3 3 5 5" xfId="19056" xr:uid="{D09799CC-B7A9-4538-96CE-C7E62D230635}"/>
    <cellStyle name="Normal 4 3 3 3 5 6" xfId="35914" xr:uid="{DDD166C3-0BD7-420B-A9F8-E8DA253A8113}"/>
    <cellStyle name="Normal 4 3 3 3 5 7" xfId="10621" xr:uid="{289770ED-D7AE-4038-BB76-0DD33348692A}"/>
    <cellStyle name="Normal 4 3 3 3 6" xfId="2533" xr:uid="{00000000-0005-0000-0000-000097140000}"/>
    <cellStyle name="Normal 4 3 3 3 6 2" xfId="6817" xr:uid="{00000000-0005-0000-0000-000098140000}"/>
    <cellStyle name="Normal 4 3 3 3 6 2 2" xfId="32116" xr:uid="{65EBFC64-B94D-4623-93F1-0BAC77AF1D62}"/>
    <cellStyle name="Normal 4 3 3 3 6 2 3" xfId="23687" xr:uid="{9EEB01B2-CD54-4EAF-837F-4C7BCDE61DC5}"/>
    <cellStyle name="Normal 4 3 3 3 6 2 4" xfId="40544" xr:uid="{DFF32A2A-EBB8-46D5-82AB-8FB3A4755023}"/>
    <cellStyle name="Normal 4 3 3 3 6 2 5" xfId="15252" xr:uid="{D48F8865-4C88-437E-AE3D-6C4DECA62034}"/>
    <cellStyle name="Normal 4 3 3 3 6 3" xfId="27898" xr:uid="{5F6A008A-9837-4694-82A9-6D5470101A4C}"/>
    <cellStyle name="Normal 4 3 3 3 6 4" xfId="19469" xr:uid="{85642ED2-2BA5-4953-BFCD-832FF8FABDC8}"/>
    <cellStyle name="Normal 4 3 3 3 6 5" xfId="36327" xr:uid="{287537F6-9E3D-4A44-B6B0-7627CC44599E}"/>
    <cellStyle name="Normal 4 3 3 3 6 6" xfId="11034" xr:uid="{BDB4430F-0BC2-48DC-A8D9-7AC4AE35ED6B}"/>
    <cellStyle name="Normal 4 3 3 3 7" xfId="4752" xr:uid="{00000000-0005-0000-0000-000099140000}"/>
    <cellStyle name="Normal 4 3 3 3 7 2" xfId="30051" xr:uid="{E52E6DFB-0573-4508-A69E-828249714E28}"/>
    <cellStyle name="Normal 4 3 3 3 7 3" xfId="21622" xr:uid="{FA3475AC-559A-44F0-9199-8C9A465B5D6C}"/>
    <cellStyle name="Normal 4 3 3 3 7 4" xfId="38479" xr:uid="{35937C5A-566E-49F2-B52F-F6B66E5B987C}"/>
    <cellStyle name="Normal 4 3 3 3 7 5" xfId="13187" xr:uid="{DEB00971-0AF9-4BF7-BC96-1AA0A48372A4}"/>
    <cellStyle name="Normal 4 3 3 3 8" xfId="25833" xr:uid="{831D5633-AAAE-4312-9C10-FD43A07C9463}"/>
    <cellStyle name="Normal 4 3 3 3 9" xfId="17404" xr:uid="{0057E476-502A-40E4-BF48-52C76A7652CD}"/>
    <cellStyle name="Normal 4 3 3 4" xfId="849" xr:uid="{00000000-0005-0000-0000-00009A140000}"/>
    <cellStyle name="Normal 4 3 3 4 2" xfId="3084" xr:uid="{00000000-0005-0000-0000-00009B140000}"/>
    <cellStyle name="Normal 4 3 3 4 2 2" xfId="7307" xr:uid="{00000000-0005-0000-0000-00009C140000}"/>
    <cellStyle name="Normal 4 3 3 4 2 2 2" xfId="32606" xr:uid="{BC889275-C5AD-49B4-8B4A-87129336CF27}"/>
    <cellStyle name="Normal 4 3 3 4 2 2 3" xfId="24177" xr:uid="{3341DB43-C292-4E5D-9794-CEED8C805C68}"/>
    <cellStyle name="Normal 4 3 3 4 2 2 4" xfId="41034" xr:uid="{9BA30EA7-DE17-4AF0-9DB0-578938039694}"/>
    <cellStyle name="Normal 4 3 3 4 2 2 5" xfId="15742" xr:uid="{640E9798-02BD-47A8-9E57-7F793F7C4F0A}"/>
    <cellStyle name="Normal 4 3 3 4 2 3" xfId="28388" xr:uid="{80568213-2FF0-48B5-BBF6-4AE4370B60AF}"/>
    <cellStyle name="Normal 4 3 3 4 2 4" xfId="19959" xr:uid="{75EE6D3D-D459-49CD-93D6-F8694EFED4E8}"/>
    <cellStyle name="Normal 4 3 3 4 2 5" xfId="36817" xr:uid="{4EA643AD-F767-4680-B53C-BC8B5CE946F2}"/>
    <cellStyle name="Normal 4 3 3 4 2 6" xfId="11524" xr:uid="{8EC7B5C5-6D30-4E11-87D7-0BE19A73C78B}"/>
    <cellStyle name="Normal 4 3 3 4 3" xfId="5162" xr:uid="{00000000-0005-0000-0000-00009D140000}"/>
    <cellStyle name="Normal 4 3 3 4 3 2" xfId="30461" xr:uid="{7677EFFC-D506-4FC1-AF47-42531F9598AD}"/>
    <cellStyle name="Normal 4 3 3 4 3 3" xfId="22032" xr:uid="{9A9323D9-43D6-41BA-9B22-B2FB50CE4824}"/>
    <cellStyle name="Normal 4 3 3 4 3 4" xfId="38889" xr:uid="{DEC6BF23-BFC7-4376-9426-9B2859875CD6}"/>
    <cellStyle name="Normal 4 3 3 4 3 5" xfId="13597" xr:uid="{6543519B-1C52-47B5-9F59-023CF7897F20}"/>
    <cellStyle name="Normal 4 3 3 4 4" xfId="26243" xr:uid="{3CCB9195-38C2-4F9E-AB70-1FBFFE6B02ED}"/>
    <cellStyle name="Normal 4 3 3 4 5" xfId="17814" xr:uid="{F524791C-DA75-4B2D-B737-2228ECBE9CDF}"/>
    <cellStyle name="Normal 4 3 3 4 6" xfId="34672" xr:uid="{21593783-B9FD-4CB5-B04A-F3DD3DF63C56}"/>
    <cellStyle name="Normal 4 3 3 4 7" xfId="9379" xr:uid="{52A05C70-7CD6-4987-AB59-1F6FF7D1B582}"/>
    <cellStyle name="Normal 4 3 3 5" xfId="1267" xr:uid="{00000000-0005-0000-0000-00009E140000}"/>
    <cellStyle name="Normal 4 3 3 5 2" xfId="3497" xr:uid="{00000000-0005-0000-0000-00009F140000}"/>
    <cellStyle name="Normal 4 3 3 5 2 2" xfId="7720" xr:uid="{00000000-0005-0000-0000-0000A0140000}"/>
    <cellStyle name="Normal 4 3 3 5 2 2 2" xfId="33019" xr:uid="{7B1AF39D-652E-402F-8E38-1DF3AAEDFA86}"/>
    <cellStyle name="Normal 4 3 3 5 2 2 3" xfId="24590" xr:uid="{817EA4A4-0270-47AF-9CD6-87739FBC5323}"/>
    <cellStyle name="Normal 4 3 3 5 2 2 4" xfId="41447" xr:uid="{AA2CA3A2-3913-461D-B55D-E96102EC8F9C}"/>
    <cellStyle name="Normal 4 3 3 5 2 2 5" xfId="16155" xr:uid="{F470F5A4-C40F-4857-9BEE-279E465D715E}"/>
    <cellStyle name="Normal 4 3 3 5 2 3" xfId="28801" xr:uid="{F615A62D-DA6E-4284-B7DA-48DD6B8A4DBD}"/>
    <cellStyle name="Normal 4 3 3 5 2 4" xfId="20372" xr:uid="{CBD85C00-73A4-4A16-8AC5-C92DCFF3FEB5}"/>
    <cellStyle name="Normal 4 3 3 5 2 5" xfId="37230" xr:uid="{D5499022-CC36-4A75-A29D-9B4BBD6513DD}"/>
    <cellStyle name="Normal 4 3 3 5 2 6" xfId="11937" xr:uid="{200E0642-383E-462F-BBF5-7E17713AD6B5}"/>
    <cellStyle name="Normal 4 3 3 5 3" xfId="5575" xr:uid="{00000000-0005-0000-0000-0000A1140000}"/>
    <cellStyle name="Normal 4 3 3 5 3 2" xfId="30874" xr:uid="{D37F6AA1-B2EB-48CE-9A44-EAE7C441C180}"/>
    <cellStyle name="Normal 4 3 3 5 3 3" xfId="22445" xr:uid="{A8B91D20-75D5-4B10-A49F-BF659F647BB7}"/>
    <cellStyle name="Normal 4 3 3 5 3 4" xfId="39302" xr:uid="{E1772D1E-F086-4D1E-B302-79BB2B10D1B4}"/>
    <cellStyle name="Normal 4 3 3 5 3 5" xfId="14010" xr:uid="{2C0CC3E7-262E-4D73-AE32-FA7A81E7D8D5}"/>
    <cellStyle name="Normal 4 3 3 5 4" xfId="26656" xr:uid="{D6A888B7-EAF9-4DAB-91AB-7C9B50A126F4}"/>
    <cellStyle name="Normal 4 3 3 5 5" xfId="18227" xr:uid="{5F79A0D4-66AD-4101-9642-7BBC4F24AC46}"/>
    <cellStyle name="Normal 4 3 3 5 6" xfId="35085" xr:uid="{CAA3F82B-7D10-493C-AF88-9915DE95CB64}"/>
    <cellStyle name="Normal 4 3 3 5 7" xfId="9792" xr:uid="{49D72978-5D52-4B6C-B4FD-2FF02674BC01}"/>
    <cellStyle name="Normal 4 3 3 6" xfId="1680" xr:uid="{00000000-0005-0000-0000-0000A2140000}"/>
    <cellStyle name="Normal 4 3 3 6 2" xfId="3910" xr:uid="{00000000-0005-0000-0000-0000A3140000}"/>
    <cellStyle name="Normal 4 3 3 6 2 2" xfId="8133" xr:uid="{00000000-0005-0000-0000-0000A4140000}"/>
    <cellStyle name="Normal 4 3 3 6 2 2 2" xfId="33432" xr:uid="{9AFE8F2C-6043-49AD-B67C-B8605F59FE6C}"/>
    <cellStyle name="Normal 4 3 3 6 2 2 3" xfId="25003" xr:uid="{E76525BA-1723-439C-A5A4-AD4A46587757}"/>
    <cellStyle name="Normal 4 3 3 6 2 2 4" xfId="41860" xr:uid="{BE0AB567-D068-40A9-8267-9DB595AA4E00}"/>
    <cellStyle name="Normal 4 3 3 6 2 2 5" xfId="16568" xr:uid="{1CE84E6A-ECE6-4A37-941C-2AFA6D63CAFB}"/>
    <cellStyle name="Normal 4 3 3 6 2 3" xfId="29214" xr:uid="{9D7A6E9F-6FB1-414D-A7DB-B1BC2CAF4C80}"/>
    <cellStyle name="Normal 4 3 3 6 2 4" xfId="20785" xr:uid="{7E4BC867-E60C-4385-A4AB-14A8DC0752EC}"/>
    <cellStyle name="Normal 4 3 3 6 2 5" xfId="37643" xr:uid="{292231F5-AD89-4582-B4C6-FF2EE599B5E5}"/>
    <cellStyle name="Normal 4 3 3 6 2 6" xfId="12350" xr:uid="{BB9A0D5E-E46E-4B16-9E98-9554956AA425}"/>
    <cellStyle name="Normal 4 3 3 6 3" xfId="5988" xr:uid="{00000000-0005-0000-0000-0000A5140000}"/>
    <cellStyle name="Normal 4 3 3 6 3 2" xfId="31287" xr:uid="{5ECD3AA0-7A82-4EC7-A841-6A708B898F11}"/>
    <cellStyle name="Normal 4 3 3 6 3 3" xfId="22858" xr:uid="{A85B4C85-8173-4C35-AB5A-94736918E61C}"/>
    <cellStyle name="Normal 4 3 3 6 3 4" xfId="39715" xr:uid="{32EE6221-1EE7-4E1A-8586-0D3375A8714E}"/>
    <cellStyle name="Normal 4 3 3 6 3 5" xfId="14423" xr:uid="{46CE7F3B-4194-4283-9CC2-72A3B5B7AD17}"/>
    <cellStyle name="Normal 4 3 3 6 4" xfId="27069" xr:uid="{D85354CF-2FAA-43EA-901E-5D3D3158F248}"/>
    <cellStyle name="Normal 4 3 3 6 5" xfId="18640" xr:uid="{CE4804E5-A3CE-44B5-81F7-891BFE21FEB2}"/>
    <cellStyle name="Normal 4 3 3 6 6" xfId="35498" xr:uid="{E6E59C73-ED76-420E-89F5-2C23D18E6959}"/>
    <cellStyle name="Normal 4 3 3 6 7" xfId="10205" xr:uid="{909FC4D2-5D83-4ACB-AF49-C7C921FE26A7}"/>
    <cellStyle name="Normal 4 3 3 7" xfId="2094" xr:uid="{00000000-0005-0000-0000-0000A6140000}"/>
    <cellStyle name="Normal 4 3 3 7 2" xfId="4323" xr:uid="{00000000-0005-0000-0000-0000A7140000}"/>
    <cellStyle name="Normal 4 3 3 7 2 2" xfId="8546" xr:uid="{00000000-0005-0000-0000-0000A8140000}"/>
    <cellStyle name="Normal 4 3 3 7 2 2 2" xfId="33845" xr:uid="{2E769074-82A3-4E08-98EA-9CB6679F42D4}"/>
    <cellStyle name="Normal 4 3 3 7 2 2 3" xfId="25416" xr:uid="{525C8A2D-44E4-454B-BA50-649E0EE7D686}"/>
    <cellStyle name="Normal 4 3 3 7 2 2 4" xfId="42273" xr:uid="{76EE1040-B43E-45FE-AAAC-00F590599516}"/>
    <cellStyle name="Normal 4 3 3 7 2 2 5" xfId="16981" xr:uid="{307FC03D-F0F3-4E0A-B5A1-F659FA94012D}"/>
    <cellStyle name="Normal 4 3 3 7 2 3" xfId="29627" xr:uid="{E2D3170A-5D37-49E1-AE3C-BBC9EDED6D09}"/>
    <cellStyle name="Normal 4 3 3 7 2 4" xfId="21198" xr:uid="{981548A8-490C-4876-BA22-A6E5B0FB08DC}"/>
    <cellStyle name="Normal 4 3 3 7 2 5" xfId="38056" xr:uid="{E0CD00FF-6B58-4716-A907-F3B704DF2C93}"/>
    <cellStyle name="Normal 4 3 3 7 2 6" xfId="12763" xr:uid="{5ECEA00A-C155-45BE-B17D-EBFE78417547}"/>
    <cellStyle name="Normal 4 3 3 7 3" xfId="6401" xr:uid="{00000000-0005-0000-0000-0000A9140000}"/>
    <cellStyle name="Normal 4 3 3 7 3 2" xfId="31700" xr:uid="{5A12E673-56DC-4C01-9971-D20E140278B3}"/>
    <cellStyle name="Normal 4 3 3 7 3 3" xfId="23271" xr:uid="{D8C22558-7954-4FA5-8F20-8D7EE1EED380}"/>
    <cellStyle name="Normal 4 3 3 7 3 4" xfId="40128" xr:uid="{8AC4BCCE-1879-4E47-AB30-15D4D17D1BA5}"/>
    <cellStyle name="Normal 4 3 3 7 3 5" xfId="14836" xr:uid="{70FAD490-598C-4B72-83BC-86135805351D}"/>
    <cellStyle name="Normal 4 3 3 7 4" xfId="27482" xr:uid="{235E733B-E893-4477-A37E-7B8C7371C40F}"/>
    <cellStyle name="Normal 4 3 3 7 5" xfId="19053" xr:uid="{B9ADA8DD-FC43-473B-95E8-8CA62E692316}"/>
    <cellStyle name="Normal 4 3 3 7 6" xfId="35911" xr:uid="{2778AD69-F3EF-454D-9862-C4CEE3720F14}"/>
    <cellStyle name="Normal 4 3 3 7 7" xfId="10618" xr:uid="{39F4E481-763F-47EA-B481-DC83E64CE658}"/>
    <cellStyle name="Normal 4 3 3 8" xfId="2530" xr:uid="{00000000-0005-0000-0000-0000AA140000}"/>
    <cellStyle name="Normal 4 3 3 8 2" xfId="6814" xr:uid="{00000000-0005-0000-0000-0000AB140000}"/>
    <cellStyle name="Normal 4 3 3 8 2 2" xfId="32113" xr:uid="{26CF75B9-DA31-4E7E-874A-5F1A094FF772}"/>
    <cellStyle name="Normal 4 3 3 8 2 3" xfId="23684" xr:uid="{DFC6131B-4537-4338-952D-81B3C01DB618}"/>
    <cellStyle name="Normal 4 3 3 8 2 4" xfId="40541" xr:uid="{7F5625F7-CFC4-4EC2-BB5A-E4800DD4020F}"/>
    <cellStyle name="Normal 4 3 3 8 2 5" xfId="15249" xr:uid="{F0897D56-DEC4-4F91-8627-2CABCDA1E4AC}"/>
    <cellStyle name="Normal 4 3 3 8 3" xfId="27895" xr:uid="{05D118D7-E29B-4CBC-A71A-9359B6124767}"/>
    <cellStyle name="Normal 4 3 3 8 4" xfId="19466" xr:uid="{C226DB57-499D-4B63-BF00-185929F63039}"/>
    <cellStyle name="Normal 4 3 3 8 5" xfId="36324" xr:uid="{DCE23394-07EE-469A-8AB3-275BC23F48B6}"/>
    <cellStyle name="Normal 4 3 3 8 6" xfId="11031" xr:uid="{873A03F7-A7D0-4F4C-B7C7-E451108CABBF}"/>
    <cellStyle name="Normal 4 3 3 9" xfId="4749" xr:uid="{00000000-0005-0000-0000-0000AC140000}"/>
    <cellStyle name="Normal 4 3 3 9 2" xfId="30048" xr:uid="{D63F6A1E-CE54-4259-8869-1F64B5EAA54F}"/>
    <cellStyle name="Normal 4 3 3 9 3" xfId="21619" xr:uid="{1E88CB63-DC0D-4F06-A29D-655EE5D7E2C3}"/>
    <cellStyle name="Normal 4 3 3 9 4" xfId="38476" xr:uid="{43F1FF28-0601-4A29-86CD-D1AD13CE3AA2}"/>
    <cellStyle name="Normal 4 3 3 9 5" xfId="13184" xr:uid="{4BCDD2E2-4FAB-4CDD-9B12-ED7CCF53249D}"/>
    <cellStyle name="Normal 4 3 4" xfId="842" xr:uid="{00000000-0005-0000-0000-0000AD140000}"/>
    <cellStyle name="Normal 4 3 4 2" xfId="3079" xr:uid="{00000000-0005-0000-0000-0000AE140000}"/>
    <cellStyle name="Normal 4 3 4 2 2" xfId="7302" xr:uid="{00000000-0005-0000-0000-0000AF140000}"/>
    <cellStyle name="Normal 4 3 4 2 2 2" xfId="32601" xr:uid="{96B94107-8FC5-4366-999E-C183EC9374B2}"/>
    <cellStyle name="Normal 4 3 4 2 2 3" xfId="24172" xr:uid="{ACCCAFB4-C06F-41DC-BB38-C57EB3B4D0ED}"/>
    <cellStyle name="Normal 4 3 4 2 2 4" xfId="41029" xr:uid="{5B8608C7-471C-4C3D-AAFA-0B6F6D918671}"/>
    <cellStyle name="Normal 4 3 4 2 2 5" xfId="15737" xr:uid="{EC92BB6D-5DCF-4B92-89DF-D9436E1A00A3}"/>
    <cellStyle name="Normal 4 3 4 2 3" xfId="28383" xr:uid="{F0714480-C131-49BA-8C64-1888E8E84EEF}"/>
    <cellStyle name="Normal 4 3 4 2 4" xfId="19954" xr:uid="{A5CBA843-33E2-4CCE-B3B6-219F7860B19F}"/>
    <cellStyle name="Normal 4 3 4 2 5" xfId="36812" xr:uid="{B0AD2A2B-0F2E-4343-9FC6-90367FD892BE}"/>
    <cellStyle name="Normal 4 3 4 2 6" xfId="11519" xr:uid="{E7FA7BB3-9158-4BBA-A9D9-0F127B375F3D}"/>
    <cellStyle name="Normal 4 3 4 3" xfId="5157" xr:uid="{00000000-0005-0000-0000-0000B0140000}"/>
    <cellStyle name="Normal 4 3 4 3 2" xfId="30456" xr:uid="{14556CF2-2925-4FEC-AA46-68248EE35051}"/>
    <cellStyle name="Normal 4 3 4 3 3" xfId="22027" xr:uid="{49738680-0BF2-434A-BFF6-53FC1A99B7A5}"/>
    <cellStyle name="Normal 4 3 4 3 4" xfId="38884" xr:uid="{FE7B8C1C-7C16-45DB-A96D-25EB7F38616E}"/>
    <cellStyle name="Normal 4 3 4 3 5" xfId="13592" xr:uid="{27F22E84-CA3D-46A1-99AF-94C750BA8AF6}"/>
    <cellStyle name="Normal 4 3 4 4" xfId="26238" xr:uid="{D9CDEA40-13BC-4628-BDDC-233ACF25FB37}"/>
    <cellStyle name="Normal 4 3 4 5" xfId="17809" xr:uid="{4BCC10CA-C782-42B0-8F48-59ABACEA4C4B}"/>
    <cellStyle name="Normal 4 3 4 6" xfId="34667" xr:uid="{282F81AC-6480-4911-8796-70B236E9099D}"/>
    <cellStyle name="Normal 4 3 4 7" xfId="9374" xr:uid="{C060FEB1-D0BF-4AB7-B24B-CB875DCA3D4B}"/>
    <cellStyle name="Normal 4 3 5" xfId="1262" xr:uid="{00000000-0005-0000-0000-0000B1140000}"/>
    <cellStyle name="Normal 4 3 5 2" xfId="3492" xr:uid="{00000000-0005-0000-0000-0000B2140000}"/>
    <cellStyle name="Normal 4 3 5 2 2" xfId="7715" xr:uid="{00000000-0005-0000-0000-0000B3140000}"/>
    <cellStyle name="Normal 4 3 5 2 2 2" xfId="33014" xr:uid="{6E0D335A-48A3-44B4-B5C9-1B4842181B58}"/>
    <cellStyle name="Normal 4 3 5 2 2 3" xfId="24585" xr:uid="{CAD4EBB7-C1D5-4FEB-8AC2-CCEBF891A1C7}"/>
    <cellStyle name="Normal 4 3 5 2 2 4" xfId="41442" xr:uid="{78CE1FD3-5B22-4AF8-B6D8-3EF4DB8CFBB1}"/>
    <cellStyle name="Normal 4 3 5 2 2 5" xfId="16150" xr:uid="{5A8AEF2D-EF5F-4FF0-86BD-D6301C9E42B6}"/>
    <cellStyle name="Normal 4 3 5 2 3" xfId="28796" xr:uid="{B2370CEF-73D2-41A1-98AB-21BC1E61678B}"/>
    <cellStyle name="Normal 4 3 5 2 4" xfId="20367" xr:uid="{5101C8A1-6DAF-47D5-ADF9-ED72BB30F25B}"/>
    <cellStyle name="Normal 4 3 5 2 5" xfId="37225" xr:uid="{95883F32-E64E-4AC2-8AA7-FF0B1C2E28E2}"/>
    <cellStyle name="Normal 4 3 5 2 6" xfId="11932" xr:uid="{326F5E71-69AB-479F-8C25-717027A695A3}"/>
    <cellStyle name="Normal 4 3 5 3" xfId="5570" xr:uid="{00000000-0005-0000-0000-0000B4140000}"/>
    <cellStyle name="Normal 4 3 5 3 2" xfId="30869" xr:uid="{C2EEAE2E-96ED-4DCD-95B1-D596B5737CD0}"/>
    <cellStyle name="Normal 4 3 5 3 3" xfId="22440" xr:uid="{7A93588C-F8B3-4385-9FA2-E830ABC1DAD3}"/>
    <cellStyle name="Normal 4 3 5 3 4" xfId="39297" xr:uid="{7090BAE3-E8C3-433C-98E3-FCBB17B11403}"/>
    <cellStyle name="Normal 4 3 5 3 5" xfId="14005" xr:uid="{49F09A6A-8801-4F52-A1E5-2FEC879DBB43}"/>
    <cellStyle name="Normal 4 3 5 4" xfId="26651" xr:uid="{9B02A8DD-BE73-41F6-9A35-9DC50BC6C0EA}"/>
    <cellStyle name="Normal 4 3 5 5" xfId="18222" xr:uid="{7C42BBDD-68EC-45B0-807F-73408C00D64A}"/>
    <cellStyle name="Normal 4 3 5 6" xfId="35080" xr:uid="{E3FC50CF-1B7B-475A-995B-1820C8727720}"/>
    <cellStyle name="Normal 4 3 5 7" xfId="9787" xr:uid="{B0ED24ED-1AAC-4A59-BAF2-9A0E9D057D11}"/>
    <cellStyle name="Normal 4 3 6" xfId="1675" xr:uid="{00000000-0005-0000-0000-0000B5140000}"/>
    <cellStyle name="Normal 4 3 6 2" xfId="3905" xr:uid="{00000000-0005-0000-0000-0000B6140000}"/>
    <cellStyle name="Normal 4 3 6 2 2" xfId="8128" xr:uid="{00000000-0005-0000-0000-0000B7140000}"/>
    <cellStyle name="Normal 4 3 6 2 2 2" xfId="33427" xr:uid="{BECFC408-C012-437D-ABB6-F375B7C492A8}"/>
    <cellStyle name="Normal 4 3 6 2 2 3" xfId="24998" xr:uid="{F9462898-1F87-4A83-BCA7-A548E1DFDE8C}"/>
    <cellStyle name="Normal 4 3 6 2 2 4" xfId="41855" xr:uid="{6E5EB851-726A-436A-BD22-02E75653DA85}"/>
    <cellStyle name="Normal 4 3 6 2 2 5" xfId="16563" xr:uid="{5989B2A2-B9C8-4601-87A4-E7C626E31DD8}"/>
    <cellStyle name="Normal 4 3 6 2 3" xfId="29209" xr:uid="{50A45078-23F8-4D44-BD37-EFB3CD222A91}"/>
    <cellStyle name="Normal 4 3 6 2 4" xfId="20780" xr:uid="{B4381AB3-75CA-4465-9FF6-952E74ED5E80}"/>
    <cellStyle name="Normal 4 3 6 2 5" xfId="37638" xr:uid="{4C2209C9-3FFE-4DDD-8733-3A6566984F3A}"/>
    <cellStyle name="Normal 4 3 6 2 6" xfId="12345" xr:uid="{0B3EBEBE-22AE-4730-A91A-28DD33B61B5F}"/>
    <cellStyle name="Normal 4 3 6 3" xfId="5983" xr:uid="{00000000-0005-0000-0000-0000B8140000}"/>
    <cellStyle name="Normal 4 3 6 3 2" xfId="31282" xr:uid="{A4FA3C68-6667-49DD-AF4E-B1D69187F232}"/>
    <cellStyle name="Normal 4 3 6 3 3" xfId="22853" xr:uid="{74E80711-0274-4C59-A73A-E46031118049}"/>
    <cellStyle name="Normal 4 3 6 3 4" xfId="39710" xr:uid="{1E84229B-43ED-47FE-A718-943A2F0EC34A}"/>
    <cellStyle name="Normal 4 3 6 3 5" xfId="14418" xr:uid="{35EB8D69-2E9F-4375-872F-957B80F7496C}"/>
    <cellStyle name="Normal 4 3 6 4" xfId="27064" xr:uid="{A63EF667-0AB1-41B5-B8D6-4721407CBF42}"/>
    <cellStyle name="Normal 4 3 6 5" xfId="18635" xr:uid="{59A52968-2C0F-481A-81CB-166FA1CDD830}"/>
    <cellStyle name="Normal 4 3 6 6" xfId="35493" xr:uid="{3BF29D26-BC44-4EA5-9535-70E61275A726}"/>
    <cellStyle name="Normal 4 3 6 7" xfId="10200" xr:uid="{AF341912-3079-4500-8F3F-4A2A10453C16}"/>
    <cellStyle name="Normal 4 3 7" xfId="2089" xr:uid="{00000000-0005-0000-0000-0000B9140000}"/>
    <cellStyle name="Normal 4 3 7 2" xfId="4318" xr:uid="{00000000-0005-0000-0000-0000BA140000}"/>
    <cellStyle name="Normal 4 3 7 2 2" xfId="8541" xr:uid="{00000000-0005-0000-0000-0000BB140000}"/>
    <cellStyle name="Normal 4 3 7 2 2 2" xfId="33840" xr:uid="{0F8F821F-FEC4-4ADB-891F-77B686F8224E}"/>
    <cellStyle name="Normal 4 3 7 2 2 3" xfId="25411" xr:uid="{2CAF5245-0D2F-46B5-B71A-B6791F106DB9}"/>
    <cellStyle name="Normal 4 3 7 2 2 4" xfId="42268" xr:uid="{3BE586D2-8B93-43C7-8848-27E9DD6D6F51}"/>
    <cellStyle name="Normal 4 3 7 2 2 5" xfId="16976" xr:uid="{025B112D-9A58-4AEA-88D9-AA1C569AD83B}"/>
    <cellStyle name="Normal 4 3 7 2 3" xfId="29622" xr:uid="{195EAD15-3CC2-48F7-83F5-E62A8EA8ECAC}"/>
    <cellStyle name="Normal 4 3 7 2 4" xfId="21193" xr:uid="{6119FB71-702A-4D5B-AEA3-5813EC71DDF9}"/>
    <cellStyle name="Normal 4 3 7 2 5" xfId="38051" xr:uid="{ECE0230C-B854-4C51-BF42-04C39C7E431B}"/>
    <cellStyle name="Normal 4 3 7 2 6" xfId="12758" xr:uid="{A360DDC8-22E2-4F69-B24C-231A4AD30940}"/>
    <cellStyle name="Normal 4 3 7 3" xfId="6396" xr:uid="{00000000-0005-0000-0000-0000BC140000}"/>
    <cellStyle name="Normal 4 3 7 3 2" xfId="31695" xr:uid="{374237D5-85F7-4F47-9042-9FA7A42869F8}"/>
    <cellStyle name="Normal 4 3 7 3 3" xfId="23266" xr:uid="{76AEA558-C41B-42B5-985C-6B30F381D124}"/>
    <cellStyle name="Normal 4 3 7 3 4" xfId="40123" xr:uid="{9626A941-94A2-469C-B7B1-15DF4AC27C6E}"/>
    <cellStyle name="Normal 4 3 7 3 5" xfId="14831" xr:uid="{48882F7B-3E7F-449A-A0E0-6D5897083EB2}"/>
    <cellStyle name="Normal 4 3 7 4" xfId="27477" xr:uid="{24D0273A-E8FA-4C70-A84A-961964DA88F5}"/>
    <cellStyle name="Normal 4 3 7 5" xfId="19048" xr:uid="{3BEF4633-CB49-4ED8-A701-69D8BED217ED}"/>
    <cellStyle name="Normal 4 3 7 6" xfId="35906" xr:uid="{BACE1643-F5F0-4487-BA98-0C2C4C1C691F}"/>
    <cellStyle name="Normal 4 3 7 7" xfId="10613" xr:uid="{D4927EF3-8F1E-48D8-B278-F34A933634D0}"/>
    <cellStyle name="Normal 4 3 8" xfId="2525" xr:uid="{00000000-0005-0000-0000-0000BD140000}"/>
    <cellStyle name="Normal 4 3 8 2" xfId="6809" xr:uid="{00000000-0005-0000-0000-0000BE140000}"/>
    <cellStyle name="Normal 4 3 8 2 2" xfId="32108" xr:uid="{52568E21-B88E-4EC9-B68E-6B0C45FF3057}"/>
    <cellStyle name="Normal 4 3 8 2 3" xfId="23679" xr:uid="{8F51A485-C7E3-4920-9FB8-ED310F5A8B33}"/>
    <cellStyle name="Normal 4 3 8 2 4" xfId="40536" xr:uid="{889AD4F9-C072-4129-A3C1-55B9B51F9DC4}"/>
    <cellStyle name="Normal 4 3 8 2 5" xfId="15244" xr:uid="{F6100B8D-75D5-4D43-AC33-3D0377FE6DBC}"/>
    <cellStyle name="Normal 4 3 8 3" xfId="27890" xr:uid="{20273149-3EEB-4D8B-B071-A84E560BA2BD}"/>
    <cellStyle name="Normal 4 3 8 4" xfId="19461" xr:uid="{1A451AB0-5E68-4C96-B2AB-5EEA8B110340}"/>
    <cellStyle name="Normal 4 3 8 5" xfId="36319" xr:uid="{FBD7D1D0-EDCB-4F51-9C34-48537D445803}"/>
    <cellStyle name="Normal 4 3 8 6" xfId="11026" xr:uid="{6D3B991B-2F26-4B9D-B9A5-07C9CFD5BF2B}"/>
    <cellStyle name="Normal 4 3 9" xfId="4744" xr:uid="{00000000-0005-0000-0000-0000BF140000}"/>
    <cellStyle name="Normal 4 3 9 2" xfId="30043" xr:uid="{1746E864-A4D4-480B-9297-4677F202831A}"/>
    <cellStyle name="Normal 4 3 9 3" xfId="21614" xr:uid="{932CAE61-28B9-442C-8B40-CB28F861F3A6}"/>
    <cellStyle name="Normal 4 3 9 4" xfId="38471" xr:uid="{283115ED-F612-455A-8D87-04A3B6AFBC27}"/>
    <cellStyle name="Normal 4 3 9 5" xfId="13179" xr:uid="{97E8F786-AD43-4D3E-AE18-D1B7AE5F7405}"/>
    <cellStyle name="Normal 4 4" xfId="378" xr:uid="{00000000-0005-0000-0000-0000C0140000}"/>
    <cellStyle name="Normal 4 4 10" xfId="2534" xr:uid="{00000000-0005-0000-0000-0000C1140000}"/>
    <cellStyle name="Normal 4 4 10 2" xfId="6818" xr:uid="{00000000-0005-0000-0000-0000C2140000}"/>
    <cellStyle name="Normal 4 4 10 2 2" xfId="32117" xr:uid="{41885909-63D4-4005-A331-8D8633556C01}"/>
    <cellStyle name="Normal 4 4 10 2 3" xfId="23688" xr:uid="{38B3EFCD-1E41-4047-9A2F-7A0D95EA0CD1}"/>
    <cellStyle name="Normal 4 4 10 2 4" xfId="40545" xr:uid="{C43DE92F-808A-407E-9167-F335991DB393}"/>
    <cellStyle name="Normal 4 4 10 2 5" xfId="15253" xr:uid="{E390CCCF-8EA4-47A1-B0C6-5FBC6F006403}"/>
    <cellStyle name="Normal 4 4 10 3" xfId="27899" xr:uid="{867F12C4-A6C4-466F-B6FE-E6CB9104573D}"/>
    <cellStyle name="Normal 4 4 10 4" xfId="19470" xr:uid="{352971DB-F9A8-476B-BAA7-B301E49E43A3}"/>
    <cellStyle name="Normal 4 4 10 5" xfId="36328" xr:uid="{A8239C4C-00B3-453F-AD3D-245C5EFC76E3}"/>
    <cellStyle name="Normal 4 4 10 6" xfId="11035" xr:uid="{0111AA19-0E6B-4C80-A2DD-BB1AAE6B603D}"/>
    <cellStyle name="Normal 4 4 11" xfId="4753" xr:uid="{00000000-0005-0000-0000-0000C3140000}"/>
    <cellStyle name="Normal 4 4 11 2" xfId="30052" xr:uid="{40A50E48-CD65-4F10-8756-3F2811B6397B}"/>
    <cellStyle name="Normal 4 4 11 3" xfId="21623" xr:uid="{BBC158B6-3453-49FF-80E1-8177F2A8C68E}"/>
    <cellStyle name="Normal 4 4 11 4" xfId="38480" xr:uid="{30BA75AD-843E-4CA5-B756-0AADD80147F9}"/>
    <cellStyle name="Normal 4 4 11 5" xfId="13188" xr:uid="{872CE721-4BE0-466D-A987-EF8C41CADA32}"/>
    <cellStyle name="Normal 4 4 12" xfId="25834" xr:uid="{5FAE3D2B-0E33-4F21-97AF-BCF14F8BB433}"/>
    <cellStyle name="Normal 4 4 13" xfId="17405" xr:uid="{78A3DB65-C1C0-442C-AFAC-F0C787E9E3CC}"/>
    <cellStyle name="Normal 4 4 14" xfId="34263" xr:uid="{4861C9AB-CE8F-46AB-9EA1-02D97488A20C}"/>
    <cellStyle name="Normal 4 4 15" xfId="8970" xr:uid="{0D2652D8-ADB5-4813-96B8-B33C6253FFF0}"/>
    <cellStyle name="Normal 4 4 2" xfId="379" xr:uid="{00000000-0005-0000-0000-0000C4140000}"/>
    <cellStyle name="Normal 4 4 2 10" xfId="4754" xr:uid="{00000000-0005-0000-0000-0000C5140000}"/>
    <cellStyle name="Normal 4 4 2 10 2" xfId="30053" xr:uid="{684131B7-1DCF-4182-AD8A-83DA8B8061E0}"/>
    <cellStyle name="Normal 4 4 2 10 3" xfId="21624" xr:uid="{A3D1A645-EF4E-434B-A6E8-0AEDCB1D3026}"/>
    <cellStyle name="Normal 4 4 2 10 4" xfId="38481" xr:uid="{CA84A824-84DD-4259-99F6-DABB11303CC5}"/>
    <cellStyle name="Normal 4 4 2 10 5" xfId="13189" xr:uid="{80CF7941-AA8F-4CC0-84B8-E4B8D3FCE521}"/>
    <cellStyle name="Normal 4 4 2 11" xfId="25835" xr:uid="{A9986398-CD9B-4CFB-A09A-D458E1679B2F}"/>
    <cellStyle name="Normal 4 4 2 12" xfId="17406" xr:uid="{AA0C6785-D95F-49B1-BD24-5D0998E06015}"/>
    <cellStyle name="Normal 4 4 2 13" xfId="34264" xr:uid="{C24D2AB0-7EB6-4463-96EB-3644B3797B69}"/>
    <cellStyle name="Normal 4 4 2 14" xfId="8971" xr:uid="{B54FAC7B-E7CB-43B1-8384-4A1D9600F522}"/>
    <cellStyle name="Normal 4 4 2 2" xfId="380" xr:uid="{00000000-0005-0000-0000-0000C6140000}"/>
    <cellStyle name="Normal 4 4 2 2 10" xfId="25836" xr:uid="{60C91E0C-3243-4678-B809-BF75A22E9058}"/>
    <cellStyle name="Normal 4 4 2 2 11" xfId="17407" xr:uid="{D111D44A-6911-46E2-9119-3154F6F0118D}"/>
    <cellStyle name="Normal 4 4 2 2 12" xfId="34265" xr:uid="{B4C2E4D4-E4CB-4BA3-B572-27F2E1BB8793}"/>
    <cellStyle name="Normal 4 4 2 2 13" xfId="8972" xr:uid="{F2222639-FDF7-49C8-8F22-B1EE0AC15F1F}"/>
    <cellStyle name="Normal 4 4 2 2 2" xfId="381" xr:uid="{00000000-0005-0000-0000-0000C7140000}"/>
    <cellStyle name="Normal 4 4 2 2 2 10" xfId="17408" xr:uid="{B4C7FD09-B6F1-490C-8D19-47665AAFAE7C}"/>
    <cellStyle name="Normal 4 4 2 2 2 11" xfId="34266" xr:uid="{5495A3FC-80A9-4F36-89BB-EB17AF25D050}"/>
    <cellStyle name="Normal 4 4 2 2 2 12" xfId="8973" xr:uid="{E83D0954-5E5F-41C7-8685-9DC92C3224B6}"/>
    <cellStyle name="Normal 4 4 2 2 2 2" xfId="382" xr:uid="{00000000-0005-0000-0000-0000C8140000}"/>
    <cellStyle name="Normal 4 4 2 2 2 2 10" xfId="34267" xr:uid="{C27C4A75-6610-4F48-961E-6CCAE82A4E76}"/>
    <cellStyle name="Normal 4 4 2 2 2 2 11" xfId="8974" xr:uid="{7C112B3B-86F8-404D-8450-1E84B6B1BA59}"/>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32614" xr:uid="{9C94F298-8E04-40B4-B267-526473E76BAA}"/>
    <cellStyle name="Normal 4 4 2 2 2 2 2 2 2 3" xfId="24185" xr:uid="{D01CB724-C510-4459-A188-DA7146D45969}"/>
    <cellStyle name="Normal 4 4 2 2 2 2 2 2 2 4" xfId="41042" xr:uid="{73204F8F-D0B7-4DE7-9BF1-765D4230FCD7}"/>
    <cellStyle name="Normal 4 4 2 2 2 2 2 2 2 5" xfId="15750" xr:uid="{C1F530DD-7DFB-4F66-AAC0-46039CD74AEF}"/>
    <cellStyle name="Normal 4 4 2 2 2 2 2 2 3" xfId="28396" xr:uid="{3F8DBD05-80AC-41F0-862D-446B31F9C67C}"/>
    <cellStyle name="Normal 4 4 2 2 2 2 2 2 4" xfId="19967" xr:uid="{7A71755B-9665-468D-94CF-6B0F3991298E}"/>
    <cellStyle name="Normal 4 4 2 2 2 2 2 2 5" xfId="36825" xr:uid="{E1D349A6-E422-401F-926F-98130BC5446A}"/>
    <cellStyle name="Normal 4 4 2 2 2 2 2 2 6" xfId="11532" xr:uid="{23D7B15D-918F-49A6-BEB7-A111DB010924}"/>
    <cellStyle name="Normal 4 4 2 2 2 2 2 3" xfId="5170" xr:uid="{00000000-0005-0000-0000-0000CC140000}"/>
    <cellStyle name="Normal 4 4 2 2 2 2 2 3 2" xfId="30469" xr:uid="{A1E5DB1B-2CA9-455B-A666-940E75A62C77}"/>
    <cellStyle name="Normal 4 4 2 2 2 2 2 3 3" xfId="22040" xr:uid="{71DC51A5-219D-4F7A-8319-FFD0446AB1B0}"/>
    <cellStyle name="Normal 4 4 2 2 2 2 2 3 4" xfId="38897" xr:uid="{216DF5BF-54DC-4735-AE06-6D4FF29D8C99}"/>
    <cellStyle name="Normal 4 4 2 2 2 2 2 3 5" xfId="13605" xr:uid="{1F5296BB-37BC-4157-9A0B-31F00C2A3D92}"/>
    <cellStyle name="Normal 4 4 2 2 2 2 2 4" xfId="26251" xr:uid="{3548805F-BA23-45A7-944B-702B66BC5984}"/>
    <cellStyle name="Normal 4 4 2 2 2 2 2 5" xfId="17822" xr:uid="{2DF350E1-8920-43BF-B9D6-D5EB09FD934E}"/>
    <cellStyle name="Normal 4 4 2 2 2 2 2 6" xfId="34680" xr:uid="{8CE9231A-1BA3-4548-BA71-E43971F9F3FD}"/>
    <cellStyle name="Normal 4 4 2 2 2 2 2 7" xfId="9387" xr:uid="{21A0D32B-BBD7-46D2-B91D-C16FAE5E399C}"/>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33027" xr:uid="{746853F5-33FF-4258-9DAC-B939F06F8590}"/>
    <cellStyle name="Normal 4 4 2 2 2 2 3 2 2 3" xfId="24598" xr:uid="{7BFDB0F4-0C5B-432E-9D34-169D7A107271}"/>
    <cellStyle name="Normal 4 4 2 2 2 2 3 2 2 4" xfId="41455" xr:uid="{A308BC3F-5C75-4AD7-913F-8650D98E64E8}"/>
    <cellStyle name="Normal 4 4 2 2 2 2 3 2 2 5" xfId="16163" xr:uid="{61DC482D-975E-4E8C-9A26-FD95D33EAC86}"/>
    <cellStyle name="Normal 4 4 2 2 2 2 3 2 3" xfId="28809" xr:uid="{AB4A6B0A-4F15-42DC-A8D4-1DF9C6FDA5F2}"/>
    <cellStyle name="Normal 4 4 2 2 2 2 3 2 4" xfId="20380" xr:uid="{87D84242-AED7-42A0-8B13-788422C234A4}"/>
    <cellStyle name="Normal 4 4 2 2 2 2 3 2 5" xfId="37238" xr:uid="{35F0E083-B0B7-4F95-828B-EC7DAE121493}"/>
    <cellStyle name="Normal 4 4 2 2 2 2 3 2 6" xfId="11945" xr:uid="{678A8F1B-C2D8-42F6-BE45-1E270D826FA9}"/>
    <cellStyle name="Normal 4 4 2 2 2 2 3 3" xfId="5583" xr:uid="{00000000-0005-0000-0000-0000D0140000}"/>
    <cellStyle name="Normal 4 4 2 2 2 2 3 3 2" xfId="30882" xr:uid="{F9F7689E-A9B8-48EA-B243-89D69168A192}"/>
    <cellStyle name="Normal 4 4 2 2 2 2 3 3 3" xfId="22453" xr:uid="{12BEF142-36A6-4F1D-B9D5-0A5D1DA27BDB}"/>
    <cellStyle name="Normal 4 4 2 2 2 2 3 3 4" xfId="39310" xr:uid="{556B42BD-F27F-4C3F-AD94-8B304A70394F}"/>
    <cellStyle name="Normal 4 4 2 2 2 2 3 3 5" xfId="14018" xr:uid="{71D25861-8598-4D04-87D4-C60394F5C32B}"/>
    <cellStyle name="Normal 4 4 2 2 2 2 3 4" xfId="26664" xr:uid="{B428FCD7-35CF-4F2F-A2EA-E63DCA28EA67}"/>
    <cellStyle name="Normal 4 4 2 2 2 2 3 5" xfId="18235" xr:uid="{DFEB8F83-9753-48CF-88FA-2D6A27813633}"/>
    <cellStyle name="Normal 4 4 2 2 2 2 3 6" xfId="35093" xr:uid="{A4DD3697-8C15-4CFE-9557-0D98F47DEDDE}"/>
    <cellStyle name="Normal 4 4 2 2 2 2 3 7" xfId="9800" xr:uid="{D5D99871-E465-4E25-91A4-C79263226255}"/>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33440" xr:uid="{05913BBA-16A1-424C-BA3A-BEEEBE59BB98}"/>
    <cellStyle name="Normal 4 4 2 2 2 2 4 2 2 3" xfId="25011" xr:uid="{87B25D7D-4740-4125-92F7-20CEACB88817}"/>
    <cellStyle name="Normal 4 4 2 2 2 2 4 2 2 4" xfId="41868" xr:uid="{F82AB2A4-A93A-48F1-8C98-73C0DC1250AF}"/>
    <cellStyle name="Normal 4 4 2 2 2 2 4 2 2 5" xfId="16576" xr:uid="{01C98146-0874-4DC7-A625-B5383485BE9D}"/>
    <cellStyle name="Normal 4 4 2 2 2 2 4 2 3" xfId="29222" xr:uid="{C57219B8-82CF-4DFE-BFAB-7D14F6D8C674}"/>
    <cellStyle name="Normal 4 4 2 2 2 2 4 2 4" xfId="20793" xr:uid="{A8A77A27-75DF-4B19-B5B3-6BEAAF9691D3}"/>
    <cellStyle name="Normal 4 4 2 2 2 2 4 2 5" xfId="37651" xr:uid="{B0377B82-E294-4366-9681-5BFB0A1B5D28}"/>
    <cellStyle name="Normal 4 4 2 2 2 2 4 2 6" xfId="12358" xr:uid="{1EDAAB0C-C52B-4825-9BED-5C731A3DE30A}"/>
    <cellStyle name="Normal 4 4 2 2 2 2 4 3" xfId="5996" xr:uid="{00000000-0005-0000-0000-0000D4140000}"/>
    <cellStyle name="Normal 4 4 2 2 2 2 4 3 2" xfId="31295" xr:uid="{0693511E-3B31-44BE-A2CE-754CF9EE18FC}"/>
    <cellStyle name="Normal 4 4 2 2 2 2 4 3 3" xfId="22866" xr:uid="{39A1ED41-47B4-403E-87E1-CE0B19AD3E9E}"/>
    <cellStyle name="Normal 4 4 2 2 2 2 4 3 4" xfId="39723" xr:uid="{82E56EFD-A18D-4324-8951-EEB544EADE32}"/>
    <cellStyle name="Normal 4 4 2 2 2 2 4 3 5" xfId="14431" xr:uid="{43112CB2-BBEE-459D-8354-F60EE189BE6A}"/>
    <cellStyle name="Normal 4 4 2 2 2 2 4 4" xfId="27077" xr:uid="{4BAD795C-486C-49A4-8D3A-CCD798C87DBB}"/>
    <cellStyle name="Normal 4 4 2 2 2 2 4 5" xfId="18648" xr:uid="{E5A31C48-D685-4B9E-BEBE-70A6BA06258B}"/>
    <cellStyle name="Normal 4 4 2 2 2 2 4 6" xfId="35506" xr:uid="{1BF82FB3-FE8A-4823-8EE3-7434D98A01E4}"/>
    <cellStyle name="Normal 4 4 2 2 2 2 4 7" xfId="10213" xr:uid="{C0C2FA50-9755-41C0-A9AF-105CA15EFCC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33853" xr:uid="{9843268B-0D81-4A52-9509-B3E5348E2172}"/>
    <cellStyle name="Normal 4 4 2 2 2 2 5 2 2 3" xfId="25424" xr:uid="{8663A7CD-5479-4573-A6C1-AE325ABEE18B}"/>
    <cellStyle name="Normal 4 4 2 2 2 2 5 2 2 4" xfId="42281" xr:uid="{480F3277-746E-4AE8-BA12-677B6A87B235}"/>
    <cellStyle name="Normal 4 4 2 2 2 2 5 2 2 5" xfId="16989" xr:uid="{B34B06D3-6961-40F9-87F9-3BD29FF7852B}"/>
    <cellStyle name="Normal 4 4 2 2 2 2 5 2 3" xfId="29635" xr:uid="{3CFD3404-3E93-46AE-A248-D101A2EDC41E}"/>
    <cellStyle name="Normal 4 4 2 2 2 2 5 2 4" xfId="21206" xr:uid="{72F228C5-046A-4C1C-8CCB-032180AF8449}"/>
    <cellStyle name="Normal 4 4 2 2 2 2 5 2 5" xfId="38064" xr:uid="{29DF9405-08F0-4E26-B6E9-9D76022D2FB6}"/>
    <cellStyle name="Normal 4 4 2 2 2 2 5 2 6" xfId="12771" xr:uid="{B070CE40-5E26-4811-A6D3-4BDFB0F30B4A}"/>
    <cellStyle name="Normal 4 4 2 2 2 2 5 3" xfId="6409" xr:uid="{00000000-0005-0000-0000-0000D8140000}"/>
    <cellStyle name="Normal 4 4 2 2 2 2 5 3 2" xfId="31708" xr:uid="{E5D0CA9F-4FD1-4A68-AB4F-FBAB02A6ECF4}"/>
    <cellStyle name="Normal 4 4 2 2 2 2 5 3 3" xfId="23279" xr:uid="{99685531-F46E-4617-A18B-9CAF383BD308}"/>
    <cellStyle name="Normal 4 4 2 2 2 2 5 3 4" xfId="40136" xr:uid="{A03E8039-6A83-43F1-865D-1A94D264322A}"/>
    <cellStyle name="Normal 4 4 2 2 2 2 5 3 5" xfId="14844" xr:uid="{E050EC70-88B9-4619-A0F6-468EA33C4154}"/>
    <cellStyle name="Normal 4 4 2 2 2 2 5 4" xfId="27490" xr:uid="{75265E13-0B68-4E9F-82A4-B520E3365B3D}"/>
    <cellStyle name="Normal 4 4 2 2 2 2 5 5" xfId="19061" xr:uid="{2A7E3048-5DF1-464E-A1F7-8DAD79E19701}"/>
    <cellStyle name="Normal 4 4 2 2 2 2 5 6" xfId="35919" xr:uid="{D64C6206-E07C-4106-9EEC-DB39CA127E6E}"/>
    <cellStyle name="Normal 4 4 2 2 2 2 5 7" xfId="10626" xr:uid="{207085F9-D7B3-4BA3-9C30-1CDC00724792}"/>
    <cellStyle name="Normal 4 4 2 2 2 2 6" xfId="2538" xr:uid="{00000000-0005-0000-0000-0000D9140000}"/>
    <cellStyle name="Normal 4 4 2 2 2 2 6 2" xfId="6822" xr:uid="{00000000-0005-0000-0000-0000DA140000}"/>
    <cellStyle name="Normal 4 4 2 2 2 2 6 2 2" xfId="32121" xr:uid="{DD12608F-4388-4C7D-B5D0-92833048D74B}"/>
    <cellStyle name="Normal 4 4 2 2 2 2 6 2 3" xfId="23692" xr:uid="{523FA391-A28E-471E-8EC7-E0B91311F771}"/>
    <cellStyle name="Normal 4 4 2 2 2 2 6 2 4" xfId="40549" xr:uid="{AE8372F7-02BB-4011-8C89-D77B27397228}"/>
    <cellStyle name="Normal 4 4 2 2 2 2 6 2 5" xfId="15257" xr:uid="{0B47E0AB-2830-4A59-847F-CF48DC098F07}"/>
    <cellStyle name="Normal 4 4 2 2 2 2 6 3" xfId="27903" xr:uid="{207767F5-ACF2-42EB-B39F-18AD250BB058}"/>
    <cellStyle name="Normal 4 4 2 2 2 2 6 4" xfId="19474" xr:uid="{EAB202DA-7030-4973-BF00-73758EC8C7EB}"/>
    <cellStyle name="Normal 4 4 2 2 2 2 6 5" xfId="36332" xr:uid="{1D6B2779-6275-4AA7-A058-471F115F0A04}"/>
    <cellStyle name="Normal 4 4 2 2 2 2 6 6" xfId="11039" xr:uid="{6A3F1CB0-328E-4D5D-A3B7-03315222D43D}"/>
    <cellStyle name="Normal 4 4 2 2 2 2 7" xfId="4757" xr:uid="{00000000-0005-0000-0000-0000DB140000}"/>
    <cellStyle name="Normal 4 4 2 2 2 2 7 2" xfId="30056" xr:uid="{10AED42B-20B6-46E8-814B-CD9E3DBAA104}"/>
    <cellStyle name="Normal 4 4 2 2 2 2 7 3" xfId="21627" xr:uid="{BD743CD3-B967-43E9-8827-FF97655A69A3}"/>
    <cellStyle name="Normal 4 4 2 2 2 2 7 4" xfId="38484" xr:uid="{8B722CBB-F5B1-4976-A75A-19D1A45E2B40}"/>
    <cellStyle name="Normal 4 4 2 2 2 2 7 5" xfId="13192" xr:uid="{FEDA86D5-07E8-4BA9-8217-93EBB1C4FCAB}"/>
    <cellStyle name="Normal 4 4 2 2 2 2 8" xfId="25838" xr:uid="{0C1A916B-3396-472C-8995-A59568960E47}"/>
    <cellStyle name="Normal 4 4 2 2 2 2 9" xfId="17409" xr:uid="{2235A8A7-DA3D-450A-A003-CE6C71EAA7DC}"/>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32613" xr:uid="{2CD90D58-F13B-4E0F-AA7B-E42A21488385}"/>
    <cellStyle name="Normal 4 4 2 2 2 3 2 2 3" xfId="24184" xr:uid="{C1C43BC6-ECED-4497-8B6C-2D6460E37B4B}"/>
    <cellStyle name="Normal 4 4 2 2 2 3 2 2 4" xfId="41041" xr:uid="{7E038706-E37A-42F5-B076-473C656A72C0}"/>
    <cellStyle name="Normal 4 4 2 2 2 3 2 2 5" xfId="15749" xr:uid="{0E2A4421-E2F9-4514-B508-52FB1669A5AF}"/>
    <cellStyle name="Normal 4 4 2 2 2 3 2 3" xfId="28395" xr:uid="{60368861-424B-45ED-A3E4-1D0344C1CDEB}"/>
    <cellStyle name="Normal 4 4 2 2 2 3 2 4" xfId="19966" xr:uid="{02EF2DB7-A8B7-45F3-BD0B-718828817B5C}"/>
    <cellStyle name="Normal 4 4 2 2 2 3 2 5" xfId="36824" xr:uid="{9E4813EC-81AC-46C9-9C30-C7D98D0A8C8B}"/>
    <cellStyle name="Normal 4 4 2 2 2 3 2 6" xfId="11531" xr:uid="{349AEB47-1265-4541-9F9D-F9317ECF564B}"/>
    <cellStyle name="Normal 4 4 2 2 2 3 3" xfId="5169" xr:uid="{00000000-0005-0000-0000-0000DF140000}"/>
    <cellStyle name="Normal 4 4 2 2 2 3 3 2" xfId="30468" xr:uid="{1BD32F86-761A-40F8-894E-511D2CC9667C}"/>
    <cellStyle name="Normal 4 4 2 2 2 3 3 3" xfId="22039" xr:uid="{8406D542-3B57-4E01-ADAA-172E4409C68F}"/>
    <cellStyle name="Normal 4 4 2 2 2 3 3 4" xfId="38896" xr:uid="{41407B4C-A96E-40E3-8454-A2B8D5466B93}"/>
    <cellStyle name="Normal 4 4 2 2 2 3 3 5" xfId="13604" xr:uid="{59669922-2B57-49A2-9C85-15FAB577E8FA}"/>
    <cellStyle name="Normal 4 4 2 2 2 3 4" xfId="26250" xr:uid="{341E8D4F-454D-4A2D-A1A1-029D9580A550}"/>
    <cellStyle name="Normal 4 4 2 2 2 3 5" xfId="17821" xr:uid="{D0B5D987-CB69-4355-BC5B-B13CF00D3BD9}"/>
    <cellStyle name="Normal 4 4 2 2 2 3 6" xfId="34679" xr:uid="{221B25BE-B418-4420-82EF-EB9B5A55C6FF}"/>
    <cellStyle name="Normal 4 4 2 2 2 3 7" xfId="9386" xr:uid="{EED9F750-2D19-430C-BE54-D0D875C0740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33026" xr:uid="{65FCCA9C-B3AA-4A95-900C-AC6B8F5AA0FB}"/>
    <cellStyle name="Normal 4 4 2 2 2 4 2 2 3" xfId="24597" xr:uid="{B1234F90-8084-434E-9E8D-CDAC6AEBF4DA}"/>
    <cellStyle name="Normal 4 4 2 2 2 4 2 2 4" xfId="41454" xr:uid="{79299EB1-9CB8-4F7B-99D3-307AE5B070BE}"/>
    <cellStyle name="Normal 4 4 2 2 2 4 2 2 5" xfId="16162" xr:uid="{B737D6F6-77A9-4C19-A052-502433226FF9}"/>
    <cellStyle name="Normal 4 4 2 2 2 4 2 3" xfId="28808" xr:uid="{DD3CC31D-C6FE-4A1D-ADD7-33C9DFAFE964}"/>
    <cellStyle name="Normal 4 4 2 2 2 4 2 4" xfId="20379" xr:uid="{AFEF34F6-EEF2-4F90-9AE9-8B4AD66CD76E}"/>
    <cellStyle name="Normal 4 4 2 2 2 4 2 5" xfId="37237" xr:uid="{C0E08561-4A4C-4655-A937-D07247416D4B}"/>
    <cellStyle name="Normal 4 4 2 2 2 4 2 6" xfId="11944" xr:uid="{4A58B604-C48D-4A7B-BA9B-B37D6E02957C}"/>
    <cellStyle name="Normal 4 4 2 2 2 4 3" xfId="5582" xr:uid="{00000000-0005-0000-0000-0000E3140000}"/>
    <cellStyle name="Normal 4 4 2 2 2 4 3 2" xfId="30881" xr:uid="{5403163C-DA13-4480-8028-49D4E46CC189}"/>
    <cellStyle name="Normal 4 4 2 2 2 4 3 3" xfId="22452" xr:uid="{757A04D6-51B9-462D-B222-C18D243702A6}"/>
    <cellStyle name="Normal 4 4 2 2 2 4 3 4" xfId="39309" xr:uid="{F79A8CB2-298D-4660-A063-123040E42EE4}"/>
    <cellStyle name="Normal 4 4 2 2 2 4 3 5" xfId="14017" xr:uid="{58290BB6-0886-46E6-96CB-7BB18E332078}"/>
    <cellStyle name="Normal 4 4 2 2 2 4 4" xfId="26663" xr:uid="{02056291-6268-47CF-BAE2-59D7B5ADBE43}"/>
    <cellStyle name="Normal 4 4 2 2 2 4 5" xfId="18234" xr:uid="{EA161070-0CA8-4818-8056-CD002E521864}"/>
    <cellStyle name="Normal 4 4 2 2 2 4 6" xfId="35092" xr:uid="{C7D21259-D836-4ACE-AB04-11DF42452BCD}"/>
    <cellStyle name="Normal 4 4 2 2 2 4 7" xfId="9799" xr:uid="{6CB2EF8D-4BCE-4B35-AC28-CA07C9FD2C0F}"/>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33439" xr:uid="{22A9EC6B-D7E1-4221-839E-29C46EED86C0}"/>
    <cellStyle name="Normal 4 4 2 2 2 5 2 2 3" xfId="25010" xr:uid="{DD9F5CDB-F942-40D5-A370-9192D2DD3186}"/>
    <cellStyle name="Normal 4 4 2 2 2 5 2 2 4" xfId="41867" xr:uid="{267D3B89-3813-4023-922F-A593943334E9}"/>
    <cellStyle name="Normal 4 4 2 2 2 5 2 2 5" xfId="16575" xr:uid="{DB422152-3F5F-46AA-AF69-29A90D0FFED3}"/>
    <cellStyle name="Normal 4 4 2 2 2 5 2 3" xfId="29221" xr:uid="{C8BFC85B-0F95-479E-AE04-5AF783706CB0}"/>
    <cellStyle name="Normal 4 4 2 2 2 5 2 4" xfId="20792" xr:uid="{08A70A86-485C-43E5-BCC1-4D784D425E23}"/>
    <cellStyle name="Normal 4 4 2 2 2 5 2 5" xfId="37650" xr:uid="{88B6C303-A40D-4E2A-9A84-5FBB8A2F84EC}"/>
    <cellStyle name="Normal 4 4 2 2 2 5 2 6" xfId="12357" xr:uid="{BF38C567-2170-40C2-9D51-325661C31141}"/>
    <cellStyle name="Normal 4 4 2 2 2 5 3" xfId="5995" xr:uid="{00000000-0005-0000-0000-0000E7140000}"/>
    <cellStyle name="Normal 4 4 2 2 2 5 3 2" xfId="31294" xr:uid="{81BD980B-D444-40EC-A2E2-945F0A7DA1ED}"/>
    <cellStyle name="Normal 4 4 2 2 2 5 3 3" xfId="22865" xr:uid="{BFCBC1D3-C05D-436C-812B-7428A2381F87}"/>
    <cellStyle name="Normal 4 4 2 2 2 5 3 4" xfId="39722" xr:uid="{E6A66192-CFA3-4D12-BF0A-5E51BB03A0D9}"/>
    <cellStyle name="Normal 4 4 2 2 2 5 3 5" xfId="14430" xr:uid="{3366F1B5-E4EC-4267-9878-209CA5A72CED}"/>
    <cellStyle name="Normal 4 4 2 2 2 5 4" xfId="27076" xr:uid="{0FFC5149-48AE-48FA-8F68-780598CA5BBA}"/>
    <cellStyle name="Normal 4 4 2 2 2 5 5" xfId="18647" xr:uid="{B6CCEED4-2443-4569-BE62-6485FC52FBF4}"/>
    <cellStyle name="Normal 4 4 2 2 2 5 6" xfId="35505" xr:uid="{FE53D279-336F-49CD-8383-CC227578BEDA}"/>
    <cellStyle name="Normal 4 4 2 2 2 5 7" xfId="10212" xr:uid="{DE4A5EC7-CE84-4C7E-8200-54F25D411EDA}"/>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33852" xr:uid="{9656B071-7541-433D-9761-91BC7027B363}"/>
    <cellStyle name="Normal 4 4 2 2 2 6 2 2 3" xfId="25423" xr:uid="{0A61A65C-3763-4D05-A67A-A6AB5C2E2DBB}"/>
    <cellStyle name="Normal 4 4 2 2 2 6 2 2 4" xfId="42280" xr:uid="{5B278932-F4FD-4A7B-A0BD-C7B5D59C7B88}"/>
    <cellStyle name="Normal 4 4 2 2 2 6 2 2 5" xfId="16988" xr:uid="{49FAF0E7-03B2-4951-B5AE-F8D79C0D5BEA}"/>
    <cellStyle name="Normal 4 4 2 2 2 6 2 3" xfId="29634" xr:uid="{BC41AA48-D169-4DEF-B43F-53111EF59DFB}"/>
    <cellStyle name="Normal 4 4 2 2 2 6 2 4" xfId="21205" xr:uid="{1A152743-BD2C-4572-BF75-695E6F9B3EE6}"/>
    <cellStyle name="Normal 4 4 2 2 2 6 2 5" xfId="38063" xr:uid="{C7D77899-A2E8-4729-B7AF-E96CD3CF3D3D}"/>
    <cellStyle name="Normal 4 4 2 2 2 6 2 6" xfId="12770" xr:uid="{344D9D85-32ED-4E6C-8B15-38F573360F09}"/>
    <cellStyle name="Normal 4 4 2 2 2 6 3" xfId="6408" xr:uid="{00000000-0005-0000-0000-0000EB140000}"/>
    <cellStyle name="Normal 4 4 2 2 2 6 3 2" xfId="31707" xr:uid="{4D968557-30B2-46D6-8646-3F2878ADBE13}"/>
    <cellStyle name="Normal 4 4 2 2 2 6 3 3" xfId="23278" xr:uid="{F6AF43BA-216E-4FFB-8582-7436F19E3BFD}"/>
    <cellStyle name="Normal 4 4 2 2 2 6 3 4" xfId="40135" xr:uid="{DDEABE67-8F4D-4BE7-BB4E-9E6939E409C0}"/>
    <cellStyle name="Normal 4 4 2 2 2 6 3 5" xfId="14843" xr:uid="{BD897784-1F63-499C-BC43-86BCE779703E}"/>
    <cellStyle name="Normal 4 4 2 2 2 6 4" xfId="27489" xr:uid="{F719B9FF-D811-42E1-BF1E-0033178D7D85}"/>
    <cellStyle name="Normal 4 4 2 2 2 6 5" xfId="19060" xr:uid="{E0C968CF-5753-4591-B16F-8F4D0AF05D2D}"/>
    <cellStyle name="Normal 4 4 2 2 2 6 6" xfId="35918" xr:uid="{2B2DF822-FFCA-430A-9153-921FE11068EB}"/>
    <cellStyle name="Normal 4 4 2 2 2 6 7" xfId="10625" xr:uid="{83276511-60AC-4CE3-A852-56015A94996E}"/>
    <cellStyle name="Normal 4 4 2 2 2 7" xfId="2537" xr:uid="{00000000-0005-0000-0000-0000EC140000}"/>
    <cellStyle name="Normal 4 4 2 2 2 7 2" xfId="6821" xr:uid="{00000000-0005-0000-0000-0000ED140000}"/>
    <cellStyle name="Normal 4 4 2 2 2 7 2 2" xfId="32120" xr:uid="{06F870D1-4CD1-479A-A1D4-409581CF9B9C}"/>
    <cellStyle name="Normal 4 4 2 2 2 7 2 3" xfId="23691" xr:uid="{200464D7-004C-4D70-916C-D8BDD2E25FDD}"/>
    <cellStyle name="Normal 4 4 2 2 2 7 2 4" xfId="40548" xr:uid="{A9C1E3F0-FC2B-4FAF-A7CB-36A55C55D4B5}"/>
    <cellStyle name="Normal 4 4 2 2 2 7 2 5" xfId="15256" xr:uid="{78A4B2CC-1521-457C-9CD1-DFEE307CBE7C}"/>
    <cellStyle name="Normal 4 4 2 2 2 7 3" xfId="27902" xr:uid="{F93C4E43-1BCB-4795-8799-1458A51E29E3}"/>
    <cellStyle name="Normal 4 4 2 2 2 7 4" xfId="19473" xr:uid="{B777696B-E9E1-4AE6-A4B5-B009946CE2DD}"/>
    <cellStyle name="Normal 4 4 2 2 2 7 5" xfId="36331" xr:uid="{6A67DC89-1B43-457A-A7F4-18758ED30572}"/>
    <cellStyle name="Normal 4 4 2 2 2 7 6" xfId="11038" xr:uid="{3EDDA9EC-3C42-4CA6-A2EF-A2F351388A5D}"/>
    <cellStyle name="Normal 4 4 2 2 2 8" xfId="4756" xr:uid="{00000000-0005-0000-0000-0000EE140000}"/>
    <cellStyle name="Normal 4 4 2 2 2 8 2" xfId="30055" xr:uid="{1A92DE7B-7460-4D14-B8D6-DAA5FFF1894C}"/>
    <cellStyle name="Normal 4 4 2 2 2 8 3" xfId="21626" xr:uid="{1C9078E1-FF78-47E0-9F72-AAE5DB426F40}"/>
    <cellStyle name="Normal 4 4 2 2 2 8 4" xfId="38483" xr:uid="{42EF3C53-F38B-4D06-A756-73F98F33E51A}"/>
    <cellStyle name="Normal 4 4 2 2 2 8 5" xfId="13191" xr:uid="{6624B6E7-6D57-44A2-9597-F73FA87E7C1C}"/>
    <cellStyle name="Normal 4 4 2 2 2 9" xfId="25837" xr:uid="{E5C8896F-32A1-4C4E-96B6-AD58DEC93EE3}"/>
    <cellStyle name="Normal 4 4 2 2 3" xfId="383" xr:uid="{00000000-0005-0000-0000-0000EF140000}"/>
    <cellStyle name="Normal 4 4 2 2 3 10" xfId="34268" xr:uid="{050D5316-974A-42D4-B596-B2F8FE6C3605}"/>
    <cellStyle name="Normal 4 4 2 2 3 11" xfId="8975" xr:uid="{AEFAABB5-7322-4AEA-8E87-B7825CAFD3D7}"/>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32615" xr:uid="{20620602-CAA6-4805-8F50-36705A301372}"/>
    <cellStyle name="Normal 4 4 2 2 3 2 2 2 3" xfId="24186" xr:uid="{73F894D5-8E78-4C41-998A-6B667085F100}"/>
    <cellStyle name="Normal 4 4 2 2 3 2 2 2 4" xfId="41043" xr:uid="{A595028C-50A5-4122-9A7E-CA73B8EFAD44}"/>
    <cellStyle name="Normal 4 4 2 2 3 2 2 2 5" xfId="15751" xr:uid="{358DC089-71E1-46F9-8D37-5A55C41ACC8E}"/>
    <cellStyle name="Normal 4 4 2 2 3 2 2 3" xfId="28397" xr:uid="{118C2F92-7609-4140-AFE2-57029F5C20B2}"/>
    <cellStyle name="Normal 4 4 2 2 3 2 2 4" xfId="19968" xr:uid="{854F0198-A44A-474D-9D88-CC9E1B1DD9CE}"/>
    <cellStyle name="Normal 4 4 2 2 3 2 2 5" xfId="36826" xr:uid="{7AB4245C-7F96-4E08-8AD6-57CA4C930A8E}"/>
    <cellStyle name="Normal 4 4 2 2 3 2 2 6" xfId="11533" xr:uid="{3DB2D74B-37C3-470B-8A89-D9DFDDB3854E}"/>
    <cellStyle name="Normal 4 4 2 2 3 2 3" xfId="5171" xr:uid="{00000000-0005-0000-0000-0000F3140000}"/>
    <cellStyle name="Normal 4 4 2 2 3 2 3 2" xfId="30470" xr:uid="{AC72B316-AD76-4553-AB4C-CA53C3EC7026}"/>
    <cellStyle name="Normal 4 4 2 2 3 2 3 3" xfId="22041" xr:uid="{83A44B99-AB6E-4F6D-A314-32A4D64950B6}"/>
    <cellStyle name="Normal 4 4 2 2 3 2 3 4" xfId="38898" xr:uid="{0DFD68BA-DDB2-45A1-8AE3-80701EEB3646}"/>
    <cellStyle name="Normal 4 4 2 2 3 2 3 5" xfId="13606" xr:uid="{25A55272-46BD-4302-8A27-3F13E7329FBC}"/>
    <cellStyle name="Normal 4 4 2 2 3 2 4" xfId="26252" xr:uid="{F6790BC2-EC44-4D54-8F6B-145E9212AD1D}"/>
    <cellStyle name="Normal 4 4 2 2 3 2 5" xfId="17823" xr:uid="{99553BFC-6073-4720-9B09-66C44391329D}"/>
    <cellStyle name="Normal 4 4 2 2 3 2 6" xfId="34681" xr:uid="{D7092A8D-63C2-4441-99D5-96A24B9F29C8}"/>
    <cellStyle name="Normal 4 4 2 2 3 2 7" xfId="9388" xr:uid="{E9B0C01C-BD81-470C-8E16-CA02E625DF77}"/>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33028" xr:uid="{3D8E5A13-277D-4431-8D22-FDAF2CCF9B8A}"/>
    <cellStyle name="Normal 4 4 2 2 3 3 2 2 3" xfId="24599" xr:uid="{E1330723-AB8C-4788-8689-B11A87D849EE}"/>
    <cellStyle name="Normal 4 4 2 2 3 3 2 2 4" xfId="41456" xr:uid="{A9539A56-5C4D-465B-A434-6F0335FB6621}"/>
    <cellStyle name="Normal 4 4 2 2 3 3 2 2 5" xfId="16164" xr:uid="{482B266E-B66F-4154-B81A-61038AE8D451}"/>
    <cellStyle name="Normal 4 4 2 2 3 3 2 3" xfId="28810" xr:uid="{D4CFACD4-3A0C-4D6B-8987-BBEE2B95FDED}"/>
    <cellStyle name="Normal 4 4 2 2 3 3 2 4" xfId="20381" xr:uid="{1EB83E06-AE86-4207-84AB-464AE3555DAC}"/>
    <cellStyle name="Normal 4 4 2 2 3 3 2 5" xfId="37239" xr:uid="{3F6C4002-58B4-4389-92A5-0A187CDB9189}"/>
    <cellStyle name="Normal 4 4 2 2 3 3 2 6" xfId="11946" xr:uid="{4DCD1D49-55AC-480B-9B70-F40E2C96E2AC}"/>
    <cellStyle name="Normal 4 4 2 2 3 3 3" xfId="5584" xr:uid="{00000000-0005-0000-0000-0000F7140000}"/>
    <cellStyle name="Normal 4 4 2 2 3 3 3 2" xfId="30883" xr:uid="{F325C314-FCFE-4B36-8C5C-6C80D986273E}"/>
    <cellStyle name="Normal 4 4 2 2 3 3 3 3" xfId="22454" xr:uid="{1A6314DA-CCBD-4D5A-82AC-84CDD21DC19B}"/>
    <cellStyle name="Normal 4 4 2 2 3 3 3 4" xfId="39311" xr:uid="{F7864D22-D052-4414-B5F6-1473F23293DC}"/>
    <cellStyle name="Normal 4 4 2 2 3 3 3 5" xfId="14019" xr:uid="{A9A9E0B8-8735-4690-AE7C-4EF967793288}"/>
    <cellStyle name="Normal 4 4 2 2 3 3 4" xfId="26665" xr:uid="{1C7BD56B-2180-4F51-9852-E4E55168FABE}"/>
    <cellStyle name="Normal 4 4 2 2 3 3 5" xfId="18236" xr:uid="{8A1CB10E-7570-4CF8-BEB1-2E1A31220FB8}"/>
    <cellStyle name="Normal 4 4 2 2 3 3 6" xfId="35094" xr:uid="{8204C6C0-3FA1-4B8C-889D-430C2959EE98}"/>
    <cellStyle name="Normal 4 4 2 2 3 3 7" xfId="9801" xr:uid="{CD295C20-3929-4C02-BBD2-4390BB221E8C}"/>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33441" xr:uid="{8D2AE271-AEF7-452C-B3B5-EA43FA2EF06F}"/>
    <cellStyle name="Normal 4 4 2 2 3 4 2 2 3" xfId="25012" xr:uid="{76843758-EE2E-4BB1-910A-A35F8E066CF4}"/>
    <cellStyle name="Normal 4 4 2 2 3 4 2 2 4" xfId="41869" xr:uid="{A170F9C6-362E-4D76-9C6E-B7AF82B53DDF}"/>
    <cellStyle name="Normal 4 4 2 2 3 4 2 2 5" xfId="16577" xr:uid="{12600F0B-5DE6-40CD-9A35-117E84D8ECE5}"/>
    <cellStyle name="Normal 4 4 2 2 3 4 2 3" xfId="29223" xr:uid="{B882A533-4AAB-4400-8854-06CA2C0A14A5}"/>
    <cellStyle name="Normal 4 4 2 2 3 4 2 4" xfId="20794" xr:uid="{59923BFF-FEAE-423B-AC62-E5645178FAAD}"/>
    <cellStyle name="Normal 4 4 2 2 3 4 2 5" xfId="37652" xr:uid="{540EB58C-AFDF-4CED-B810-0E66DDA45A4A}"/>
    <cellStyle name="Normal 4 4 2 2 3 4 2 6" xfId="12359" xr:uid="{69533F66-D8E9-41BA-B9D1-A31EEAC768DD}"/>
    <cellStyle name="Normal 4 4 2 2 3 4 3" xfId="5997" xr:uid="{00000000-0005-0000-0000-0000FB140000}"/>
    <cellStyle name="Normal 4 4 2 2 3 4 3 2" xfId="31296" xr:uid="{595F2C85-8843-484E-B459-BAFECA12A14B}"/>
    <cellStyle name="Normal 4 4 2 2 3 4 3 3" xfId="22867" xr:uid="{A2654560-441F-45AE-94C4-1AFB63C0D241}"/>
    <cellStyle name="Normal 4 4 2 2 3 4 3 4" xfId="39724" xr:uid="{9579D79E-7C03-4356-905D-840F4E60B6DF}"/>
    <cellStyle name="Normal 4 4 2 2 3 4 3 5" xfId="14432" xr:uid="{D8ED1D83-601B-49C4-9D75-5115D9ABA07B}"/>
    <cellStyle name="Normal 4 4 2 2 3 4 4" xfId="27078" xr:uid="{7CF7E436-BEF2-4997-99A6-D864E193871F}"/>
    <cellStyle name="Normal 4 4 2 2 3 4 5" xfId="18649" xr:uid="{EBAB35A5-460D-4F2E-AAA0-5600E3342D0C}"/>
    <cellStyle name="Normal 4 4 2 2 3 4 6" xfId="35507" xr:uid="{E8166F16-F0B1-4637-B487-5B5B4124017E}"/>
    <cellStyle name="Normal 4 4 2 2 3 4 7" xfId="10214" xr:uid="{94D43CE3-DC6F-467F-B311-3A3CF89BD1EB}"/>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33854" xr:uid="{A2C9BA28-4169-4AA2-A460-C62AC7DEC1EF}"/>
    <cellStyle name="Normal 4 4 2 2 3 5 2 2 3" xfId="25425" xr:uid="{0B519ED6-1041-4B6A-8BFB-38F3B5BD2686}"/>
    <cellStyle name="Normal 4 4 2 2 3 5 2 2 4" xfId="42282" xr:uid="{C76ACDAF-8971-47C5-9537-F0C13091760C}"/>
    <cellStyle name="Normal 4 4 2 2 3 5 2 2 5" xfId="16990" xr:uid="{2FFDBCC4-029D-4702-BF16-C8F0E65A314E}"/>
    <cellStyle name="Normal 4 4 2 2 3 5 2 3" xfId="29636" xr:uid="{622C50DA-F5E1-4BD6-8054-DA542F56A2D8}"/>
    <cellStyle name="Normal 4 4 2 2 3 5 2 4" xfId="21207" xr:uid="{96016D23-88D7-49A2-8070-7E4D12C215AD}"/>
    <cellStyle name="Normal 4 4 2 2 3 5 2 5" xfId="38065" xr:uid="{A9816DFB-8D18-44F0-AC5A-77940F55D07C}"/>
    <cellStyle name="Normal 4 4 2 2 3 5 2 6" xfId="12772" xr:uid="{A447E80A-E5C4-4A4D-AB17-2B3983AE8003}"/>
    <cellStyle name="Normal 4 4 2 2 3 5 3" xfId="6410" xr:uid="{00000000-0005-0000-0000-0000FF140000}"/>
    <cellStyle name="Normal 4 4 2 2 3 5 3 2" xfId="31709" xr:uid="{8287628A-DC61-4CBC-AFAE-CFE79FD27145}"/>
    <cellStyle name="Normal 4 4 2 2 3 5 3 3" xfId="23280" xr:uid="{842E1831-F83D-421A-9ECF-ACA30C61CF7A}"/>
    <cellStyle name="Normal 4 4 2 2 3 5 3 4" xfId="40137" xr:uid="{5E7584BA-19AA-4F09-9D09-8C1C322E275D}"/>
    <cellStyle name="Normal 4 4 2 2 3 5 3 5" xfId="14845" xr:uid="{31CC3B2E-11EE-4154-AD13-5518406AB216}"/>
    <cellStyle name="Normal 4 4 2 2 3 5 4" xfId="27491" xr:uid="{0742B2AE-03CC-4D13-A65F-5C0BCF047BC2}"/>
    <cellStyle name="Normal 4 4 2 2 3 5 5" xfId="19062" xr:uid="{2526501A-A877-4B18-B6FF-D6E84C1F3607}"/>
    <cellStyle name="Normal 4 4 2 2 3 5 6" xfId="35920" xr:uid="{0D0221F8-D174-43F0-B77D-388496814402}"/>
    <cellStyle name="Normal 4 4 2 2 3 5 7" xfId="10627" xr:uid="{6C06A1AB-BFB6-4928-B490-BFA27E116661}"/>
    <cellStyle name="Normal 4 4 2 2 3 6" xfId="2539" xr:uid="{00000000-0005-0000-0000-000000150000}"/>
    <cellStyle name="Normal 4 4 2 2 3 6 2" xfId="6823" xr:uid="{00000000-0005-0000-0000-000001150000}"/>
    <cellStyle name="Normal 4 4 2 2 3 6 2 2" xfId="32122" xr:uid="{804F6FF8-3B56-4A34-AC32-A385C84F3609}"/>
    <cellStyle name="Normal 4 4 2 2 3 6 2 3" xfId="23693" xr:uid="{AB60AB3D-E32D-47BC-9241-0A7EB55A6C99}"/>
    <cellStyle name="Normal 4 4 2 2 3 6 2 4" xfId="40550" xr:uid="{19307BC4-8560-4BFF-AFE0-A24BDA185F5E}"/>
    <cellStyle name="Normal 4 4 2 2 3 6 2 5" xfId="15258" xr:uid="{940571FA-13F9-43F5-89E5-F780589BD0EF}"/>
    <cellStyle name="Normal 4 4 2 2 3 6 3" xfId="27904" xr:uid="{91424177-8D5B-4F62-B052-05C6BD7C49A8}"/>
    <cellStyle name="Normal 4 4 2 2 3 6 4" xfId="19475" xr:uid="{4930BFD0-A4A4-4713-9C2D-1B899E6B6433}"/>
    <cellStyle name="Normal 4 4 2 2 3 6 5" xfId="36333" xr:uid="{56AFFB49-884D-4DF4-B6A4-893745A074C1}"/>
    <cellStyle name="Normal 4 4 2 2 3 6 6" xfId="11040" xr:uid="{4F4C4D2D-947E-4264-8FC6-99CE2A4CB5BC}"/>
    <cellStyle name="Normal 4 4 2 2 3 7" xfId="4758" xr:uid="{00000000-0005-0000-0000-000002150000}"/>
    <cellStyle name="Normal 4 4 2 2 3 7 2" xfId="30057" xr:uid="{450E1BAE-8B14-4A37-97B9-2CE2B157B841}"/>
    <cellStyle name="Normal 4 4 2 2 3 7 3" xfId="21628" xr:uid="{F9730F3A-2FEB-44D1-B133-B3BD516B2910}"/>
    <cellStyle name="Normal 4 4 2 2 3 7 4" xfId="38485" xr:uid="{65E5BC2D-67CD-4ADF-8EC9-EDE94EC50811}"/>
    <cellStyle name="Normal 4 4 2 2 3 7 5" xfId="13193" xr:uid="{1C5256FF-04C6-4C0C-BA41-D4C812765CA7}"/>
    <cellStyle name="Normal 4 4 2 2 3 8" xfId="25839" xr:uid="{B20E60C7-DC4E-4BA8-8E4B-9E490FD4974B}"/>
    <cellStyle name="Normal 4 4 2 2 3 9" xfId="17410" xr:uid="{C0A95C18-1B26-4DFC-A35B-3FD5BF08A9A3}"/>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32612" xr:uid="{B7283ED8-19CF-4A98-B6FB-C303A989EB5D}"/>
    <cellStyle name="Normal 4 4 2 2 4 2 2 3" xfId="24183" xr:uid="{5F35376C-04FD-4E4D-A619-1C73736D68DF}"/>
    <cellStyle name="Normal 4 4 2 2 4 2 2 4" xfId="41040" xr:uid="{1D191677-316E-497C-9BC5-8F895C06FCB5}"/>
    <cellStyle name="Normal 4 4 2 2 4 2 2 5" xfId="15748" xr:uid="{D3EA96E2-FD7B-4CA5-AAA3-8C7B3C16D5BA}"/>
    <cellStyle name="Normal 4 4 2 2 4 2 3" xfId="28394" xr:uid="{8C9D1CA5-A9CB-4156-9986-B0389A44AA97}"/>
    <cellStyle name="Normal 4 4 2 2 4 2 4" xfId="19965" xr:uid="{12A991BA-13E7-4A44-B5EA-41D2CB9D60D3}"/>
    <cellStyle name="Normal 4 4 2 2 4 2 5" xfId="36823" xr:uid="{C5D34033-65DF-4582-A696-5C3C52553DF8}"/>
    <cellStyle name="Normal 4 4 2 2 4 2 6" xfId="11530" xr:uid="{91E91685-2A89-4528-8AC4-C110EBB4E69B}"/>
    <cellStyle name="Normal 4 4 2 2 4 3" xfId="5168" xr:uid="{00000000-0005-0000-0000-000006150000}"/>
    <cellStyle name="Normal 4 4 2 2 4 3 2" xfId="30467" xr:uid="{9AAB7C7A-9FA1-4EE9-868A-7EC14A995DFF}"/>
    <cellStyle name="Normal 4 4 2 2 4 3 3" xfId="22038" xr:uid="{4EBE8D44-4E8E-45C1-ABB4-7A6D3ECF1F56}"/>
    <cellStyle name="Normal 4 4 2 2 4 3 4" xfId="38895" xr:uid="{CD6AB6D9-B9CE-42AD-B001-54EFE3B2CB07}"/>
    <cellStyle name="Normal 4 4 2 2 4 3 5" xfId="13603" xr:uid="{23CBA532-B766-4219-A599-0531DB7419E6}"/>
    <cellStyle name="Normal 4 4 2 2 4 4" xfId="26249" xr:uid="{22DF7EC5-98A0-4655-8328-97587D74AFCD}"/>
    <cellStyle name="Normal 4 4 2 2 4 5" xfId="17820" xr:uid="{769CB749-2AE9-4168-8286-F0F408029E37}"/>
    <cellStyle name="Normal 4 4 2 2 4 6" xfId="34678" xr:uid="{A9F71934-CF06-4C99-B718-1F1BC22A8629}"/>
    <cellStyle name="Normal 4 4 2 2 4 7" xfId="9385" xr:uid="{78D0AD60-7DDB-44CE-AF3A-FE58860B79A2}"/>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33025" xr:uid="{7E958088-3387-4F77-B764-84D8728900AF}"/>
    <cellStyle name="Normal 4 4 2 2 5 2 2 3" xfId="24596" xr:uid="{76B768D2-A49D-473F-851E-AEED103B959C}"/>
    <cellStyle name="Normal 4 4 2 2 5 2 2 4" xfId="41453" xr:uid="{8BB08CED-DCF3-4B9A-8C9A-20DF11557DAB}"/>
    <cellStyle name="Normal 4 4 2 2 5 2 2 5" xfId="16161" xr:uid="{D9AB2817-04CB-414C-A8D2-388943612F9A}"/>
    <cellStyle name="Normal 4 4 2 2 5 2 3" xfId="28807" xr:uid="{6AF6F3FB-676B-4DF4-BD10-9198735D8F1A}"/>
    <cellStyle name="Normal 4 4 2 2 5 2 4" xfId="20378" xr:uid="{B0FA9C39-68EE-4A72-A2F7-9D84F19AF38A}"/>
    <cellStyle name="Normal 4 4 2 2 5 2 5" xfId="37236" xr:uid="{EB4175D8-815C-47A3-9623-154A5D3EA930}"/>
    <cellStyle name="Normal 4 4 2 2 5 2 6" xfId="11943" xr:uid="{636438EF-B033-432B-BA3F-2C2EC9AA2D86}"/>
    <cellStyle name="Normal 4 4 2 2 5 3" xfId="5581" xr:uid="{00000000-0005-0000-0000-00000A150000}"/>
    <cellStyle name="Normal 4 4 2 2 5 3 2" xfId="30880" xr:uid="{C5EAA8FD-B6BF-4315-9B0E-B33318B6AAA6}"/>
    <cellStyle name="Normal 4 4 2 2 5 3 3" xfId="22451" xr:uid="{5140B147-9AF4-4E98-8DF4-B30741A3E1A4}"/>
    <cellStyle name="Normal 4 4 2 2 5 3 4" xfId="39308" xr:uid="{DA7A8CA3-A2D3-4082-953D-78F993E75C54}"/>
    <cellStyle name="Normal 4 4 2 2 5 3 5" xfId="14016" xr:uid="{4522DA83-9F2C-46CC-9ED5-A5618EB1DE30}"/>
    <cellStyle name="Normal 4 4 2 2 5 4" xfId="26662" xr:uid="{23924388-FFF4-458E-9A53-D3ACB11CE451}"/>
    <cellStyle name="Normal 4 4 2 2 5 5" xfId="18233" xr:uid="{5EC46B43-4817-4BA5-9CFF-51CDE1384C10}"/>
    <cellStyle name="Normal 4 4 2 2 5 6" xfId="35091" xr:uid="{D25BB3F7-1AA9-418F-82C2-AC78241E0371}"/>
    <cellStyle name="Normal 4 4 2 2 5 7" xfId="9798" xr:uid="{FEB857BD-F010-42F1-8F30-44DF3EECDF0F}"/>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33438" xr:uid="{189CE119-E8E8-4466-B68D-1754970E87FF}"/>
    <cellStyle name="Normal 4 4 2 2 6 2 2 3" xfId="25009" xr:uid="{52F1CA59-247D-4495-A14F-00124454F36F}"/>
    <cellStyle name="Normal 4 4 2 2 6 2 2 4" xfId="41866" xr:uid="{491CD6A6-8E9B-40F0-B9EC-AC1FE0AC2612}"/>
    <cellStyle name="Normal 4 4 2 2 6 2 2 5" xfId="16574" xr:uid="{891CBE9E-59AB-44A6-B9B1-66CA24FCD2EA}"/>
    <cellStyle name="Normal 4 4 2 2 6 2 3" xfId="29220" xr:uid="{E1CDDD76-ADA2-469D-9E0A-131FCB097E1C}"/>
    <cellStyle name="Normal 4 4 2 2 6 2 4" xfId="20791" xr:uid="{3B483054-B15F-4D45-9C4E-EC5C3F299A56}"/>
    <cellStyle name="Normal 4 4 2 2 6 2 5" xfId="37649" xr:uid="{4F27FD88-78FF-4F78-854D-228FFA3FE73B}"/>
    <cellStyle name="Normal 4 4 2 2 6 2 6" xfId="12356" xr:uid="{45D67E9F-D822-45E5-AB17-9B6456AAA768}"/>
    <cellStyle name="Normal 4 4 2 2 6 3" xfId="5994" xr:uid="{00000000-0005-0000-0000-00000E150000}"/>
    <cellStyle name="Normal 4 4 2 2 6 3 2" xfId="31293" xr:uid="{9E29E271-B72E-4607-A55A-2A243A158C57}"/>
    <cellStyle name="Normal 4 4 2 2 6 3 3" xfId="22864" xr:uid="{1C25DB90-9BA3-47E9-B6F5-13712BE0AEC7}"/>
    <cellStyle name="Normal 4 4 2 2 6 3 4" xfId="39721" xr:uid="{84DD8B04-95D1-4752-B33A-6B22D2F29BB4}"/>
    <cellStyle name="Normal 4 4 2 2 6 3 5" xfId="14429" xr:uid="{AE017DF4-67D9-409A-8006-74C61E3370D2}"/>
    <cellStyle name="Normal 4 4 2 2 6 4" xfId="27075" xr:uid="{EF2A3FC5-AC0F-4E9B-94AF-000F04280B14}"/>
    <cellStyle name="Normal 4 4 2 2 6 5" xfId="18646" xr:uid="{46CD6F52-D7D5-48DC-9CC9-2ADA5A788734}"/>
    <cellStyle name="Normal 4 4 2 2 6 6" xfId="35504" xr:uid="{581CA502-E464-4195-A190-4DF4D8E40FE6}"/>
    <cellStyle name="Normal 4 4 2 2 6 7" xfId="10211" xr:uid="{7A009D35-4359-44E5-A7A6-73F88275F7A3}"/>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33851" xr:uid="{A4E3B61A-4BF1-4D55-9088-B3832D1F67C6}"/>
    <cellStyle name="Normal 4 4 2 2 7 2 2 3" xfId="25422" xr:uid="{C3F7A060-0803-44E9-BE0C-D565EBA32394}"/>
    <cellStyle name="Normal 4 4 2 2 7 2 2 4" xfId="42279" xr:uid="{DE5839AC-B4BB-4BDA-BA84-3DDA9B45189F}"/>
    <cellStyle name="Normal 4 4 2 2 7 2 2 5" xfId="16987" xr:uid="{0DA01951-65BE-471F-9529-8CBCBAA6A72C}"/>
    <cellStyle name="Normal 4 4 2 2 7 2 3" xfId="29633" xr:uid="{ADBC89C0-F5AF-4105-A095-FCDC52850480}"/>
    <cellStyle name="Normal 4 4 2 2 7 2 4" xfId="21204" xr:uid="{FDC30052-9940-4320-92B7-680F7954A516}"/>
    <cellStyle name="Normal 4 4 2 2 7 2 5" xfId="38062" xr:uid="{22A0D020-ECAF-4F63-97C4-F11AEB59CB6D}"/>
    <cellStyle name="Normal 4 4 2 2 7 2 6" xfId="12769" xr:uid="{3B562FCC-64AB-42FD-BBFE-FA1006F5DF8C}"/>
    <cellStyle name="Normal 4 4 2 2 7 3" xfId="6407" xr:uid="{00000000-0005-0000-0000-000012150000}"/>
    <cellStyle name="Normal 4 4 2 2 7 3 2" xfId="31706" xr:uid="{9B146D1A-E23B-4D0C-B1EB-594B122DF618}"/>
    <cellStyle name="Normal 4 4 2 2 7 3 3" xfId="23277" xr:uid="{A6CBA01A-D2B8-4A5A-8F33-F3B50A4906AF}"/>
    <cellStyle name="Normal 4 4 2 2 7 3 4" xfId="40134" xr:uid="{1D6400F2-4257-41E9-A807-4483FA4CB3A3}"/>
    <cellStyle name="Normal 4 4 2 2 7 3 5" xfId="14842" xr:uid="{4B8592C8-AF54-47DF-8D71-4BEF2823CED1}"/>
    <cellStyle name="Normal 4 4 2 2 7 4" xfId="27488" xr:uid="{BF6D8156-77C8-4DB4-9D2F-67330D84ADC8}"/>
    <cellStyle name="Normal 4 4 2 2 7 5" xfId="19059" xr:uid="{DD9770E6-D8AB-46AC-BDD6-7E790E0B02DF}"/>
    <cellStyle name="Normal 4 4 2 2 7 6" xfId="35917" xr:uid="{BA448D78-57E1-4990-AB1B-12F415157130}"/>
    <cellStyle name="Normal 4 4 2 2 7 7" xfId="10624" xr:uid="{2F88E55E-478F-4A77-8E0C-0A9D33F249CE}"/>
    <cellStyle name="Normal 4 4 2 2 8" xfId="2536" xr:uid="{00000000-0005-0000-0000-000013150000}"/>
    <cellStyle name="Normal 4 4 2 2 8 2" xfId="6820" xr:uid="{00000000-0005-0000-0000-000014150000}"/>
    <cellStyle name="Normal 4 4 2 2 8 2 2" xfId="32119" xr:uid="{20297C5D-F218-435C-AFAB-F7D0BBB45618}"/>
    <cellStyle name="Normal 4 4 2 2 8 2 3" xfId="23690" xr:uid="{5879ABCD-47E7-41A8-88BE-DCFAE294D23A}"/>
    <cellStyle name="Normal 4 4 2 2 8 2 4" xfId="40547" xr:uid="{36E7E0F4-9D2F-45DD-97EB-D9E01A9D6857}"/>
    <cellStyle name="Normal 4 4 2 2 8 2 5" xfId="15255" xr:uid="{A64063DD-CB4C-4937-9AA6-A405FF422D5A}"/>
    <cellStyle name="Normal 4 4 2 2 8 3" xfId="27901" xr:uid="{172EE52C-F084-4557-BDE8-B6EB02F31494}"/>
    <cellStyle name="Normal 4 4 2 2 8 4" xfId="19472" xr:uid="{1B811FC6-4BF3-4ECC-92C2-EFBBC62D676D}"/>
    <cellStyle name="Normal 4 4 2 2 8 5" xfId="36330" xr:uid="{E3C87E30-6E83-4661-B457-BC0074F53D5E}"/>
    <cellStyle name="Normal 4 4 2 2 8 6" xfId="11037" xr:uid="{05664D50-902E-4F67-A177-AA659427E261}"/>
    <cellStyle name="Normal 4 4 2 2 9" xfId="4755" xr:uid="{00000000-0005-0000-0000-000015150000}"/>
    <cellStyle name="Normal 4 4 2 2 9 2" xfId="30054" xr:uid="{A0C83954-9EDA-47D0-B9E0-018A9921A23C}"/>
    <cellStyle name="Normal 4 4 2 2 9 3" xfId="21625" xr:uid="{55801B3C-85C1-4C97-98D1-360E6FD4A994}"/>
    <cellStyle name="Normal 4 4 2 2 9 4" xfId="38482" xr:uid="{B36A3F58-2F43-4C8D-8DB4-C77EC38FE816}"/>
    <cellStyle name="Normal 4 4 2 2 9 5" xfId="13190" xr:uid="{965BE029-B5E9-40C6-92CD-CDF3D19AFE2D}"/>
    <cellStyle name="Normal 4 4 2 3" xfId="384" xr:uid="{00000000-0005-0000-0000-000016150000}"/>
    <cellStyle name="Normal 4 4 2 3 10" xfId="17411" xr:uid="{7EC44B7F-6EF5-4256-B9F9-EAC6B310E844}"/>
    <cellStyle name="Normal 4 4 2 3 11" xfId="34269" xr:uid="{B83841B4-A357-422C-84B6-42C6FB2654A1}"/>
    <cellStyle name="Normal 4 4 2 3 12" xfId="8976" xr:uid="{07CA655E-12E2-47B5-BE84-A5EA4AFC9DE0}"/>
    <cellStyle name="Normal 4 4 2 3 2" xfId="385" xr:uid="{00000000-0005-0000-0000-000017150000}"/>
    <cellStyle name="Normal 4 4 2 3 2 10" xfId="34270" xr:uid="{419B7100-CA8A-4892-983D-8F44FF4A2A35}"/>
    <cellStyle name="Normal 4 4 2 3 2 11" xfId="8977" xr:uid="{27D4CA6A-07E9-48BE-863A-8ECF08E66E36}"/>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32617" xr:uid="{F4B0F1AA-B582-4BF8-A43B-58AF349A775B}"/>
    <cellStyle name="Normal 4 4 2 3 2 2 2 2 3" xfId="24188" xr:uid="{70F64797-7320-431A-8BD4-03834BC80417}"/>
    <cellStyle name="Normal 4 4 2 3 2 2 2 2 4" xfId="41045" xr:uid="{44D3F4AD-0713-48B0-B034-4F35CA29FBD7}"/>
    <cellStyle name="Normal 4 4 2 3 2 2 2 2 5" xfId="15753" xr:uid="{79A5C8DF-8E03-4AC6-9030-6959B05122BA}"/>
    <cellStyle name="Normal 4 4 2 3 2 2 2 3" xfId="28399" xr:uid="{82C52045-FA85-4200-A314-186165E453D5}"/>
    <cellStyle name="Normal 4 4 2 3 2 2 2 4" xfId="19970" xr:uid="{38E42234-6AF1-4143-AAA0-93A704D027A7}"/>
    <cellStyle name="Normal 4 4 2 3 2 2 2 5" xfId="36828" xr:uid="{073E8818-5251-42CB-92BC-1A953A0774DA}"/>
    <cellStyle name="Normal 4 4 2 3 2 2 2 6" xfId="11535" xr:uid="{B91D63B9-E148-4CA2-811F-3693889E1302}"/>
    <cellStyle name="Normal 4 4 2 3 2 2 3" xfId="5173" xr:uid="{00000000-0005-0000-0000-00001B150000}"/>
    <cellStyle name="Normal 4 4 2 3 2 2 3 2" xfId="30472" xr:uid="{D1F45CB1-D4B0-464E-A10D-AD35B6DCC065}"/>
    <cellStyle name="Normal 4 4 2 3 2 2 3 3" xfId="22043" xr:uid="{B5C4B31D-2F91-4629-ADA5-C91D9B30F36E}"/>
    <cellStyle name="Normal 4 4 2 3 2 2 3 4" xfId="38900" xr:uid="{988D7743-0252-4231-B64B-1720A078A54E}"/>
    <cellStyle name="Normal 4 4 2 3 2 2 3 5" xfId="13608" xr:uid="{C8EDDB8B-144D-44D0-93F8-82CEAC77A689}"/>
    <cellStyle name="Normal 4 4 2 3 2 2 4" xfId="26254" xr:uid="{32DE4E80-7390-4FAC-A960-A1D735D55A0B}"/>
    <cellStyle name="Normal 4 4 2 3 2 2 5" xfId="17825" xr:uid="{65F0FB9E-BACD-4DE8-B914-F32828670C46}"/>
    <cellStyle name="Normal 4 4 2 3 2 2 6" xfId="34683" xr:uid="{31091A45-0A9E-4B5B-A1F3-DDFEE66B09F9}"/>
    <cellStyle name="Normal 4 4 2 3 2 2 7" xfId="9390" xr:uid="{DF25227D-98E3-4803-9515-8FE8E691A40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33030" xr:uid="{4F9743D5-F13B-4825-8093-F4E55AF950C9}"/>
    <cellStyle name="Normal 4 4 2 3 2 3 2 2 3" xfId="24601" xr:uid="{5795E403-A100-4990-9176-AFFDA446B2DA}"/>
    <cellStyle name="Normal 4 4 2 3 2 3 2 2 4" xfId="41458" xr:uid="{FF7380EB-D73B-4C7E-8020-91A1F17A496C}"/>
    <cellStyle name="Normal 4 4 2 3 2 3 2 2 5" xfId="16166" xr:uid="{21DB67B8-0904-4749-BE54-73C47DCD9E0A}"/>
    <cellStyle name="Normal 4 4 2 3 2 3 2 3" xfId="28812" xr:uid="{F756F32B-2F0B-4256-92A6-AD8AF7E05F9D}"/>
    <cellStyle name="Normal 4 4 2 3 2 3 2 4" xfId="20383" xr:uid="{CD9A40E7-118B-4B9C-9AAF-77AAF75697EC}"/>
    <cellStyle name="Normal 4 4 2 3 2 3 2 5" xfId="37241" xr:uid="{25C27C1B-4130-4FC8-9B1C-FBC107729A07}"/>
    <cellStyle name="Normal 4 4 2 3 2 3 2 6" xfId="11948" xr:uid="{000590C9-6257-4DCB-B6C8-C3837594CEB7}"/>
    <cellStyle name="Normal 4 4 2 3 2 3 3" xfId="5586" xr:uid="{00000000-0005-0000-0000-00001F150000}"/>
    <cellStyle name="Normal 4 4 2 3 2 3 3 2" xfId="30885" xr:uid="{B8989150-DD07-4946-97C6-767474EC9E04}"/>
    <cellStyle name="Normal 4 4 2 3 2 3 3 3" xfId="22456" xr:uid="{F554725C-36AE-4EB8-ADF2-8396B336AB67}"/>
    <cellStyle name="Normal 4 4 2 3 2 3 3 4" xfId="39313" xr:uid="{902C9632-AFBB-4AE1-8897-35D7B76A467B}"/>
    <cellStyle name="Normal 4 4 2 3 2 3 3 5" xfId="14021" xr:uid="{E7AC8E65-6428-45B4-A24A-B6972FB76012}"/>
    <cellStyle name="Normal 4 4 2 3 2 3 4" xfId="26667" xr:uid="{FE5E56F1-5493-42D9-B0F2-3FF72E86BE8E}"/>
    <cellStyle name="Normal 4 4 2 3 2 3 5" xfId="18238" xr:uid="{09C34808-8864-4F97-B30F-480701D73518}"/>
    <cellStyle name="Normal 4 4 2 3 2 3 6" xfId="35096" xr:uid="{9D2F65BF-584D-4C27-B2A1-9D5E0637A393}"/>
    <cellStyle name="Normal 4 4 2 3 2 3 7" xfId="9803" xr:uid="{5E67DDE7-8CB1-4BAC-929F-16C64BCD0601}"/>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33443" xr:uid="{4E1CCDD7-D828-4163-B273-7469B296ED0A}"/>
    <cellStyle name="Normal 4 4 2 3 2 4 2 2 3" xfId="25014" xr:uid="{5E42E86D-FF27-4B83-B121-3C6B12DAC87B}"/>
    <cellStyle name="Normal 4 4 2 3 2 4 2 2 4" xfId="41871" xr:uid="{7FDE0850-42EF-4B6B-AEA2-474BC1B47C1C}"/>
    <cellStyle name="Normal 4 4 2 3 2 4 2 2 5" xfId="16579" xr:uid="{FF2EA434-2D4D-4A30-9AEB-BF7A95E815D1}"/>
    <cellStyle name="Normal 4 4 2 3 2 4 2 3" xfId="29225" xr:uid="{22C19BCA-F1FD-41E6-93B5-D89E9BB2CAD8}"/>
    <cellStyle name="Normal 4 4 2 3 2 4 2 4" xfId="20796" xr:uid="{1FBFE612-76FF-4619-A260-BF7822B76C80}"/>
    <cellStyle name="Normal 4 4 2 3 2 4 2 5" xfId="37654" xr:uid="{AC8DEA51-B4CA-48D0-BA66-98A504A7BCB1}"/>
    <cellStyle name="Normal 4 4 2 3 2 4 2 6" xfId="12361" xr:uid="{55E41A75-33CC-4E86-B0A2-5394B82B2C0E}"/>
    <cellStyle name="Normal 4 4 2 3 2 4 3" xfId="5999" xr:uid="{00000000-0005-0000-0000-000023150000}"/>
    <cellStyle name="Normal 4 4 2 3 2 4 3 2" xfId="31298" xr:uid="{B9EFA261-26B4-4D6F-A305-260BD513B846}"/>
    <cellStyle name="Normal 4 4 2 3 2 4 3 3" xfId="22869" xr:uid="{FD65EE12-8109-4608-8D08-AC526E452288}"/>
    <cellStyle name="Normal 4 4 2 3 2 4 3 4" xfId="39726" xr:uid="{44DE5D44-259F-46FE-B1B7-E404203A4FD5}"/>
    <cellStyle name="Normal 4 4 2 3 2 4 3 5" xfId="14434" xr:uid="{35A8EFBA-E81E-4D96-81DC-B49DA58CC186}"/>
    <cellStyle name="Normal 4 4 2 3 2 4 4" xfId="27080" xr:uid="{F556FD79-6883-4A66-88EF-A5258E418045}"/>
    <cellStyle name="Normal 4 4 2 3 2 4 5" xfId="18651" xr:uid="{9908C6C7-9656-43E4-BD64-43C5C5E90DB4}"/>
    <cellStyle name="Normal 4 4 2 3 2 4 6" xfId="35509" xr:uid="{0DE5F7AD-8502-4CC6-B869-D00AB9BCDE7F}"/>
    <cellStyle name="Normal 4 4 2 3 2 4 7" xfId="10216" xr:uid="{F3300F13-65F9-441C-8246-387391A7F31F}"/>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33856" xr:uid="{245CDFC7-42FC-4881-8E15-BC0E729CDB5C}"/>
    <cellStyle name="Normal 4 4 2 3 2 5 2 2 3" xfId="25427" xr:uid="{9E913149-45CB-40B7-9E9F-FA5C5D9C9E42}"/>
    <cellStyle name="Normal 4 4 2 3 2 5 2 2 4" xfId="42284" xr:uid="{33E8F09E-F2B2-43CA-B59B-E0DB32593915}"/>
    <cellStyle name="Normal 4 4 2 3 2 5 2 2 5" xfId="16992" xr:uid="{AEE6FA5D-3001-4888-AC0E-AE08A582F649}"/>
    <cellStyle name="Normal 4 4 2 3 2 5 2 3" xfId="29638" xr:uid="{EC1EC225-C601-4440-9737-0356AE043BEF}"/>
    <cellStyle name="Normal 4 4 2 3 2 5 2 4" xfId="21209" xr:uid="{219E8ADE-148F-47EC-BF81-F480A3FB1A14}"/>
    <cellStyle name="Normal 4 4 2 3 2 5 2 5" xfId="38067" xr:uid="{9EB37EB2-4475-4949-93D3-1ED2E04C0C6E}"/>
    <cellStyle name="Normal 4 4 2 3 2 5 2 6" xfId="12774" xr:uid="{3D7FC80B-EF41-496D-8697-24B487D30965}"/>
    <cellStyle name="Normal 4 4 2 3 2 5 3" xfId="6412" xr:uid="{00000000-0005-0000-0000-000027150000}"/>
    <cellStyle name="Normal 4 4 2 3 2 5 3 2" xfId="31711" xr:uid="{27AC872E-35EB-4D7C-BB27-EA2AB46EFF58}"/>
    <cellStyle name="Normal 4 4 2 3 2 5 3 3" xfId="23282" xr:uid="{F8E57E89-F2AE-4431-B7CC-A6AD08F6E590}"/>
    <cellStyle name="Normal 4 4 2 3 2 5 3 4" xfId="40139" xr:uid="{6A2E589E-926E-4C38-BB0D-03D01BEE471F}"/>
    <cellStyle name="Normal 4 4 2 3 2 5 3 5" xfId="14847" xr:uid="{E36745B2-CF9C-476B-B1A2-92AF78B103E4}"/>
    <cellStyle name="Normal 4 4 2 3 2 5 4" xfId="27493" xr:uid="{E96AEE83-EFBF-49ED-A381-48D253090F83}"/>
    <cellStyle name="Normal 4 4 2 3 2 5 5" xfId="19064" xr:uid="{AEA95C39-BC87-4AA0-A3BF-B4C0FFD5030E}"/>
    <cellStyle name="Normal 4 4 2 3 2 5 6" xfId="35922" xr:uid="{30B12AF3-F488-496C-9BA6-392936332CB2}"/>
    <cellStyle name="Normal 4 4 2 3 2 5 7" xfId="10629" xr:uid="{5ECE52C2-F4BC-42CF-918D-ADDC2A23301F}"/>
    <cellStyle name="Normal 4 4 2 3 2 6" xfId="2541" xr:uid="{00000000-0005-0000-0000-000028150000}"/>
    <cellStyle name="Normal 4 4 2 3 2 6 2" xfId="6825" xr:uid="{00000000-0005-0000-0000-000029150000}"/>
    <cellStyle name="Normal 4 4 2 3 2 6 2 2" xfId="32124" xr:uid="{77AAEAEB-C14A-4163-B1CE-F7FE26B8E244}"/>
    <cellStyle name="Normal 4 4 2 3 2 6 2 3" xfId="23695" xr:uid="{457ED99C-199E-41D6-84FC-E11B8C036855}"/>
    <cellStyle name="Normal 4 4 2 3 2 6 2 4" xfId="40552" xr:uid="{919C17C6-2DEA-412E-B9B0-07BDCA6F652F}"/>
    <cellStyle name="Normal 4 4 2 3 2 6 2 5" xfId="15260" xr:uid="{94812035-BBDA-42D7-9B29-AFAB36B0D21E}"/>
    <cellStyle name="Normal 4 4 2 3 2 6 3" xfId="27906" xr:uid="{D0BB0B11-71E3-42DB-A354-207AB2A0B8E9}"/>
    <cellStyle name="Normal 4 4 2 3 2 6 4" xfId="19477" xr:uid="{64CFBC25-A638-4A42-B85D-AEEBE2828147}"/>
    <cellStyle name="Normal 4 4 2 3 2 6 5" xfId="36335" xr:uid="{B10FFB34-8858-4F84-99B0-0479E23B2751}"/>
    <cellStyle name="Normal 4 4 2 3 2 6 6" xfId="11042" xr:uid="{90851081-01F0-4098-8069-470856716844}"/>
    <cellStyle name="Normal 4 4 2 3 2 7" xfId="4760" xr:uid="{00000000-0005-0000-0000-00002A150000}"/>
    <cellStyle name="Normal 4 4 2 3 2 7 2" xfId="30059" xr:uid="{A7588188-C503-4F38-B453-7FDBBF314F9C}"/>
    <cellStyle name="Normal 4 4 2 3 2 7 3" xfId="21630" xr:uid="{DDB29710-40AD-4218-B242-560AEFA07038}"/>
    <cellStyle name="Normal 4 4 2 3 2 7 4" xfId="38487" xr:uid="{99B7DF74-5A19-4A5A-9C39-453891B91F48}"/>
    <cellStyle name="Normal 4 4 2 3 2 7 5" xfId="13195" xr:uid="{FCDE6417-938D-474C-B8D7-5FADCD7B692B}"/>
    <cellStyle name="Normal 4 4 2 3 2 8" xfId="25841" xr:uid="{9EF2494A-E825-48E1-B426-6BCAE23ED936}"/>
    <cellStyle name="Normal 4 4 2 3 2 9" xfId="17412" xr:uid="{BC1145CE-F76B-46E0-AAC1-B8BA6A21E196}"/>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32616" xr:uid="{965A4696-97CB-4904-A952-3327B521DCF6}"/>
    <cellStyle name="Normal 4 4 2 3 3 2 2 3" xfId="24187" xr:uid="{1DA8CBF8-D096-4952-99D1-74836DE02547}"/>
    <cellStyle name="Normal 4 4 2 3 3 2 2 4" xfId="41044" xr:uid="{7F4051C6-F6BB-48DA-9407-2886309E245D}"/>
    <cellStyle name="Normal 4 4 2 3 3 2 2 5" xfId="15752" xr:uid="{1FA360B6-1405-40B1-A461-46B48B6131FA}"/>
    <cellStyle name="Normal 4 4 2 3 3 2 3" xfId="28398" xr:uid="{11B6B1B2-34F7-486D-95E4-EAE051C30F84}"/>
    <cellStyle name="Normal 4 4 2 3 3 2 4" xfId="19969" xr:uid="{7C402F7B-BBA6-454F-8CDF-D11EC1D8FF75}"/>
    <cellStyle name="Normal 4 4 2 3 3 2 5" xfId="36827" xr:uid="{8F189D8E-9931-478F-833A-14969085E4CD}"/>
    <cellStyle name="Normal 4 4 2 3 3 2 6" xfId="11534" xr:uid="{937848E5-1D93-455E-9CD3-287EBD0CD97E}"/>
    <cellStyle name="Normal 4 4 2 3 3 3" xfId="5172" xr:uid="{00000000-0005-0000-0000-00002E150000}"/>
    <cellStyle name="Normal 4 4 2 3 3 3 2" xfId="30471" xr:uid="{7F23AA24-70A4-47E2-AA73-E888624C1395}"/>
    <cellStyle name="Normal 4 4 2 3 3 3 3" xfId="22042" xr:uid="{2BEF0BE7-A5FD-4595-9805-811EAD7B3166}"/>
    <cellStyle name="Normal 4 4 2 3 3 3 4" xfId="38899" xr:uid="{E8758486-AB39-4B44-8B48-36253E313922}"/>
    <cellStyle name="Normal 4 4 2 3 3 3 5" xfId="13607" xr:uid="{44DA21BF-B3DD-4286-B94F-AD28F5CB59B4}"/>
    <cellStyle name="Normal 4 4 2 3 3 4" xfId="26253" xr:uid="{8C867E9E-9715-489C-9368-0DD0354093F6}"/>
    <cellStyle name="Normal 4 4 2 3 3 5" xfId="17824" xr:uid="{BD68F147-EF33-4A86-B96C-C237E1585D12}"/>
    <cellStyle name="Normal 4 4 2 3 3 6" xfId="34682" xr:uid="{10D7AB54-D1C1-459C-801E-7AD362234F6F}"/>
    <cellStyle name="Normal 4 4 2 3 3 7" xfId="9389" xr:uid="{CC6EA0C2-9114-4A76-9311-EA025E491154}"/>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33029" xr:uid="{314E4B90-FE6D-41A7-B51D-93384E747A7A}"/>
    <cellStyle name="Normal 4 4 2 3 4 2 2 3" xfId="24600" xr:uid="{9ACAB395-A7E0-4D3F-A2A0-DC936BACABE8}"/>
    <cellStyle name="Normal 4 4 2 3 4 2 2 4" xfId="41457" xr:uid="{52722E24-6CFC-4443-A303-7A13034CD2AA}"/>
    <cellStyle name="Normal 4 4 2 3 4 2 2 5" xfId="16165" xr:uid="{CDA7612F-1BE8-4568-98D4-2680DBD2B1BB}"/>
    <cellStyle name="Normal 4 4 2 3 4 2 3" xfId="28811" xr:uid="{422948EC-8077-4819-9B12-522FE4D1408D}"/>
    <cellStyle name="Normal 4 4 2 3 4 2 4" xfId="20382" xr:uid="{FFDED761-7A94-4D5F-B587-F2C1009C72B8}"/>
    <cellStyle name="Normal 4 4 2 3 4 2 5" xfId="37240" xr:uid="{F58ACBC7-6751-49CE-A156-0C245E3098EA}"/>
    <cellStyle name="Normal 4 4 2 3 4 2 6" xfId="11947" xr:uid="{2D7BCDFD-DD15-456C-9A51-A651320B5717}"/>
    <cellStyle name="Normal 4 4 2 3 4 3" xfId="5585" xr:uid="{00000000-0005-0000-0000-000032150000}"/>
    <cellStyle name="Normal 4 4 2 3 4 3 2" xfId="30884" xr:uid="{6A303A8E-A98B-4C15-BF8E-84336A1369CC}"/>
    <cellStyle name="Normal 4 4 2 3 4 3 3" xfId="22455" xr:uid="{F7C0C8A1-6930-466A-9BC4-3462D3979C1D}"/>
    <cellStyle name="Normal 4 4 2 3 4 3 4" xfId="39312" xr:uid="{7A5DC79E-A84D-4E43-B019-8A7D0FBEAE0B}"/>
    <cellStyle name="Normal 4 4 2 3 4 3 5" xfId="14020" xr:uid="{469D2A4E-40BF-4BFB-B5CB-C798094C553A}"/>
    <cellStyle name="Normal 4 4 2 3 4 4" xfId="26666" xr:uid="{33A13EE0-798A-44F8-A73B-BB0C21F9D619}"/>
    <cellStyle name="Normal 4 4 2 3 4 5" xfId="18237" xr:uid="{F49790DC-B882-4E86-864B-17F795154776}"/>
    <cellStyle name="Normal 4 4 2 3 4 6" xfId="35095" xr:uid="{DDD33388-6537-4555-AE91-CCA172DE83B3}"/>
    <cellStyle name="Normal 4 4 2 3 4 7" xfId="9802" xr:uid="{95CF93F1-173F-4C02-BB1A-BE3EA1B2F1EB}"/>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33442" xr:uid="{B2B43BDA-ACE6-4F4D-8404-9AD311EA8B5A}"/>
    <cellStyle name="Normal 4 4 2 3 5 2 2 3" xfId="25013" xr:uid="{C7EC0E50-7286-4EE6-B880-DA23CEBDE941}"/>
    <cellStyle name="Normal 4 4 2 3 5 2 2 4" xfId="41870" xr:uid="{54B10D1C-8916-4885-8C0D-64E494E4AE49}"/>
    <cellStyle name="Normal 4 4 2 3 5 2 2 5" xfId="16578" xr:uid="{BE1D782A-6E55-44D0-83BA-79B121541C0A}"/>
    <cellStyle name="Normal 4 4 2 3 5 2 3" xfId="29224" xr:uid="{0175158C-1189-4F7F-9BD9-1244B139D0B8}"/>
    <cellStyle name="Normal 4 4 2 3 5 2 4" xfId="20795" xr:uid="{CCAD4449-8A8A-4C12-973E-1E45719E473D}"/>
    <cellStyle name="Normal 4 4 2 3 5 2 5" xfId="37653" xr:uid="{68B6E7BA-D6A1-4CA6-982C-69C399D14B2F}"/>
    <cellStyle name="Normal 4 4 2 3 5 2 6" xfId="12360" xr:uid="{699948F4-23E4-4A62-A3DC-0392AD87FE12}"/>
    <cellStyle name="Normal 4 4 2 3 5 3" xfId="5998" xr:uid="{00000000-0005-0000-0000-000036150000}"/>
    <cellStyle name="Normal 4 4 2 3 5 3 2" xfId="31297" xr:uid="{3CF418B7-8A34-481B-BF97-F9E82C7A91DC}"/>
    <cellStyle name="Normal 4 4 2 3 5 3 3" xfId="22868" xr:uid="{9588EA9A-E3E4-420D-8C92-02345C34BCB0}"/>
    <cellStyle name="Normal 4 4 2 3 5 3 4" xfId="39725" xr:uid="{34898BF9-F844-4DFF-AFB3-A93819AB2AA6}"/>
    <cellStyle name="Normal 4 4 2 3 5 3 5" xfId="14433" xr:uid="{AD1AC468-3D2B-40E2-B230-2B07501B0EE9}"/>
    <cellStyle name="Normal 4 4 2 3 5 4" xfId="27079" xr:uid="{73120ED8-74D2-4404-8BBF-C5AFF31C93D4}"/>
    <cellStyle name="Normal 4 4 2 3 5 5" xfId="18650" xr:uid="{B0754E02-AE67-452C-9C9F-0A69BC68D4C4}"/>
    <cellStyle name="Normal 4 4 2 3 5 6" xfId="35508" xr:uid="{C27611B5-C762-4402-93D2-128AA998E0E5}"/>
    <cellStyle name="Normal 4 4 2 3 5 7" xfId="10215" xr:uid="{97F95AD2-3B88-4087-BB2F-4A1C63844D97}"/>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33855" xr:uid="{F71C7810-2325-419F-B60E-D86F645E1381}"/>
    <cellStyle name="Normal 4 4 2 3 6 2 2 3" xfId="25426" xr:uid="{301FA382-34E6-409E-9E64-92919E773924}"/>
    <cellStyle name="Normal 4 4 2 3 6 2 2 4" xfId="42283" xr:uid="{58E98F99-DFEC-4B1C-8C37-8356757B1B94}"/>
    <cellStyle name="Normal 4 4 2 3 6 2 2 5" xfId="16991" xr:uid="{C64E85D0-FBB5-444F-BC6F-642CA44DD5F3}"/>
    <cellStyle name="Normal 4 4 2 3 6 2 3" xfId="29637" xr:uid="{C2586A43-57FF-47E1-8E33-E594813813F8}"/>
    <cellStyle name="Normal 4 4 2 3 6 2 4" xfId="21208" xr:uid="{42F52EED-27AE-4FF9-8D98-4FB61D9C6424}"/>
    <cellStyle name="Normal 4 4 2 3 6 2 5" xfId="38066" xr:uid="{E746B80D-DA1B-4A21-974F-AF10A41026A3}"/>
    <cellStyle name="Normal 4 4 2 3 6 2 6" xfId="12773" xr:uid="{180504B5-0A81-42B7-80E6-71067F2374F1}"/>
    <cellStyle name="Normal 4 4 2 3 6 3" xfId="6411" xr:uid="{00000000-0005-0000-0000-00003A150000}"/>
    <cellStyle name="Normal 4 4 2 3 6 3 2" xfId="31710" xr:uid="{20E2F4BB-05BA-4453-B360-C2D3FCC8DEAE}"/>
    <cellStyle name="Normal 4 4 2 3 6 3 3" xfId="23281" xr:uid="{F8EB9C14-5C9F-41C9-A55D-B098F5705084}"/>
    <cellStyle name="Normal 4 4 2 3 6 3 4" xfId="40138" xr:uid="{0C17D741-9A87-4055-94D1-8FBE22F5EE16}"/>
    <cellStyle name="Normal 4 4 2 3 6 3 5" xfId="14846" xr:uid="{99EA04D4-7972-4B88-99D2-35CFBAC9327B}"/>
    <cellStyle name="Normal 4 4 2 3 6 4" xfId="27492" xr:uid="{D460EC1C-B919-49E5-BA27-1ACE92ACF585}"/>
    <cellStyle name="Normal 4 4 2 3 6 5" xfId="19063" xr:uid="{05662870-EAED-4AE4-B903-8A3F5C44B460}"/>
    <cellStyle name="Normal 4 4 2 3 6 6" xfId="35921" xr:uid="{953677B8-A2AE-4602-A5B6-8E21D837A719}"/>
    <cellStyle name="Normal 4 4 2 3 6 7" xfId="10628" xr:uid="{66F75E1D-8CF6-463E-A05A-047759922CF9}"/>
    <cellStyle name="Normal 4 4 2 3 7" xfId="2540" xr:uid="{00000000-0005-0000-0000-00003B150000}"/>
    <cellStyle name="Normal 4 4 2 3 7 2" xfId="6824" xr:uid="{00000000-0005-0000-0000-00003C150000}"/>
    <cellStyle name="Normal 4 4 2 3 7 2 2" xfId="32123" xr:uid="{1E800FCE-DA51-4144-9796-01F539E09703}"/>
    <cellStyle name="Normal 4 4 2 3 7 2 3" xfId="23694" xr:uid="{6E23D9E8-2606-4BDB-8146-98DD8B541461}"/>
    <cellStyle name="Normal 4 4 2 3 7 2 4" xfId="40551" xr:uid="{CD587C6B-5F1B-434C-AEA5-0408D56A5BC6}"/>
    <cellStyle name="Normal 4 4 2 3 7 2 5" xfId="15259" xr:uid="{A78DBE7C-CA94-4360-A8FB-2699E06F8087}"/>
    <cellStyle name="Normal 4 4 2 3 7 3" xfId="27905" xr:uid="{AF928365-78A9-4444-A73C-C10612B8F31C}"/>
    <cellStyle name="Normal 4 4 2 3 7 4" xfId="19476" xr:uid="{12CB5861-FCD7-4658-8FCD-1F7944A672A1}"/>
    <cellStyle name="Normal 4 4 2 3 7 5" xfId="36334" xr:uid="{55423C62-521C-47D1-B299-D9F25E66CDDC}"/>
    <cellStyle name="Normal 4 4 2 3 7 6" xfId="11041" xr:uid="{05439D35-93C4-4C50-A603-F573999E7EEC}"/>
    <cellStyle name="Normal 4 4 2 3 8" xfId="4759" xr:uid="{00000000-0005-0000-0000-00003D150000}"/>
    <cellStyle name="Normal 4 4 2 3 8 2" xfId="30058" xr:uid="{272B81DD-5769-460D-AC46-8D1C01113EE4}"/>
    <cellStyle name="Normal 4 4 2 3 8 3" xfId="21629" xr:uid="{6899B4ED-AFDD-4812-8CDA-F9EC27A11A69}"/>
    <cellStyle name="Normal 4 4 2 3 8 4" xfId="38486" xr:uid="{96805134-6817-4E93-B69C-D3A5B09D501C}"/>
    <cellStyle name="Normal 4 4 2 3 8 5" xfId="13194" xr:uid="{63FD3D18-D895-46F4-A8E0-AB92E24322E9}"/>
    <cellStyle name="Normal 4 4 2 3 9" xfId="25840" xr:uid="{5654D6F4-2533-4101-A70A-0E82D28AD2F3}"/>
    <cellStyle name="Normal 4 4 2 4" xfId="386" xr:uid="{00000000-0005-0000-0000-00003E150000}"/>
    <cellStyle name="Normal 4 4 2 4 10" xfId="34271" xr:uid="{E7810094-608D-4FBA-A159-59EADAAA7DFE}"/>
    <cellStyle name="Normal 4 4 2 4 11" xfId="8978" xr:uid="{45854696-75DF-446C-BA72-3AA098FC1B66}"/>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32618" xr:uid="{BC229857-0135-4753-8FA4-CB71E91E1F83}"/>
    <cellStyle name="Normal 4 4 2 4 2 2 2 3" xfId="24189" xr:uid="{A5AA2AC4-0608-4C9E-9CD0-72435E0F5704}"/>
    <cellStyle name="Normal 4 4 2 4 2 2 2 4" xfId="41046" xr:uid="{E46D0964-1DC7-466A-9E71-10D3E7DEE308}"/>
    <cellStyle name="Normal 4 4 2 4 2 2 2 5" xfId="15754" xr:uid="{98D67B87-B993-4F21-AF01-05C1F59D7800}"/>
    <cellStyle name="Normal 4 4 2 4 2 2 3" xfId="28400" xr:uid="{FBD77C69-A91C-46C6-826E-B504F73B4698}"/>
    <cellStyle name="Normal 4 4 2 4 2 2 4" xfId="19971" xr:uid="{A6778AE9-5619-494A-8B28-5D3C17DC1F12}"/>
    <cellStyle name="Normal 4 4 2 4 2 2 5" xfId="36829" xr:uid="{BA62DBEB-D1FB-42E1-B43C-A982B4743637}"/>
    <cellStyle name="Normal 4 4 2 4 2 2 6" xfId="11536" xr:uid="{B26D74B0-5762-4773-96B6-98C051B75FA5}"/>
    <cellStyle name="Normal 4 4 2 4 2 3" xfId="5174" xr:uid="{00000000-0005-0000-0000-000042150000}"/>
    <cellStyle name="Normal 4 4 2 4 2 3 2" xfId="30473" xr:uid="{51CA3468-B88C-4D37-AAF9-D66AC52D894E}"/>
    <cellStyle name="Normal 4 4 2 4 2 3 3" xfId="22044" xr:uid="{13508915-B26D-48D1-87BD-B829240BBE4B}"/>
    <cellStyle name="Normal 4 4 2 4 2 3 4" xfId="38901" xr:uid="{EB014EEE-2E62-4C69-89FB-B6378D69F09E}"/>
    <cellStyle name="Normal 4 4 2 4 2 3 5" xfId="13609" xr:uid="{67ABC04D-97ED-4835-8D11-ED7F141E635D}"/>
    <cellStyle name="Normal 4 4 2 4 2 4" xfId="26255" xr:uid="{2FFE11FD-5601-45F0-94F0-249463EFDCFB}"/>
    <cellStyle name="Normal 4 4 2 4 2 5" xfId="17826" xr:uid="{57E4652F-2D3E-4367-BAD3-32879FB463BE}"/>
    <cellStyle name="Normal 4 4 2 4 2 6" xfId="34684" xr:uid="{4AB1F530-C88D-41F3-9BFD-8E3E83700073}"/>
    <cellStyle name="Normal 4 4 2 4 2 7" xfId="9391" xr:uid="{27C80234-F44E-4F1B-9526-BE854F20BA00}"/>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33031" xr:uid="{C8D4DD0A-4575-4134-AEEF-1720EB5D2301}"/>
    <cellStyle name="Normal 4 4 2 4 3 2 2 3" xfId="24602" xr:uid="{270A377B-A7F6-424A-AFDE-22EF56BB5B2D}"/>
    <cellStyle name="Normal 4 4 2 4 3 2 2 4" xfId="41459" xr:uid="{185BEFCE-5BF5-4FB8-8CD1-B61E96532596}"/>
    <cellStyle name="Normal 4 4 2 4 3 2 2 5" xfId="16167" xr:uid="{C49C9390-90C6-4B0F-AAF1-4CDB7A8034E8}"/>
    <cellStyle name="Normal 4 4 2 4 3 2 3" xfId="28813" xr:uid="{9ED18AA7-F354-4530-9FF2-B76BCC8E6EB6}"/>
    <cellStyle name="Normal 4 4 2 4 3 2 4" xfId="20384" xr:uid="{B43AE909-BFBD-4DB3-837A-455980EECD76}"/>
    <cellStyle name="Normal 4 4 2 4 3 2 5" xfId="37242" xr:uid="{1857DDD8-337F-4759-9F34-5119346A421A}"/>
    <cellStyle name="Normal 4 4 2 4 3 2 6" xfId="11949" xr:uid="{95C82F9D-A1D1-493F-B437-CEF221AC3F83}"/>
    <cellStyle name="Normal 4 4 2 4 3 3" xfId="5587" xr:uid="{00000000-0005-0000-0000-000046150000}"/>
    <cellStyle name="Normal 4 4 2 4 3 3 2" xfId="30886" xr:uid="{33691F3B-FBF0-4E86-BB84-048E77956E5C}"/>
    <cellStyle name="Normal 4 4 2 4 3 3 3" xfId="22457" xr:uid="{C93FC4F8-BB24-423F-9E35-6D768B6A3E4D}"/>
    <cellStyle name="Normal 4 4 2 4 3 3 4" xfId="39314" xr:uid="{093C1FB2-0CA4-4C3A-8609-E7B0A88CD652}"/>
    <cellStyle name="Normal 4 4 2 4 3 3 5" xfId="14022" xr:uid="{D77B1E89-D389-474E-91B9-FEA27C6914C7}"/>
    <cellStyle name="Normal 4 4 2 4 3 4" xfId="26668" xr:uid="{500FF943-F25A-4692-BD48-A1D2FD8C780F}"/>
    <cellStyle name="Normal 4 4 2 4 3 5" xfId="18239" xr:uid="{CDE9F865-1D00-4194-90AD-A7F75077C867}"/>
    <cellStyle name="Normal 4 4 2 4 3 6" xfId="35097" xr:uid="{18C18C2A-06A5-4ADE-A9A1-52618736714E}"/>
    <cellStyle name="Normal 4 4 2 4 3 7" xfId="9804" xr:uid="{39D6E419-CBBA-4A45-961A-29CC3EB7ECC2}"/>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33444" xr:uid="{9A56583D-D10A-42B1-AD80-8B6300A70CEA}"/>
    <cellStyle name="Normal 4 4 2 4 4 2 2 3" xfId="25015" xr:uid="{47E40537-3BCB-491C-8A94-201EC06EEA1B}"/>
    <cellStyle name="Normal 4 4 2 4 4 2 2 4" xfId="41872" xr:uid="{BF3B2B8D-EBC7-4C6F-ACF4-91AB0AB4F159}"/>
    <cellStyle name="Normal 4 4 2 4 4 2 2 5" xfId="16580" xr:uid="{E9FE5C42-3A8C-4E45-AF51-DB052D33012B}"/>
    <cellStyle name="Normal 4 4 2 4 4 2 3" xfId="29226" xr:uid="{1EE7327D-4CB7-44D4-AC82-679204392312}"/>
    <cellStyle name="Normal 4 4 2 4 4 2 4" xfId="20797" xr:uid="{4EA9AF31-C662-485B-9A39-EFA7DB13CDC7}"/>
    <cellStyle name="Normal 4 4 2 4 4 2 5" xfId="37655" xr:uid="{3DE8464A-607E-4923-9492-19DBBFA82E03}"/>
    <cellStyle name="Normal 4 4 2 4 4 2 6" xfId="12362" xr:uid="{1CDA4F51-51CF-4520-9BB2-D1ABB6045475}"/>
    <cellStyle name="Normal 4 4 2 4 4 3" xfId="6000" xr:uid="{00000000-0005-0000-0000-00004A150000}"/>
    <cellStyle name="Normal 4 4 2 4 4 3 2" xfId="31299" xr:uid="{E351C9A5-7E21-4DCE-95F0-28F14F27EEDF}"/>
    <cellStyle name="Normal 4 4 2 4 4 3 3" xfId="22870" xr:uid="{88AE0F0D-56CF-437B-AAFD-1EA79F9183FF}"/>
    <cellStyle name="Normal 4 4 2 4 4 3 4" xfId="39727" xr:uid="{7F07B557-C734-4096-9CCD-FCF3A6DF24FE}"/>
    <cellStyle name="Normal 4 4 2 4 4 3 5" xfId="14435" xr:uid="{4D773C62-24BF-4CFB-8D57-1617EA217460}"/>
    <cellStyle name="Normal 4 4 2 4 4 4" xfId="27081" xr:uid="{50BF98F3-E7D4-4065-9285-C2CAFA475E13}"/>
    <cellStyle name="Normal 4 4 2 4 4 5" xfId="18652" xr:uid="{D186DB74-91E0-4063-B4B9-4BE2210691E7}"/>
    <cellStyle name="Normal 4 4 2 4 4 6" xfId="35510" xr:uid="{7D7C8F4B-C5EA-4B8E-90DB-63F5F4EA5BFA}"/>
    <cellStyle name="Normal 4 4 2 4 4 7" xfId="10217" xr:uid="{28F4DB69-9D46-4A11-8501-5FD6332F3E7D}"/>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33857" xr:uid="{4FFD9C29-9FBC-43FE-9202-F35E04216189}"/>
    <cellStyle name="Normal 4 4 2 4 5 2 2 3" xfId="25428" xr:uid="{2668EF26-5099-4C1D-99F4-A3907CA34C22}"/>
    <cellStyle name="Normal 4 4 2 4 5 2 2 4" xfId="42285" xr:uid="{725A426B-554A-4C65-9EF9-9A54013FDF3A}"/>
    <cellStyle name="Normal 4 4 2 4 5 2 2 5" xfId="16993" xr:uid="{3E1D6E64-4539-47D9-B6ED-DA1723427F05}"/>
    <cellStyle name="Normal 4 4 2 4 5 2 3" xfId="29639" xr:uid="{070A258F-8920-475F-9369-DD42D2CA5451}"/>
    <cellStyle name="Normal 4 4 2 4 5 2 4" xfId="21210" xr:uid="{8D46E0D0-714B-4E1F-8723-3332445CE291}"/>
    <cellStyle name="Normal 4 4 2 4 5 2 5" xfId="38068" xr:uid="{015C4B84-ED43-440D-A695-00D5ACE8D9AC}"/>
    <cellStyle name="Normal 4 4 2 4 5 2 6" xfId="12775" xr:uid="{281B728B-CD6C-4D7F-8F1C-3227040F78EF}"/>
    <cellStyle name="Normal 4 4 2 4 5 3" xfId="6413" xr:uid="{00000000-0005-0000-0000-00004E150000}"/>
    <cellStyle name="Normal 4 4 2 4 5 3 2" xfId="31712" xr:uid="{0E9E1B7A-82E9-4D75-870D-CAB13ED4D96A}"/>
    <cellStyle name="Normal 4 4 2 4 5 3 3" xfId="23283" xr:uid="{C725339B-B7C4-4FC1-8E09-C2EF5DBBD3E3}"/>
    <cellStyle name="Normal 4 4 2 4 5 3 4" xfId="40140" xr:uid="{23A823EF-7CDC-4B1E-833D-60A566AEA85D}"/>
    <cellStyle name="Normal 4 4 2 4 5 3 5" xfId="14848" xr:uid="{601C898B-7B44-47DA-9035-793A2A1C4FEA}"/>
    <cellStyle name="Normal 4 4 2 4 5 4" xfId="27494" xr:uid="{83E346BF-AD5A-45A8-BEB9-0749546B47F2}"/>
    <cellStyle name="Normal 4 4 2 4 5 5" xfId="19065" xr:uid="{88EA4D2A-6DA0-4C84-BE9A-17B4816B25CF}"/>
    <cellStyle name="Normal 4 4 2 4 5 6" xfId="35923" xr:uid="{64FC25E9-4A97-4358-9D14-49E22C5AD79A}"/>
    <cellStyle name="Normal 4 4 2 4 5 7" xfId="10630" xr:uid="{274044FE-8BEC-49AF-9A69-FC8125460713}"/>
    <cellStyle name="Normal 4 4 2 4 6" xfId="2542" xr:uid="{00000000-0005-0000-0000-00004F150000}"/>
    <cellStyle name="Normal 4 4 2 4 6 2" xfId="6826" xr:uid="{00000000-0005-0000-0000-000050150000}"/>
    <cellStyle name="Normal 4 4 2 4 6 2 2" xfId="32125" xr:uid="{730AED72-8BC9-4A5F-BF63-AE3B6ABB907E}"/>
    <cellStyle name="Normal 4 4 2 4 6 2 3" xfId="23696" xr:uid="{8D6AA5CC-0621-406D-A987-960B66094955}"/>
    <cellStyle name="Normal 4 4 2 4 6 2 4" xfId="40553" xr:uid="{12E06A9A-0691-4B05-B812-29BAFDE1319D}"/>
    <cellStyle name="Normal 4 4 2 4 6 2 5" xfId="15261" xr:uid="{A65FFE4C-DBF6-4391-804E-86E575F8C864}"/>
    <cellStyle name="Normal 4 4 2 4 6 3" xfId="27907" xr:uid="{E28510F1-2479-4467-B94F-62FA1ECF3917}"/>
    <cellStyle name="Normal 4 4 2 4 6 4" xfId="19478" xr:uid="{77DCD161-1CC5-4845-921E-494239E96431}"/>
    <cellStyle name="Normal 4 4 2 4 6 5" xfId="36336" xr:uid="{B29D744C-2D99-4335-B301-EA1C0B77A0B9}"/>
    <cellStyle name="Normal 4 4 2 4 6 6" xfId="11043" xr:uid="{330EAB09-2B0B-4445-B05F-BD76FA571CE7}"/>
    <cellStyle name="Normal 4 4 2 4 7" xfId="4761" xr:uid="{00000000-0005-0000-0000-000051150000}"/>
    <cellStyle name="Normal 4 4 2 4 7 2" xfId="30060" xr:uid="{7000FDAF-31AE-46BF-8A90-9AE640B24384}"/>
    <cellStyle name="Normal 4 4 2 4 7 3" xfId="21631" xr:uid="{63886ECC-F1BA-4A66-95C9-5ED3B1AF6E98}"/>
    <cellStyle name="Normal 4 4 2 4 7 4" xfId="38488" xr:uid="{ACD47335-9C79-4CA7-8D34-4201C7D4BF53}"/>
    <cellStyle name="Normal 4 4 2 4 7 5" xfId="13196" xr:uid="{D293FF46-06C3-467A-98E3-98A4926DFC9E}"/>
    <cellStyle name="Normal 4 4 2 4 8" xfId="25842" xr:uid="{FC5989D4-A4D8-4898-84A8-A650CC5038B5}"/>
    <cellStyle name="Normal 4 4 2 4 9" xfId="17413" xr:uid="{79A93785-624D-4651-BDAF-6A702AF8AAE1}"/>
    <cellStyle name="Normal 4 4 2 5" xfId="854" xr:uid="{00000000-0005-0000-0000-000052150000}"/>
    <cellStyle name="Normal 4 4 2 5 2" xfId="3089" xr:uid="{00000000-0005-0000-0000-000053150000}"/>
    <cellStyle name="Normal 4 4 2 5 2 2" xfId="7312" xr:uid="{00000000-0005-0000-0000-000054150000}"/>
    <cellStyle name="Normal 4 4 2 5 2 2 2" xfId="32611" xr:uid="{A013A884-87B8-4EBD-A285-6AAFD505D67E}"/>
    <cellStyle name="Normal 4 4 2 5 2 2 3" xfId="24182" xr:uid="{4746B9AE-CBE1-4B77-A1B1-929C208E5AFC}"/>
    <cellStyle name="Normal 4 4 2 5 2 2 4" xfId="41039" xr:uid="{3A9A4FD5-6153-4FE6-9FCD-0B874CC3C012}"/>
    <cellStyle name="Normal 4 4 2 5 2 2 5" xfId="15747" xr:uid="{872CE3BB-C0DC-4CAD-B10B-781A693461AB}"/>
    <cellStyle name="Normal 4 4 2 5 2 3" xfId="28393" xr:uid="{AEDBFFAC-5E94-4624-A0F1-DE373E60E9DF}"/>
    <cellStyle name="Normal 4 4 2 5 2 4" xfId="19964" xr:uid="{5E1CD6D6-F8D8-4123-ACE7-C7FB4AEBC2AC}"/>
    <cellStyle name="Normal 4 4 2 5 2 5" xfId="36822" xr:uid="{DDB11DEA-A17E-4F9D-A007-07CD12D6A676}"/>
    <cellStyle name="Normal 4 4 2 5 2 6" xfId="11529" xr:uid="{BFFAEE6A-A369-4363-B535-04B0EB94BF19}"/>
    <cellStyle name="Normal 4 4 2 5 3" xfId="5167" xr:uid="{00000000-0005-0000-0000-000055150000}"/>
    <cellStyle name="Normal 4 4 2 5 3 2" xfId="30466" xr:uid="{308E9B0C-4289-4AD4-BD1A-FF485B0EE25D}"/>
    <cellStyle name="Normal 4 4 2 5 3 3" xfId="22037" xr:uid="{F83F0CA1-3B92-4132-A68E-92DA56921095}"/>
    <cellStyle name="Normal 4 4 2 5 3 4" xfId="38894" xr:uid="{0940BDF9-01AF-4C9E-8235-0580DDBBF588}"/>
    <cellStyle name="Normal 4 4 2 5 3 5" xfId="13602" xr:uid="{BC662004-2A89-4E76-8D11-A7BEB385F80E}"/>
    <cellStyle name="Normal 4 4 2 5 4" xfId="26248" xr:uid="{4007801F-8B67-405D-91CA-2C6564A8CABD}"/>
    <cellStyle name="Normal 4 4 2 5 5" xfId="17819" xr:uid="{BE2B64A8-3598-40C7-A0E1-EA939D958E56}"/>
    <cellStyle name="Normal 4 4 2 5 6" xfId="34677" xr:uid="{780258D3-BF65-47FD-8E50-15CAB902A5C4}"/>
    <cellStyle name="Normal 4 4 2 5 7" xfId="9384" xr:uid="{B63B5EF7-1112-4B26-BF66-946083939601}"/>
    <cellStyle name="Normal 4 4 2 6" xfId="1272" xr:uid="{00000000-0005-0000-0000-000056150000}"/>
    <cellStyle name="Normal 4 4 2 6 2" xfId="3502" xr:uid="{00000000-0005-0000-0000-000057150000}"/>
    <cellStyle name="Normal 4 4 2 6 2 2" xfId="7725" xr:uid="{00000000-0005-0000-0000-000058150000}"/>
    <cellStyle name="Normal 4 4 2 6 2 2 2" xfId="33024" xr:uid="{76C26D6E-3CE0-4DA5-B61F-7954CDE140DB}"/>
    <cellStyle name="Normal 4 4 2 6 2 2 3" xfId="24595" xr:uid="{41CAF9C2-2DAB-4D39-B749-1BE19B8079F7}"/>
    <cellStyle name="Normal 4 4 2 6 2 2 4" xfId="41452" xr:uid="{4EB4CFAC-16B6-4BCA-96C8-753BADBD3F50}"/>
    <cellStyle name="Normal 4 4 2 6 2 2 5" xfId="16160" xr:uid="{DC573252-1524-45B8-AD5F-10C8C629BDAB}"/>
    <cellStyle name="Normal 4 4 2 6 2 3" xfId="28806" xr:uid="{C5131E09-9B57-4FB4-B108-DEFDF1759C91}"/>
    <cellStyle name="Normal 4 4 2 6 2 4" xfId="20377" xr:uid="{095AAE03-0581-477D-8B6D-A15B124852CD}"/>
    <cellStyle name="Normal 4 4 2 6 2 5" xfId="37235" xr:uid="{06976079-AC5F-4914-8E54-D863B99A25AF}"/>
    <cellStyle name="Normal 4 4 2 6 2 6" xfId="11942" xr:uid="{CE9FEA87-A13C-40DA-8465-450330F763F4}"/>
    <cellStyle name="Normal 4 4 2 6 3" xfId="5580" xr:uid="{00000000-0005-0000-0000-000059150000}"/>
    <cellStyle name="Normal 4 4 2 6 3 2" xfId="30879" xr:uid="{289CF490-6674-4586-8661-61AFB4E84F00}"/>
    <cellStyle name="Normal 4 4 2 6 3 3" xfId="22450" xr:uid="{FE9B6D1D-6995-4F11-9A15-2A0B9064B30E}"/>
    <cellStyle name="Normal 4 4 2 6 3 4" xfId="39307" xr:uid="{1C0200B5-3FF1-47A0-9393-F4329A84B389}"/>
    <cellStyle name="Normal 4 4 2 6 3 5" xfId="14015" xr:uid="{FC13029B-2311-41DA-918E-C64385519D0B}"/>
    <cellStyle name="Normal 4 4 2 6 4" xfId="26661" xr:uid="{A00A22DF-544E-4B36-99BD-EB0F8679FEB4}"/>
    <cellStyle name="Normal 4 4 2 6 5" xfId="18232" xr:uid="{979783A3-F9DE-492D-83CC-32C15125F2C8}"/>
    <cellStyle name="Normal 4 4 2 6 6" xfId="35090" xr:uid="{621E99CB-5EB3-4A64-A04C-E7C41CF57396}"/>
    <cellStyle name="Normal 4 4 2 6 7" xfId="9797" xr:uid="{EACACFF7-A5EE-42DE-956B-DAAA77FE5F76}"/>
    <cellStyle name="Normal 4 4 2 7" xfId="1685" xr:uid="{00000000-0005-0000-0000-00005A150000}"/>
    <cellStyle name="Normal 4 4 2 7 2" xfId="3915" xr:uid="{00000000-0005-0000-0000-00005B150000}"/>
    <cellStyle name="Normal 4 4 2 7 2 2" xfId="8138" xr:uid="{00000000-0005-0000-0000-00005C150000}"/>
    <cellStyle name="Normal 4 4 2 7 2 2 2" xfId="33437" xr:uid="{7A83270C-DFA6-40F1-9764-68C0F32BC85B}"/>
    <cellStyle name="Normal 4 4 2 7 2 2 3" xfId="25008" xr:uid="{B0DEC7C9-52B5-4EFD-9FC7-EA2EFE70A3D6}"/>
    <cellStyle name="Normal 4 4 2 7 2 2 4" xfId="41865" xr:uid="{300968C9-05D7-4439-9D50-B20E419A7EDA}"/>
    <cellStyle name="Normal 4 4 2 7 2 2 5" xfId="16573" xr:uid="{6195A8D6-532F-494E-8343-19EE23D69C5C}"/>
    <cellStyle name="Normal 4 4 2 7 2 3" xfId="29219" xr:uid="{F0818CFB-32E5-4433-BD06-0A1D4F481E1D}"/>
    <cellStyle name="Normal 4 4 2 7 2 4" xfId="20790" xr:uid="{7DE3756E-372C-4B66-AA91-5AD34F73333F}"/>
    <cellStyle name="Normal 4 4 2 7 2 5" xfId="37648" xr:uid="{B0DF453F-D3EA-4D0B-AC2F-6E9C2945710F}"/>
    <cellStyle name="Normal 4 4 2 7 2 6" xfId="12355" xr:uid="{1354D3AD-538E-4C32-9AA0-8BA7657120F1}"/>
    <cellStyle name="Normal 4 4 2 7 3" xfId="5993" xr:uid="{00000000-0005-0000-0000-00005D150000}"/>
    <cellStyle name="Normal 4 4 2 7 3 2" xfId="31292" xr:uid="{9B139197-A0BB-404D-A635-A52757590299}"/>
    <cellStyle name="Normal 4 4 2 7 3 3" xfId="22863" xr:uid="{89FC525F-282F-449F-A089-57CC9B51EB43}"/>
    <cellStyle name="Normal 4 4 2 7 3 4" xfId="39720" xr:uid="{87F0C5CB-F900-4F09-90D5-F92D2CC9EAC1}"/>
    <cellStyle name="Normal 4 4 2 7 3 5" xfId="14428" xr:uid="{1327F61C-21CE-43CA-9FFD-CD7237C57407}"/>
    <cellStyle name="Normal 4 4 2 7 4" xfId="27074" xr:uid="{3A9E7882-0E92-485D-9BB2-DFA7AE5677CA}"/>
    <cellStyle name="Normal 4 4 2 7 5" xfId="18645" xr:uid="{A60C7BF9-EB7F-4CA8-B4C2-8A56ED70987F}"/>
    <cellStyle name="Normal 4 4 2 7 6" xfId="35503" xr:uid="{C2E89CA7-5126-4219-A000-BE22299E15B1}"/>
    <cellStyle name="Normal 4 4 2 7 7" xfId="10210" xr:uid="{E23AC1EA-F60C-4BFF-B163-B7EC7D05281F}"/>
    <cellStyle name="Normal 4 4 2 8" xfId="2099" xr:uid="{00000000-0005-0000-0000-00005E150000}"/>
    <cellStyle name="Normal 4 4 2 8 2" xfId="4328" xr:uid="{00000000-0005-0000-0000-00005F150000}"/>
    <cellStyle name="Normal 4 4 2 8 2 2" xfId="8551" xr:uid="{00000000-0005-0000-0000-000060150000}"/>
    <cellStyle name="Normal 4 4 2 8 2 2 2" xfId="33850" xr:uid="{E761F030-D3B1-4DC0-8795-4D6A5078C7EB}"/>
    <cellStyle name="Normal 4 4 2 8 2 2 3" xfId="25421" xr:uid="{47629027-DCC1-4F8A-B503-74E2A8DCD2A9}"/>
    <cellStyle name="Normal 4 4 2 8 2 2 4" xfId="42278" xr:uid="{915B2A1D-574B-4404-AFC9-9C4BF6D1F3B1}"/>
    <cellStyle name="Normal 4 4 2 8 2 2 5" xfId="16986" xr:uid="{2431AFE9-634B-4641-BF74-36ADDF8B1DD1}"/>
    <cellStyle name="Normal 4 4 2 8 2 3" xfId="29632" xr:uid="{468A0531-76C2-4EE8-A49A-3F92495A0755}"/>
    <cellStyle name="Normal 4 4 2 8 2 4" xfId="21203" xr:uid="{C593D309-2EA5-4E80-AB05-180E108F28FD}"/>
    <cellStyle name="Normal 4 4 2 8 2 5" xfId="38061" xr:uid="{3B45EB35-97BD-45A6-AB27-C8D50871A49E}"/>
    <cellStyle name="Normal 4 4 2 8 2 6" xfId="12768" xr:uid="{DC1D27E6-398B-442A-923C-E901D73E7975}"/>
    <cellStyle name="Normal 4 4 2 8 3" xfId="6406" xr:uid="{00000000-0005-0000-0000-000061150000}"/>
    <cellStyle name="Normal 4 4 2 8 3 2" xfId="31705" xr:uid="{3C51A155-655B-48E3-9F31-3D6414B316BE}"/>
    <cellStyle name="Normal 4 4 2 8 3 3" xfId="23276" xr:uid="{3B524290-4D4B-4C92-A242-D9A2A3781674}"/>
    <cellStyle name="Normal 4 4 2 8 3 4" xfId="40133" xr:uid="{04E6DE2A-D12C-4A27-ACFE-1A3559F64B10}"/>
    <cellStyle name="Normal 4 4 2 8 3 5" xfId="14841" xr:uid="{5F9B6791-D738-46A0-92D7-C1E1C69C3440}"/>
    <cellStyle name="Normal 4 4 2 8 4" xfId="27487" xr:uid="{745DD369-A54D-4E01-8E18-D63D3D273774}"/>
    <cellStyle name="Normal 4 4 2 8 5" xfId="19058" xr:uid="{8575B3C8-216A-4495-A47F-FA60D520268D}"/>
    <cellStyle name="Normal 4 4 2 8 6" xfId="35916" xr:uid="{F6BB3043-CD6C-423C-B868-4380943F5654}"/>
    <cellStyle name="Normal 4 4 2 8 7" xfId="10623" xr:uid="{2F7B5109-B74D-46EA-8BB9-71B3F85AB6B7}"/>
    <cellStyle name="Normal 4 4 2 9" xfId="2535" xr:uid="{00000000-0005-0000-0000-000062150000}"/>
    <cellStyle name="Normal 4 4 2 9 2" xfId="6819" xr:uid="{00000000-0005-0000-0000-000063150000}"/>
    <cellStyle name="Normal 4 4 2 9 2 2" xfId="32118" xr:uid="{BFAD2D6A-1FED-4901-815E-94A6FC88A56C}"/>
    <cellStyle name="Normal 4 4 2 9 2 3" xfId="23689" xr:uid="{743B5862-37DC-4530-96D7-39A136A12A50}"/>
    <cellStyle name="Normal 4 4 2 9 2 4" xfId="40546" xr:uid="{F8B74439-3B89-4DF5-A531-2D589F5C028D}"/>
    <cellStyle name="Normal 4 4 2 9 2 5" xfId="15254" xr:uid="{808B268D-AC73-43E1-A36B-D537B1C63AA5}"/>
    <cellStyle name="Normal 4 4 2 9 3" xfId="27900" xr:uid="{04BC1350-BF81-4446-8D40-920B27695F8D}"/>
    <cellStyle name="Normal 4 4 2 9 4" xfId="19471" xr:uid="{B8757844-81F3-4397-B304-1084BB8E3A4A}"/>
    <cellStyle name="Normal 4 4 2 9 5" xfId="36329" xr:uid="{5B5B525D-BABA-4061-8A68-87942495D0EB}"/>
    <cellStyle name="Normal 4 4 2 9 6" xfId="11036" xr:uid="{F749F74C-5BF2-40D2-9C85-DE0B334F954F}"/>
    <cellStyle name="Normal 4 4 3" xfId="387" xr:uid="{00000000-0005-0000-0000-000064150000}"/>
    <cellStyle name="Normal 4 4 3 10" xfId="25843" xr:uid="{48F7F713-E7B7-4470-9EA0-C54199E3809B}"/>
    <cellStyle name="Normal 4 4 3 11" xfId="17414" xr:uid="{E90D5CC0-6F0E-4875-8E18-0879B6558DEA}"/>
    <cellStyle name="Normal 4 4 3 12" xfId="34272" xr:uid="{5FACAAE9-EE14-4DEA-AA23-03A442C83A04}"/>
    <cellStyle name="Normal 4 4 3 13" xfId="8979" xr:uid="{270FD378-FDCF-4497-B637-924C48A3D9BB}"/>
    <cellStyle name="Normal 4 4 3 2" xfId="388" xr:uid="{00000000-0005-0000-0000-000065150000}"/>
    <cellStyle name="Normal 4 4 3 2 10" xfId="17415" xr:uid="{790C6372-9D97-4BDF-9252-88B1EF782342}"/>
    <cellStyle name="Normal 4 4 3 2 11" xfId="34273" xr:uid="{A570E708-A1CD-4B57-A37A-BC6491ABFA8C}"/>
    <cellStyle name="Normal 4 4 3 2 12" xfId="8980" xr:uid="{CD8B394D-A8B5-4E4B-B72F-7DBA40C1BB78}"/>
    <cellStyle name="Normal 4 4 3 2 2" xfId="389" xr:uid="{00000000-0005-0000-0000-000066150000}"/>
    <cellStyle name="Normal 4 4 3 2 2 10" xfId="34274" xr:uid="{34367530-29B7-4E73-9EEF-0FE6673A51E4}"/>
    <cellStyle name="Normal 4 4 3 2 2 11" xfId="8981" xr:uid="{60B05C4C-1325-4026-B061-EF5543AEA413}"/>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32621" xr:uid="{62E40053-7420-4134-9C0B-8FFF0DC18C07}"/>
    <cellStyle name="Normal 4 4 3 2 2 2 2 2 3" xfId="24192" xr:uid="{484A30AC-93A7-4952-936B-9FC53082771D}"/>
    <cellStyle name="Normal 4 4 3 2 2 2 2 2 4" xfId="41049" xr:uid="{C3B1C530-BD81-41BF-A648-4C2C3CB9C17D}"/>
    <cellStyle name="Normal 4 4 3 2 2 2 2 2 5" xfId="15757" xr:uid="{5F979BC8-DA2C-4CBD-8EE5-B995217AFC2B}"/>
    <cellStyle name="Normal 4 4 3 2 2 2 2 3" xfId="28403" xr:uid="{C1ABCFA9-6089-4E20-B1B9-6095D2BB95D0}"/>
    <cellStyle name="Normal 4 4 3 2 2 2 2 4" xfId="19974" xr:uid="{3A870667-23B7-4E2E-A130-C9F229C04F9F}"/>
    <cellStyle name="Normal 4 4 3 2 2 2 2 5" xfId="36832" xr:uid="{33A216C4-2836-4545-8D51-4DB0FDF03FE6}"/>
    <cellStyle name="Normal 4 4 3 2 2 2 2 6" xfId="11539" xr:uid="{D51477F2-9535-432C-B5D5-642397027216}"/>
    <cellStyle name="Normal 4 4 3 2 2 2 3" xfId="5177" xr:uid="{00000000-0005-0000-0000-00006A150000}"/>
    <cellStyle name="Normal 4 4 3 2 2 2 3 2" xfId="30476" xr:uid="{FCBA9F5B-99B5-48C8-A254-C4E5C522389A}"/>
    <cellStyle name="Normal 4 4 3 2 2 2 3 3" xfId="22047" xr:uid="{776BD290-1235-4A73-BAFD-7D6132F0C423}"/>
    <cellStyle name="Normal 4 4 3 2 2 2 3 4" xfId="38904" xr:uid="{EA5A0579-CBE8-4E4C-B1CA-C6C06CCF7D86}"/>
    <cellStyle name="Normal 4 4 3 2 2 2 3 5" xfId="13612" xr:uid="{B38FFC66-CFAA-48F1-B8D7-735B805C1C59}"/>
    <cellStyle name="Normal 4 4 3 2 2 2 4" xfId="26258" xr:uid="{B078A0F4-0544-4DE3-A69A-353AE385CF75}"/>
    <cellStyle name="Normal 4 4 3 2 2 2 5" xfId="17829" xr:uid="{85DE323E-5673-4AB3-BCB4-0B1FF70D8534}"/>
    <cellStyle name="Normal 4 4 3 2 2 2 6" xfId="34687" xr:uid="{FF0801F6-0C94-406F-B6E1-6B6FD3F66EBB}"/>
    <cellStyle name="Normal 4 4 3 2 2 2 7" xfId="9394" xr:uid="{FC5BA85C-07BD-4907-B6EA-34112A16EAF3}"/>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33034" xr:uid="{E770326F-EC0E-42A7-9369-459AF4655118}"/>
    <cellStyle name="Normal 4 4 3 2 2 3 2 2 3" xfId="24605" xr:uid="{C21B41C5-6EBB-4CA5-B210-D1D0E88BE09B}"/>
    <cellStyle name="Normal 4 4 3 2 2 3 2 2 4" xfId="41462" xr:uid="{64BFF494-6C8B-4ADF-B01C-0268F6CC2924}"/>
    <cellStyle name="Normal 4 4 3 2 2 3 2 2 5" xfId="16170" xr:uid="{021860CA-AB88-40F7-B1E4-1AA964248F5A}"/>
    <cellStyle name="Normal 4 4 3 2 2 3 2 3" xfId="28816" xr:uid="{D98CAE1A-2FB3-4DAA-9AFB-836311BAE624}"/>
    <cellStyle name="Normal 4 4 3 2 2 3 2 4" xfId="20387" xr:uid="{526C69DC-B16D-40CC-AF66-2677ACB1FDDC}"/>
    <cellStyle name="Normal 4 4 3 2 2 3 2 5" xfId="37245" xr:uid="{9A360C82-EFC1-4DFF-88EA-5081A266C453}"/>
    <cellStyle name="Normal 4 4 3 2 2 3 2 6" xfId="11952" xr:uid="{DE522723-A94A-455D-8445-B05122713B73}"/>
    <cellStyle name="Normal 4 4 3 2 2 3 3" xfId="5590" xr:uid="{00000000-0005-0000-0000-00006E150000}"/>
    <cellStyle name="Normal 4 4 3 2 2 3 3 2" xfId="30889" xr:uid="{AAB8F6FA-1217-4784-9D6C-9CB9A5EA212D}"/>
    <cellStyle name="Normal 4 4 3 2 2 3 3 3" xfId="22460" xr:uid="{E4CD4B18-31F4-4095-991B-77D68A3D0758}"/>
    <cellStyle name="Normal 4 4 3 2 2 3 3 4" xfId="39317" xr:uid="{D46BDADC-502F-45B6-8D3A-8B0C5BC28DBF}"/>
    <cellStyle name="Normal 4 4 3 2 2 3 3 5" xfId="14025" xr:uid="{92B31545-2DB2-4FCC-BF95-C4E8DFE1A1A7}"/>
    <cellStyle name="Normal 4 4 3 2 2 3 4" xfId="26671" xr:uid="{41126995-A89D-4A1B-BF7C-7617D285BDD8}"/>
    <cellStyle name="Normal 4 4 3 2 2 3 5" xfId="18242" xr:uid="{EEA73E1F-C877-482B-BEC3-0A49C334B10D}"/>
    <cellStyle name="Normal 4 4 3 2 2 3 6" xfId="35100" xr:uid="{47A973EA-D322-40C7-BE01-32DB42A335F4}"/>
    <cellStyle name="Normal 4 4 3 2 2 3 7" xfId="9807" xr:uid="{1858FBCA-777E-46BE-9D13-F063A9E2572D}"/>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33447" xr:uid="{0B3EBB59-0ACF-4D60-BAFC-9E6D0C388C0B}"/>
    <cellStyle name="Normal 4 4 3 2 2 4 2 2 3" xfId="25018" xr:uid="{D5948602-CAAC-4655-BD5A-54EAD8C039D9}"/>
    <cellStyle name="Normal 4 4 3 2 2 4 2 2 4" xfId="41875" xr:uid="{12D5E835-E6D3-4A62-9686-ACCC79767FCD}"/>
    <cellStyle name="Normal 4 4 3 2 2 4 2 2 5" xfId="16583" xr:uid="{DE9F7DF1-EC09-4E24-9076-C48A0020EB9E}"/>
    <cellStyle name="Normal 4 4 3 2 2 4 2 3" xfId="29229" xr:uid="{D5AA1277-259F-4ABE-950E-FAB5F0556458}"/>
    <cellStyle name="Normal 4 4 3 2 2 4 2 4" xfId="20800" xr:uid="{864BDB2E-DE18-4009-A777-53D12EC9DB32}"/>
    <cellStyle name="Normal 4 4 3 2 2 4 2 5" xfId="37658" xr:uid="{521C7A93-9B17-49F7-876E-1CF08A17BA1F}"/>
    <cellStyle name="Normal 4 4 3 2 2 4 2 6" xfId="12365" xr:uid="{DD84FAFF-0486-497D-9926-270AFD9BE440}"/>
    <cellStyle name="Normal 4 4 3 2 2 4 3" xfId="6003" xr:uid="{00000000-0005-0000-0000-000072150000}"/>
    <cellStyle name="Normal 4 4 3 2 2 4 3 2" xfId="31302" xr:uid="{DFF2C327-FAF6-493E-8E5F-DFE869F11DBD}"/>
    <cellStyle name="Normal 4 4 3 2 2 4 3 3" xfId="22873" xr:uid="{408381F7-6C8E-4BDF-AF48-FFF3924222EB}"/>
    <cellStyle name="Normal 4 4 3 2 2 4 3 4" xfId="39730" xr:uid="{53426E8C-60BD-4666-99A8-30105AF4946B}"/>
    <cellStyle name="Normal 4 4 3 2 2 4 3 5" xfId="14438" xr:uid="{4F145157-8E36-488B-87E1-29063F7DC8ED}"/>
    <cellStyle name="Normal 4 4 3 2 2 4 4" xfId="27084" xr:uid="{92920934-6D6E-43D4-B243-20FAD8774ECC}"/>
    <cellStyle name="Normal 4 4 3 2 2 4 5" xfId="18655" xr:uid="{C959308A-B308-4FD2-86C3-BD1169A994EB}"/>
    <cellStyle name="Normal 4 4 3 2 2 4 6" xfId="35513" xr:uid="{7CBEB90D-6A4B-459E-9A6D-6DEA477DB90D}"/>
    <cellStyle name="Normal 4 4 3 2 2 4 7" xfId="10220" xr:uid="{57775A29-D0FE-45DC-B2DE-9895FADE739C}"/>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33860" xr:uid="{C2EF07F6-51B1-4B69-A96F-B7AD0C8AAEEC}"/>
    <cellStyle name="Normal 4 4 3 2 2 5 2 2 3" xfId="25431" xr:uid="{86BAF7F9-4DF8-4A01-A570-2F366820FF23}"/>
    <cellStyle name="Normal 4 4 3 2 2 5 2 2 4" xfId="42288" xr:uid="{91EC64EF-DFE1-4C2A-A944-C5C91EF54B3E}"/>
    <cellStyle name="Normal 4 4 3 2 2 5 2 2 5" xfId="16996" xr:uid="{013A9DB3-7065-4C28-8C44-A2826D64338E}"/>
    <cellStyle name="Normal 4 4 3 2 2 5 2 3" xfId="29642" xr:uid="{146695DD-22DD-4D41-AB6E-EFE9BD20EE30}"/>
    <cellStyle name="Normal 4 4 3 2 2 5 2 4" xfId="21213" xr:uid="{33675E68-161B-4494-979D-4240FFEDA311}"/>
    <cellStyle name="Normal 4 4 3 2 2 5 2 5" xfId="38071" xr:uid="{2C34B78A-C0DB-4A3E-9FDB-9D5B58E3C986}"/>
    <cellStyle name="Normal 4 4 3 2 2 5 2 6" xfId="12778" xr:uid="{46A4CF03-7927-422A-8510-AF9833BD58AF}"/>
    <cellStyle name="Normal 4 4 3 2 2 5 3" xfId="6416" xr:uid="{00000000-0005-0000-0000-000076150000}"/>
    <cellStyle name="Normal 4 4 3 2 2 5 3 2" xfId="31715" xr:uid="{3E342072-EDAB-45DB-BFA5-6311ECC34BDC}"/>
    <cellStyle name="Normal 4 4 3 2 2 5 3 3" xfId="23286" xr:uid="{5245B9DF-86E0-4F3C-A168-54E97AD0EB97}"/>
    <cellStyle name="Normal 4 4 3 2 2 5 3 4" xfId="40143" xr:uid="{F9F96F88-07F7-4ADC-84D6-7C06F39C6A6F}"/>
    <cellStyle name="Normal 4 4 3 2 2 5 3 5" xfId="14851" xr:uid="{363E4512-6169-49AB-A570-77F840A59BE3}"/>
    <cellStyle name="Normal 4 4 3 2 2 5 4" xfId="27497" xr:uid="{E176556F-0CE1-4BC1-8651-869F44CA200B}"/>
    <cellStyle name="Normal 4 4 3 2 2 5 5" xfId="19068" xr:uid="{446648D9-32F5-49FB-94C6-91AB92A52D6F}"/>
    <cellStyle name="Normal 4 4 3 2 2 5 6" xfId="35926" xr:uid="{7FFF6799-2B7E-4152-9E87-5ADEE2D3F748}"/>
    <cellStyle name="Normal 4 4 3 2 2 5 7" xfId="10633" xr:uid="{39994B9C-364D-4B2C-9936-7A9022F11ECB}"/>
    <cellStyle name="Normal 4 4 3 2 2 6" xfId="2545" xr:uid="{00000000-0005-0000-0000-000077150000}"/>
    <cellStyle name="Normal 4 4 3 2 2 6 2" xfId="6829" xr:uid="{00000000-0005-0000-0000-000078150000}"/>
    <cellStyle name="Normal 4 4 3 2 2 6 2 2" xfId="32128" xr:uid="{42E8FA8E-1DFE-4808-8A87-4D96777C734E}"/>
    <cellStyle name="Normal 4 4 3 2 2 6 2 3" xfId="23699" xr:uid="{F5868B3B-1154-4421-81DA-FBA0FC907F60}"/>
    <cellStyle name="Normal 4 4 3 2 2 6 2 4" xfId="40556" xr:uid="{53AC167F-5D09-43E6-9E13-FB9ED58AC2E4}"/>
    <cellStyle name="Normal 4 4 3 2 2 6 2 5" xfId="15264" xr:uid="{A50BA6BA-D0D2-4F58-A8CC-67B6F95EEC9E}"/>
    <cellStyle name="Normal 4 4 3 2 2 6 3" xfId="27910" xr:uid="{0DF165FD-FAE0-45DA-8E07-9FECEDF0E1FD}"/>
    <cellStyle name="Normal 4 4 3 2 2 6 4" xfId="19481" xr:uid="{F0795F92-FE8E-42E3-9D5E-F9060388D9A5}"/>
    <cellStyle name="Normal 4 4 3 2 2 6 5" xfId="36339" xr:uid="{B69829C0-A5C3-4865-8E1A-FA31C4C254B0}"/>
    <cellStyle name="Normal 4 4 3 2 2 6 6" xfId="11046" xr:uid="{3D44FF04-9E82-49DA-981C-DB3299A8B775}"/>
    <cellStyle name="Normal 4 4 3 2 2 7" xfId="4764" xr:uid="{00000000-0005-0000-0000-000079150000}"/>
    <cellStyle name="Normal 4 4 3 2 2 7 2" xfId="30063" xr:uid="{C8FF46A7-8259-414F-B54C-B184EC74206F}"/>
    <cellStyle name="Normal 4 4 3 2 2 7 3" xfId="21634" xr:uid="{CC1D3F75-0BB0-46B0-A820-CE6E7E21D435}"/>
    <cellStyle name="Normal 4 4 3 2 2 7 4" xfId="38491" xr:uid="{FCF90D94-C2F3-4A77-86D8-5F63CB3FA1BE}"/>
    <cellStyle name="Normal 4 4 3 2 2 7 5" xfId="13199" xr:uid="{44588DE6-E05C-4790-A3E1-D47FD959CE82}"/>
    <cellStyle name="Normal 4 4 3 2 2 8" xfId="25845" xr:uid="{310B7EED-AD4F-4866-B8CE-7E3134054294}"/>
    <cellStyle name="Normal 4 4 3 2 2 9" xfId="17416" xr:uid="{39CEB064-1F35-4829-BAD7-777048EDCF33}"/>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32620" xr:uid="{5197463E-C4E6-486C-8E37-86688BC006C9}"/>
    <cellStyle name="Normal 4 4 3 2 3 2 2 3" xfId="24191" xr:uid="{4B9A6F4B-CF7A-4C87-B90E-B2D0A0E9A72F}"/>
    <cellStyle name="Normal 4 4 3 2 3 2 2 4" xfId="41048" xr:uid="{7A9411EF-C809-47CA-81EE-8CF0D385C9AF}"/>
    <cellStyle name="Normal 4 4 3 2 3 2 2 5" xfId="15756" xr:uid="{B979065D-652F-4459-A336-5D59480D0805}"/>
    <cellStyle name="Normal 4 4 3 2 3 2 3" xfId="28402" xr:uid="{69A7C9A9-C328-4754-A900-E9D500316E8E}"/>
    <cellStyle name="Normal 4 4 3 2 3 2 4" xfId="19973" xr:uid="{45E0BC0C-B8AC-4D3D-94F0-3A37255D1520}"/>
    <cellStyle name="Normal 4 4 3 2 3 2 5" xfId="36831" xr:uid="{0E0788AF-E9B1-4CC8-8B59-2AF1B47560F4}"/>
    <cellStyle name="Normal 4 4 3 2 3 2 6" xfId="11538" xr:uid="{2D5B9569-83EE-4373-84F7-27CFD87650CF}"/>
    <cellStyle name="Normal 4 4 3 2 3 3" xfId="5176" xr:uid="{00000000-0005-0000-0000-00007D150000}"/>
    <cellStyle name="Normal 4 4 3 2 3 3 2" xfId="30475" xr:uid="{7FCF7347-5F44-4703-AE77-7B1FD53BA92A}"/>
    <cellStyle name="Normal 4 4 3 2 3 3 3" xfId="22046" xr:uid="{59DD35F5-9144-4659-89AA-9DE00FB9E135}"/>
    <cellStyle name="Normal 4 4 3 2 3 3 4" xfId="38903" xr:uid="{CC47ED74-A1ED-4A07-B005-6B7AB463DA64}"/>
    <cellStyle name="Normal 4 4 3 2 3 3 5" xfId="13611" xr:uid="{BCEB7E19-FDB5-4837-9693-2E3582D4EF41}"/>
    <cellStyle name="Normal 4 4 3 2 3 4" xfId="26257" xr:uid="{E49728BA-267C-44CC-936A-9FE00C617402}"/>
    <cellStyle name="Normal 4 4 3 2 3 5" xfId="17828" xr:uid="{5F5316FA-2249-4E1B-8FA6-4DD434CFCECD}"/>
    <cellStyle name="Normal 4 4 3 2 3 6" xfId="34686" xr:uid="{572725D5-EA2F-43C6-93B1-2711109C6764}"/>
    <cellStyle name="Normal 4 4 3 2 3 7" xfId="9393" xr:uid="{1FA62669-2FDF-4C52-82FC-1F7F6C30AB6C}"/>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33033" xr:uid="{32251439-830C-45E2-9979-7C283C7F2582}"/>
    <cellStyle name="Normal 4 4 3 2 4 2 2 3" xfId="24604" xr:uid="{572DE938-D98D-42D5-A164-7A246B50417F}"/>
    <cellStyle name="Normal 4 4 3 2 4 2 2 4" xfId="41461" xr:uid="{2B3CF360-A9F9-4857-8A37-3FE78AFE4819}"/>
    <cellStyle name="Normal 4 4 3 2 4 2 2 5" xfId="16169" xr:uid="{637961BE-257A-41D1-941B-850A65FCDDB5}"/>
    <cellStyle name="Normal 4 4 3 2 4 2 3" xfId="28815" xr:uid="{8A7B4F78-1682-4DD0-812B-5DA4F62FC42D}"/>
    <cellStyle name="Normal 4 4 3 2 4 2 4" xfId="20386" xr:uid="{EE7596FA-98E8-439E-B800-EA7E6961C333}"/>
    <cellStyle name="Normal 4 4 3 2 4 2 5" xfId="37244" xr:uid="{7C3F6E68-C1F3-4658-885D-8F49F9CD09C3}"/>
    <cellStyle name="Normal 4 4 3 2 4 2 6" xfId="11951" xr:uid="{99208972-F7F1-45A2-BCB2-98AFB77880EF}"/>
    <cellStyle name="Normal 4 4 3 2 4 3" xfId="5589" xr:uid="{00000000-0005-0000-0000-000081150000}"/>
    <cellStyle name="Normal 4 4 3 2 4 3 2" xfId="30888" xr:uid="{00F321EC-4EAF-440E-89B4-7C94CB26BD46}"/>
    <cellStyle name="Normal 4 4 3 2 4 3 3" xfId="22459" xr:uid="{3BA8D24C-EA1B-4251-ABA6-D3C2E4691ED7}"/>
    <cellStyle name="Normal 4 4 3 2 4 3 4" xfId="39316" xr:uid="{896E08D8-8AA3-4AE1-9D0E-6EFD57CB9440}"/>
    <cellStyle name="Normal 4 4 3 2 4 3 5" xfId="14024" xr:uid="{E8CA1641-4896-4407-ADFE-1C7D42B0E30B}"/>
    <cellStyle name="Normal 4 4 3 2 4 4" xfId="26670" xr:uid="{C2CCD7B9-3290-481E-809A-53E0AF158EF2}"/>
    <cellStyle name="Normal 4 4 3 2 4 5" xfId="18241" xr:uid="{1202A6F6-3CBE-45BA-B676-C4E399A26697}"/>
    <cellStyle name="Normal 4 4 3 2 4 6" xfId="35099" xr:uid="{E302DDB1-D3B6-4F71-98F2-E83331842DD1}"/>
    <cellStyle name="Normal 4 4 3 2 4 7" xfId="9806" xr:uid="{F1B845CE-9CDB-4949-B1FC-DC787573CA16}"/>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33446" xr:uid="{F92E8E69-974E-4949-B544-015801B149A7}"/>
    <cellStyle name="Normal 4 4 3 2 5 2 2 3" xfId="25017" xr:uid="{097EA898-3BBC-414E-8A2B-BCAFACC6F24E}"/>
    <cellStyle name="Normal 4 4 3 2 5 2 2 4" xfId="41874" xr:uid="{F122533A-7A83-456A-8BF0-56DE41824A34}"/>
    <cellStyle name="Normal 4 4 3 2 5 2 2 5" xfId="16582" xr:uid="{64AB6A2E-D412-4A61-A451-D46E19730A87}"/>
    <cellStyle name="Normal 4 4 3 2 5 2 3" xfId="29228" xr:uid="{A898CFE6-E5F8-4825-987E-FC88719A93D1}"/>
    <cellStyle name="Normal 4 4 3 2 5 2 4" xfId="20799" xr:uid="{017D9007-5992-43FC-B8B3-75C5820362DC}"/>
    <cellStyle name="Normal 4 4 3 2 5 2 5" xfId="37657" xr:uid="{9D806F30-A5BD-4EB1-B64A-87D341884EA7}"/>
    <cellStyle name="Normal 4 4 3 2 5 2 6" xfId="12364" xr:uid="{F36C548A-128C-4029-ABAF-F36845096113}"/>
    <cellStyle name="Normal 4 4 3 2 5 3" xfId="6002" xr:uid="{00000000-0005-0000-0000-000085150000}"/>
    <cellStyle name="Normal 4 4 3 2 5 3 2" xfId="31301" xr:uid="{B6A2124C-FC03-42A1-8293-8A6278B9F053}"/>
    <cellStyle name="Normal 4 4 3 2 5 3 3" xfId="22872" xr:uid="{07F734D4-069E-4172-8E9C-035AD700875F}"/>
    <cellStyle name="Normal 4 4 3 2 5 3 4" xfId="39729" xr:uid="{C2C439E0-9A23-4DD4-9B07-0DBE52B27633}"/>
    <cellStyle name="Normal 4 4 3 2 5 3 5" xfId="14437" xr:uid="{0302A428-C14A-4D4A-AF18-06514C53389F}"/>
    <cellStyle name="Normal 4 4 3 2 5 4" xfId="27083" xr:uid="{47B35250-70BB-4A05-AEDE-EC0A6D7F488B}"/>
    <cellStyle name="Normal 4 4 3 2 5 5" xfId="18654" xr:uid="{BA9F94D0-91BB-4AEB-B29D-9F5FB79842D5}"/>
    <cellStyle name="Normal 4 4 3 2 5 6" xfId="35512" xr:uid="{BB261DEB-2C42-4024-A01C-4654B59FBFFA}"/>
    <cellStyle name="Normal 4 4 3 2 5 7" xfId="10219" xr:uid="{34605CA3-F757-41E0-B04B-0D3A10F2C6A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33859" xr:uid="{22695207-7BAB-42B6-9ACF-0686273E77E9}"/>
    <cellStyle name="Normal 4 4 3 2 6 2 2 3" xfId="25430" xr:uid="{3B89FFDA-FDF2-4DBF-B50A-967BCEB63E6C}"/>
    <cellStyle name="Normal 4 4 3 2 6 2 2 4" xfId="42287" xr:uid="{77ADF73F-955B-469F-A083-D911BB637974}"/>
    <cellStyle name="Normal 4 4 3 2 6 2 2 5" xfId="16995" xr:uid="{8A98D81A-6649-467F-BECF-B39AF180C911}"/>
    <cellStyle name="Normal 4 4 3 2 6 2 3" xfId="29641" xr:uid="{625622C6-4D7A-4317-8FFB-298840F242F8}"/>
    <cellStyle name="Normal 4 4 3 2 6 2 4" xfId="21212" xr:uid="{C8B0862F-52B1-4153-850F-B9547B439852}"/>
    <cellStyle name="Normal 4 4 3 2 6 2 5" xfId="38070" xr:uid="{A3EE5A61-EB5D-4D1B-A755-040A8879C09D}"/>
    <cellStyle name="Normal 4 4 3 2 6 2 6" xfId="12777" xr:uid="{57451DD6-DFD1-4699-BC5A-D03C512AF933}"/>
    <cellStyle name="Normal 4 4 3 2 6 3" xfId="6415" xr:uid="{00000000-0005-0000-0000-000089150000}"/>
    <cellStyle name="Normal 4 4 3 2 6 3 2" xfId="31714" xr:uid="{3D9B974A-3506-4E6A-8BE5-B09611DBBC4A}"/>
    <cellStyle name="Normal 4 4 3 2 6 3 3" xfId="23285" xr:uid="{DF25C676-40AF-4B6E-8877-E221F1B66570}"/>
    <cellStyle name="Normal 4 4 3 2 6 3 4" xfId="40142" xr:uid="{418380D9-B02A-42C0-8615-3CC90A141109}"/>
    <cellStyle name="Normal 4 4 3 2 6 3 5" xfId="14850" xr:uid="{118CF326-3937-4BB4-B59D-5C3D190ABB7E}"/>
    <cellStyle name="Normal 4 4 3 2 6 4" xfId="27496" xr:uid="{BBC97168-DD41-4486-AC4D-43EDD50CCC94}"/>
    <cellStyle name="Normal 4 4 3 2 6 5" xfId="19067" xr:uid="{F1555C8D-756F-443D-9C54-8A1EABDA626B}"/>
    <cellStyle name="Normal 4 4 3 2 6 6" xfId="35925" xr:uid="{B4BF0D37-7D1B-4C20-A172-056607926831}"/>
    <cellStyle name="Normal 4 4 3 2 6 7" xfId="10632" xr:uid="{4B3E9C19-D707-43AA-AC25-ECA1E4348DFD}"/>
    <cellStyle name="Normal 4 4 3 2 7" xfId="2544" xr:uid="{00000000-0005-0000-0000-00008A150000}"/>
    <cellStyle name="Normal 4 4 3 2 7 2" xfId="6828" xr:uid="{00000000-0005-0000-0000-00008B150000}"/>
    <cellStyle name="Normal 4 4 3 2 7 2 2" xfId="32127" xr:uid="{F1AFC1A0-C933-4932-BFCE-B053B2663932}"/>
    <cellStyle name="Normal 4 4 3 2 7 2 3" xfId="23698" xr:uid="{A2B1941E-2FAF-48FB-9300-70210A1185BE}"/>
    <cellStyle name="Normal 4 4 3 2 7 2 4" xfId="40555" xr:uid="{09203121-78EE-4320-9E95-9DEE0BB2A290}"/>
    <cellStyle name="Normal 4 4 3 2 7 2 5" xfId="15263" xr:uid="{43B2E527-613A-4771-8B13-7EFF5EC4A153}"/>
    <cellStyle name="Normal 4 4 3 2 7 3" xfId="27909" xr:uid="{0DA41FD7-23F9-460C-BB03-FCCB68046943}"/>
    <cellStyle name="Normal 4 4 3 2 7 4" xfId="19480" xr:uid="{EB1AF99E-F32F-4F10-A54D-C47BEE0777FD}"/>
    <cellStyle name="Normal 4 4 3 2 7 5" xfId="36338" xr:uid="{B8B43AE4-7797-418E-BCF0-03FB9BDF6466}"/>
    <cellStyle name="Normal 4 4 3 2 7 6" xfId="11045" xr:uid="{7A2BA85F-7134-40E9-866C-621592C34CA4}"/>
    <cellStyle name="Normal 4 4 3 2 8" xfId="4763" xr:uid="{00000000-0005-0000-0000-00008C150000}"/>
    <cellStyle name="Normal 4 4 3 2 8 2" xfId="30062" xr:uid="{ABD73377-620A-46AA-8F96-E3C193A51DEC}"/>
    <cellStyle name="Normal 4 4 3 2 8 3" xfId="21633" xr:uid="{A7010D19-9793-4A97-A984-BC773016A35E}"/>
    <cellStyle name="Normal 4 4 3 2 8 4" xfId="38490" xr:uid="{74AE5192-2769-4BA4-A555-5C747A20BD14}"/>
    <cellStyle name="Normal 4 4 3 2 8 5" xfId="13198" xr:uid="{B787D18C-226C-428F-B3B4-D69BEEC37D5B}"/>
    <cellStyle name="Normal 4 4 3 2 9" xfId="25844" xr:uid="{F1840137-A6E8-41E2-BE7A-CB81E1A6700D}"/>
    <cellStyle name="Normal 4 4 3 3" xfId="390" xr:uid="{00000000-0005-0000-0000-00008D150000}"/>
    <cellStyle name="Normal 4 4 3 3 10" xfId="34275" xr:uid="{F669EB0A-EF0C-439D-9AA9-1A0492285969}"/>
    <cellStyle name="Normal 4 4 3 3 11" xfId="8982" xr:uid="{FAB34DDE-89AC-4EA0-86E3-54B6ABBAE38E}"/>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32622" xr:uid="{F7C86562-B703-42DF-9201-2CDE3ACF1F31}"/>
    <cellStyle name="Normal 4 4 3 3 2 2 2 3" xfId="24193" xr:uid="{743C0A78-A33F-4029-9BA9-5CE35AC2B780}"/>
    <cellStyle name="Normal 4 4 3 3 2 2 2 4" xfId="41050" xr:uid="{DA236F67-4FA3-4E94-9451-AB1CF3A007B0}"/>
    <cellStyle name="Normal 4 4 3 3 2 2 2 5" xfId="15758" xr:uid="{B49642B0-5340-46F2-B101-BB9090F83DF4}"/>
    <cellStyle name="Normal 4 4 3 3 2 2 3" xfId="28404" xr:uid="{BF014DE4-6647-4CC0-B80B-4E98389F2FE6}"/>
    <cellStyle name="Normal 4 4 3 3 2 2 4" xfId="19975" xr:uid="{134CBE15-84AF-47C1-899B-1EB111312117}"/>
    <cellStyle name="Normal 4 4 3 3 2 2 5" xfId="36833" xr:uid="{B84B514B-6CEA-491A-AA6C-38A63AC0B992}"/>
    <cellStyle name="Normal 4 4 3 3 2 2 6" xfId="11540" xr:uid="{E6F07B9E-A578-40BA-AC07-B45EEB2219B2}"/>
    <cellStyle name="Normal 4 4 3 3 2 3" xfId="5178" xr:uid="{00000000-0005-0000-0000-000091150000}"/>
    <cellStyle name="Normal 4 4 3 3 2 3 2" xfId="30477" xr:uid="{B5968312-BBE8-48BC-989F-59FA9A630B6F}"/>
    <cellStyle name="Normal 4 4 3 3 2 3 3" xfId="22048" xr:uid="{49E99841-70BD-4DEC-93FF-4408D2641442}"/>
    <cellStyle name="Normal 4 4 3 3 2 3 4" xfId="38905" xr:uid="{4D186554-A804-4760-BD12-2BAEC199965A}"/>
    <cellStyle name="Normal 4 4 3 3 2 3 5" xfId="13613" xr:uid="{4030517C-D0FE-4DF3-9BAD-FF87C47E6C34}"/>
    <cellStyle name="Normal 4 4 3 3 2 4" xfId="26259" xr:uid="{3E868084-A175-4D88-9A57-4028ECAD9149}"/>
    <cellStyle name="Normal 4 4 3 3 2 5" xfId="17830" xr:uid="{03B2EB86-02C1-4A6F-AC05-B5C5115E5F91}"/>
    <cellStyle name="Normal 4 4 3 3 2 6" xfId="34688" xr:uid="{EA9CBD2A-D325-44BB-8947-9CE51EB74D58}"/>
    <cellStyle name="Normal 4 4 3 3 2 7" xfId="9395" xr:uid="{8CF9012F-F44F-4510-BE2D-FFE03BBD5FD8}"/>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33035" xr:uid="{EF2EFCE1-72E4-4733-883E-4BF4D7689FE4}"/>
    <cellStyle name="Normal 4 4 3 3 3 2 2 3" xfId="24606" xr:uid="{BB53CCF4-6852-4521-B6AE-CA0C5838CFCC}"/>
    <cellStyle name="Normal 4 4 3 3 3 2 2 4" xfId="41463" xr:uid="{400923B8-2729-48F0-957B-701DEF250892}"/>
    <cellStyle name="Normal 4 4 3 3 3 2 2 5" xfId="16171" xr:uid="{AA585C8E-ED4D-418B-991A-5111D1D422A2}"/>
    <cellStyle name="Normal 4 4 3 3 3 2 3" xfId="28817" xr:uid="{FD69B48C-2F40-41AE-914D-76F9F74AF150}"/>
    <cellStyle name="Normal 4 4 3 3 3 2 4" xfId="20388" xr:uid="{2A4FC18D-EE12-4920-AFD1-D6D9C70A96D9}"/>
    <cellStyle name="Normal 4 4 3 3 3 2 5" xfId="37246" xr:uid="{ADAF4DDF-1E88-4FAE-96BA-D50C2801C4FD}"/>
    <cellStyle name="Normal 4 4 3 3 3 2 6" xfId="11953" xr:uid="{F7E47190-74D3-49C3-AFEC-B65E91B9A0D9}"/>
    <cellStyle name="Normal 4 4 3 3 3 3" xfId="5591" xr:uid="{00000000-0005-0000-0000-000095150000}"/>
    <cellStyle name="Normal 4 4 3 3 3 3 2" xfId="30890" xr:uid="{306EC01F-7512-4587-8AAB-7A5E7F153B40}"/>
    <cellStyle name="Normal 4 4 3 3 3 3 3" xfId="22461" xr:uid="{597D49DF-E6C9-436C-A57A-A365D45BEFB8}"/>
    <cellStyle name="Normal 4 4 3 3 3 3 4" xfId="39318" xr:uid="{B3958A68-F1AB-4C42-9DC9-F60ED6BAB957}"/>
    <cellStyle name="Normal 4 4 3 3 3 3 5" xfId="14026" xr:uid="{18E91FC7-E951-4733-AB82-3B69421A214F}"/>
    <cellStyle name="Normal 4 4 3 3 3 4" xfId="26672" xr:uid="{67278FBA-E288-4E7C-BF60-A2B029A75290}"/>
    <cellStyle name="Normal 4 4 3 3 3 5" xfId="18243" xr:uid="{F285224C-F1CD-47B3-8612-EFB026BBD4C5}"/>
    <cellStyle name="Normal 4 4 3 3 3 6" xfId="35101" xr:uid="{CCE3086D-A31B-48CA-8E29-5D91DFC65776}"/>
    <cellStyle name="Normal 4 4 3 3 3 7" xfId="9808" xr:uid="{EFB507DE-67E0-4FF9-B08B-D3753CDF075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33448" xr:uid="{C350EC98-E3AC-46C9-BF08-2090E1959C4B}"/>
    <cellStyle name="Normal 4 4 3 3 4 2 2 3" xfId="25019" xr:uid="{E65C4196-DF51-43A2-B76F-CA78082AFB29}"/>
    <cellStyle name="Normal 4 4 3 3 4 2 2 4" xfId="41876" xr:uid="{D66C0421-D307-4526-AAFF-73AE376C00C0}"/>
    <cellStyle name="Normal 4 4 3 3 4 2 2 5" xfId="16584" xr:uid="{D76CDFCE-6632-43B7-92ED-050006354515}"/>
    <cellStyle name="Normal 4 4 3 3 4 2 3" xfId="29230" xr:uid="{B6D873F7-4262-46CB-8116-AB40D6299F75}"/>
    <cellStyle name="Normal 4 4 3 3 4 2 4" xfId="20801" xr:uid="{DFCC129B-B53F-4007-8474-8AFF0EC33DB4}"/>
    <cellStyle name="Normal 4 4 3 3 4 2 5" xfId="37659" xr:uid="{8E332F01-EA91-4E31-86FA-99C8FA234530}"/>
    <cellStyle name="Normal 4 4 3 3 4 2 6" xfId="12366" xr:uid="{239A8704-D79E-4B5B-BCB9-8FA0E331B96F}"/>
    <cellStyle name="Normal 4 4 3 3 4 3" xfId="6004" xr:uid="{00000000-0005-0000-0000-000099150000}"/>
    <cellStyle name="Normal 4 4 3 3 4 3 2" xfId="31303" xr:uid="{79F69F70-DA0B-48D5-9164-71362D118080}"/>
    <cellStyle name="Normal 4 4 3 3 4 3 3" xfId="22874" xr:uid="{C56898EF-922E-43C6-8C20-ABDA3EBD870E}"/>
    <cellStyle name="Normal 4 4 3 3 4 3 4" xfId="39731" xr:uid="{454613CD-0B53-4D41-BF27-C2E969A7E40F}"/>
    <cellStyle name="Normal 4 4 3 3 4 3 5" xfId="14439" xr:uid="{D24D2A8E-4FDC-479D-828C-0389F001C443}"/>
    <cellStyle name="Normal 4 4 3 3 4 4" xfId="27085" xr:uid="{F93CBE02-DAB0-4291-8B19-C392544BD47F}"/>
    <cellStyle name="Normal 4 4 3 3 4 5" xfId="18656" xr:uid="{E607A57F-EEBD-4C3B-B481-2D986163E819}"/>
    <cellStyle name="Normal 4 4 3 3 4 6" xfId="35514" xr:uid="{4181B575-53D9-4778-B0A8-65B3C57C0016}"/>
    <cellStyle name="Normal 4 4 3 3 4 7" xfId="10221" xr:uid="{6D970A23-F5D3-4F64-B7CE-87695A05935A}"/>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33861" xr:uid="{FEC37CA3-F246-4691-A035-B7B234775728}"/>
    <cellStyle name="Normal 4 4 3 3 5 2 2 3" xfId="25432" xr:uid="{CD21CCAF-7D8B-4D90-971A-41A5911CE74E}"/>
    <cellStyle name="Normal 4 4 3 3 5 2 2 4" xfId="42289" xr:uid="{C033E677-72E7-4746-8487-C930E3A64ABF}"/>
    <cellStyle name="Normal 4 4 3 3 5 2 2 5" xfId="16997" xr:uid="{F297D904-0B59-4EAC-84D4-A35E6BEC2F5C}"/>
    <cellStyle name="Normal 4 4 3 3 5 2 3" xfId="29643" xr:uid="{D01F4E97-3936-4D15-9D63-AC41FDD84B23}"/>
    <cellStyle name="Normal 4 4 3 3 5 2 4" xfId="21214" xr:uid="{37C0179C-AAFC-4C9C-BF4B-4A5D312EC5A1}"/>
    <cellStyle name="Normal 4 4 3 3 5 2 5" xfId="38072" xr:uid="{EC3D9387-919A-4D86-B77F-EABB96126512}"/>
    <cellStyle name="Normal 4 4 3 3 5 2 6" xfId="12779" xr:uid="{B00CC3E7-3656-48E6-9FF6-5E7C214B9173}"/>
    <cellStyle name="Normal 4 4 3 3 5 3" xfId="6417" xr:uid="{00000000-0005-0000-0000-00009D150000}"/>
    <cellStyle name="Normal 4 4 3 3 5 3 2" xfId="31716" xr:uid="{7D1D019E-D0BA-4307-8F12-FC17FD982573}"/>
    <cellStyle name="Normal 4 4 3 3 5 3 3" xfId="23287" xr:uid="{6F7D42AA-FC8E-43FD-826E-1FEF0B58B979}"/>
    <cellStyle name="Normal 4 4 3 3 5 3 4" xfId="40144" xr:uid="{CDDBABF1-2FAE-45A4-A51D-90E6FDDA48E8}"/>
    <cellStyle name="Normal 4 4 3 3 5 3 5" xfId="14852" xr:uid="{410ECE4E-83D0-4087-9BFF-358E706778AA}"/>
    <cellStyle name="Normal 4 4 3 3 5 4" xfId="27498" xr:uid="{43FDB391-5BC5-494F-A9BE-7F18E75CF890}"/>
    <cellStyle name="Normal 4 4 3 3 5 5" xfId="19069" xr:uid="{621A3FDC-FCAC-43E5-913B-875968289B21}"/>
    <cellStyle name="Normal 4 4 3 3 5 6" xfId="35927" xr:uid="{F92EB4EA-B51E-4F9B-B311-5C8A491F7175}"/>
    <cellStyle name="Normal 4 4 3 3 5 7" xfId="10634" xr:uid="{995F34D6-3773-46CC-90C4-1292622ECB3B}"/>
    <cellStyle name="Normal 4 4 3 3 6" xfId="2546" xr:uid="{00000000-0005-0000-0000-00009E150000}"/>
    <cellStyle name="Normal 4 4 3 3 6 2" xfId="6830" xr:uid="{00000000-0005-0000-0000-00009F150000}"/>
    <cellStyle name="Normal 4 4 3 3 6 2 2" xfId="32129" xr:uid="{D58005F1-3290-4482-A700-02D4C939ECE3}"/>
    <cellStyle name="Normal 4 4 3 3 6 2 3" xfId="23700" xr:uid="{0E064CEE-F25B-42A6-BF99-E892ACFDE246}"/>
    <cellStyle name="Normal 4 4 3 3 6 2 4" xfId="40557" xr:uid="{C82AC682-B5A5-4919-9678-D926B64E1F51}"/>
    <cellStyle name="Normal 4 4 3 3 6 2 5" xfId="15265" xr:uid="{D98A84CB-A71A-42A7-8097-0833723F202D}"/>
    <cellStyle name="Normal 4 4 3 3 6 3" xfId="27911" xr:uid="{D52C6DFD-BE54-48BD-8A7C-85AEED60663A}"/>
    <cellStyle name="Normal 4 4 3 3 6 4" xfId="19482" xr:uid="{590F6E54-B49D-4C29-8DEC-D795AD346A70}"/>
    <cellStyle name="Normal 4 4 3 3 6 5" xfId="36340" xr:uid="{73342BDC-C511-443A-90E3-CEB26C0CBCA8}"/>
    <cellStyle name="Normal 4 4 3 3 6 6" xfId="11047" xr:uid="{FCE25442-9835-41EE-B05D-C16726C77497}"/>
    <cellStyle name="Normal 4 4 3 3 7" xfId="4765" xr:uid="{00000000-0005-0000-0000-0000A0150000}"/>
    <cellStyle name="Normal 4 4 3 3 7 2" xfId="30064" xr:uid="{95AC4FB8-E028-4D39-8470-872E65756C8D}"/>
    <cellStyle name="Normal 4 4 3 3 7 3" xfId="21635" xr:uid="{7DF2B6C2-5A1C-45DF-9CCB-7A3492541EE9}"/>
    <cellStyle name="Normal 4 4 3 3 7 4" xfId="38492" xr:uid="{E836EE06-6FBC-4CFD-8ED1-5FA5DBD6DC7E}"/>
    <cellStyle name="Normal 4 4 3 3 7 5" xfId="13200" xr:uid="{D2A0E65E-E202-4032-AFCB-03E599741529}"/>
    <cellStyle name="Normal 4 4 3 3 8" xfId="25846" xr:uid="{6FFB8F7B-209C-4365-A66E-8DBAE4448F1D}"/>
    <cellStyle name="Normal 4 4 3 3 9" xfId="17417" xr:uid="{61FE394F-AB50-4907-857B-2768582A98FD}"/>
    <cellStyle name="Normal 4 4 3 4" xfId="862" xr:uid="{00000000-0005-0000-0000-0000A1150000}"/>
    <cellStyle name="Normal 4 4 3 4 2" xfId="3097" xr:uid="{00000000-0005-0000-0000-0000A2150000}"/>
    <cellStyle name="Normal 4 4 3 4 2 2" xfId="7320" xr:uid="{00000000-0005-0000-0000-0000A3150000}"/>
    <cellStyle name="Normal 4 4 3 4 2 2 2" xfId="32619" xr:uid="{462822B0-40A0-4C21-AB98-AE75F41A3A0A}"/>
    <cellStyle name="Normal 4 4 3 4 2 2 3" xfId="24190" xr:uid="{6A456E05-51D8-40B3-949E-69DC9574390D}"/>
    <cellStyle name="Normal 4 4 3 4 2 2 4" xfId="41047" xr:uid="{8F789500-480E-4363-8EC2-80B11A9D44E7}"/>
    <cellStyle name="Normal 4 4 3 4 2 2 5" xfId="15755" xr:uid="{997B2B38-C64D-4066-A691-F47DD7BEE7BC}"/>
    <cellStyle name="Normal 4 4 3 4 2 3" xfId="28401" xr:uid="{32F8B424-E412-497E-9840-18EDEDB8E8B1}"/>
    <cellStyle name="Normal 4 4 3 4 2 4" xfId="19972" xr:uid="{5EF3857D-9771-4716-B5B5-9CEB04E2C8EC}"/>
    <cellStyle name="Normal 4 4 3 4 2 5" xfId="36830" xr:uid="{99019DC6-E230-444D-84FA-C6E9530D68B2}"/>
    <cellStyle name="Normal 4 4 3 4 2 6" xfId="11537" xr:uid="{F5D1F910-B9FC-4C36-BFA3-C429D17E4957}"/>
    <cellStyle name="Normal 4 4 3 4 3" xfId="5175" xr:uid="{00000000-0005-0000-0000-0000A4150000}"/>
    <cellStyle name="Normal 4 4 3 4 3 2" xfId="30474" xr:uid="{D03F6D04-0A8C-4885-A5FD-709E80C50783}"/>
    <cellStyle name="Normal 4 4 3 4 3 3" xfId="22045" xr:uid="{689FAF16-EA49-412C-8ABE-03D23D98B2C6}"/>
    <cellStyle name="Normal 4 4 3 4 3 4" xfId="38902" xr:uid="{4B9F8F9A-8058-4516-A94B-BEC277FE00E2}"/>
    <cellStyle name="Normal 4 4 3 4 3 5" xfId="13610" xr:uid="{D7E0841D-BD88-4204-8EF1-7BC968E6394D}"/>
    <cellStyle name="Normal 4 4 3 4 4" xfId="26256" xr:uid="{06D79C5C-5ADA-496A-B90C-D814B98BFB82}"/>
    <cellStyle name="Normal 4 4 3 4 5" xfId="17827" xr:uid="{2873FBA6-A46E-4276-82E3-CCD9DEBFB318}"/>
    <cellStyle name="Normal 4 4 3 4 6" xfId="34685" xr:uid="{30F9BB83-578E-4CB3-B629-D3F96FE6002A}"/>
    <cellStyle name="Normal 4 4 3 4 7" xfId="9392" xr:uid="{4548EF50-4D59-4AC5-938A-6FD17C23D684}"/>
    <cellStyle name="Normal 4 4 3 5" xfId="1280" xr:uid="{00000000-0005-0000-0000-0000A5150000}"/>
    <cellStyle name="Normal 4 4 3 5 2" xfId="3510" xr:uid="{00000000-0005-0000-0000-0000A6150000}"/>
    <cellStyle name="Normal 4 4 3 5 2 2" xfId="7733" xr:uid="{00000000-0005-0000-0000-0000A7150000}"/>
    <cellStyle name="Normal 4 4 3 5 2 2 2" xfId="33032" xr:uid="{9317BB6E-EEE5-49F6-BFA1-EDF31AC40272}"/>
    <cellStyle name="Normal 4 4 3 5 2 2 3" xfId="24603" xr:uid="{18D689F6-9B43-4EF2-8553-CE24F5586ECF}"/>
    <cellStyle name="Normal 4 4 3 5 2 2 4" xfId="41460" xr:uid="{4AA58136-94B5-42EB-A14A-94C154B87FE3}"/>
    <cellStyle name="Normal 4 4 3 5 2 2 5" xfId="16168" xr:uid="{69C1DB70-FB7C-4933-A54C-F51B524E68B5}"/>
    <cellStyle name="Normal 4 4 3 5 2 3" xfId="28814" xr:uid="{3D9E508D-9A5A-4AFD-B282-C9FBB7CD9355}"/>
    <cellStyle name="Normal 4 4 3 5 2 4" xfId="20385" xr:uid="{E10DAC32-A178-48D8-AEF5-48E997612904}"/>
    <cellStyle name="Normal 4 4 3 5 2 5" xfId="37243" xr:uid="{5D91B752-60C7-49C2-AE01-E859ED607D90}"/>
    <cellStyle name="Normal 4 4 3 5 2 6" xfId="11950" xr:uid="{8642A68F-48B4-4EA9-BD75-E0D23830C082}"/>
    <cellStyle name="Normal 4 4 3 5 3" xfId="5588" xr:uid="{00000000-0005-0000-0000-0000A8150000}"/>
    <cellStyle name="Normal 4 4 3 5 3 2" xfId="30887" xr:uid="{31B88B02-56D5-4623-A9AB-BFA3162C5735}"/>
    <cellStyle name="Normal 4 4 3 5 3 3" xfId="22458" xr:uid="{ED31B81F-200E-4DDC-A173-E7849D13651F}"/>
    <cellStyle name="Normal 4 4 3 5 3 4" xfId="39315" xr:uid="{2720AAB2-072C-4D10-9E24-996D807AD8C4}"/>
    <cellStyle name="Normal 4 4 3 5 3 5" xfId="14023" xr:uid="{9A8C9072-7765-4574-BD0F-5FFDFD9117FE}"/>
    <cellStyle name="Normal 4 4 3 5 4" xfId="26669" xr:uid="{1AD35F6C-D3E1-46A1-83C6-331350845774}"/>
    <cellStyle name="Normal 4 4 3 5 5" xfId="18240" xr:uid="{D5CA9864-C928-4D13-87E0-866CD135A951}"/>
    <cellStyle name="Normal 4 4 3 5 6" xfId="35098" xr:uid="{F174A6F9-D5A6-424A-8EB4-5FE4B87E0FA0}"/>
    <cellStyle name="Normal 4 4 3 5 7" xfId="9805" xr:uid="{CBC19B03-4143-4CBA-BE09-63E2E5019CF5}"/>
    <cellStyle name="Normal 4 4 3 6" xfId="1693" xr:uid="{00000000-0005-0000-0000-0000A9150000}"/>
    <cellStyle name="Normal 4 4 3 6 2" xfId="3923" xr:uid="{00000000-0005-0000-0000-0000AA150000}"/>
    <cellStyle name="Normal 4 4 3 6 2 2" xfId="8146" xr:uid="{00000000-0005-0000-0000-0000AB150000}"/>
    <cellStyle name="Normal 4 4 3 6 2 2 2" xfId="33445" xr:uid="{8B0AB965-2A88-4B66-8433-44C22B6F3952}"/>
    <cellStyle name="Normal 4 4 3 6 2 2 3" xfId="25016" xr:uid="{503A6CE4-8753-400B-88A8-A06659E667C0}"/>
    <cellStyle name="Normal 4 4 3 6 2 2 4" xfId="41873" xr:uid="{5D854546-1ABB-43D7-8E7A-5CBA4E487352}"/>
    <cellStyle name="Normal 4 4 3 6 2 2 5" xfId="16581" xr:uid="{11604EB1-026E-47CE-9293-15B1879FE811}"/>
    <cellStyle name="Normal 4 4 3 6 2 3" xfId="29227" xr:uid="{953DF328-790D-4B29-BD52-82BF9F9DD225}"/>
    <cellStyle name="Normal 4 4 3 6 2 4" xfId="20798" xr:uid="{660F3BE2-FCB2-4588-B338-D227D85D04B0}"/>
    <cellStyle name="Normal 4 4 3 6 2 5" xfId="37656" xr:uid="{68A0EB47-4DC4-4B7B-BB93-5F854B600EA3}"/>
    <cellStyle name="Normal 4 4 3 6 2 6" xfId="12363" xr:uid="{2E4433A8-8A1C-4064-AB19-EB1B2A226FDB}"/>
    <cellStyle name="Normal 4 4 3 6 3" xfId="6001" xr:uid="{00000000-0005-0000-0000-0000AC150000}"/>
    <cellStyle name="Normal 4 4 3 6 3 2" xfId="31300" xr:uid="{8FBE615A-4779-4DEB-A410-7EC22D29D2EC}"/>
    <cellStyle name="Normal 4 4 3 6 3 3" xfId="22871" xr:uid="{E1E8C142-B354-4975-A123-DAAEE4D82A27}"/>
    <cellStyle name="Normal 4 4 3 6 3 4" xfId="39728" xr:uid="{A6ECA607-C5B5-497A-B0D6-2F0EFD809FFE}"/>
    <cellStyle name="Normal 4 4 3 6 3 5" xfId="14436" xr:uid="{D769E922-B093-445A-AD00-C41A58A14A1F}"/>
    <cellStyle name="Normal 4 4 3 6 4" xfId="27082" xr:uid="{0145FD3F-90B6-4960-A407-BBDE47C8B297}"/>
    <cellStyle name="Normal 4 4 3 6 5" xfId="18653" xr:uid="{40D53CE9-627E-4AE5-9233-FDE5A21FD8B8}"/>
    <cellStyle name="Normal 4 4 3 6 6" xfId="35511" xr:uid="{A2004402-63AC-4F4B-A30E-6738CCE7A9B0}"/>
    <cellStyle name="Normal 4 4 3 6 7" xfId="10218" xr:uid="{B4B86439-A4EC-4ABA-A82A-8573837D8D70}"/>
    <cellStyle name="Normal 4 4 3 7" xfId="2107" xr:uid="{00000000-0005-0000-0000-0000AD150000}"/>
    <cellStyle name="Normal 4 4 3 7 2" xfId="4336" xr:uid="{00000000-0005-0000-0000-0000AE150000}"/>
    <cellStyle name="Normal 4 4 3 7 2 2" xfId="8559" xr:uid="{00000000-0005-0000-0000-0000AF150000}"/>
    <cellStyle name="Normal 4 4 3 7 2 2 2" xfId="33858" xr:uid="{0ED61FDE-F917-4589-A961-C2111BD01825}"/>
    <cellStyle name="Normal 4 4 3 7 2 2 3" xfId="25429" xr:uid="{C73D76B6-5069-40F1-88E8-89E0344B3805}"/>
    <cellStyle name="Normal 4 4 3 7 2 2 4" xfId="42286" xr:uid="{BD3F9767-62C0-454D-A01B-2F31D7E8DD4A}"/>
    <cellStyle name="Normal 4 4 3 7 2 2 5" xfId="16994" xr:uid="{BE37AAED-B866-400D-914E-EE871A1047BD}"/>
    <cellStyle name="Normal 4 4 3 7 2 3" xfId="29640" xr:uid="{F17C4D0B-5426-41BE-A7EF-B6641DECF0B0}"/>
    <cellStyle name="Normal 4 4 3 7 2 4" xfId="21211" xr:uid="{AA34B253-8440-4365-B7F5-974457E37D3D}"/>
    <cellStyle name="Normal 4 4 3 7 2 5" xfId="38069" xr:uid="{A33AF4FD-0F81-445D-A8FD-B7C6D885502B}"/>
    <cellStyle name="Normal 4 4 3 7 2 6" xfId="12776" xr:uid="{3E1A2224-E1F8-432C-AF33-21282EEC5FE3}"/>
    <cellStyle name="Normal 4 4 3 7 3" xfId="6414" xr:uid="{00000000-0005-0000-0000-0000B0150000}"/>
    <cellStyle name="Normal 4 4 3 7 3 2" xfId="31713" xr:uid="{3F146B90-4BF6-40E8-BE78-E97C82C17874}"/>
    <cellStyle name="Normal 4 4 3 7 3 3" xfId="23284" xr:uid="{CA1E86B8-8E70-42D8-AE69-C43D12A588A3}"/>
    <cellStyle name="Normal 4 4 3 7 3 4" xfId="40141" xr:uid="{9875DB48-620E-495B-8223-6739A369515B}"/>
    <cellStyle name="Normal 4 4 3 7 3 5" xfId="14849" xr:uid="{344D5215-BA38-47CA-9595-CB6123B6F677}"/>
    <cellStyle name="Normal 4 4 3 7 4" xfId="27495" xr:uid="{2C4833A8-7E6D-445D-A341-DD1052C4DDF4}"/>
    <cellStyle name="Normal 4 4 3 7 5" xfId="19066" xr:uid="{55EB6BC4-A642-4361-8156-A43D104FD984}"/>
    <cellStyle name="Normal 4 4 3 7 6" xfId="35924" xr:uid="{72B31A50-CF3B-4025-8A92-D0D3AD8DA0AE}"/>
    <cellStyle name="Normal 4 4 3 7 7" xfId="10631" xr:uid="{9E577515-1589-486A-BD4A-9D90BF6DC352}"/>
    <cellStyle name="Normal 4 4 3 8" xfId="2543" xr:uid="{00000000-0005-0000-0000-0000B1150000}"/>
    <cellStyle name="Normal 4 4 3 8 2" xfId="6827" xr:uid="{00000000-0005-0000-0000-0000B2150000}"/>
    <cellStyle name="Normal 4 4 3 8 2 2" xfId="32126" xr:uid="{64A25AC1-1D50-46C1-AECE-AD48F8677414}"/>
    <cellStyle name="Normal 4 4 3 8 2 3" xfId="23697" xr:uid="{31573835-0ADE-4B52-8D1D-A1FBF98AD942}"/>
    <cellStyle name="Normal 4 4 3 8 2 4" xfId="40554" xr:uid="{E852B6F3-2306-4D36-9D17-AF3CE13A64FE}"/>
    <cellStyle name="Normal 4 4 3 8 2 5" xfId="15262" xr:uid="{EEAA6D42-CAC9-4F4E-AEDB-1B59F8CC637E}"/>
    <cellStyle name="Normal 4 4 3 8 3" xfId="27908" xr:uid="{F8238918-6B58-483F-A316-72E639C7FBAC}"/>
    <cellStyle name="Normal 4 4 3 8 4" xfId="19479" xr:uid="{59D4EA7C-FC68-4A0E-93AE-DB6DF863DC0E}"/>
    <cellStyle name="Normal 4 4 3 8 5" xfId="36337" xr:uid="{D72C5CB7-263A-4972-9D7F-99F215060AA0}"/>
    <cellStyle name="Normal 4 4 3 8 6" xfId="11044" xr:uid="{EACADBA3-8A37-47FE-B0B9-5422E0D395A5}"/>
    <cellStyle name="Normal 4 4 3 9" xfId="4762" xr:uid="{00000000-0005-0000-0000-0000B3150000}"/>
    <cellStyle name="Normal 4 4 3 9 2" xfId="30061" xr:uid="{93A86677-6B1E-4720-9AA8-EDDBB1F51BCA}"/>
    <cellStyle name="Normal 4 4 3 9 3" xfId="21632" xr:uid="{7DCCFD1D-C5CC-438A-AC2A-53E4A30AF64D}"/>
    <cellStyle name="Normal 4 4 3 9 4" xfId="38489" xr:uid="{37E74688-2B47-4169-9E75-9180ED01F5AF}"/>
    <cellStyle name="Normal 4 4 3 9 5" xfId="13197" xr:uid="{1B72062E-ACC7-4938-BE87-53A22B15D4DA}"/>
    <cellStyle name="Normal 4 4 4" xfId="391" xr:uid="{00000000-0005-0000-0000-0000B4150000}"/>
    <cellStyle name="Normal 4 4 4 10" xfId="17418" xr:uid="{BC79B6F3-D146-4CD5-9F62-9C9DE580C213}"/>
    <cellStyle name="Normal 4 4 4 11" xfId="34276" xr:uid="{15BA99DF-2E9C-43B6-9AE8-51584B22653F}"/>
    <cellStyle name="Normal 4 4 4 12" xfId="8983" xr:uid="{1D78F582-DAFD-4A43-8241-5B1B9E26F608}"/>
    <cellStyle name="Normal 4 4 4 2" xfId="392" xr:uid="{00000000-0005-0000-0000-0000B5150000}"/>
    <cellStyle name="Normal 4 4 4 2 10" xfId="34277" xr:uid="{195B2973-759F-4812-B2F6-52E4249D96BE}"/>
    <cellStyle name="Normal 4 4 4 2 11" xfId="8984" xr:uid="{D25EE7E1-E10B-4077-BF51-E00107544433}"/>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32624" xr:uid="{CE5FBEA3-4F46-4FA1-93E7-DE0442398381}"/>
    <cellStyle name="Normal 4 4 4 2 2 2 2 3" xfId="24195" xr:uid="{5613A000-51A7-46B9-8383-A78E7AEB7CA0}"/>
    <cellStyle name="Normal 4 4 4 2 2 2 2 4" xfId="41052" xr:uid="{A326E356-5901-43E4-8FFF-EB9A7BF911B8}"/>
    <cellStyle name="Normal 4 4 4 2 2 2 2 5" xfId="15760" xr:uid="{179AB311-F2EB-41F0-A795-9CB55D420CFB}"/>
    <cellStyle name="Normal 4 4 4 2 2 2 3" xfId="28406" xr:uid="{D0C5AD77-5260-4C14-9663-ADDC72442B26}"/>
    <cellStyle name="Normal 4 4 4 2 2 2 4" xfId="19977" xr:uid="{A3ACB1C6-07E1-4FCB-9EB7-5558A461295B}"/>
    <cellStyle name="Normal 4 4 4 2 2 2 5" xfId="36835" xr:uid="{CE5F013B-0066-4240-8995-F690E193415A}"/>
    <cellStyle name="Normal 4 4 4 2 2 2 6" xfId="11542" xr:uid="{604043BF-E787-4C52-BDC9-A16B77A3FDEA}"/>
    <cellStyle name="Normal 4 4 4 2 2 3" xfId="5180" xr:uid="{00000000-0005-0000-0000-0000B9150000}"/>
    <cellStyle name="Normal 4 4 4 2 2 3 2" xfId="30479" xr:uid="{15850C90-4857-4B17-89FF-9C9BEF596D47}"/>
    <cellStyle name="Normal 4 4 4 2 2 3 3" xfId="22050" xr:uid="{4F083A28-7C8F-42B3-BB86-B6ED64FE8CFF}"/>
    <cellStyle name="Normal 4 4 4 2 2 3 4" xfId="38907" xr:uid="{F21092EF-F304-4E33-84F3-107E818F3DDD}"/>
    <cellStyle name="Normal 4 4 4 2 2 3 5" xfId="13615" xr:uid="{8B3AE577-93AD-4364-9102-D9745AF86B92}"/>
    <cellStyle name="Normal 4 4 4 2 2 4" xfId="26261" xr:uid="{ACBD8093-7F55-4944-B5A0-67E936D59FEA}"/>
    <cellStyle name="Normal 4 4 4 2 2 5" xfId="17832" xr:uid="{6BAC01E1-23E0-4590-A1E1-C144DFDE719F}"/>
    <cellStyle name="Normal 4 4 4 2 2 6" xfId="34690" xr:uid="{22E6E1D6-5032-4535-A5C0-411E7938FF68}"/>
    <cellStyle name="Normal 4 4 4 2 2 7" xfId="9397" xr:uid="{8794C166-5967-477A-B74A-6C44D578C3BB}"/>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33037" xr:uid="{2A951F10-CAC8-41B6-B8E1-0FDA1DCF09A0}"/>
    <cellStyle name="Normal 4 4 4 2 3 2 2 3" xfId="24608" xr:uid="{724E4A46-FD00-4D98-B455-C9BC2E21576A}"/>
    <cellStyle name="Normal 4 4 4 2 3 2 2 4" xfId="41465" xr:uid="{F7630C21-5E38-4EC1-ADE4-EB3F9057B9ED}"/>
    <cellStyle name="Normal 4 4 4 2 3 2 2 5" xfId="16173" xr:uid="{2507BCFF-8CD0-4E78-BFB7-EBE78C91D29A}"/>
    <cellStyle name="Normal 4 4 4 2 3 2 3" xfId="28819" xr:uid="{D0B3C918-0BF7-446C-964B-011158955DFE}"/>
    <cellStyle name="Normal 4 4 4 2 3 2 4" xfId="20390" xr:uid="{75ECA6D9-F658-46D6-8E5E-BA3864E0D92F}"/>
    <cellStyle name="Normal 4 4 4 2 3 2 5" xfId="37248" xr:uid="{4D7DDFF2-EB9E-4125-A5B8-689748D22E4C}"/>
    <cellStyle name="Normal 4 4 4 2 3 2 6" xfId="11955" xr:uid="{B64745C1-95CE-4DA4-BAD8-90B8CDB1960A}"/>
    <cellStyle name="Normal 4 4 4 2 3 3" xfId="5593" xr:uid="{00000000-0005-0000-0000-0000BD150000}"/>
    <cellStyle name="Normal 4 4 4 2 3 3 2" xfId="30892" xr:uid="{9DD5AD98-0813-4C4D-AD2A-2805EFA36F66}"/>
    <cellStyle name="Normal 4 4 4 2 3 3 3" xfId="22463" xr:uid="{A29F51C8-E6EB-4AC8-BB79-E1DEA65A6377}"/>
    <cellStyle name="Normal 4 4 4 2 3 3 4" xfId="39320" xr:uid="{8ACC1B2A-083A-43F5-A9F5-A80B113965B4}"/>
    <cellStyle name="Normal 4 4 4 2 3 3 5" xfId="14028" xr:uid="{67AAD5E4-DAA4-4BA7-A390-451A80839F2C}"/>
    <cellStyle name="Normal 4 4 4 2 3 4" xfId="26674" xr:uid="{BB8C51E2-4EEF-4240-9E22-32453A95ABDE}"/>
    <cellStyle name="Normal 4 4 4 2 3 5" xfId="18245" xr:uid="{CB4A5458-CD87-4BD2-A218-30C12A3154C9}"/>
    <cellStyle name="Normal 4 4 4 2 3 6" xfId="35103" xr:uid="{C3407A9E-216A-48E9-98A5-DE0A57A1FE56}"/>
    <cellStyle name="Normal 4 4 4 2 3 7" xfId="9810" xr:uid="{5A82C185-7ABE-4796-AF2F-DCFD514ADF3D}"/>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33450" xr:uid="{5C07914D-D13B-4C31-BEF4-2FD118253F95}"/>
    <cellStyle name="Normal 4 4 4 2 4 2 2 3" xfId="25021" xr:uid="{32A6D0C3-FC9D-47F5-96AB-943D4D695671}"/>
    <cellStyle name="Normal 4 4 4 2 4 2 2 4" xfId="41878" xr:uid="{23ABF449-9A8D-4937-8C6D-9214596AB508}"/>
    <cellStyle name="Normal 4 4 4 2 4 2 2 5" xfId="16586" xr:uid="{DFE1C248-E3CB-4E80-96C0-50263D38AEDA}"/>
    <cellStyle name="Normal 4 4 4 2 4 2 3" xfId="29232" xr:uid="{24E18A62-7047-4174-8313-080C7B89F22A}"/>
    <cellStyle name="Normal 4 4 4 2 4 2 4" xfId="20803" xr:uid="{9DDF2FA5-E0DE-481A-A569-855F4CCA6C7F}"/>
    <cellStyle name="Normal 4 4 4 2 4 2 5" xfId="37661" xr:uid="{AFCADFE9-E80E-4838-A91C-0B3AA92BB2BD}"/>
    <cellStyle name="Normal 4 4 4 2 4 2 6" xfId="12368" xr:uid="{D4F00E56-BE90-4073-A512-5062EB5DF38D}"/>
    <cellStyle name="Normal 4 4 4 2 4 3" xfId="6006" xr:uid="{00000000-0005-0000-0000-0000C1150000}"/>
    <cellStyle name="Normal 4 4 4 2 4 3 2" xfId="31305" xr:uid="{9AE0F2DB-DC44-4CAE-B4BD-E016CB1C1A0A}"/>
    <cellStyle name="Normal 4 4 4 2 4 3 3" xfId="22876" xr:uid="{78BDDF6F-F5E9-4CE2-A116-5C3C44E1FD35}"/>
    <cellStyle name="Normal 4 4 4 2 4 3 4" xfId="39733" xr:uid="{17B7960E-27E5-498E-841C-2F8E6051C7A6}"/>
    <cellStyle name="Normal 4 4 4 2 4 3 5" xfId="14441" xr:uid="{2364508B-5B55-4245-BEA6-53130EE3EC87}"/>
    <cellStyle name="Normal 4 4 4 2 4 4" xfId="27087" xr:uid="{C148A80E-4DFC-4D96-83A5-9A3802EC08B0}"/>
    <cellStyle name="Normal 4 4 4 2 4 5" xfId="18658" xr:uid="{89CD6149-857F-444B-9D0E-19AD7D221C90}"/>
    <cellStyle name="Normal 4 4 4 2 4 6" xfId="35516" xr:uid="{B489A800-E17E-4CEA-8245-474120F84DEE}"/>
    <cellStyle name="Normal 4 4 4 2 4 7" xfId="10223" xr:uid="{F891D7FD-0596-4669-A4A3-66C02C9F177E}"/>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33863" xr:uid="{6E70C3E1-1CEC-4511-A254-89BA35CD5999}"/>
    <cellStyle name="Normal 4 4 4 2 5 2 2 3" xfId="25434" xr:uid="{A3D1120E-EA80-49A7-9D09-8F59CB4EF160}"/>
    <cellStyle name="Normal 4 4 4 2 5 2 2 4" xfId="42291" xr:uid="{3AD2C889-54A0-4F0E-80E5-FB11C9AEF5BE}"/>
    <cellStyle name="Normal 4 4 4 2 5 2 2 5" xfId="16999" xr:uid="{85BA5ADD-C0EB-4EA6-9DF3-98126339892D}"/>
    <cellStyle name="Normal 4 4 4 2 5 2 3" xfId="29645" xr:uid="{7D63DFCB-2340-4BC3-BF62-D3E4667E0F23}"/>
    <cellStyle name="Normal 4 4 4 2 5 2 4" xfId="21216" xr:uid="{BBD76D7A-5F21-4C08-AAFC-59EAFC246AB8}"/>
    <cellStyle name="Normal 4 4 4 2 5 2 5" xfId="38074" xr:uid="{861F69E7-C7E4-4BCF-A147-86686A8323D7}"/>
    <cellStyle name="Normal 4 4 4 2 5 2 6" xfId="12781" xr:uid="{469D66CB-3059-41F6-B151-7D3F06017713}"/>
    <cellStyle name="Normal 4 4 4 2 5 3" xfId="6419" xr:uid="{00000000-0005-0000-0000-0000C5150000}"/>
    <cellStyle name="Normal 4 4 4 2 5 3 2" xfId="31718" xr:uid="{02286E9A-33A2-4D8F-9BEA-4B196029E6DE}"/>
    <cellStyle name="Normal 4 4 4 2 5 3 3" xfId="23289" xr:uid="{CE66FE02-166E-4943-AE6D-28383CF9C710}"/>
    <cellStyle name="Normal 4 4 4 2 5 3 4" xfId="40146" xr:uid="{B5525D43-ADD0-407B-87EF-295184D5F954}"/>
    <cellStyle name="Normal 4 4 4 2 5 3 5" xfId="14854" xr:uid="{9BFD7AD3-CE4A-4367-8ABD-9BC8ADC03823}"/>
    <cellStyle name="Normal 4 4 4 2 5 4" xfId="27500" xr:uid="{0544C227-4359-44B5-BBA4-9C13B2420186}"/>
    <cellStyle name="Normal 4 4 4 2 5 5" xfId="19071" xr:uid="{4E2D5A16-7031-44DD-B6E0-4E11CD89AA5B}"/>
    <cellStyle name="Normal 4 4 4 2 5 6" xfId="35929" xr:uid="{2227147F-7380-408D-8197-03AFF9288D99}"/>
    <cellStyle name="Normal 4 4 4 2 5 7" xfId="10636" xr:uid="{4E8A347E-7E70-4FCD-9FC1-368BAD512653}"/>
    <cellStyle name="Normal 4 4 4 2 6" xfId="2548" xr:uid="{00000000-0005-0000-0000-0000C6150000}"/>
    <cellStyle name="Normal 4 4 4 2 6 2" xfId="6832" xr:uid="{00000000-0005-0000-0000-0000C7150000}"/>
    <cellStyle name="Normal 4 4 4 2 6 2 2" xfId="32131" xr:uid="{ADA8244D-800C-41D6-A048-579396A6D635}"/>
    <cellStyle name="Normal 4 4 4 2 6 2 3" xfId="23702" xr:uid="{31E9CB50-65AB-4084-995A-919C764E1179}"/>
    <cellStyle name="Normal 4 4 4 2 6 2 4" xfId="40559" xr:uid="{3E04E3B3-B20C-45F7-98AE-F631F9F6D19C}"/>
    <cellStyle name="Normal 4 4 4 2 6 2 5" xfId="15267" xr:uid="{AA1E0A84-B101-4EBF-B7ED-D1F16B6C44B3}"/>
    <cellStyle name="Normal 4 4 4 2 6 3" xfId="27913" xr:uid="{46DD9D5D-A5FF-496E-877D-A6C3E5D4B608}"/>
    <cellStyle name="Normal 4 4 4 2 6 4" xfId="19484" xr:uid="{A8881FFF-E1AF-4456-A7F2-44596A760647}"/>
    <cellStyle name="Normal 4 4 4 2 6 5" xfId="36342" xr:uid="{B1EB9AAE-AA69-4F68-B03D-3AD09AB96D1D}"/>
    <cellStyle name="Normal 4 4 4 2 6 6" xfId="11049" xr:uid="{C5DD8E06-B07D-46D9-83BC-EC8016C1638C}"/>
    <cellStyle name="Normal 4 4 4 2 7" xfId="4767" xr:uid="{00000000-0005-0000-0000-0000C8150000}"/>
    <cellStyle name="Normal 4 4 4 2 7 2" xfId="30066" xr:uid="{70978F06-B008-489A-BEB7-DA67ABB2F4C8}"/>
    <cellStyle name="Normal 4 4 4 2 7 3" xfId="21637" xr:uid="{A25266FF-F8AF-4116-A5C1-2961C9F9B123}"/>
    <cellStyle name="Normal 4 4 4 2 7 4" xfId="38494" xr:uid="{41179982-49F9-4940-847D-EE43C500C9B7}"/>
    <cellStyle name="Normal 4 4 4 2 7 5" xfId="13202" xr:uid="{D9310CC9-1847-4360-B2C8-BA2DC2C62767}"/>
    <cellStyle name="Normal 4 4 4 2 8" xfId="25848" xr:uid="{9F790FB5-44A7-4BE8-93C9-0F0234A5D186}"/>
    <cellStyle name="Normal 4 4 4 2 9" xfId="17419" xr:uid="{46B318DB-A98D-4C0E-92EC-4CF14DD52D33}"/>
    <cellStyle name="Normal 4 4 4 3" xfId="866" xr:uid="{00000000-0005-0000-0000-0000C9150000}"/>
    <cellStyle name="Normal 4 4 4 3 2" xfId="3101" xr:uid="{00000000-0005-0000-0000-0000CA150000}"/>
    <cellStyle name="Normal 4 4 4 3 2 2" xfId="7324" xr:uid="{00000000-0005-0000-0000-0000CB150000}"/>
    <cellStyle name="Normal 4 4 4 3 2 2 2" xfId="32623" xr:uid="{9516A828-80F1-4976-8D1C-AA0F9DF61326}"/>
    <cellStyle name="Normal 4 4 4 3 2 2 3" xfId="24194" xr:uid="{DEECB664-599E-4E35-80AC-75449A01E22D}"/>
    <cellStyle name="Normal 4 4 4 3 2 2 4" xfId="41051" xr:uid="{4946D971-063B-469E-993C-D09AC5667150}"/>
    <cellStyle name="Normal 4 4 4 3 2 2 5" xfId="15759" xr:uid="{5658D1D4-E865-4DB6-A498-9ECFBB12C78F}"/>
    <cellStyle name="Normal 4 4 4 3 2 3" xfId="28405" xr:uid="{CCBC7BFB-69B6-49C5-8251-0D4CF67D2C55}"/>
    <cellStyle name="Normal 4 4 4 3 2 4" xfId="19976" xr:uid="{38511A95-678D-42E1-B3B1-7ED9EDE01F34}"/>
    <cellStyle name="Normal 4 4 4 3 2 5" xfId="36834" xr:uid="{536AA5E8-A386-4F10-A87E-98A29E7397C4}"/>
    <cellStyle name="Normal 4 4 4 3 2 6" xfId="11541" xr:uid="{80F60C4B-1FDF-43A0-955E-DF850FAF716A}"/>
    <cellStyle name="Normal 4 4 4 3 3" xfId="5179" xr:uid="{00000000-0005-0000-0000-0000CC150000}"/>
    <cellStyle name="Normal 4 4 4 3 3 2" xfId="30478" xr:uid="{D2AD857E-8CCE-4C40-B350-99768DC6C4DC}"/>
    <cellStyle name="Normal 4 4 4 3 3 3" xfId="22049" xr:uid="{EE3311DD-7D0E-4F0B-8766-65572ABCA29B}"/>
    <cellStyle name="Normal 4 4 4 3 3 4" xfId="38906" xr:uid="{24BE883C-C4E7-4461-82C0-872D241E28FF}"/>
    <cellStyle name="Normal 4 4 4 3 3 5" xfId="13614" xr:uid="{CAC04AC2-04E3-4CCD-B39E-5240EDE565B5}"/>
    <cellStyle name="Normal 4 4 4 3 4" xfId="26260" xr:uid="{0250528E-A7A9-4648-BE4A-7C33A1AEE9A4}"/>
    <cellStyle name="Normal 4 4 4 3 5" xfId="17831" xr:uid="{12800CF3-E336-40CE-B95F-71117636EF51}"/>
    <cellStyle name="Normal 4 4 4 3 6" xfId="34689" xr:uid="{3E6904D9-86F2-40FE-A5D9-C4A948AFDE89}"/>
    <cellStyle name="Normal 4 4 4 3 7" xfId="9396" xr:uid="{92058B66-F4F4-40D6-8324-96F41D2F56C8}"/>
    <cellStyle name="Normal 4 4 4 4" xfId="1284" xr:uid="{00000000-0005-0000-0000-0000CD150000}"/>
    <cellStyle name="Normal 4 4 4 4 2" xfId="3514" xr:uid="{00000000-0005-0000-0000-0000CE150000}"/>
    <cellStyle name="Normal 4 4 4 4 2 2" xfId="7737" xr:uid="{00000000-0005-0000-0000-0000CF150000}"/>
    <cellStyle name="Normal 4 4 4 4 2 2 2" xfId="33036" xr:uid="{56DA6D2F-35FA-4756-B985-545E236BDA74}"/>
    <cellStyle name="Normal 4 4 4 4 2 2 3" xfId="24607" xr:uid="{F4022FF3-2AEC-4637-B461-B3F3C98D6221}"/>
    <cellStyle name="Normal 4 4 4 4 2 2 4" xfId="41464" xr:uid="{99B96D5B-92CD-4EA5-AAE2-BE4AFC4DD7B6}"/>
    <cellStyle name="Normal 4 4 4 4 2 2 5" xfId="16172" xr:uid="{CFD8BBC7-250B-4252-9947-2ABE47B7DD14}"/>
    <cellStyle name="Normal 4 4 4 4 2 3" xfId="28818" xr:uid="{1C867179-529E-4A87-9465-BA963F774295}"/>
    <cellStyle name="Normal 4 4 4 4 2 4" xfId="20389" xr:uid="{B61D456B-DCF4-4D81-8088-ED782A67CF49}"/>
    <cellStyle name="Normal 4 4 4 4 2 5" xfId="37247" xr:uid="{D63984B2-DC06-4F69-9ABD-088C1C069B71}"/>
    <cellStyle name="Normal 4 4 4 4 2 6" xfId="11954" xr:uid="{67C6B5D3-C17F-4254-A4B1-13934B69E373}"/>
    <cellStyle name="Normal 4 4 4 4 3" xfId="5592" xr:uid="{00000000-0005-0000-0000-0000D0150000}"/>
    <cellStyle name="Normal 4 4 4 4 3 2" xfId="30891" xr:uid="{D33C57BF-344D-445C-8170-B1619F485BF7}"/>
    <cellStyle name="Normal 4 4 4 4 3 3" xfId="22462" xr:uid="{BF63DC02-8C7A-4021-8D64-D8B661FA357B}"/>
    <cellStyle name="Normal 4 4 4 4 3 4" xfId="39319" xr:uid="{BC9DF46A-45B3-45F0-8B69-786C3D08B982}"/>
    <cellStyle name="Normal 4 4 4 4 3 5" xfId="14027" xr:uid="{775E8722-DD7E-49AF-8FA1-F44BD1AE3E3A}"/>
    <cellStyle name="Normal 4 4 4 4 4" xfId="26673" xr:uid="{421D8D9E-01E6-459D-955B-2F826DBCFDD6}"/>
    <cellStyle name="Normal 4 4 4 4 5" xfId="18244" xr:uid="{B8062274-5AA1-43FB-9B8A-A6BDFA640DA2}"/>
    <cellStyle name="Normal 4 4 4 4 6" xfId="35102" xr:uid="{5EA47E56-6889-44A7-9A8F-F9C51C76607D}"/>
    <cellStyle name="Normal 4 4 4 4 7" xfId="9809" xr:uid="{9D0AC410-2507-4E7C-A8F4-952614F3CD58}"/>
    <cellStyle name="Normal 4 4 4 5" xfId="1697" xr:uid="{00000000-0005-0000-0000-0000D1150000}"/>
    <cellStyle name="Normal 4 4 4 5 2" xfId="3927" xr:uid="{00000000-0005-0000-0000-0000D2150000}"/>
    <cellStyle name="Normal 4 4 4 5 2 2" xfId="8150" xr:uid="{00000000-0005-0000-0000-0000D3150000}"/>
    <cellStyle name="Normal 4 4 4 5 2 2 2" xfId="33449" xr:uid="{7F83375F-F08C-4FAD-8B04-8F2746D3220D}"/>
    <cellStyle name="Normal 4 4 4 5 2 2 3" xfId="25020" xr:uid="{48623D6C-06E5-44E1-911E-B03C626972E3}"/>
    <cellStyle name="Normal 4 4 4 5 2 2 4" xfId="41877" xr:uid="{D0E359EB-D33A-4A32-A36B-9CE7D9DA5E70}"/>
    <cellStyle name="Normal 4 4 4 5 2 2 5" xfId="16585" xr:uid="{7A1615FF-9783-4CAE-A89A-7464EA6ABF9D}"/>
    <cellStyle name="Normal 4 4 4 5 2 3" xfId="29231" xr:uid="{AE345571-0802-4C13-A053-27AD3DF9FC91}"/>
    <cellStyle name="Normal 4 4 4 5 2 4" xfId="20802" xr:uid="{1A128BA1-B1D6-41A4-92AF-C7DDF92D559C}"/>
    <cellStyle name="Normal 4 4 4 5 2 5" xfId="37660" xr:uid="{D7748017-A52C-4055-9A94-9F64BBD6703D}"/>
    <cellStyle name="Normal 4 4 4 5 2 6" xfId="12367" xr:uid="{65058A29-808E-46E4-9749-34567A3DD393}"/>
    <cellStyle name="Normal 4 4 4 5 3" xfId="6005" xr:uid="{00000000-0005-0000-0000-0000D4150000}"/>
    <cellStyle name="Normal 4 4 4 5 3 2" xfId="31304" xr:uid="{FE2ED259-5CB8-4521-9DF2-19A0028B90C2}"/>
    <cellStyle name="Normal 4 4 4 5 3 3" xfId="22875" xr:uid="{1FDCE222-FD72-4334-8341-5E9885D69D5D}"/>
    <cellStyle name="Normal 4 4 4 5 3 4" xfId="39732" xr:uid="{D810782B-A167-4D55-9FA1-A3CB30142CCB}"/>
    <cellStyle name="Normal 4 4 4 5 3 5" xfId="14440" xr:uid="{B4176CB4-8108-4503-AE05-9E598816FB92}"/>
    <cellStyle name="Normal 4 4 4 5 4" xfId="27086" xr:uid="{517BC755-E08C-44F8-8D90-C374E1D59F10}"/>
    <cellStyle name="Normal 4 4 4 5 5" xfId="18657" xr:uid="{5E9654FD-2395-4566-AFD2-1CB3BE827FAC}"/>
    <cellStyle name="Normal 4 4 4 5 6" xfId="35515" xr:uid="{2D4F5AFE-A46E-4839-AB42-CF6D36548498}"/>
    <cellStyle name="Normal 4 4 4 5 7" xfId="10222" xr:uid="{6499B0B7-0453-4763-BD16-D5887145BF14}"/>
    <cellStyle name="Normal 4 4 4 6" xfId="2111" xr:uid="{00000000-0005-0000-0000-0000D5150000}"/>
    <cellStyle name="Normal 4 4 4 6 2" xfId="4340" xr:uid="{00000000-0005-0000-0000-0000D6150000}"/>
    <cellStyle name="Normal 4 4 4 6 2 2" xfId="8563" xr:uid="{00000000-0005-0000-0000-0000D7150000}"/>
    <cellStyle name="Normal 4 4 4 6 2 2 2" xfId="33862" xr:uid="{5759821C-617E-4386-A64D-5FD82576F9F8}"/>
    <cellStyle name="Normal 4 4 4 6 2 2 3" xfId="25433" xr:uid="{49FC4241-E96D-4D8E-944A-03B0706E225F}"/>
    <cellStyle name="Normal 4 4 4 6 2 2 4" xfId="42290" xr:uid="{05126824-06AE-42FB-AFCF-46271D1E5FDF}"/>
    <cellStyle name="Normal 4 4 4 6 2 2 5" xfId="16998" xr:uid="{9C9EB8BC-6BF6-4804-B9C8-021A26412A6D}"/>
    <cellStyle name="Normal 4 4 4 6 2 3" xfId="29644" xr:uid="{75B71200-6067-4EF0-8045-21673DB06BEC}"/>
    <cellStyle name="Normal 4 4 4 6 2 4" xfId="21215" xr:uid="{F45571DB-014F-4B0D-ADFA-A64452156B67}"/>
    <cellStyle name="Normal 4 4 4 6 2 5" xfId="38073" xr:uid="{0C0487A5-8625-4C9E-BCE8-E1A1E367B7AC}"/>
    <cellStyle name="Normal 4 4 4 6 2 6" xfId="12780" xr:uid="{764FED55-FF14-412E-9601-B46004FCA101}"/>
    <cellStyle name="Normal 4 4 4 6 3" xfId="6418" xr:uid="{00000000-0005-0000-0000-0000D8150000}"/>
    <cellStyle name="Normal 4 4 4 6 3 2" xfId="31717" xr:uid="{141A8650-23FC-499E-8156-8A3DE31457BE}"/>
    <cellStyle name="Normal 4 4 4 6 3 3" xfId="23288" xr:uid="{581343DE-D483-4066-BCE7-A068156A48C7}"/>
    <cellStyle name="Normal 4 4 4 6 3 4" xfId="40145" xr:uid="{56B724CF-C5F6-44E5-BB83-EDF293112F36}"/>
    <cellStyle name="Normal 4 4 4 6 3 5" xfId="14853" xr:uid="{77CBFC1A-B247-425A-8FBA-A37F8D2465C4}"/>
    <cellStyle name="Normal 4 4 4 6 4" xfId="27499" xr:uid="{1FDB14AA-5644-4C23-B780-5BB7FE300BF7}"/>
    <cellStyle name="Normal 4 4 4 6 5" xfId="19070" xr:uid="{2E55F191-57CB-40B8-9E03-A15DD590493C}"/>
    <cellStyle name="Normal 4 4 4 6 6" xfId="35928" xr:uid="{8F257515-C258-4178-B74E-296BD3468835}"/>
    <cellStyle name="Normal 4 4 4 6 7" xfId="10635" xr:uid="{EF29FF2D-1ED3-4FE3-BBF2-44CCA558315A}"/>
    <cellStyle name="Normal 4 4 4 7" xfId="2547" xr:uid="{00000000-0005-0000-0000-0000D9150000}"/>
    <cellStyle name="Normal 4 4 4 7 2" xfId="6831" xr:uid="{00000000-0005-0000-0000-0000DA150000}"/>
    <cellStyle name="Normal 4 4 4 7 2 2" xfId="32130" xr:uid="{CB84C310-A4DB-4008-BB71-78877FBD385D}"/>
    <cellStyle name="Normal 4 4 4 7 2 3" xfId="23701" xr:uid="{AACC49B0-2738-4148-86AD-EEEFEDDFB39F}"/>
    <cellStyle name="Normal 4 4 4 7 2 4" xfId="40558" xr:uid="{8FA9EC56-F5BB-4A35-98CE-65982CB41987}"/>
    <cellStyle name="Normal 4 4 4 7 2 5" xfId="15266" xr:uid="{E1DF183A-57C6-4D3B-A621-62FFF6BA360B}"/>
    <cellStyle name="Normal 4 4 4 7 3" xfId="27912" xr:uid="{DE9FCE3F-6695-4E53-8604-C7F9D7EF04C6}"/>
    <cellStyle name="Normal 4 4 4 7 4" xfId="19483" xr:uid="{9DCB58AA-C192-407C-808B-A54EBD755FC0}"/>
    <cellStyle name="Normal 4 4 4 7 5" xfId="36341" xr:uid="{CB361F62-AC2B-4FDC-A52A-7F27E3E74106}"/>
    <cellStyle name="Normal 4 4 4 7 6" xfId="11048" xr:uid="{98C9624A-9236-4420-8EC3-680D61C3C38F}"/>
    <cellStyle name="Normal 4 4 4 8" xfId="4766" xr:uid="{00000000-0005-0000-0000-0000DB150000}"/>
    <cellStyle name="Normal 4 4 4 8 2" xfId="30065" xr:uid="{66F9E9CF-238B-42A5-AB50-E6FBF1190EF0}"/>
    <cellStyle name="Normal 4 4 4 8 3" xfId="21636" xr:uid="{E080F294-A2A7-4E47-86DF-ACB9D0443D7F}"/>
    <cellStyle name="Normal 4 4 4 8 4" xfId="38493" xr:uid="{DEBD1B23-4904-4DF7-88F9-45C2AAB3DFE6}"/>
    <cellStyle name="Normal 4 4 4 8 5" xfId="13201" xr:uid="{CF55F549-BDED-4578-9368-CF6C377D7C9D}"/>
    <cellStyle name="Normal 4 4 4 9" xfId="25847" xr:uid="{51230125-6157-41B2-AAAC-27F183B228AF}"/>
    <cellStyle name="Normal 4 4 5" xfId="393" xr:uid="{00000000-0005-0000-0000-0000DC150000}"/>
    <cellStyle name="Normal 4 4 5 10" xfId="34278" xr:uid="{5F113332-89DC-472B-AB37-30986023B2CA}"/>
    <cellStyle name="Normal 4 4 5 11" xfId="8985" xr:uid="{D823A501-71AE-4EDB-AC5C-ED08E076AD4B}"/>
    <cellStyle name="Normal 4 4 5 2" xfId="868" xr:uid="{00000000-0005-0000-0000-0000DD150000}"/>
    <cellStyle name="Normal 4 4 5 2 2" xfId="3103" xr:uid="{00000000-0005-0000-0000-0000DE150000}"/>
    <cellStyle name="Normal 4 4 5 2 2 2" xfId="7326" xr:uid="{00000000-0005-0000-0000-0000DF150000}"/>
    <cellStyle name="Normal 4 4 5 2 2 2 2" xfId="32625" xr:uid="{3E550B66-5D15-46CB-A6B4-608C7E2E07FC}"/>
    <cellStyle name="Normal 4 4 5 2 2 2 3" xfId="24196" xr:uid="{73A4ACFF-965A-44C9-93E1-6AA6A8D706F4}"/>
    <cellStyle name="Normal 4 4 5 2 2 2 4" xfId="41053" xr:uid="{CB81C28E-1D33-4402-869A-5A964E35DC2A}"/>
    <cellStyle name="Normal 4 4 5 2 2 2 5" xfId="15761" xr:uid="{FB35003D-29E7-466D-98E8-7364B1128B7E}"/>
    <cellStyle name="Normal 4 4 5 2 2 3" xfId="28407" xr:uid="{641D93E4-B002-476E-8990-50203E3352B5}"/>
    <cellStyle name="Normal 4 4 5 2 2 4" xfId="19978" xr:uid="{D8484111-529A-4E84-9BD2-39E115989575}"/>
    <cellStyle name="Normal 4 4 5 2 2 5" xfId="36836" xr:uid="{AAC7E429-2102-4214-9D22-FF44164A82A6}"/>
    <cellStyle name="Normal 4 4 5 2 2 6" xfId="11543" xr:uid="{6B9DD4D7-73A9-4A72-B53C-1774246CAE43}"/>
    <cellStyle name="Normal 4 4 5 2 3" xfId="5181" xr:uid="{00000000-0005-0000-0000-0000E0150000}"/>
    <cellStyle name="Normal 4 4 5 2 3 2" xfId="30480" xr:uid="{1D7BD7B9-2E3A-482E-8CB5-2D66C7FF3E7F}"/>
    <cellStyle name="Normal 4 4 5 2 3 3" xfId="22051" xr:uid="{015C8C3D-4185-41A7-A20C-471B22C874FC}"/>
    <cellStyle name="Normal 4 4 5 2 3 4" xfId="38908" xr:uid="{D29F066B-D43A-4967-A236-6182292E309A}"/>
    <cellStyle name="Normal 4 4 5 2 3 5" xfId="13616" xr:uid="{770F8795-F2A6-4D23-A2C2-ED9C2191A90D}"/>
    <cellStyle name="Normal 4 4 5 2 4" xfId="26262" xr:uid="{F7A06BED-AE08-4BC6-A889-F5C50167EEB1}"/>
    <cellStyle name="Normal 4 4 5 2 5" xfId="17833" xr:uid="{F67FBED5-7719-4740-ADB5-9A65C8FBB149}"/>
    <cellStyle name="Normal 4 4 5 2 6" xfId="34691" xr:uid="{410A1F5D-8EEB-4CBC-8FE0-D445E0A04254}"/>
    <cellStyle name="Normal 4 4 5 2 7" xfId="9398" xr:uid="{FEA396C3-9341-4639-9514-62EC58DA4534}"/>
    <cellStyle name="Normal 4 4 5 3" xfId="1286" xr:uid="{00000000-0005-0000-0000-0000E1150000}"/>
    <cellStyle name="Normal 4 4 5 3 2" xfId="3516" xr:uid="{00000000-0005-0000-0000-0000E2150000}"/>
    <cellStyle name="Normal 4 4 5 3 2 2" xfId="7739" xr:uid="{00000000-0005-0000-0000-0000E3150000}"/>
    <cellStyle name="Normal 4 4 5 3 2 2 2" xfId="33038" xr:uid="{ED43C479-1C74-4BB5-915F-7E0F9EBAE4E7}"/>
    <cellStyle name="Normal 4 4 5 3 2 2 3" xfId="24609" xr:uid="{E0444778-9359-405C-AD12-5D2F91826671}"/>
    <cellStyle name="Normal 4 4 5 3 2 2 4" xfId="41466" xr:uid="{8ED7C9D5-9A72-49DE-A133-1706DE6FB036}"/>
    <cellStyle name="Normal 4 4 5 3 2 2 5" xfId="16174" xr:uid="{7EEC637C-C514-455C-A05E-49DDEB3C4575}"/>
    <cellStyle name="Normal 4 4 5 3 2 3" xfId="28820" xr:uid="{4A297C56-B334-488E-9584-1E4CDF9800D5}"/>
    <cellStyle name="Normal 4 4 5 3 2 4" xfId="20391" xr:uid="{AA2667AC-8EA3-40C5-9834-1A34773065A0}"/>
    <cellStyle name="Normal 4 4 5 3 2 5" xfId="37249" xr:uid="{ABA0C4C6-7525-4219-AF81-41051D6C67EC}"/>
    <cellStyle name="Normal 4 4 5 3 2 6" xfId="11956" xr:uid="{96C40C05-7065-448E-9F65-7B054DAE376A}"/>
    <cellStyle name="Normal 4 4 5 3 3" xfId="5594" xr:uid="{00000000-0005-0000-0000-0000E4150000}"/>
    <cellStyle name="Normal 4 4 5 3 3 2" xfId="30893" xr:uid="{FC09D012-2963-460F-85F7-3CA8BA90DC91}"/>
    <cellStyle name="Normal 4 4 5 3 3 3" xfId="22464" xr:uid="{171B268E-6658-4823-B0E5-84D93744E159}"/>
    <cellStyle name="Normal 4 4 5 3 3 4" xfId="39321" xr:uid="{EF2C2EC8-B7C5-4EFC-9EAF-BA0F1B54B515}"/>
    <cellStyle name="Normal 4 4 5 3 3 5" xfId="14029" xr:uid="{BF655B2B-60C3-4279-92A2-9C1E35EDE3B7}"/>
    <cellStyle name="Normal 4 4 5 3 4" xfId="26675" xr:uid="{4B5BE673-8C92-4E84-8961-C85C1E22BE86}"/>
    <cellStyle name="Normal 4 4 5 3 5" xfId="18246" xr:uid="{EDA0F0AF-922C-4789-A902-2EA6740BF029}"/>
    <cellStyle name="Normal 4 4 5 3 6" xfId="35104" xr:uid="{17874493-BD64-4CBF-B8AB-7D91061AE0EB}"/>
    <cellStyle name="Normal 4 4 5 3 7" xfId="9811" xr:uid="{697F3BFB-F3A1-43E8-A503-132D87B5AC69}"/>
    <cellStyle name="Normal 4 4 5 4" xfId="1699" xr:uid="{00000000-0005-0000-0000-0000E5150000}"/>
    <cellStyle name="Normal 4 4 5 4 2" xfId="3929" xr:uid="{00000000-0005-0000-0000-0000E6150000}"/>
    <cellStyle name="Normal 4 4 5 4 2 2" xfId="8152" xr:uid="{00000000-0005-0000-0000-0000E7150000}"/>
    <cellStyle name="Normal 4 4 5 4 2 2 2" xfId="33451" xr:uid="{9B88D159-977F-4A5A-962B-08E000C05AB2}"/>
    <cellStyle name="Normal 4 4 5 4 2 2 3" xfId="25022" xr:uid="{17943F11-0696-4931-9EB5-B595E55D5724}"/>
    <cellStyle name="Normal 4 4 5 4 2 2 4" xfId="41879" xr:uid="{92AD685D-DF13-4D0B-853F-EE0047EAD997}"/>
    <cellStyle name="Normal 4 4 5 4 2 2 5" xfId="16587" xr:uid="{94F991EC-59DD-4AAF-93FE-E3EBF9B50F4D}"/>
    <cellStyle name="Normal 4 4 5 4 2 3" xfId="29233" xr:uid="{F0C9BC8C-DD4D-4F6B-BC97-190A214F7C9E}"/>
    <cellStyle name="Normal 4 4 5 4 2 4" xfId="20804" xr:uid="{32F21A2A-D8CE-4FBC-A314-697DBD1FAF04}"/>
    <cellStyle name="Normal 4 4 5 4 2 5" xfId="37662" xr:uid="{8DAFCEB9-F94B-4FA0-933D-9CB9B48569AF}"/>
    <cellStyle name="Normal 4 4 5 4 2 6" xfId="12369" xr:uid="{C4E65739-1BD9-431E-8D8E-A526CC339436}"/>
    <cellStyle name="Normal 4 4 5 4 3" xfId="6007" xr:uid="{00000000-0005-0000-0000-0000E8150000}"/>
    <cellStyle name="Normal 4 4 5 4 3 2" xfId="31306" xr:uid="{2B67A7C9-DB52-48B0-96AA-A0675E97DD94}"/>
    <cellStyle name="Normal 4 4 5 4 3 3" xfId="22877" xr:uid="{098C569B-F221-4112-8BC7-63A2DC2DB855}"/>
    <cellStyle name="Normal 4 4 5 4 3 4" xfId="39734" xr:uid="{2AFD8EB1-A3C8-4B74-BCE7-E68ACCF1BE7F}"/>
    <cellStyle name="Normal 4 4 5 4 3 5" xfId="14442" xr:uid="{A0E8C8AB-72ED-486D-9D28-D6D7B182B58F}"/>
    <cellStyle name="Normal 4 4 5 4 4" xfId="27088" xr:uid="{EA72B4BB-DDA5-4F49-82A9-2B752E4513AC}"/>
    <cellStyle name="Normal 4 4 5 4 5" xfId="18659" xr:uid="{6BAB0D2F-2639-43D2-80F8-27C8B213717C}"/>
    <cellStyle name="Normal 4 4 5 4 6" xfId="35517" xr:uid="{879820F8-31DB-402E-ADB8-2E047958FC7C}"/>
    <cellStyle name="Normal 4 4 5 4 7" xfId="10224" xr:uid="{3F37C5B5-0B70-4084-9080-277BACBD7B53}"/>
    <cellStyle name="Normal 4 4 5 5" xfId="2113" xr:uid="{00000000-0005-0000-0000-0000E9150000}"/>
    <cellStyle name="Normal 4 4 5 5 2" xfId="4342" xr:uid="{00000000-0005-0000-0000-0000EA150000}"/>
    <cellStyle name="Normal 4 4 5 5 2 2" xfId="8565" xr:uid="{00000000-0005-0000-0000-0000EB150000}"/>
    <cellStyle name="Normal 4 4 5 5 2 2 2" xfId="33864" xr:uid="{C75CFE02-C776-4D31-879F-B379A81BC992}"/>
    <cellStyle name="Normal 4 4 5 5 2 2 3" xfId="25435" xr:uid="{2A12C841-D284-4CEA-9955-91E6CB1F25CB}"/>
    <cellStyle name="Normal 4 4 5 5 2 2 4" xfId="42292" xr:uid="{FAEECD65-6EC1-4E9A-9C86-74FF87B3B541}"/>
    <cellStyle name="Normal 4 4 5 5 2 2 5" xfId="17000" xr:uid="{AC639C3B-8CF9-43FF-8C00-1A1761D05829}"/>
    <cellStyle name="Normal 4 4 5 5 2 3" xfId="29646" xr:uid="{E504FE57-7934-4040-8713-25D9B4B4543D}"/>
    <cellStyle name="Normal 4 4 5 5 2 4" xfId="21217" xr:uid="{D4C718BD-A46D-43E3-893A-FBBE2A4C9F8A}"/>
    <cellStyle name="Normal 4 4 5 5 2 5" xfId="38075" xr:uid="{43445729-A360-48F8-9570-995A1025152A}"/>
    <cellStyle name="Normal 4 4 5 5 2 6" xfId="12782" xr:uid="{CC066A77-547A-4161-808D-E34FA1E92732}"/>
    <cellStyle name="Normal 4 4 5 5 3" xfId="6420" xr:uid="{00000000-0005-0000-0000-0000EC150000}"/>
    <cellStyle name="Normal 4 4 5 5 3 2" xfId="31719" xr:uid="{57F16488-7337-49FA-9B38-66CD20F3467F}"/>
    <cellStyle name="Normal 4 4 5 5 3 3" xfId="23290" xr:uid="{6F91D7FF-C7C1-4886-9B7E-190BB14436A1}"/>
    <cellStyle name="Normal 4 4 5 5 3 4" xfId="40147" xr:uid="{5ACB0057-9417-4725-AEE3-25916487D00D}"/>
    <cellStyle name="Normal 4 4 5 5 3 5" xfId="14855" xr:uid="{E3AC8498-71C9-485A-B8A7-EAA7CC3324A5}"/>
    <cellStyle name="Normal 4 4 5 5 4" xfId="27501" xr:uid="{3842CF88-6A51-4F8F-9979-B700E17B2189}"/>
    <cellStyle name="Normal 4 4 5 5 5" xfId="19072" xr:uid="{3C14DAFB-5343-4970-BF1E-BBF007B6C1B9}"/>
    <cellStyle name="Normal 4 4 5 5 6" xfId="35930" xr:uid="{7498AB88-5E8E-4A70-9654-F64621C00D84}"/>
    <cellStyle name="Normal 4 4 5 5 7" xfId="10637" xr:uid="{FC34A727-647C-4CC2-9ABD-8CBB49F6AAF4}"/>
    <cellStyle name="Normal 4 4 5 6" xfId="2549" xr:uid="{00000000-0005-0000-0000-0000ED150000}"/>
    <cellStyle name="Normal 4 4 5 6 2" xfId="6833" xr:uid="{00000000-0005-0000-0000-0000EE150000}"/>
    <cellStyle name="Normal 4 4 5 6 2 2" xfId="32132" xr:uid="{B71A330B-51E2-42BC-B1F0-967FE5D1C4A7}"/>
    <cellStyle name="Normal 4 4 5 6 2 3" xfId="23703" xr:uid="{A2BCCD89-1BE7-4E63-8711-0E98869A5E64}"/>
    <cellStyle name="Normal 4 4 5 6 2 4" xfId="40560" xr:uid="{B4008A40-36B7-4151-8D87-AC444DECFBA4}"/>
    <cellStyle name="Normal 4 4 5 6 2 5" xfId="15268" xr:uid="{6372E775-B569-42E1-801D-3CE06E5D7A0A}"/>
    <cellStyle name="Normal 4 4 5 6 3" xfId="27914" xr:uid="{C43447F5-1359-4F1D-92F8-27B046ADA7EE}"/>
    <cellStyle name="Normal 4 4 5 6 4" xfId="19485" xr:uid="{9B14E16C-9A6E-4B6D-8519-D0CD048790BB}"/>
    <cellStyle name="Normal 4 4 5 6 5" xfId="36343" xr:uid="{FEF4B386-4C3B-459A-AB68-850B39B5EE7E}"/>
    <cellStyle name="Normal 4 4 5 6 6" xfId="11050" xr:uid="{2870E0F5-71F5-424B-887F-8AB97D9EC54B}"/>
    <cellStyle name="Normal 4 4 5 7" xfId="4768" xr:uid="{00000000-0005-0000-0000-0000EF150000}"/>
    <cellStyle name="Normal 4 4 5 7 2" xfId="30067" xr:uid="{B7FB6740-ED47-4F89-9DA7-34BFBD54A52A}"/>
    <cellStyle name="Normal 4 4 5 7 3" xfId="21638" xr:uid="{8CCE4A7D-56FE-47BD-AC88-105C5FAB91CD}"/>
    <cellStyle name="Normal 4 4 5 7 4" xfId="38495" xr:uid="{A274EE25-B9F6-4404-A011-037685203956}"/>
    <cellStyle name="Normal 4 4 5 7 5" xfId="13203" xr:uid="{14E6EC54-6190-490A-96B3-AA5F05AFE2DA}"/>
    <cellStyle name="Normal 4 4 5 8" xfId="25849" xr:uid="{3EB3A796-D0CD-4096-933A-5A98A864A797}"/>
    <cellStyle name="Normal 4 4 5 9" xfId="17420" xr:uid="{51A90599-76B7-4779-97F2-8A1A02ED0843}"/>
    <cellStyle name="Normal 4 4 6" xfId="853" xr:uid="{00000000-0005-0000-0000-0000F0150000}"/>
    <cellStyle name="Normal 4 4 6 2" xfId="3088" xr:uid="{00000000-0005-0000-0000-0000F1150000}"/>
    <cellStyle name="Normal 4 4 6 2 2" xfId="7311" xr:uid="{00000000-0005-0000-0000-0000F2150000}"/>
    <cellStyle name="Normal 4 4 6 2 2 2" xfId="32610" xr:uid="{05643A07-32F3-4DF1-B65F-93AF70DDB744}"/>
    <cellStyle name="Normal 4 4 6 2 2 3" xfId="24181" xr:uid="{D3C124F3-AA3D-4D83-8219-89A4C02BC522}"/>
    <cellStyle name="Normal 4 4 6 2 2 4" xfId="41038" xr:uid="{A540ED76-EEAB-4A30-9000-9750B70EE42B}"/>
    <cellStyle name="Normal 4 4 6 2 2 5" xfId="15746" xr:uid="{91C2007D-51A3-4DE3-A7F2-D43EE7BB19DB}"/>
    <cellStyle name="Normal 4 4 6 2 3" xfId="28392" xr:uid="{0CDE6A63-98C8-4231-960E-427218E2AD19}"/>
    <cellStyle name="Normal 4 4 6 2 4" xfId="19963" xr:uid="{66D400B1-4478-4580-BB05-EEEE50C5003E}"/>
    <cellStyle name="Normal 4 4 6 2 5" xfId="36821" xr:uid="{ED834C64-7A67-4BAA-B06F-B8F7C90FE2ED}"/>
    <cellStyle name="Normal 4 4 6 2 6" xfId="11528" xr:uid="{616E38AA-0776-4C30-A478-C693C13C4B8F}"/>
    <cellStyle name="Normal 4 4 6 3" xfId="5166" xr:uid="{00000000-0005-0000-0000-0000F3150000}"/>
    <cellStyle name="Normal 4 4 6 3 2" xfId="30465" xr:uid="{9288A06E-A53F-4DAC-B338-B51F2C20A6F6}"/>
    <cellStyle name="Normal 4 4 6 3 3" xfId="22036" xr:uid="{F696DE85-ABE0-49AC-934E-675EE176E7B2}"/>
    <cellStyle name="Normal 4 4 6 3 4" xfId="38893" xr:uid="{5798559D-22F3-4573-A1A7-FBF2FCFBAE07}"/>
    <cellStyle name="Normal 4 4 6 3 5" xfId="13601" xr:uid="{E920B303-1C45-4D1D-92F8-47F03196E26B}"/>
    <cellStyle name="Normal 4 4 6 4" xfId="26247" xr:uid="{AD27E39A-E946-4439-8C22-ED8A633DD3E3}"/>
    <cellStyle name="Normal 4 4 6 5" xfId="17818" xr:uid="{01678B28-D918-4B65-AE33-4EB7AFF72394}"/>
    <cellStyle name="Normal 4 4 6 6" xfId="34676" xr:uid="{0BA4564B-9166-4D45-B027-1BECD08D5A43}"/>
    <cellStyle name="Normal 4 4 6 7" xfId="9383" xr:uid="{1FE73593-FB1D-4CD2-B119-A488B74BD928}"/>
    <cellStyle name="Normal 4 4 7" xfId="1271" xr:uid="{00000000-0005-0000-0000-0000F4150000}"/>
    <cellStyle name="Normal 4 4 7 2" xfId="3501" xr:uid="{00000000-0005-0000-0000-0000F5150000}"/>
    <cellStyle name="Normal 4 4 7 2 2" xfId="7724" xr:uid="{00000000-0005-0000-0000-0000F6150000}"/>
    <cellStyle name="Normal 4 4 7 2 2 2" xfId="33023" xr:uid="{914114DE-DE08-4770-9D5F-F57AB5163ABD}"/>
    <cellStyle name="Normal 4 4 7 2 2 3" xfId="24594" xr:uid="{5836596A-0778-4160-AD95-FB0588AF7A6D}"/>
    <cellStyle name="Normal 4 4 7 2 2 4" xfId="41451" xr:uid="{0220D775-9269-4BFC-907D-9E1A3BFA6227}"/>
    <cellStyle name="Normal 4 4 7 2 2 5" xfId="16159" xr:uid="{980A0A7F-1E5B-466E-9F39-5E32B04252F1}"/>
    <cellStyle name="Normal 4 4 7 2 3" xfId="28805" xr:uid="{4E1439B9-F29B-4757-A83E-D471C40B3A73}"/>
    <cellStyle name="Normal 4 4 7 2 4" xfId="20376" xr:uid="{891BF95E-9125-451C-9773-F685DC2ACB84}"/>
    <cellStyle name="Normal 4 4 7 2 5" xfId="37234" xr:uid="{74218BBC-BAF0-4AC9-9E38-E0B8676548C7}"/>
    <cellStyle name="Normal 4 4 7 2 6" xfId="11941" xr:uid="{4C3D37C9-A911-49B6-A9E3-2788EF1DD120}"/>
    <cellStyle name="Normal 4 4 7 3" xfId="5579" xr:uid="{00000000-0005-0000-0000-0000F7150000}"/>
    <cellStyle name="Normal 4 4 7 3 2" xfId="30878" xr:uid="{F99492B8-AF13-4EC9-9EC8-D6B35BD92BF3}"/>
    <cellStyle name="Normal 4 4 7 3 3" xfId="22449" xr:uid="{B6C6E920-44DA-43AB-A592-3C677A6ABBFD}"/>
    <cellStyle name="Normal 4 4 7 3 4" xfId="39306" xr:uid="{8741BCCE-0BBA-4DDB-9A3A-A0796D77A068}"/>
    <cellStyle name="Normal 4 4 7 3 5" xfId="14014" xr:uid="{FB56B8FF-A76D-478A-BFD6-7B4F9B9533EB}"/>
    <cellStyle name="Normal 4 4 7 4" xfId="26660" xr:uid="{6E121928-C054-48E4-B036-D4F4AE280449}"/>
    <cellStyle name="Normal 4 4 7 5" xfId="18231" xr:uid="{D998A002-7214-4AFC-BFA6-126F70678394}"/>
    <cellStyle name="Normal 4 4 7 6" xfId="35089" xr:uid="{9E3DF19D-5820-440B-AFBE-F4FA1F367CA1}"/>
    <cellStyle name="Normal 4 4 7 7" xfId="9796" xr:uid="{709D0227-91BC-4820-95EC-19874E2A5493}"/>
    <cellStyle name="Normal 4 4 8" xfId="1684" xr:uid="{00000000-0005-0000-0000-0000F8150000}"/>
    <cellStyle name="Normal 4 4 8 2" xfId="3914" xr:uid="{00000000-0005-0000-0000-0000F9150000}"/>
    <cellStyle name="Normal 4 4 8 2 2" xfId="8137" xr:uid="{00000000-0005-0000-0000-0000FA150000}"/>
    <cellStyle name="Normal 4 4 8 2 2 2" xfId="33436" xr:uid="{DF9112A9-99C4-449E-BEDA-D7FC7B404B4B}"/>
    <cellStyle name="Normal 4 4 8 2 2 3" xfId="25007" xr:uid="{E2FBE9DA-46DE-4C38-A0A3-914F63B12EB1}"/>
    <cellStyle name="Normal 4 4 8 2 2 4" xfId="41864" xr:uid="{25433B55-58C0-456D-B85E-4C272FA6F49A}"/>
    <cellStyle name="Normal 4 4 8 2 2 5" xfId="16572" xr:uid="{4864C70C-1187-4D23-95CD-DC4411A337B6}"/>
    <cellStyle name="Normal 4 4 8 2 3" xfId="29218" xr:uid="{7C2403DC-74EE-4D2B-8C5D-E19D7712BA54}"/>
    <cellStyle name="Normal 4 4 8 2 4" xfId="20789" xr:uid="{700DE45E-6491-458D-A1D6-DEDA23041DCB}"/>
    <cellStyle name="Normal 4 4 8 2 5" xfId="37647" xr:uid="{69D93397-98C1-4763-8EC0-81595A0271B5}"/>
    <cellStyle name="Normal 4 4 8 2 6" xfId="12354" xr:uid="{786A2235-761E-4CB7-975B-3215745E2E97}"/>
    <cellStyle name="Normal 4 4 8 3" xfId="5992" xr:uid="{00000000-0005-0000-0000-0000FB150000}"/>
    <cellStyle name="Normal 4 4 8 3 2" xfId="31291" xr:uid="{2DB0944A-84AD-4B64-8BA8-D9B600E1843F}"/>
    <cellStyle name="Normal 4 4 8 3 3" xfId="22862" xr:uid="{95B5C923-9F72-4001-A01D-89A1FC1E1F63}"/>
    <cellStyle name="Normal 4 4 8 3 4" xfId="39719" xr:uid="{4DB2A695-1B04-4016-BEBE-F2ADBF1E4291}"/>
    <cellStyle name="Normal 4 4 8 3 5" xfId="14427" xr:uid="{1A9F6DA0-B5B9-416F-ADAC-BF9359410309}"/>
    <cellStyle name="Normal 4 4 8 4" xfId="27073" xr:uid="{EBA5CAD7-1637-4F9F-B35C-C92D17113AFA}"/>
    <cellStyle name="Normal 4 4 8 5" xfId="18644" xr:uid="{01DEDC3B-1F48-49AC-82B9-9112D448FAA2}"/>
    <cellStyle name="Normal 4 4 8 6" xfId="35502" xr:uid="{9DBE3E8E-58B5-4117-88BA-DF017DBFC12F}"/>
    <cellStyle name="Normal 4 4 8 7" xfId="10209" xr:uid="{94333F1E-BE0D-4188-B89F-1E4B0EBF879B}"/>
    <cellStyle name="Normal 4 4 9" xfId="2098" xr:uid="{00000000-0005-0000-0000-0000FC150000}"/>
    <cellStyle name="Normal 4 4 9 2" xfId="4327" xr:uid="{00000000-0005-0000-0000-0000FD150000}"/>
    <cellStyle name="Normal 4 4 9 2 2" xfId="8550" xr:uid="{00000000-0005-0000-0000-0000FE150000}"/>
    <cellStyle name="Normal 4 4 9 2 2 2" xfId="33849" xr:uid="{C53A2B22-E330-453A-9DF0-6879F9AE3B62}"/>
    <cellStyle name="Normal 4 4 9 2 2 3" xfId="25420" xr:uid="{FDE015FB-EE63-4099-853D-835CA43833CC}"/>
    <cellStyle name="Normal 4 4 9 2 2 4" xfId="42277" xr:uid="{850299CF-4710-4F37-B5EC-364B75975F5F}"/>
    <cellStyle name="Normal 4 4 9 2 2 5" xfId="16985" xr:uid="{68862637-0A37-4061-A2E6-910456BE323C}"/>
    <cellStyle name="Normal 4 4 9 2 3" xfId="29631" xr:uid="{5D06D9C3-5616-44F5-A61E-E19500A69C40}"/>
    <cellStyle name="Normal 4 4 9 2 4" xfId="21202" xr:uid="{47BD23F8-FA05-4D60-AD7C-6D9487091153}"/>
    <cellStyle name="Normal 4 4 9 2 5" xfId="38060" xr:uid="{2BBB591D-D67E-4869-8941-C2883CF82400}"/>
    <cellStyle name="Normal 4 4 9 2 6" xfId="12767" xr:uid="{E2ABDBB1-89A1-48B9-A0F0-5A39F7383D25}"/>
    <cellStyle name="Normal 4 4 9 3" xfId="6405" xr:uid="{00000000-0005-0000-0000-0000FF150000}"/>
    <cellStyle name="Normal 4 4 9 3 2" xfId="31704" xr:uid="{E326A1DF-3511-4A70-B4B5-B6F930892D46}"/>
    <cellStyle name="Normal 4 4 9 3 3" xfId="23275" xr:uid="{3B4A5FAF-1E42-4F92-9AE9-38F05F43C5D0}"/>
    <cellStyle name="Normal 4 4 9 3 4" xfId="40132" xr:uid="{74E2B83A-B320-4159-8B6A-34FF2BBC1BDC}"/>
    <cellStyle name="Normal 4 4 9 3 5" xfId="14840" xr:uid="{F6A04414-56A7-4DE2-AB30-80301A22B311}"/>
    <cellStyle name="Normal 4 4 9 4" xfId="27486" xr:uid="{49D65F36-D1B0-4DE3-95C1-764229EF7EDF}"/>
    <cellStyle name="Normal 4 4 9 5" xfId="19057" xr:uid="{6C4631FA-39FB-4DD7-B11F-8C0CD30C245B}"/>
    <cellStyle name="Normal 4 4 9 6" xfId="35915" xr:uid="{2841D4DF-5DEF-48A0-B546-B092B282877F}"/>
    <cellStyle name="Normal 4 4 9 7" xfId="10622" xr:uid="{FE7CB8FF-8F4F-4963-8968-FBF465A755BA}"/>
    <cellStyle name="Normal 4 5" xfId="394" xr:uid="{00000000-0005-0000-0000-000000160000}"/>
    <cellStyle name="Normal 4 6" xfId="395" xr:uid="{00000000-0005-0000-0000-000001160000}"/>
    <cellStyle name="Normal 4 6 10" xfId="4769" xr:uid="{00000000-0005-0000-0000-000002160000}"/>
    <cellStyle name="Normal 4 6 10 2" xfId="30068" xr:uid="{2D3B5850-7C8C-4C2A-B009-BCAEBCB975E3}"/>
    <cellStyle name="Normal 4 6 10 3" xfId="21639" xr:uid="{93D5EDD1-CEF6-44BC-8A50-469CD470B0C9}"/>
    <cellStyle name="Normal 4 6 10 4" xfId="38496" xr:uid="{80FFBC8B-B4AD-45F9-B163-355372F4CC1A}"/>
    <cellStyle name="Normal 4 6 10 5" xfId="13204" xr:uid="{D06B07E5-09FF-435D-8CB4-42F3C1FFC4D8}"/>
    <cellStyle name="Normal 4 6 11" xfId="25850" xr:uid="{AF321820-6701-4D0D-9BCF-8613322E6D53}"/>
    <cellStyle name="Normal 4 6 12" xfId="17421" xr:uid="{B3AC46A0-A732-47B0-8C01-65988538D008}"/>
    <cellStyle name="Normal 4 6 13" xfId="34279" xr:uid="{4771C133-7CCB-4C8A-87CB-7793581145A2}"/>
    <cellStyle name="Normal 4 6 14" xfId="8986" xr:uid="{7E52536B-BCE2-4B77-86F4-B583C1738A54}"/>
    <cellStyle name="Normal 4 6 2" xfId="396" xr:uid="{00000000-0005-0000-0000-000003160000}"/>
    <cellStyle name="Normal 4 6 2 10" xfId="25851" xr:uid="{3ABC3941-98A9-404C-AFF9-85FF8B496CE3}"/>
    <cellStyle name="Normal 4 6 2 11" xfId="17422" xr:uid="{FF119B8D-B131-4AD5-B3AF-1E817B3C2BB6}"/>
    <cellStyle name="Normal 4 6 2 12" xfId="34280" xr:uid="{101533E8-C518-4F73-BC49-1712F4E652BE}"/>
    <cellStyle name="Normal 4 6 2 13" xfId="8987" xr:uid="{E95A4725-BF8B-407E-B8D3-1F64DFD88A6F}"/>
    <cellStyle name="Normal 4 6 2 2" xfId="397" xr:uid="{00000000-0005-0000-0000-000004160000}"/>
    <cellStyle name="Normal 4 6 2 2 10" xfId="17423" xr:uid="{048358CF-DC19-4F0C-B16F-567D9E663973}"/>
    <cellStyle name="Normal 4 6 2 2 11" xfId="34281" xr:uid="{BA9F1A2F-16F5-4831-9631-1AA1DA0166E8}"/>
    <cellStyle name="Normal 4 6 2 2 12" xfId="8988" xr:uid="{8EDB30A8-3A17-448B-9220-7233F36B9373}"/>
    <cellStyle name="Normal 4 6 2 2 2" xfId="398" xr:uid="{00000000-0005-0000-0000-000005160000}"/>
    <cellStyle name="Normal 4 6 2 2 2 10" xfId="34282" xr:uid="{D21A4E3F-A23F-4F4F-BF59-673AF6301BD0}"/>
    <cellStyle name="Normal 4 6 2 2 2 11" xfId="8989" xr:uid="{9AC5DF5A-06B1-4F8A-9721-67A5BCB6033A}"/>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32629" xr:uid="{AA881653-5205-433F-9467-7DAD8757D1EE}"/>
    <cellStyle name="Normal 4 6 2 2 2 2 2 2 3" xfId="24200" xr:uid="{20452250-9FB4-4A91-9E42-FE65797BC4F0}"/>
    <cellStyle name="Normal 4 6 2 2 2 2 2 2 4" xfId="41057" xr:uid="{8164591C-681A-4704-B0BD-55E861FC505F}"/>
    <cellStyle name="Normal 4 6 2 2 2 2 2 2 5" xfId="15765" xr:uid="{58C59B6E-A5DE-45FA-835E-625E7D7F850B}"/>
    <cellStyle name="Normal 4 6 2 2 2 2 2 3" xfId="28411" xr:uid="{3B8F84F1-99DB-4F6C-ACC4-FB6DA4B933CC}"/>
    <cellStyle name="Normal 4 6 2 2 2 2 2 4" xfId="19982" xr:uid="{76883225-4905-4277-91A8-D8093E805587}"/>
    <cellStyle name="Normal 4 6 2 2 2 2 2 5" xfId="36840" xr:uid="{5B4B30FA-0DAE-4510-83F7-176F127BC7DF}"/>
    <cellStyle name="Normal 4 6 2 2 2 2 2 6" xfId="11547" xr:uid="{0AC1F19E-AEBB-43A7-9419-ECF8F1145500}"/>
    <cellStyle name="Normal 4 6 2 2 2 2 3" xfId="5185" xr:uid="{00000000-0005-0000-0000-000009160000}"/>
    <cellStyle name="Normal 4 6 2 2 2 2 3 2" xfId="30484" xr:uid="{E894967E-D58D-4E4B-9E82-8369E5464B2E}"/>
    <cellStyle name="Normal 4 6 2 2 2 2 3 3" xfId="22055" xr:uid="{F79D17E0-BF25-4768-937D-AC5A3B27095F}"/>
    <cellStyle name="Normal 4 6 2 2 2 2 3 4" xfId="38912" xr:uid="{778B73B0-6549-4AD8-959F-C1DD53AF1BE0}"/>
    <cellStyle name="Normal 4 6 2 2 2 2 3 5" xfId="13620" xr:uid="{7165B26D-B60E-4EAF-80CE-C9B4863ED4B6}"/>
    <cellStyle name="Normal 4 6 2 2 2 2 4" xfId="26266" xr:uid="{AC27121B-0D3E-4E32-B45D-2DCFBCBFC06F}"/>
    <cellStyle name="Normal 4 6 2 2 2 2 5" xfId="17837" xr:uid="{B87F02AA-0868-44B8-BF3A-CBB487DE3FCA}"/>
    <cellStyle name="Normal 4 6 2 2 2 2 6" xfId="34695" xr:uid="{9F6F778C-F9E5-4AFC-9DCC-181EF1E9C6FE}"/>
    <cellStyle name="Normal 4 6 2 2 2 2 7" xfId="9402" xr:uid="{FC989017-985B-46B4-ADAF-99141A657D7B}"/>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33042" xr:uid="{E2405410-C5A7-4FD1-9090-F0CC20238A0C}"/>
    <cellStyle name="Normal 4 6 2 2 2 3 2 2 3" xfId="24613" xr:uid="{3005C53D-C165-4F71-AF9E-0CEE439044DD}"/>
    <cellStyle name="Normal 4 6 2 2 2 3 2 2 4" xfId="41470" xr:uid="{68E1E5D7-3E3F-4083-B658-7D23F516EA12}"/>
    <cellStyle name="Normal 4 6 2 2 2 3 2 2 5" xfId="16178" xr:uid="{30E531EA-8A82-4A19-970A-61C92B42EC00}"/>
    <cellStyle name="Normal 4 6 2 2 2 3 2 3" xfId="28824" xr:uid="{A07D1C5E-9480-4B60-A638-C7D5231F0DF1}"/>
    <cellStyle name="Normal 4 6 2 2 2 3 2 4" xfId="20395" xr:uid="{CCE9ED76-9CF5-48AA-B499-C411F29840A0}"/>
    <cellStyle name="Normal 4 6 2 2 2 3 2 5" xfId="37253" xr:uid="{22BD3023-0F44-463E-A9F1-3F199D78BFD0}"/>
    <cellStyle name="Normal 4 6 2 2 2 3 2 6" xfId="11960" xr:uid="{16CC35A4-AC24-4CB2-8556-90D0FE3DA740}"/>
    <cellStyle name="Normal 4 6 2 2 2 3 3" xfId="5598" xr:uid="{00000000-0005-0000-0000-00000D160000}"/>
    <cellStyle name="Normal 4 6 2 2 2 3 3 2" xfId="30897" xr:uid="{90516C18-C1DD-474F-AB2E-052435FA83D0}"/>
    <cellStyle name="Normal 4 6 2 2 2 3 3 3" xfId="22468" xr:uid="{9CD2061D-5B01-45E9-BED5-57139002B9D7}"/>
    <cellStyle name="Normal 4 6 2 2 2 3 3 4" xfId="39325" xr:uid="{D8C29F8C-5AE1-4947-BE96-E1E45BA8D35E}"/>
    <cellStyle name="Normal 4 6 2 2 2 3 3 5" xfId="14033" xr:uid="{BC8A628D-2874-4ED6-8A08-F7EE8BAF1B20}"/>
    <cellStyle name="Normal 4 6 2 2 2 3 4" xfId="26679" xr:uid="{3167426A-08EC-4485-9DD9-264F7694BDB3}"/>
    <cellStyle name="Normal 4 6 2 2 2 3 5" xfId="18250" xr:uid="{19F0CA4A-26AB-4C91-BC0F-43FD79C57028}"/>
    <cellStyle name="Normal 4 6 2 2 2 3 6" xfId="35108" xr:uid="{48B1ED82-498B-4777-9431-E4BA31C4EED1}"/>
    <cellStyle name="Normal 4 6 2 2 2 3 7" xfId="9815" xr:uid="{A444091C-6FC1-4807-B956-6B0428A984C7}"/>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33455" xr:uid="{0A2F158A-E829-48AA-8ED8-B0175FEF0E44}"/>
    <cellStyle name="Normal 4 6 2 2 2 4 2 2 3" xfId="25026" xr:uid="{5CE0CBD2-08EB-4D5E-BD5F-34F09C4CCFAA}"/>
    <cellStyle name="Normal 4 6 2 2 2 4 2 2 4" xfId="41883" xr:uid="{B0D40A32-0E07-4203-B37E-A5D1461034F1}"/>
    <cellStyle name="Normal 4 6 2 2 2 4 2 2 5" xfId="16591" xr:uid="{BC7CD409-EE5F-44E3-BB0E-DC191F9E3ECB}"/>
    <cellStyle name="Normal 4 6 2 2 2 4 2 3" xfId="29237" xr:uid="{EF6E7527-82B9-4896-9757-CA98DF2D3BE0}"/>
    <cellStyle name="Normal 4 6 2 2 2 4 2 4" xfId="20808" xr:uid="{1686A69E-4274-436A-8DAE-980167E1E027}"/>
    <cellStyle name="Normal 4 6 2 2 2 4 2 5" xfId="37666" xr:uid="{CD5612E0-A399-4FDA-BBED-D3D5A0BEC136}"/>
    <cellStyle name="Normal 4 6 2 2 2 4 2 6" xfId="12373" xr:uid="{4A1CB068-0C13-44AF-A0D1-057F33D5D206}"/>
    <cellStyle name="Normal 4 6 2 2 2 4 3" xfId="6011" xr:uid="{00000000-0005-0000-0000-000011160000}"/>
    <cellStyle name="Normal 4 6 2 2 2 4 3 2" xfId="31310" xr:uid="{343A9A52-56B9-47B8-993E-1408E319BDB8}"/>
    <cellStyle name="Normal 4 6 2 2 2 4 3 3" xfId="22881" xr:uid="{DE64167E-2C41-40F2-B7CC-FF1B17D19B4C}"/>
    <cellStyle name="Normal 4 6 2 2 2 4 3 4" xfId="39738" xr:uid="{3D78A7E0-6194-4E9B-A810-9D9397C8CC09}"/>
    <cellStyle name="Normal 4 6 2 2 2 4 3 5" xfId="14446" xr:uid="{99193B62-50C5-4858-B3A3-54BCEE9B5E04}"/>
    <cellStyle name="Normal 4 6 2 2 2 4 4" xfId="27092" xr:uid="{75180A29-1DDB-4ECD-918B-219DF77823C3}"/>
    <cellStyle name="Normal 4 6 2 2 2 4 5" xfId="18663" xr:uid="{55C33F38-48A2-4C6B-84DA-D6515C0EDEFD}"/>
    <cellStyle name="Normal 4 6 2 2 2 4 6" xfId="35521" xr:uid="{3F61C884-798F-4A21-AE70-425FADFB888C}"/>
    <cellStyle name="Normal 4 6 2 2 2 4 7" xfId="10228" xr:uid="{1876B180-2FB0-4E42-9AC6-AD369785464D}"/>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33868" xr:uid="{F9177D76-727A-4975-A5B5-865D2693F3D2}"/>
    <cellStyle name="Normal 4 6 2 2 2 5 2 2 3" xfId="25439" xr:uid="{670A7597-D7A2-4333-A472-D8347424E2D8}"/>
    <cellStyle name="Normal 4 6 2 2 2 5 2 2 4" xfId="42296" xr:uid="{6F645C0A-5576-476C-A034-7096BFAF8955}"/>
    <cellStyle name="Normal 4 6 2 2 2 5 2 2 5" xfId="17004" xr:uid="{515E00ED-86EC-4D4C-ACDF-A0A3C8D9F938}"/>
    <cellStyle name="Normal 4 6 2 2 2 5 2 3" xfId="29650" xr:uid="{2BCBE4AE-AABB-4685-BCFE-A195D1F41AC3}"/>
    <cellStyle name="Normal 4 6 2 2 2 5 2 4" xfId="21221" xr:uid="{4B60C20A-34D0-40A5-9F9F-5DB53C1B3B86}"/>
    <cellStyle name="Normal 4 6 2 2 2 5 2 5" xfId="38079" xr:uid="{D893B344-6300-4D3E-BD81-E04B3C0C2313}"/>
    <cellStyle name="Normal 4 6 2 2 2 5 2 6" xfId="12786" xr:uid="{C79C94C1-7260-48FE-AFAE-7CBB2E36D46A}"/>
    <cellStyle name="Normal 4 6 2 2 2 5 3" xfId="6424" xr:uid="{00000000-0005-0000-0000-000015160000}"/>
    <cellStyle name="Normal 4 6 2 2 2 5 3 2" xfId="31723" xr:uid="{6D976378-6F6F-4AD0-AEFF-CA5741D86994}"/>
    <cellStyle name="Normal 4 6 2 2 2 5 3 3" xfId="23294" xr:uid="{95A5FF6B-10EF-4976-9DBD-79B3616CBFDB}"/>
    <cellStyle name="Normal 4 6 2 2 2 5 3 4" xfId="40151" xr:uid="{CA1FE785-EB15-4DA8-B4C7-4FE5A9C5DC49}"/>
    <cellStyle name="Normal 4 6 2 2 2 5 3 5" xfId="14859" xr:uid="{70417E05-38DB-4F53-98A5-97D30CDC480B}"/>
    <cellStyle name="Normal 4 6 2 2 2 5 4" xfId="27505" xr:uid="{79E838E9-7D07-49EF-A53D-54DEF1FCF98E}"/>
    <cellStyle name="Normal 4 6 2 2 2 5 5" xfId="19076" xr:uid="{42DAF582-8A00-4C4B-B37E-C1DB76824938}"/>
    <cellStyle name="Normal 4 6 2 2 2 5 6" xfId="35934" xr:uid="{B4638B04-55D2-4D36-9289-D5FBB3AEC9E0}"/>
    <cellStyle name="Normal 4 6 2 2 2 5 7" xfId="10641" xr:uid="{6C9FE0C3-6D1A-4F0C-85ED-DC1477D4369B}"/>
    <cellStyle name="Normal 4 6 2 2 2 6" xfId="2553" xr:uid="{00000000-0005-0000-0000-000016160000}"/>
    <cellStyle name="Normal 4 6 2 2 2 6 2" xfId="6837" xr:uid="{00000000-0005-0000-0000-000017160000}"/>
    <cellStyle name="Normal 4 6 2 2 2 6 2 2" xfId="32136" xr:uid="{57B775CB-4267-4C1C-97D9-45D0DADEF827}"/>
    <cellStyle name="Normal 4 6 2 2 2 6 2 3" xfId="23707" xr:uid="{4353707F-5284-41C1-A5BA-504E917B1E87}"/>
    <cellStyle name="Normal 4 6 2 2 2 6 2 4" xfId="40564" xr:uid="{2F587380-E538-4598-9083-AAC020F44757}"/>
    <cellStyle name="Normal 4 6 2 2 2 6 2 5" xfId="15272" xr:uid="{801484E6-AC10-438C-984A-216646FDEECA}"/>
    <cellStyle name="Normal 4 6 2 2 2 6 3" xfId="27918" xr:uid="{57650651-DC7A-4B49-B662-69A49173941D}"/>
    <cellStyle name="Normal 4 6 2 2 2 6 4" xfId="19489" xr:uid="{AB08C76A-6281-4CC0-86D5-CAE2577F1F92}"/>
    <cellStyle name="Normal 4 6 2 2 2 6 5" xfId="36347" xr:uid="{E69B8C63-6660-45EE-801B-EDD74F88EC97}"/>
    <cellStyle name="Normal 4 6 2 2 2 6 6" xfId="11054" xr:uid="{D785AD28-009B-4A7E-861D-82496393C887}"/>
    <cellStyle name="Normal 4 6 2 2 2 7" xfId="4772" xr:uid="{00000000-0005-0000-0000-000018160000}"/>
    <cellStyle name="Normal 4 6 2 2 2 7 2" xfId="30071" xr:uid="{7DD5B149-5489-4B54-8791-482A99F7E6CC}"/>
    <cellStyle name="Normal 4 6 2 2 2 7 3" xfId="21642" xr:uid="{D681DA22-5864-44DD-A2E4-887A2325F4A2}"/>
    <cellStyle name="Normal 4 6 2 2 2 7 4" xfId="38499" xr:uid="{1BCD6079-3E1B-4DF2-866F-60B65FB6D76B}"/>
    <cellStyle name="Normal 4 6 2 2 2 7 5" xfId="13207" xr:uid="{B5D5A89B-D2D2-4207-BF0E-A0B7E76F6226}"/>
    <cellStyle name="Normal 4 6 2 2 2 8" xfId="25853" xr:uid="{3039E5E4-D1AB-409D-AFE2-9B3471D73ABD}"/>
    <cellStyle name="Normal 4 6 2 2 2 9" xfId="17424" xr:uid="{A79FDBA2-970C-45AE-9468-31676FD71D67}"/>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32628" xr:uid="{EAD7A094-4EEA-4947-A0FC-866E24236956}"/>
    <cellStyle name="Normal 4 6 2 2 3 2 2 3" xfId="24199" xr:uid="{550EBAB8-6B5B-47EA-B2E3-1B6C2F34F771}"/>
    <cellStyle name="Normal 4 6 2 2 3 2 2 4" xfId="41056" xr:uid="{7D02FBDE-07D6-4274-AA50-B01C02EE33B0}"/>
    <cellStyle name="Normal 4 6 2 2 3 2 2 5" xfId="15764" xr:uid="{B231E7DE-652E-4BC3-B578-3DDAE8B4F84A}"/>
    <cellStyle name="Normal 4 6 2 2 3 2 3" xfId="28410" xr:uid="{B7C9E9C4-81E1-4292-A47F-AE5C545B0230}"/>
    <cellStyle name="Normal 4 6 2 2 3 2 4" xfId="19981" xr:uid="{00C46370-80E4-437C-81C6-63C08CCA7E6D}"/>
    <cellStyle name="Normal 4 6 2 2 3 2 5" xfId="36839" xr:uid="{26B2A63B-FD21-426E-BCE4-17C61FF5D983}"/>
    <cellStyle name="Normal 4 6 2 2 3 2 6" xfId="11546" xr:uid="{FE77BAD3-4F64-4817-8815-896A25541B3E}"/>
    <cellStyle name="Normal 4 6 2 2 3 3" xfId="5184" xr:uid="{00000000-0005-0000-0000-00001C160000}"/>
    <cellStyle name="Normal 4 6 2 2 3 3 2" xfId="30483" xr:uid="{65390E4A-EE09-4FE7-8B9C-9DD576364A79}"/>
    <cellStyle name="Normal 4 6 2 2 3 3 3" xfId="22054" xr:uid="{EBFC5017-826E-49D2-8B19-57ACAEE7DB29}"/>
    <cellStyle name="Normal 4 6 2 2 3 3 4" xfId="38911" xr:uid="{D12ED18F-64C3-4233-B2BF-889566F02480}"/>
    <cellStyle name="Normal 4 6 2 2 3 3 5" xfId="13619" xr:uid="{FC0D9E00-3DFE-498C-BFEF-774F6B38B8A0}"/>
    <cellStyle name="Normal 4 6 2 2 3 4" xfId="26265" xr:uid="{86926221-9A97-45D2-ABD8-4298B82D0D19}"/>
    <cellStyle name="Normal 4 6 2 2 3 5" xfId="17836" xr:uid="{81903054-E391-4CEC-A0E6-4DCB68B7E057}"/>
    <cellStyle name="Normal 4 6 2 2 3 6" xfId="34694" xr:uid="{1241FBF7-EFDE-4FC3-97FA-B40C12FCEA40}"/>
    <cellStyle name="Normal 4 6 2 2 3 7" xfId="9401" xr:uid="{B5BBD74A-2B34-4010-9600-E10561AF1E1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33041" xr:uid="{EF70F07E-F5D9-4945-BE4E-C3D1B294882E}"/>
    <cellStyle name="Normal 4 6 2 2 4 2 2 3" xfId="24612" xr:uid="{141FC0FB-D484-4F1E-AD6A-F9E48D84B434}"/>
    <cellStyle name="Normal 4 6 2 2 4 2 2 4" xfId="41469" xr:uid="{8C30C2D1-BB34-4180-8684-88E28ACE61C6}"/>
    <cellStyle name="Normal 4 6 2 2 4 2 2 5" xfId="16177" xr:uid="{8F3A5C1B-E3F1-47E7-A7B4-B910D02D94A5}"/>
    <cellStyle name="Normal 4 6 2 2 4 2 3" xfId="28823" xr:uid="{1A34FA7F-5F9F-4A9A-B096-2625380A860A}"/>
    <cellStyle name="Normal 4 6 2 2 4 2 4" xfId="20394" xr:uid="{99D418E1-5AD1-4F15-A497-9A1B7237AD1B}"/>
    <cellStyle name="Normal 4 6 2 2 4 2 5" xfId="37252" xr:uid="{35948AC1-A621-4B29-8CAC-D899E0B6BC92}"/>
    <cellStyle name="Normal 4 6 2 2 4 2 6" xfId="11959" xr:uid="{CBC197AA-8423-4B8D-A015-3FDDD46F5937}"/>
    <cellStyle name="Normal 4 6 2 2 4 3" xfId="5597" xr:uid="{00000000-0005-0000-0000-000020160000}"/>
    <cellStyle name="Normal 4 6 2 2 4 3 2" xfId="30896" xr:uid="{411C5E0A-599A-4778-AEE3-C2A59472338A}"/>
    <cellStyle name="Normal 4 6 2 2 4 3 3" xfId="22467" xr:uid="{7DC9B93B-DA93-44F1-B8EC-31FB8ECFCA4D}"/>
    <cellStyle name="Normal 4 6 2 2 4 3 4" xfId="39324" xr:uid="{1626C1B5-45EA-4590-B379-BE58A1229389}"/>
    <cellStyle name="Normal 4 6 2 2 4 3 5" xfId="14032" xr:uid="{B67354D3-E927-487F-B87C-D44674090F92}"/>
    <cellStyle name="Normal 4 6 2 2 4 4" xfId="26678" xr:uid="{1C99E524-F926-41B5-82EC-71CCD850A24D}"/>
    <cellStyle name="Normal 4 6 2 2 4 5" xfId="18249" xr:uid="{A0930E1A-E6B4-4DE0-BFFD-B5361F13106C}"/>
    <cellStyle name="Normal 4 6 2 2 4 6" xfId="35107" xr:uid="{08271FB1-1C33-4EA9-93B7-FA69B35CF0C3}"/>
    <cellStyle name="Normal 4 6 2 2 4 7" xfId="9814" xr:uid="{A4B1069B-1398-4A00-B852-5CFA9C7B5BCE}"/>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33454" xr:uid="{4B3E132E-E8A4-4147-B15F-0512F1FB4ABF}"/>
    <cellStyle name="Normal 4 6 2 2 5 2 2 3" xfId="25025" xr:uid="{DD527B4B-6689-4615-8ABE-CCCBC4B33E35}"/>
    <cellStyle name="Normal 4 6 2 2 5 2 2 4" xfId="41882" xr:uid="{878AC6AB-969E-40EC-86C8-7733198E864D}"/>
    <cellStyle name="Normal 4 6 2 2 5 2 2 5" xfId="16590" xr:uid="{F553D22A-87D7-4849-9289-A6BD00A3AA81}"/>
    <cellStyle name="Normal 4 6 2 2 5 2 3" xfId="29236" xr:uid="{D7B0143D-6BCE-4967-85DD-F6ED22EBA74A}"/>
    <cellStyle name="Normal 4 6 2 2 5 2 4" xfId="20807" xr:uid="{6F0D5773-C4A4-4E6F-A1E0-0A1D865AB025}"/>
    <cellStyle name="Normal 4 6 2 2 5 2 5" xfId="37665" xr:uid="{9F1392C5-3DAF-426C-9BB5-86BD93CBA10C}"/>
    <cellStyle name="Normal 4 6 2 2 5 2 6" xfId="12372" xr:uid="{0AF9BDE2-7DDD-42EC-AA7A-736D0D0373B2}"/>
    <cellStyle name="Normal 4 6 2 2 5 3" xfId="6010" xr:uid="{00000000-0005-0000-0000-000024160000}"/>
    <cellStyle name="Normal 4 6 2 2 5 3 2" xfId="31309" xr:uid="{8073AD79-2C90-44F5-A4B5-E8397879695E}"/>
    <cellStyle name="Normal 4 6 2 2 5 3 3" xfId="22880" xr:uid="{E3B5B099-5B18-40E0-8E24-24BDCB7C8DE5}"/>
    <cellStyle name="Normal 4 6 2 2 5 3 4" xfId="39737" xr:uid="{7F040F97-FCA8-4F65-AC7A-6E4365F2A6F1}"/>
    <cellStyle name="Normal 4 6 2 2 5 3 5" xfId="14445" xr:uid="{F45B89F1-E2D4-4F2B-8B44-925280B85CEF}"/>
    <cellStyle name="Normal 4 6 2 2 5 4" xfId="27091" xr:uid="{7FC83B88-2B71-4D28-AB06-DDA76059DBB6}"/>
    <cellStyle name="Normal 4 6 2 2 5 5" xfId="18662" xr:uid="{C4016EBF-6EF6-4394-A89A-1230B97B72ED}"/>
    <cellStyle name="Normal 4 6 2 2 5 6" xfId="35520" xr:uid="{9399A259-5005-4D4E-A5F3-D36B67DDFAF7}"/>
    <cellStyle name="Normal 4 6 2 2 5 7" xfId="10227" xr:uid="{8E4B72E0-9B7A-42EE-B7A3-5AC9EDF9B541}"/>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33867" xr:uid="{92D0FD8D-0742-4BFB-A37C-EF6591895425}"/>
    <cellStyle name="Normal 4 6 2 2 6 2 2 3" xfId="25438" xr:uid="{E57AD931-15F2-4452-992A-50AE1B4451E9}"/>
    <cellStyle name="Normal 4 6 2 2 6 2 2 4" xfId="42295" xr:uid="{3374CFB3-A8BB-407F-805F-BBA3A00D68C7}"/>
    <cellStyle name="Normal 4 6 2 2 6 2 2 5" xfId="17003" xr:uid="{A9297A38-74EC-48EB-AE90-778032D9E06E}"/>
    <cellStyle name="Normal 4 6 2 2 6 2 3" xfId="29649" xr:uid="{FE7537D6-2024-4EA5-BF56-101B261DC4A9}"/>
    <cellStyle name="Normal 4 6 2 2 6 2 4" xfId="21220" xr:uid="{751588F9-77CE-49C4-BAE8-03739040E8B9}"/>
    <cellStyle name="Normal 4 6 2 2 6 2 5" xfId="38078" xr:uid="{FBDCB99D-FB0A-4500-9544-54AFECA74E18}"/>
    <cellStyle name="Normal 4 6 2 2 6 2 6" xfId="12785" xr:uid="{A7007267-C888-48DD-A700-3AAC4C3CB0E7}"/>
    <cellStyle name="Normal 4 6 2 2 6 3" xfId="6423" xr:uid="{00000000-0005-0000-0000-000028160000}"/>
    <cellStyle name="Normal 4 6 2 2 6 3 2" xfId="31722" xr:uid="{A68D490F-6F7A-40A4-A940-B7A31C19C923}"/>
    <cellStyle name="Normal 4 6 2 2 6 3 3" xfId="23293" xr:uid="{C97D7BF5-FF58-4B61-B583-2BA72826B255}"/>
    <cellStyle name="Normal 4 6 2 2 6 3 4" xfId="40150" xr:uid="{D13B92E5-7374-4E2D-9C9B-D830D1571B0E}"/>
    <cellStyle name="Normal 4 6 2 2 6 3 5" xfId="14858" xr:uid="{0725F92B-7DF0-47A1-B46D-744F4A432B9F}"/>
    <cellStyle name="Normal 4 6 2 2 6 4" xfId="27504" xr:uid="{153B163B-8CD9-480B-84AE-E50634F8D6EE}"/>
    <cellStyle name="Normal 4 6 2 2 6 5" xfId="19075" xr:uid="{3E908062-5E98-41D3-98A4-83EBAB1AF5CB}"/>
    <cellStyle name="Normal 4 6 2 2 6 6" xfId="35933" xr:uid="{52FD8E54-7598-44FC-B631-A0589465EA3B}"/>
    <cellStyle name="Normal 4 6 2 2 6 7" xfId="10640" xr:uid="{9533DC99-8D1B-4E40-9CC2-1E3BE568F016}"/>
    <cellStyle name="Normal 4 6 2 2 7" xfId="2552" xr:uid="{00000000-0005-0000-0000-000029160000}"/>
    <cellStyle name="Normal 4 6 2 2 7 2" xfId="6836" xr:uid="{00000000-0005-0000-0000-00002A160000}"/>
    <cellStyle name="Normal 4 6 2 2 7 2 2" xfId="32135" xr:uid="{7D840878-7972-4DFA-B4E5-4960B843D8EA}"/>
    <cellStyle name="Normal 4 6 2 2 7 2 3" xfId="23706" xr:uid="{656F97AD-1C79-444F-B141-DA3FCCBBDD93}"/>
    <cellStyle name="Normal 4 6 2 2 7 2 4" xfId="40563" xr:uid="{A687AA61-9077-4B54-8FA8-A90DCC873A3F}"/>
    <cellStyle name="Normal 4 6 2 2 7 2 5" xfId="15271" xr:uid="{13159B6D-EDC3-422D-B23A-CB1C233ABA21}"/>
    <cellStyle name="Normal 4 6 2 2 7 3" xfId="27917" xr:uid="{A9CF224E-DA0C-4DFF-9768-134417E94B61}"/>
    <cellStyle name="Normal 4 6 2 2 7 4" xfId="19488" xr:uid="{D8BD88F8-A275-44B3-A5F6-ED97A99CCC57}"/>
    <cellStyle name="Normal 4 6 2 2 7 5" xfId="36346" xr:uid="{567E05BE-03CF-45B2-B038-31892B67D34B}"/>
    <cellStyle name="Normal 4 6 2 2 7 6" xfId="11053" xr:uid="{CC71D5DF-9829-4095-8F2F-32F065E7CF10}"/>
    <cellStyle name="Normal 4 6 2 2 8" xfId="4771" xr:uid="{00000000-0005-0000-0000-00002B160000}"/>
    <cellStyle name="Normal 4 6 2 2 8 2" xfId="30070" xr:uid="{044AA105-40BD-489A-801C-20999E1B4A41}"/>
    <cellStyle name="Normal 4 6 2 2 8 3" xfId="21641" xr:uid="{316AF760-883F-44C4-8F0D-623701A00414}"/>
    <cellStyle name="Normal 4 6 2 2 8 4" xfId="38498" xr:uid="{7D7AC73C-A894-49E5-A5E6-F697FE78679C}"/>
    <cellStyle name="Normal 4 6 2 2 8 5" xfId="13206" xr:uid="{D9292F4A-86EB-4018-A0E4-93C2B256A7AD}"/>
    <cellStyle name="Normal 4 6 2 2 9" xfId="25852" xr:uid="{398FF024-6B6A-4703-86FE-32C9B19E6C56}"/>
    <cellStyle name="Normal 4 6 2 3" xfId="399" xr:uid="{00000000-0005-0000-0000-00002C160000}"/>
    <cellStyle name="Normal 4 6 2 3 10" xfId="34283" xr:uid="{757709BA-CE65-406E-AF9A-3BE0BEEBC8D7}"/>
    <cellStyle name="Normal 4 6 2 3 11" xfId="8990" xr:uid="{6ABA0BCF-0590-4E0A-B159-77AA7E0B9AD5}"/>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32630" xr:uid="{8800FAFA-71EE-4982-8B2E-24FA9F62196D}"/>
    <cellStyle name="Normal 4 6 2 3 2 2 2 3" xfId="24201" xr:uid="{3288FDB3-638D-4A2C-A194-C3C0C45E824A}"/>
    <cellStyle name="Normal 4 6 2 3 2 2 2 4" xfId="41058" xr:uid="{D7632470-5807-493C-89C6-449BAAB9572D}"/>
    <cellStyle name="Normal 4 6 2 3 2 2 2 5" xfId="15766" xr:uid="{4868EDA3-63E4-4CE9-82B3-836C1F77EA83}"/>
    <cellStyle name="Normal 4 6 2 3 2 2 3" xfId="28412" xr:uid="{09BB7B19-27A7-4CCD-A53E-E3F2467E26CB}"/>
    <cellStyle name="Normal 4 6 2 3 2 2 4" xfId="19983" xr:uid="{B204B888-2243-4CBE-BA6A-49C71685DED4}"/>
    <cellStyle name="Normal 4 6 2 3 2 2 5" xfId="36841" xr:uid="{DCABF473-9EF5-4C5B-B46B-15F645A302DA}"/>
    <cellStyle name="Normal 4 6 2 3 2 2 6" xfId="11548" xr:uid="{2EC5709A-FD64-4665-9154-32FCB80C5AE0}"/>
    <cellStyle name="Normal 4 6 2 3 2 3" xfId="5186" xr:uid="{00000000-0005-0000-0000-000030160000}"/>
    <cellStyle name="Normal 4 6 2 3 2 3 2" xfId="30485" xr:uid="{8346318A-F268-4B8D-81BA-FA5742E0C676}"/>
    <cellStyle name="Normal 4 6 2 3 2 3 3" xfId="22056" xr:uid="{E35571B5-A41A-4A1C-9089-C5042C267888}"/>
    <cellStyle name="Normal 4 6 2 3 2 3 4" xfId="38913" xr:uid="{BF2F28DC-3D07-4C4B-9562-98114463EC17}"/>
    <cellStyle name="Normal 4 6 2 3 2 3 5" xfId="13621" xr:uid="{D44912B9-ECED-4139-B884-EF91F9C8A194}"/>
    <cellStyle name="Normal 4 6 2 3 2 4" xfId="26267" xr:uid="{45BFB49D-D220-47B7-9B55-9E75C94B0E72}"/>
    <cellStyle name="Normal 4 6 2 3 2 5" xfId="17838" xr:uid="{1BABC979-6A41-4113-B54D-D0807F23198B}"/>
    <cellStyle name="Normal 4 6 2 3 2 6" xfId="34696" xr:uid="{4688CA2D-60C9-4A76-9D6A-0ABA0803DFEC}"/>
    <cellStyle name="Normal 4 6 2 3 2 7" xfId="9403" xr:uid="{B346D53D-0F1C-42C9-B6D6-84E1D1D44212}"/>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33043" xr:uid="{BE0E034B-ED99-4FFD-B580-B2E1F7946C71}"/>
    <cellStyle name="Normal 4 6 2 3 3 2 2 3" xfId="24614" xr:uid="{DA5B8BA6-745E-442F-847B-DACC7D700881}"/>
    <cellStyle name="Normal 4 6 2 3 3 2 2 4" xfId="41471" xr:uid="{8EC9A47E-4C40-439B-9913-68C80858FE04}"/>
    <cellStyle name="Normal 4 6 2 3 3 2 2 5" xfId="16179" xr:uid="{D9982714-1DC7-49D0-9B0C-7AF26BB49CEB}"/>
    <cellStyle name="Normal 4 6 2 3 3 2 3" xfId="28825" xr:uid="{5F4DA799-EC66-4C02-846E-BB357C044FAD}"/>
    <cellStyle name="Normal 4 6 2 3 3 2 4" xfId="20396" xr:uid="{3F86182A-E189-482B-BEE9-C416C592D31E}"/>
    <cellStyle name="Normal 4 6 2 3 3 2 5" xfId="37254" xr:uid="{36E54663-FF7A-42DF-891E-C4329176EE85}"/>
    <cellStyle name="Normal 4 6 2 3 3 2 6" xfId="11961" xr:uid="{28FE985A-C4D9-4C4D-B96A-05D80E4B9583}"/>
    <cellStyle name="Normal 4 6 2 3 3 3" xfId="5599" xr:uid="{00000000-0005-0000-0000-000034160000}"/>
    <cellStyle name="Normal 4 6 2 3 3 3 2" xfId="30898" xr:uid="{7D91E8FF-EFA5-42B5-93D1-6CC203BFA012}"/>
    <cellStyle name="Normal 4 6 2 3 3 3 3" xfId="22469" xr:uid="{2095896C-C4E4-433F-B5E9-C8AAA329247C}"/>
    <cellStyle name="Normal 4 6 2 3 3 3 4" xfId="39326" xr:uid="{6C9172AE-7247-4C9E-A30D-E67D773D85C9}"/>
    <cellStyle name="Normal 4 6 2 3 3 3 5" xfId="14034" xr:uid="{8D2CCDF0-D07B-4216-9369-F51DAD163F89}"/>
    <cellStyle name="Normal 4 6 2 3 3 4" xfId="26680" xr:uid="{F7A91DCC-587A-40D8-8C81-D75FE04081C0}"/>
    <cellStyle name="Normal 4 6 2 3 3 5" xfId="18251" xr:uid="{13EF5803-2AA0-4EBD-BF1A-9AFF88F7035A}"/>
    <cellStyle name="Normal 4 6 2 3 3 6" xfId="35109" xr:uid="{15BD8B39-F8C1-44F4-8856-7889B183EB6F}"/>
    <cellStyle name="Normal 4 6 2 3 3 7" xfId="9816" xr:uid="{13DD6AA9-F566-449B-9F98-089C97B57E61}"/>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33456" xr:uid="{6CED458B-DBB0-4E9A-92FB-8DA4A8CA1371}"/>
    <cellStyle name="Normal 4 6 2 3 4 2 2 3" xfId="25027" xr:uid="{9868FE0A-AEBF-4BBB-B1F8-9412E0021D68}"/>
    <cellStyle name="Normal 4 6 2 3 4 2 2 4" xfId="41884" xr:uid="{F48433C9-0F38-4EF8-B074-E481435D06F5}"/>
    <cellStyle name="Normal 4 6 2 3 4 2 2 5" xfId="16592" xr:uid="{3E55AE7A-4FF1-48BA-8C7B-35469158BA73}"/>
    <cellStyle name="Normal 4 6 2 3 4 2 3" xfId="29238" xr:uid="{D7EE0212-D2FA-467B-A45B-8E94D322F6BF}"/>
    <cellStyle name="Normal 4 6 2 3 4 2 4" xfId="20809" xr:uid="{4DC585EA-2187-4423-B5B6-7B20D10180C3}"/>
    <cellStyle name="Normal 4 6 2 3 4 2 5" xfId="37667" xr:uid="{9535F164-DD31-4E6F-B9C3-181BE0D1053A}"/>
    <cellStyle name="Normal 4 6 2 3 4 2 6" xfId="12374" xr:uid="{140F16BB-3DEB-4F32-ACEB-9B9F2040D283}"/>
    <cellStyle name="Normal 4 6 2 3 4 3" xfId="6012" xr:uid="{00000000-0005-0000-0000-000038160000}"/>
    <cellStyle name="Normal 4 6 2 3 4 3 2" xfId="31311" xr:uid="{F4EA0548-85DE-4017-A879-47B1335C4F7B}"/>
    <cellStyle name="Normal 4 6 2 3 4 3 3" xfId="22882" xr:uid="{8DB11721-F74C-4801-8860-C79D43B9FCEC}"/>
    <cellStyle name="Normal 4 6 2 3 4 3 4" xfId="39739" xr:uid="{BAD05FE7-41FB-4636-8CE5-E3B42EDA5910}"/>
    <cellStyle name="Normal 4 6 2 3 4 3 5" xfId="14447" xr:uid="{9E125944-64AC-4D31-B004-43E930CCD444}"/>
    <cellStyle name="Normal 4 6 2 3 4 4" xfId="27093" xr:uid="{D85DBF1B-41D3-4AF2-987A-0A9DDB43B01C}"/>
    <cellStyle name="Normal 4 6 2 3 4 5" xfId="18664" xr:uid="{3BA34CE9-5E7E-4654-ACFD-57645BA6367C}"/>
    <cellStyle name="Normal 4 6 2 3 4 6" xfId="35522" xr:uid="{7D8CB883-51B5-4938-8680-4C219ED67255}"/>
    <cellStyle name="Normal 4 6 2 3 4 7" xfId="10229" xr:uid="{BA76103C-1842-4A2A-B0B8-C6ED3DA925DE}"/>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33869" xr:uid="{C0D5568C-9E25-4439-98F2-F4DAF751423B}"/>
    <cellStyle name="Normal 4 6 2 3 5 2 2 3" xfId="25440" xr:uid="{58F956FC-0B14-43BF-BAA8-492D3C9FF26E}"/>
    <cellStyle name="Normal 4 6 2 3 5 2 2 4" xfId="42297" xr:uid="{DFA61B18-A3BD-499D-9D70-ED8E319F3475}"/>
    <cellStyle name="Normal 4 6 2 3 5 2 2 5" xfId="17005" xr:uid="{56E3899D-929C-4395-A03F-A7334BF95313}"/>
    <cellStyle name="Normal 4 6 2 3 5 2 3" xfId="29651" xr:uid="{13592E45-0E20-45D5-B064-3254445AC353}"/>
    <cellStyle name="Normal 4 6 2 3 5 2 4" xfId="21222" xr:uid="{B20E3F2A-0929-4C09-B6D3-7FA88EEA80E8}"/>
    <cellStyle name="Normal 4 6 2 3 5 2 5" xfId="38080" xr:uid="{27161414-1493-4638-A67B-EE9B3E0D3603}"/>
    <cellStyle name="Normal 4 6 2 3 5 2 6" xfId="12787" xr:uid="{D17B38F0-5468-4522-A237-209DE6E32FD1}"/>
    <cellStyle name="Normal 4 6 2 3 5 3" xfId="6425" xr:uid="{00000000-0005-0000-0000-00003C160000}"/>
    <cellStyle name="Normal 4 6 2 3 5 3 2" xfId="31724" xr:uid="{01E9CA9A-5681-4E13-AAF2-7DF869550B5E}"/>
    <cellStyle name="Normal 4 6 2 3 5 3 3" xfId="23295" xr:uid="{2B2FA8C6-58A1-485E-BF9D-C247862D5F25}"/>
    <cellStyle name="Normal 4 6 2 3 5 3 4" xfId="40152" xr:uid="{9B8C1BA1-38C0-44B3-90E3-C38C991E9D38}"/>
    <cellStyle name="Normal 4 6 2 3 5 3 5" xfId="14860" xr:uid="{B8129AC3-4E26-4E45-A714-6F1B6ACFCB82}"/>
    <cellStyle name="Normal 4 6 2 3 5 4" xfId="27506" xr:uid="{A66071BA-C10C-4A2C-BAF9-41AFE13DF4BA}"/>
    <cellStyle name="Normal 4 6 2 3 5 5" xfId="19077" xr:uid="{2FD9029F-B67C-43B4-9CD5-BD6AF6802475}"/>
    <cellStyle name="Normal 4 6 2 3 5 6" xfId="35935" xr:uid="{84F7E066-0AA7-4A1A-A3A2-BA995BC17197}"/>
    <cellStyle name="Normal 4 6 2 3 5 7" xfId="10642" xr:uid="{1BB3ADF1-F073-4D83-8499-B8349A738183}"/>
    <cellStyle name="Normal 4 6 2 3 6" xfId="2554" xr:uid="{00000000-0005-0000-0000-00003D160000}"/>
    <cellStyle name="Normal 4 6 2 3 6 2" xfId="6838" xr:uid="{00000000-0005-0000-0000-00003E160000}"/>
    <cellStyle name="Normal 4 6 2 3 6 2 2" xfId="32137" xr:uid="{1A094FAD-241A-42FF-BFA4-51EE874D57CC}"/>
    <cellStyle name="Normal 4 6 2 3 6 2 3" xfId="23708" xr:uid="{D014CD0F-5B2D-4823-AAB8-C35745637151}"/>
    <cellStyle name="Normal 4 6 2 3 6 2 4" xfId="40565" xr:uid="{8036DB64-BB38-4165-A4CE-48FC8688D9CF}"/>
    <cellStyle name="Normal 4 6 2 3 6 2 5" xfId="15273" xr:uid="{F7B858E4-CDAA-4109-A531-51AE32FC5318}"/>
    <cellStyle name="Normal 4 6 2 3 6 3" xfId="27919" xr:uid="{81525D82-888A-4182-B5B5-C00EC39625BE}"/>
    <cellStyle name="Normal 4 6 2 3 6 4" xfId="19490" xr:uid="{171FA1A9-BE91-4711-9791-4F00FFCBDEB6}"/>
    <cellStyle name="Normal 4 6 2 3 6 5" xfId="36348" xr:uid="{8271D668-2F34-4A5B-B079-5729EABEB4CE}"/>
    <cellStyle name="Normal 4 6 2 3 6 6" xfId="11055" xr:uid="{B52EEB54-EDEA-4743-9D4C-CDBACE6A222A}"/>
    <cellStyle name="Normal 4 6 2 3 7" xfId="4773" xr:uid="{00000000-0005-0000-0000-00003F160000}"/>
    <cellStyle name="Normal 4 6 2 3 7 2" xfId="30072" xr:uid="{B4A7B0C5-6063-4BF5-8E44-4821145E2B13}"/>
    <cellStyle name="Normal 4 6 2 3 7 3" xfId="21643" xr:uid="{8503D47C-5367-4F9D-AEC1-A0DAA6D0B4E6}"/>
    <cellStyle name="Normal 4 6 2 3 7 4" xfId="38500" xr:uid="{20C62763-13E4-41C0-9B79-D1FD702C83F2}"/>
    <cellStyle name="Normal 4 6 2 3 7 5" xfId="13208" xr:uid="{E436D8D8-C234-4C47-819C-5FC2CD9D3A15}"/>
    <cellStyle name="Normal 4 6 2 3 8" xfId="25854" xr:uid="{8E7E0A0B-5568-43F2-BC0F-5EA3997AC7C2}"/>
    <cellStyle name="Normal 4 6 2 3 9" xfId="17425" xr:uid="{CCAE1F99-C153-44BA-9E17-05767F504293}"/>
    <cellStyle name="Normal 4 6 2 4" xfId="870" xr:uid="{00000000-0005-0000-0000-000040160000}"/>
    <cellStyle name="Normal 4 6 2 4 2" xfId="3105" xr:uid="{00000000-0005-0000-0000-000041160000}"/>
    <cellStyle name="Normal 4 6 2 4 2 2" xfId="7328" xr:uid="{00000000-0005-0000-0000-000042160000}"/>
    <cellStyle name="Normal 4 6 2 4 2 2 2" xfId="32627" xr:uid="{B75CEFA9-0305-428B-A3B8-F6A17490178A}"/>
    <cellStyle name="Normal 4 6 2 4 2 2 3" xfId="24198" xr:uid="{63CD4F1E-E4CE-468E-BEAD-44D1B71DCA01}"/>
    <cellStyle name="Normal 4 6 2 4 2 2 4" xfId="41055" xr:uid="{91C5E465-8EFD-46E2-A27B-C1B8CAB80261}"/>
    <cellStyle name="Normal 4 6 2 4 2 2 5" xfId="15763" xr:uid="{66534325-CFDB-4A60-B724-FB69F7D1A429}"/>
    <cellStyle name="Normal 4 6 2 4 2 3" xfId="28409" xr:uid="{BD8B4DB1-59D3-4E92-A8E8-E459873587CB}"/>
    <cellStyle name="Normal 4 6 2 4 2 4" xfId="19980" xr:uid="{2E4136F7-DD26-4063-88A3-52EC4FC799DF}"/>
    <cellStyle name="Normal 4 6 2 4 2 5" xfId="36838" xr:uid="{E5C1AB62-FE9B-4E45-90F2-09C7ECAADD45}"/>
    <cellStyle name="Normal 4 6 2 4 2 6" xfId="11545" xr:uid="{6F59BA0D-C425-4DDA-B64A-7DC03251838D}"/>
    <cellStyle name="Normal 4 6 2 4 3" xfId="5183" xr:uid="{00000000-0005-0000-0000-000043160000}"/>
    <cellStyle name="Normal 4 6 2 4 3 2" xfId="30482" xr:uid="{6C6B0FEA-A6D7-461D-96A2-2AF249848A3F}"/>
    <cellStyle name="Normal 4 6 2 4 3 3" xfId="22053" xr:uid="{D4B29AE2-C103-4528-B654-35B42317B3E8}"/>
    <cellStyle name="Normal 4 6 2 4 3 4" xfId="38910" xr:uid="{53B6CFA8-F082-45B1-A0D4-6EC321F01BB5}"/>
    <cellStyle name="Normal 4 6 2 4 3 5" xfId="13618" xr:uid="{0B20436F-1045-4454-AB82-29B74DF7E7FF}"/>
    <cellStyle name="Normal 4 6 2 4 4" xfId="26264" xr:uid="{01059E7B-34CA-420D-9CC8-09D0FFE0F4F8}"/>
    <cellStyle name="Normal 4 6 2 4 5" xfId="17835" xr:uid="{CF8E4F0F-0BF8-418D-932C-688874910323}"/>
    <cellStyle name="Normal 4 6 2 4 6" xfId="34693" xr:uid="{94ED4E10-0BD7-4184-A7FB-956CB0713F76}"/>
    <cellStyle name="Normal 4 6 2 4 7" xfId="9400" xr:uid="{A593205E-E059-4028-B463-0E3C5E06A748}"/>
    <cellStyle name="Normal 4 6 2 5" xfId="1288" xr:uid="{00000000-0005-0000-0000-000044160000}"/>
    <cellStyle name="Normal 4 6 2 5 2" xfId="3518" xr:uid="{00000000-0005-0000-0000-000045160000}"/>
    <cellStyle name="Normal 4 6 2 5 2 2" xfId="7741" xr:uid="{00000000-0005-0000-0000-000046160000}"/>
    <cellStyle name="Normal 4 6 2 5 2 2 2" xfId="33040" xr:uid="{934D0C3B-239B-4437-AA5B-4AF28B3AF64D}"/>
    <cellStyle name="Normal 4 6 2 5 2 2 3" xfId="24611" xr:uid="{ED40743D-3C80-4C79-88A7-F03033D55BCA}"/>
    <cellStyle name="Normal 4 6 2 5 2 2 4" xfId="41468" xr:uid="{08B7241F-4AF8-4547-AE82-0193FACCE1C9}"/>
    <cellStyle name="Normal 4 6 2 5 2 2 5" xfId="16176" xr:uid="{1F37B526-242C-48FE-90D8-E2EE2D25EB4C}"/>
    <cellStyle name="Normal 4 6 2 5 2 3" xfId="28822" xr:uid="{1E65DF30-DB40-4590-8704-4CD2227E8C7E}"/>
    <cellStyle name="Normal 4 6 2 5 2 4" xfId="20393" xr:uid="{2F1DB498-B705-4BE1-B570-C0D7213A5E4D}"/>
    <cellStyle name="Normal 4 6 2 5 2 5" xfId="37251" xr:uid="{55923E15-D78B-4F26-B96A-5D3467223471}"/>
    <cellStyle name="Normal 4 6 2 5 2 6" xfId="11958" xr:uid="{012D1511-8AFF-4C63-84EC-7108F78C9DB1}"/>
    <cellStyle name="Normal 4 6 2 5 3" xfId="5596" xr:uid="{00000000-0005-0000-0000-000047160000}"/>
    <cellStyle name="Normal 4 6 2 5 3 2" xfId="30895" xr:uid="{C427A093-DF8D-405D-9AAA-14D67BB9B5A8}"/>
    <cellStyle name="Normal 4 6 2 5 3 3" xfId="22466" xr:uid="{BAFEE622-8DB7-451F-8FB9-8996EC0428D8}"/>
    <cellStyle name="Normal 4 6 2 5 3 4" xfId="39323" xr:uid="{7439B565-A4FA-4C0F-9703-3F10DF15ABF7}"/>
    <cellStyle name="Normal 4 6 2 5 3 5" xfId="14031" xr:uid="{C41D5CF0-E16B-4435-BC22-043E0034C87A}"/>
    <cellStyle name="Normal 4 6 2 5 4" xfId="26677" xr:uid="{3436C82D-ADFD-4D36-B786-DDF6E282C24E}"/>
    <cellStyle name="Normal 4 6 2 5 5" xfId="18248" xr:uid="{4FD70773-681C-42EE-B1D9-6945DFEE6C95}"/>
    <cellStyle name="Normal 4 6 2 5 6" xfId="35106" xr:uid="{7859C4F7-5312-4402-B9D7-7C3E94733D5B}"/>
    <cellStyle name="Normal 4 6 2 5 7" xfId="9813" xr:uid="{3C1C5D1E-BB4D-4C65-BDC3-3D7D1D13F5E3}"/>
    <cellStyle name="Normal 4 6 2 6" xfId="1701" xr:uid="{00000000-0005-0000-0000-000048160000}"/>
    <cellStyle name="Normal 4 6 2 6 2" xfId="3931" xr:uid="{00000000-0005-0000-0000-000049160000}"/>
    <cellStyle name="Normal 4 6 2 6 2 2" xfId="8154" xr:uid="{00000000-0005-0000-0000-00004A160000}"/>
    <cellStyle name="Normal 4 6 2 6 2 2 2" xfId="33453" xr:uid="{5AFB46F6-B123-4C66-8976-97FC1FB1FB37}"/>
    <cellStyle name="Normal 4 6 2 6 2 2 3" xfId="25024" xr:uid="{64FC341B-7897-47F1-BD58-DFB081D18195}"/>
    <cellStyle name="Normal 4 6 2 6 2 2 4" xfId="41881" xr:uid="{752036CA-44E2-4691-9987-4DEF6704E6BD}"/>
    <cellStyle name="Normal 4 6 2 6 2 2 5" xfId="16589" xr:uid="{F83DC44E-3CBC-45EE-BCFB-E787CA7E08AB}"/>
    <cellStyle name="Normal 4 6 2 6 2 3" xfId="29235" xr:uid="{EBACA2AF-39B8-42E7-91D4-27346454107E}"/>
    <cellStyle name="Normal 4 6 2 6 2 4" xfId="20806" xr:uid="{D87EE3A2-459B-4BE7-BABF-D3EDEA49C2FC}"/>
    <cellStyle name="Normal 4 6 2 6 2 5" xfId="37664" xr:uid="{EBEFB63C-BBF2-4BF2-AE3C-F19B32F43C4B}"/>
    <cellStyle name="Normal 4 6 2 6 2 6" xfId="12371" xr:uid="{171B158B-335F-4A2E-8D66-4C57FDFE5C17}"/>
    <cellStyle name="Normal 4 6 2 6 3" xfId="6009" xr:uid="{00000000-0005-0000-0000-00004B160000}"/>
    <cellStyle name="Normal 4 6 2 6 3 2" xfId="31308" xr:uid="{59D48B05-471C-4F4F-9A2D-0FD4B3A821BE}"/>
    <cellStyle name="Normal 4 6 2 6 3 3" xfId="22879" xr:uid="{18671CA5-1816-4239-AFFF-B6043D60688C}"/>
    <cellStyle name="Normal 4 6 2 6 3 4" xfId="39736" xr:uid="{3BF313F9-2EDF-4407-8891-4F200381D90C}"/>
    <cellStyle name="Normal 4 6 2 6 3 5" xfId="14444" xr:uid="{BC3A6CB6-878C-4E17-BB83-0F691D8B0288}"/>
    <cellStyle name="Normal 4 6 2 6 4" xfId="27090" xr:uid="{014C249E-F473-49C3-B8FB-E7578A165C99}"/>
    <cellStyle name="Normal 4 6 2 6 5" xfId="18661" xr:uid="{BB43BC0F-54E0-47C9-A647-60FE458F27AF}"/>
    <cellStyle name="Normal 4 6 2 6 6" xfId="35519" xr:uid="{8203BFFC-976A-40FC-851A-CA3847FBBA26}"/>
    <cellStyle name="Normal 4 6 2 6 7" xfId="10226" xr:uid="{80128F43-6934-47DA-A43D-7D6A5F9DEC56}"/>
    <cellStyle name="Normal 4 6 2 7" xfId="2115" xr:uid="{00000000-0005-0000-0000-00004C160000}"/>
    <cellStyle name="Normal 4 6 2 7 2" xfId="4344" xr:uid="{00000000-0005-0000-0000-00004D160000}"/>
    <cellStyle name="Normal 4 6 2 7 2 2" xfId="8567" xr:uid="{00000000-0005-0000-0000-00004E160000}"/>
    <cellStyle name="Normal 4 6 2 7 2 2 2" xfId="33866" xr:uid="{3A0513DE-8250-42A7-B1DE-E32B753219D3}"/>
    <cellStyle name="Normal 4 6 2 7 2 2 3" xfId="25437" xr:uid="{D528211C-8FFC-4CE7-A8C5-49E196F8C251}"/>
    <cellStyle name="Normal 4 6 2 7 2 2 4" xfId="42294" xr:uid="{5FE7C43A-D74D-4BB6-B1F3-A6DA6DA7B4D1}"/>
    <cellStyle name="Normal 4 6 2 7 2 2 5" xfId="17002" xr:uid="{2D0B2CD6-600F-4EFE-8A19-EB7A3C4962F6}"/>
    <cellStyle name="Normal 4 6 2 7 2 3" xfId="29648" xr:uid="{FB073595-96D4-4E7C-883D-409B385947BF}"/>
    <cellStyle name="Normal 4 6 2 7 2 4" xfId="21219" xr:uid="{74D82F33-C1DA-4E36-824F-9105339EDD08}"/>
    <cellStyle name="Normal 4 6 2 7 2 5" xfId="38077" xr:uid="{84CCD0BA-1504-4935-AE90-34D42807ECB0}"/>
    <cellStyle name="Normal 4 6 2 7 2 6" xfId="12784" xr:uid="{ED7558E0-95F3-4D51-8DEB-B34A83BEB947}"/>
    <cellStyle name="Normal 4 6 2 7 3" xfId="6422" xr:uid="{00000000-0005-0000-0000-00004F160000}"/>
    <cellStyle name="Normal 4 6 2 7 3 2" xfId="31721" xr:uid="{029A367A-68C0-4B7E-AD16-7E0F2F42FBDD}"/>
    <cellStyle name="Normal 4 6 2 7 3 3" xfId="23292" xr:uid="{0883C08A-4283-4393-8D11-344BECEA4CA3}"/>
    <cellStyle name="Normal 4 6 2 7 3 4" xfId="40149" xr:uid="{65BB0975-32A4-4A68-8496-D56B009EAB99}"/>
    <cellStyle name="Normal 4 6 2 7 3 5" xfId="14857" xr:uid="{6A3350F0-57C8-4F48-B9B2-6540CDB9C086}"/>
    <cellStyle name="Normal 4 6 2 7 4" xfId="27503" xr:uid="{3FE86219-A76D-47B8-A9D8-3254B742FB18}"/>
    <cellStyle name="Normal 4 6 2 7 5" xfId="19074" xr:uid="{7A33868C-0D63-44D4-8966-24D3BEEF6085}"/>
    <cellStyle name="Normal 4 6 2 7 6" xfId="35932" xr:uid="{8696FE5E-DFC2-47BF-9FAD-B221D628C996}"/>
    <cellStyle name="Normal 4 6 2 7 7" xfId="10639" xr:uid="{151D98C0-1261-4BE4-91CB-7A38234D6005}"/>
    <cellStyle name="Normal 4 6 2 8" xfId="2551" xr:uid="{00000000-0005-0000-0000-000050160000}"/>
    <cellStyle name="Normal 4 6 2 8 2" xfId="6835" xr:uid="{00000000-0005-0000-0000-000051160000}"/>
    <cellStyle name="Normal 4 6 2 8 2 2" xfId="32134" xr:uid="{A398B09A-4361-4515-B948-35D73F9E35F0}"/>
    <cellStyle name="Normal 4 6 2 8 2 3" xfId="23705" xr:uid="{F1866A7D-2A4C-4F1D-AB4C-DE3A02E8CA35}"/>
    <cellStyle name="Normal 4 6 2 8 2 4" xfId="40562" xr:uid="{236F729A-F20F-4144-AC3A-B602F252FC0B}"/>
    <cellStyle name="Normal 4 6 2 8 2 5" xfId="15270" xr:uid="{602631A2-5D8D-4B1D-8B8E-E7EF1FE4A3A0}"/>
    <cellStyle name="Normal 4 6 2 8 3" xfId="27916" xr:uid="{2F74791C-7202-4FBD-B7B7-7B0D6ABCD992}"/>
    <cellStyle name="Normal 4 6 2 8 4" xfId="19487" xr:uid="{27AF8ACB-C17C-4935-BF36-D56E6804BA64}"/>
    <cellStyle name="Normal 4 6 2 8 5" xfId="36345" xr:uid="{97F6084E-8472-47DF-ADF2-6CA3A4C3F174}"/>
    <cellStyle name="Normal 4 6 2 8 6" xfId="11052" xr:uid="{6D152B05-C200-44E8-944D-71C75E505AA5}"/>
    <cellStyle name="Normal 4 6 2 9" xfId="4770" xr:uid="{00000000-0005-0000-0000-000052160000}"/>
    <cellStyle name="Normal 4 6 2 9 2" xfId="30069" xr:uid="{9EA74868-24B8-4691-A702-76B7B3BD7827}"/>
    <cellStyle name="Normal 4 6 2 9 3" xfId="21640" xr:uid="{B93ADADE-0B30-4BF7-87EF-9EEB33CAFCEA}"/>
    <cellStyle name="Normal 4 6 2 9 4" xfId="38497" xr:uid="{6A58D5A3-3756-499F-B297-8591233AF41A}"/>
    <cellStyle name="Normal 4 6 2 9 5" xfId="13205" xr:uid="{ABF5EFC1-65DE-49A5-8AC7-D07F5ECE3228}"/>
    <cellStyle name="Normal 4 6 3" xfId="400" xr:uid="{00000000-0005-0000-0000-000053160000}"/>
    <cellStyle name="Normal 4 6 3 10" xfId="17426" xr:uid="{6E1CA360-D218-47BE-BB6C-D5EEFF1C5EE1}"/>
    <cellStyle name="Normal 4 6 3 11" xfId="34284" xr:uid="{677AFE38-B4E4-4967-B65A-FAB83336B170}"/>
    <cellStyle name="Normal 4 6 3 12" xfId="8991" xr:uid="{5FCD28CC-C4B4-4A42-A02F-1B5E164D5F7E}"/>
    <cellStyle name="Normal 4 6 3 2" xfId="401" xr:uid="{00000000-0005-0000-0000-000054160000}"/>
    <cellStyle name="Normal 4 6 3 2 10" xfId="34285" xr:uid="{D9C5662B-0172-4BEF-B5DF-1702B3645E02}"/>
    <cellStyle name="Normal 4 6 3 2 11" xfId="8992" xr:uid="{8DA7CB78-FE8A-4C27-B18B-8F4629BF7136}"/>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32632" xr:uid="{27EA8AF3-9459-473A-8CDC-F82284FA3042}"/>
    <cellStyle name="Normal 4 6 3 2 2 2 2 3" xfId="24203" xr:uid="{9A6FE4AB-857A-4153-A055-66536FB257B1}"/>
    <cellStyle name="Normal 4 6 3 2 2 2 2 4" xfId="41060" xr:uid="{69F369D3-ADA3-4F59-A1CE-942C12F56751}"/>
    <cellStyle name="Normal 4 6 3 2 2 2 2 5" xfId="15768" xr:uid="{C325DA95-A035-4F83-A156-DB10E01FFE5A}"/>
    <cellStyle name="Normal 4 6 3 2 2 2 3" xfId="28414" xr:uid="{66AD3BF5-0032-4F1E-9FBA-8662FEA3AAE0}"/>
    <cellStyle name="Normal 4 6 3 2 2 2 4" xfId="19985" xr:uid="{DDC6499D-D243-4878-B606-B19A20FF1EFB}"/>
    <cellStyle name="Normal 4 6 3 2 2 2 5" xfId="36843" xr:uid="{A2CD3EB5-7C22-4730-9DD1-13A6CBA42A1A}"/>
    <cellStyle name="Normal 4 6 3 2 2 2 6" xfId="11550" xr:uid="{EA408C20-95E0-403F-8228-F661C485BF80}"/>
    <cellStyle name="Normal 4 6 3 2 2 3" xfId="5188" xr:uid="{00000000-0005-0000-0000-000058160000}"/>
    <cellStyle name="Normal 4 6 3 2 2 3 2" xfId="30487" xr:uid="{98D8D46C-7930-400C-B33A-BCCB66E02B5A}"/>
    <cellStyle name="Normal 4 6 3 2 2 3 3" xfId="22058" xr:uid="{9719A065-97D1-453F-97DA-BD84322EBFB6}"/>
    <cellStyle name="Normal 4 6 3 2 2 3 4" xfId="38915" xr:uid="{12633D32-2D30-412C-BB18-5FB77259A839}"/>
    <cellStyle name="Normal 4 6 3 2 2 3 5" xfId="13623" xr:uid="{B199742A-0B60-484E-ACE5-746D07B9285B}"/>
    <cellStyle name="Normal 4 6 3 2 2 4" xfId="26269" xr:uid="{4879FB79-6567-4121-AE12-BF9628DCA9C9}"/>
    <cellStyle name="Normal 4 6 3 2 2 5" xfId="17840" xr:uid="{CCCD902C-C838-487B-B449-7379D1B193D6}"/>
    <cellStyle name="Normal 4 6 3 2 2 6" xfId="34698" xr:uid="{CB776B90-00AE-4D8B-8977-5F2E941CA53F}"/>
    <cellStyle name="Normal 4 6 3 2 2 7" xfId="9405" xr:uid="{7CA60F7A-1581-4EE9-BD17-B8A9167FF318}"/>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33045" xr:uid="{2979ECFB-77DF-4970-BA09-40B947089C43}"/>
    <cellStyle name="Normal 4 6 3 2 3 2 2 3" xfId="24616" xr:uid="{77F4A9AE-252E-48F0-8535-CE8E438316A6}"/>
    <cellStyle name="Normal 4 6 3 2 3 2 2 4" xfId="41473" xr:uid="{BDD27CFF-B16E-4346-A996-085EDB00FA38}"/>
    <cellStyle name="Normal 4 6 3 2 3 2 2 5" xfId="16181" xr:uid="{D73BAD6B-6119-4E56-8E6F-252A1F75F639}"/>
    <cellStyle name="Normal 4 6 3 2 3 2 3" xfId="28827" xr:uid="{BFF92843-04CE-4E79-81E8-AFA2B891D626}"/>
    <cellStyle name="Normal 4 6 3 2 3 2 4" xfId="20398" xr:uid="{5B92FF93-6EAE-4BC6-BAF8-3AD9580DD7F7}"/>
    <cellStyle name="Normal 4 6 3 2 3 2 5" xfId="37256" xr:uid="{D00D001D-50E4-414D-A3C1-C19230BEE88F}"/>
    <cellStyle name="Normal 4 6 3 2 3 2 6" xfId="11963" xr:uid="{C66BD3FB-09BE-4E51-931C-6F90F4AAA4B5}"/>
    <cellStyle name="Normal 4 6 3 2 3 3" xfId="5601" xr:uid="{00000000-0005-0000-0000-00005C160000}"/>
    <cellStyle name="Normal 4 6 3 2 3 3 2" xfId="30900" xr:uid="{C6CB07CC-4DE8-4DA2-966F-CB29200D2F5E}"/>
    <cellStyle name="Normal 4 6 3 2 3 3 3" xfId="22471" xr:uid="{8DAF8B57-87C5-443E-9903-DEC87FAB2810}"/>
    <cellStyle name="Normal 4 6 3 2 3 3 4" xfId="39328" xr:uid="{D9DF2593-25AA-4272-B756-E09209AFB824}"/>
    <cellStyle name="Normal 4 6 3 2 3 3 5" xfId="14036" xr:uid="{B534D0A9-8230-45FE-86CD-8803C478DA56}"/>
    <cellStyle name="Normal 4 6 3 2 3 4" xfId="26682" xr:uid="{A3341F89-E50A-4FBC-A546-C41E27CA5420}"/>
    <cellStyle name="Normal 4 6 3 2 3 5" xfId="18253" xr:uid="{A7595D01-3202-4703-8DB8-CD93F546FE8D}"/>
    <cellStyle name="Normal 4 6 3 2 3 6" xfId="35111" xr:uid="{457B0AFB-8A93-48AA-B312-793EDE54E4B6}"/>
    <cellStyle name="Normal 4 6 3 2 3 7" xfId="9818" xr:uid="{9A0B55A2-9137-4F2A-845E-C321A8343766}"/>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33458" xr:uid="{BC46E2CA-F234-4B82-B5EC-03D1504281C2}"/>
    <cellStyle name="Normal 4 6 3 2 4 2 2 3" xfId="25029" xr:uid="{116395A9-F061-416E-A97E-850A95F0D34D}"/>
    <cellStyle name="Normal 4 6 3 2 4 2 2 4" xfId="41886" xr:uid="{45542DDD-7A4B-435C-876B-695F768DA74E}"/>
    <cellStyle name="Normal 4 6 3 2 4 2 2 5" xfId="16594" xr:uid="{48EAE975-E8C2-458F-BBDF-35E208F10934}"/>
    <cellStyle name="Normal 4 6 3 2 4 2 3" xfId="29240" xr:uid="{3A6E1D12-A7E5-456F-8662-403B7FE57997}"/>
    <cellStyle name="Normal 4 6 3 2 4 2 4" xfId="20811" xr:uid="{BB342B77-2975-4124-81B3-486849DCBAB9}"/>
    <cellStyle name="Normal 4 6 3 2 4 2 5" xfId="37669" xr:uid="{1B748D49-6D32-4947-AEE6-48878E61ACC0}"/>
    <cellStyle name="Normal 4 6 3 2 4 2 6" xfId="12376" xr:uid="{A25B157B-0933-4855-814E-78FB46497739}"/>
    <cellStyle name="Normal 4 6 3 2 4 3" xfId="6014" xr:uid="{00000000-0005-0000-0000-000060160000}"/>
    <cellStyle name="Normal 4 6 3 2 4 3 2" xfId="31313" xr:uid="{839020B2-5446-4184-BB78-22F73AC52048}"/>
    <cellStyle name="Normal 4 6 3 2 4 3 3" xfId="22884" xr:uid="{20F589FB-1C36-45FB-90BB-E01572255B31}"/>
    <cellStyle name="Normal 4 6 3 2 4 3 4" xfId="39741" xr:uid="{BD4836DA-27C0-40C5-9AFB-1440A844BFC2}"/>
    <cellStyle name="Normal 4 6 3 2 4 3 5" xfId="14449" xr:uid="{3F2C7DC6-F302-404B-9A45-6C6BDCD2DC84}"/>
    <cellStyle name="Normal 4 6 3 2 4 4" xfId="27095" xr:uid="{9DAEEB70-AE25-4983-9433-1D18571A460F}"/>
    <cellStyle name="Normal 4 6 3 2 4 5" xfId="18666" xr:uid="{37E96052-ACE1-41D7-B0AF-2978C63532DF}"/>
    <cellStyle name="Normal 4 6 3 2 4 6" xfId="35524" xr:uid="{7004E2E7-BD61-4953-B301-48EC01C23820}"/>
    <cellStyle name="Normal 4 6 3 2 4 7" xfId="10231" xr:uid="{55FFE8E0-3204-4805-8C48-1BC0BB6D6DDA}"/>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33871" xr:uid="{21A32C0B-C191-41D5-9A0F-DE506ADB2112}"/>
    <cellStyle name="Normal 4 6 3 2 5 2 2 3" xfId="25442" xr:uid="{CE38EA47-4CFD-4BB8-BA5F-0747F9180825}"/>
    <cellStyle name="Normal 4 6 3 2 5 2 2 4" xfId="42299" xr:uid="{C5BD0D3F-6CDE-46C8-8C39-6D8A6CFF95C5}"/>
    <cellStyle name="Normal 4 6 3 2 5 2 2 5" xfId="17007" xr:uid="{E0898276-C07A-4891-8A11-30FE7C98A5B4}"/>
    <cellStyle name="Normal 4 6 3 2 5 2 3" xfId="29653" xr:uid="{505455B6-1DCB-4FEF-A478-CEC7AA9C7272}"/>
    <cellStyle name="Normal 4 6 3 2 5 2 4" xfId="21224" xr:uid="{46C13894-5652-413C-B5D4-02686521E8BD}"/>
    <cellStyle name="Normal 4 6 3 2 5 2 5" xfId="38082" xr:uid="{67A2D2D3-0CF4-4732-BFD3-C77C4FFED5F6}"/>
    <cellStyle name="Normal 4 6 3 2 5 2 6" xfId="12789" xr:uid="{4B793C26-BA99-4591-A327-4A4D7097ED4E}"/>
    <cellStyle name="Normal 4 6 3 2 5 3" xfId="6427" xr:uid="{00000000-0005-0000-0000-000064160000}"/>
    <cellStyle name="Normal 4 6 3 2 5 3 2" xfId="31726" xr:uid="{D5871992-5017-4860-8EA8-7B95C052F271}"/>
    <cellStyle name="Normal 4 6 3 2 5 3 3" xfId="23297" xr:uid="{7F872485-B50F-4499-93B2-1C967F2386BC}"/>
    <cellStyle name="Normal 4 6 3 2 5 3 4" xfId="40154" xr:uid="{8CC00E22-D5F6-4DB8-9075-ED452F2DA7DC}"/>
    <cellStyle name="Normal 4 6 3 2 5 3 5" xfId="14862" xr:uid="{BD593D39-9BA1-4CD5-81C0-7703970DAF6F}"/>
    <cellStyle name="Normal 4 6 3 2 5 4" xfId="27508" xr:uid="{702101BE-EE60-45BB-9560-19D7A3EA089F}"/>
    <cellStyle name="Normal 4 6 3 2 5 5" xfId="19079" xr:uid="{B8933712-97AE-41B1-868C-AED20AAFC4C2}"/>
    <cellStyle name="Normal 4 6 3 2 5 6" xfId="35937" xr:uid="{EDEA9559-B945-4798-B064-43CD24496B2F}"/>
    <cellStyle name="Normal 4 6 3 2 5 7" xfId="10644" xr:uid="{57139519-025B-43F2-9751-9747DA9EF85A}"/>
    <cellStyle name="Normal 4 6 3 2 6" xfId="2556" xr:uid="{00000000-0005-0000-0000-000065160000}"/>
    <cellStyle name="Normal 4 6 3 2 6 2" xfId="6840" xr:uid="{00000000-0005-0000-0000-000066160000}"/>
    <cellStyle name="Normal 4 6 3 2 6 2 2" xfId="32139" xr:uid="{5C10AB24-822F-4795-B16B-D663187C0C2A}"/>
    <cellStyle name="Normal 4 6 3 2 6 2 3" xfId="23710" xr:uid="{B3AE95BD-CA27-4A51-AD8A-3B28A6462620}"/>
    <cellStyle name="Normal 4 6 3 2 6 2 4" xfId="40567" xr:uid="{F1F5B4E2-3A3E-420E-8D15-DB86B538DA6C}"/>
    <cellStyle name="Normal 4 6 3 2 6 2 5" xfId="15275" xr:uid="{1A272D4D-601C-4E09-8AD3-E0DA534F77E6}"/>
    <cellStyle name="Normal 4 6 3 2 6 3" xfId="27921" xr:uid="{F3AF9230-D7FC-4A7A-9EAA-055A0B3B5FD3}"/>
    <cellStyle name="Normal 4 6 3 2 6 4" xfId="19492" xr:uid="{1F37CFA7-1C57-4CC8-ACDF-2195A17CF7CD}"/>
    <cellStyle name="Normal 4 6 3 2 6 5" xfId="36350" xr:uid="{22817016-701C-468A-AA13-5D885803B748}"/>
    <cellStyle name="Normal 4 6 3 2 6 6" xfId="11057" xr:uid="{6D0C29B2-D200-4472-B2FE-070CD90F1F49}"/>
    <cellStyle name="Normal 4 6 3 2 7" xfId="4775" xr:uid="{00000000-0005-0000-0000-000067160000}"/>
    <cellStyle name="Normal 4 6 3 2 7 2" xfId="30074" xr:uid="{7BFE25AC-518D-4AB2-8B66-8306AC45C16F}"/>
    <cellStyle name="Normal 4 6 3 2 7 3" xfId="21645" xr:uid="{3B62C295-C4CB-4D3F-87CE-C24EA916F07F}"/>
    <cellStyle name="Normal 4 6 3 2 7 4" xfId="38502" xr:uid="{C00544EC-9809-4AB0-8BAE-EB00899AF7D7}"/>
    <cellStyle name="Normal 4 6 3 2 7 5" xfId="13210" xr:uid="{9AD40880-B6B8-41F2-80D7-594A2E747E8F}"/>
    <cellStyle name="Normal 4 6 3 2 8" xfId="25856" xr:uid="{83C30D99-F853-424E-86D6-F27CE22D8D6D}"/>
    <cellStyle name="Normal 4 6 3 2 9" xfId="17427" xr:uid="{E8DFCE24-718E-40B9-BFDD-32738302A615}"/>
    <cellStyle name="Normal 4 6 3 3" xfId="874" xr:uid="{00000000-0005-0000-0000-000068160000}"/>
    <cellStyle name="Normal 4 6 3 3 2" xfId="3109" xr:uid="{00000000-0005-0000-0000-000069160000}"/>
    <cellStyle name="Normal 4 6 3 3 2 2" xfId="7332" xr:uid="{00000000-0005-0000-0000-00006A160000}"/>
    <cellStyle name="Normal 4 6 3 3 2 2 2" xfId="32631" xr:uid="{2D71EF2A-70AF-47F6-AA0F-267D1CCB9934}"/>
    <cellStyle name="Normal 4 6 3 3 2 2 3" xfId="24202" xr:uid="{9024E1BE-BAF4-4F83-8F3A-E04224BF63CB}"/>
    <cellStyle name="Normal 4 6 3 3 2 2 4" xfId="41059" xr:uid="{F5333504-D431-4426-9554-E7AB35C9F40E}"/>
    <cellStyle name="Normal 4 6 3 3 2 2 5" xfId="15767" xr:uid="{BEC41365-B11A-4614-AEF1-F71F4DEEDA81}"/>
    <cellStyle name="Normal 4 6 3 3 2 3" xfId="28413" xr:uid="{2B2F59B6-2F01-4760-B938-7FAF64C43DAC}"/>
    <cellStyle name="Normal 4 6 3 3 2 4" xfId="19984" xr:uid="{2E66443C-91CD-407D-A1D7-C667B950F2B8}"/>
    <cellStyle name="Normal 4 6 3 3 2 5" xfId="36842" xr:uid="{F06C7303-DE14-4DA6-A515-8A047AC06C89}"/>
    <cellStyle name="Normal 4 6 3 3 2 6" xfId="11549" xr:uid="{FDFDC20E-B11F-4CC9-B5DB-0C1395A957BD}"/>
    <cellStyle name="Normal 4 6 3 3 3" xfId="5187" xr:uid="{00000000-0005-0000-0000-00006B160000}"/>
    <cellStyle name="Normal 4 6 3 3 3 2" xfId="30486" xr:uid="{FF9413E9-5328-4AEE-B56C-E476FEFEFE8F}"/>
    <cellStyle name="Normal 4 6 3 3 3 3" xfId="22057" xr:uid="{E63CBE3B-299D-4ED4-A98C-9AAAEDD61304}"/>
    <cellStyle name="Normal 4 6 3 3 3 4" xfId="38914" xr:uid="{12B6E0E8-8062-400C-BD83-51CECEDE19E0}"/>
    <cellStyle name="Normal 4 6 3 3 3 5" xfId="13622" xr:uid="{82A51422-086A-4EBD-8BC9-20854630455D}"/>
    <cellStyle name="Normal 4 6 3 3 4" xfId="26268" xr:uid="{F3FE82D1-6085-472D-8A21-F12366D3097E}"/>
    <cellStyle name="Normal 4 6 3 3 5" xfId="17839" xr:uid="{F3D3FAED-3F57-4DA6-8F45-A7939B0DC80A}"/>
    <cellStyle name="Normal 4 6 3 3 6" xfId="34697" xr:uid="{693FAB86-34E9-498C-96E7-BC61BF51BD01}"/>
    <cellStyle name="Normal 4 6 3 3 7" xfId="9404" xr:uid="{3C086182-D7D8-4972-9BD4-B1FCA9701D6C}"/>
    <cellStyle name="Normal 4 6 3 4" xfId="1292" xr:uid="{00000000-0005-0000-0000-00006C160000}"/>
    <cellStyle name="Normal 4 6 3 4 2" xfId="3522" xr:uid="{00000000-0005-0000-0000-00006D160000}"/>
    <cellStyle name="Normal 4 6 3 4 2 2" xfId="7745" xr:uid="{00000000-0005-0000-0000-00006E160000}"/>
    <cellStyle name="Normal 4 6 3 4 2 2 2" xfId="33044" xr:uid="{E6AA503A-1904-4B12-B7D5-70501212C6C7}"/>
    <cellStyle name="Normal 4 6 3 4 2 2 3" xfId="24615" xr:uid="{BFC19FAA-53DF-439B-94D3-17CDC4C3A80F}"/>
    <cellStyle name="Normal 4 6 3 4 2 2 4" xfId="41472" xr:uid="{D1DB16B1-D13E-4C25-8FCC-5BA70BD72C9D}"/>
    <cellStyle name="Normal 4 6 3 4 2 2 5" xfId="16180" xr:uid="{344E90E5-982A-48B0-AFB1-61FB5F546118}"/>
    <cellStyle name="Normal 4 6 3 4 2 3" xfId="28826" xr:uid="{0902F1CF-0AAD-4494-9BE0-F381C0536D46}"/>
    <cellStyle name="Normal 4 6 3 4 2 4" xfId="20397" xr:uid="{A56D114E-495A-41D0-A739-DFCFC6135A36}"/>
    <cellStyle name="Normal 4 6 3 4 2 5" xfId="37255" xr:uid="{A76F48DC-9FF4-4082-8C0A-56D3878EDCA6}"/>
    <cellStyle name="Normal 4 6 3 4 2 6" xfId="11962" xr:uid="{57649D85-E659-43C0-858C-B6FD05865549}"/>
    <cellStyle name="Normal 4 6 3 4 3" xfId="5600" xr:uid="{00000000-0005-0000-0000-00006F160000}"/>
    <cellStyle name="Normal 4 6 3 4 3 2" xfId="30899" xr:uid="{16103F47-C409-4C91-8675-AE6D274BE77B}"/>
    <cellStyle name="Normal 4 6 3 4 3 3" xfId="22470" xr:uid="{44F17F1C-B11A-4B15-8D30-97BD2DB9E876}"/>
    <cellStyle name="Normal 4 6 3 4 3 4" xfId="39327" xr:uid="{CACE9CA9-65F4-42D3-A0D8-FE5407A22ADE}"/>
    <cellStyle name="Normal 4 6 3 4 3 5" xfId="14035" xr:uid="{37D66CD9-C4EA-4BB4-B2CC-4586B97743A5}"/>
    <cellStyle name="Normal 4 6 3 4 4" xfId="26681" xr:uid="{2FA23961-025A-452C-8961-4F064CA48F1A}"/>
    <cellStyle name="Normal 4 6 3 4 5" xfId="18252" xr:uid="{46D26D4F-9960-4EB5-9E3E-65852802064A}"/>
    <cellStyle name="Normal 4 6 3 4 6" xfId="35110" xr:uid="{02143E2A-B00A-4556-960A-B9385A1DB4A7}"/>
    <cellStyle name="Normal 4 6 3 4 7" xfId="9817" xr:uid="{EBB60EE6-0F3E-4904-BEEF-BA180F13DF63}"/>
    <cellStyle name="Normal 4 6 3 5" xfId="1705" xr:uid="{00000000-0005-0000-0000-000070160000}"/>
    <cellStyle name="Normal 4 6 3 5 2" xfId="3935" xr:uid="{00000000-0005-0000-0000-000071160000}"/>
    <cellStyle name="Normal 4 6 3 5 2 2" xfId="8158" xr:uid="{00000000-0005-0000-0000-000072160000}"/>
    <cellStyle name="Normal 4 6 3 5 2 2 2" xfId="33457" xr:uid="{309DC368-B8BF-4A83-B327-2F53905771E9}"/>
    <cellStyle name="Normal 4 6 3 5 2 2 3" xfId="25028" xr:uid="{480D45AD-65DE-4B4E-BDF9-09A67670CCE1}"/>
    <cellStyle name="Normal 4 6 3 5 2 2 4" xfId="41885" xr:uid="{F57C702C-CF03-4CC5-BDB4-A48859705E50}"/>
    <cellStyle name="Normal 4 6 3 5 2 2 5" xfId="16593" xr:uid="{2B4D5B07-6B48-42CF-9AE1-DE9E5D04FF79}"/>
    <cellStyle name="Normal 4 6 3 5 2 3" xfId="29239" xr:uid="{090CB629-32F9-444E-A3AE-A642B92081E6}"/>
    <cellStyle name="Normal 4 6 3 5 2 4" xfId="20810" xr:uid="{B8A73703-8C07-47F6-8247-39619C8902FD}"/>
    <cellStyle name="Normal 4 6 3 5 2 5" xfId="37668" xr:uid="{4AB80A33-572D-4038-BA8E-61E8D0D39367}"/>
    <cellStyle name="Normal 4 6 3 5 2 6" xfId="12375" xr:uid="{F9CA1095-C14D-44CA-8345-4F6A111B89A8}"/>
    <cellStyle name="Normal 4 6 3 5 3" xfId="6013" xr:uid="{00000000-0005-0000-0000-000073160000}"/>
    <cellStyle name="Normal 4 6 3 5 3 2" xfId="31312" xr:uid="{CCC4ACF8-E860-4601-948B-FF22B3C64029}"/>
    <cellStyle name="Normal 4 6 3 5 3 3" xfId="22883" xr:uid="{D260EA5E-A6C0-401F-BC57-3EA6D12DA774}"/>
    <cellStyle name="Normal 4 6 3 5 3 4" xfId="39740" xr:uid="{8CD7F4D5-8705-4714-858F-CEEAA0B5E275}"/>
    <cellStyle name="Normal 4 6 3 5 3 5" xfId="14448" xr:uid="{514FED1C-B254-4EBE-ABA7-13896BE939E0}"/>
    <cellStyle name="Normal 4 6 3 5 4" xfId="27094" xr:uid="{A596EF17-70C1-465D-B624-8E1C08DCEBD5}"/>
    <cellStyle name="Normal 4 6 3 5 5" xfId="18665" xr:uid="{614F5CEC-D46B-43FA-8085-F80593B47F64}"/>
    <cellStyle name="Normal 4 6 3 5 6" xfId="35523" xr:uid="{090886FA-3D95-4257-BE12-35261548BDAF}"/>
    <cellStyle name="Normal 4 6 3 5 7" xfId="10230" xr:uid="{E897694E-98C1-451C-AB81-07219DBDCD85}"/>
    <cellStyle name="Normal 4 6 3 6" xfId="2119" xr:uid="{00000000-0005-0000-0000-000074160000}"/>
    <cellStyle name="Normal 4 6 3 6 2" xfId="4348" xr:uid="{00000000-0005-0000-0000-000075160000}"/>
    <cellStyle name="Normal 4 6 3 6 2 2" xfId="8571" xr:uid="{00000000-0005-0000-0000-000076160000}"/>
    <cellStyle name="Normal 4 6 3 6 2 2 2" xfId="33870" xr:uid="{2D3B019D-A598-4968-82D5-E8684036AB45}"/>
    <cellStyle name="Normal 4 6 3 6 2 2 3" xfId="25441" xr:uid="{191DE41B-812A-4037-BB77-35FCB5457009}"/>
    <cellStyle name="Normal 4 6 3 6 2 2 4" xfId="42298" xr:uid="{1C525EB4-55AE-4AFE-8757-61C84B8858BA}"/>
    <cellStyle name="Normal 4 6 3 6 2 2 5" xfId="17006" xr:uid="{06C12BC5-A6D8-4967-A02E-A28EC865EBC2}"/>
    <cellStyle name="Normal 4 6 3 6 2 3" xfId="29652" xr:uid="{2EE211BA-71B6-485F-B8CA-C6935C7991B5}"/>
    <cellStyle name="Normal 4 6 3 6 2 4" xfId="21223" xr:uid="{6F3C03D3-E890-4365-B1EA-55A257EF8AB4}"/>
    <cellStyle name="Normal 4 6 3 6 2 5" xfId="38081" xr:uid="{5C6540F3-D293-41D6-B26C-840C5F6B8070}"/>
    <cellStyle name="Normal 4 6 3 6 2 6" xfId="12788" xr:uid="{DCA2C392-2F5A-4648-88C6-CFF45250CD0D}"/>
    <cellStyle name="Normal 4 6 3 6 3" xfId="6426" xr:uid="{00000000-0005-0000-0000-000077160000}"/>
    <cellStyle name="Normal 4 6 3 6 3 2" xfId="31725" xr:uid="{A4943C31-0167-4DAF-8EB0-BA701ACBD9A1}"/>
    <cellStyle name="Normal 4 6 3 6 3 3" xfId="23296" xr:uid="{5C62F893-563C-4C3C-A32D-B4D907AD5533}"/>
    <cellStyle name="Normal 4 6 3 6 3 4" xfId="40153" xr:uid="{5D1EA5C4-FC53-4313-AE4C-9570BC8246A6}"/>
    <cellStyle name="Normal 4 6 3 6 3 5" xfId="14861" xr:uid="{F62BEF56-1C77-4993-AEF3-2C8E0E3AC92C}"/>
    <cellStyle name="Normal 4 6 3 6 4" xfId="27507" xr:uid="{A7AC8003-26CE-45EB-9546-EFDB2CAA995B}"/>
    <cellStyle name="Normal 4 6 3 6 5" xfId="19078" xr:uid="{5141728B-F00A-4483-BC89-003F872415BF}"/>
    <cellStyle name="Normal 4 6 3 6 6" xfId="35936" xr:uid="{0C6EC0EC-FD82-4FD8-8220-73C30E26A0DD}"/>
    <cellStyle name="Normal 4 6 3 6 7" xfId="10643" xr:uid="{4401CFC8-CCE4-4B1C-9EA4-8FBCBA19E6AA}"/>
    <cellStyle name="Normal 4 6 3 7" xfId="2555" xr:uid="{00000000-0005-0000-0000-000078160000}"/>
    <cellStyle name="Normal 4 6 3 7 2" xfId="6839" xr:uid="{00000000-0005-0000-0000-000079160000}"/>
    <cellStyle name="Normal 4 6 3 7 2 2" xfId="32138" xr:uid="{5D2607FF-631B-4D26-A788-0D504941A1E9}"/>
    <cellStyle name="Normal 4 6 3 7 2 3" xfId="23709" xr:uid="{D607218D-5C2F-4443-B0B6-1B4850F6F808}"/>
    <cellStyle name="Normal 4 6 3 7 2 4" xfId="40566" xr:uid="{FDD6E97B-5DFF-4E6B-8EF6-206A3B893B2A}"/>
    <cellStyle name="Normal 4 6 3 7 2 5" xfId="15274" xr:uid="{71C5847D-3DF9-4116-AB33-8C8A9E0F3F62}"/>
    <cellStyle name="Normal 4 6 3 7 3" xfId="27920" xr:uid="{F09115CB-75EC-498A-91A6-45AA16B3C2B6}"/>
    <cellStyle name="Normal 4 6 3 7 4" xfId="19491" xr:uid="{744DAE91-397A-48F1-8896-13E2AA30646B}"/>
    <cellStyle name="Normal 4 6 3 7 5" xfId="36349" xr:uid="{7324C88E-5DBC-4393-997F-D96EEEA3ABD0}"/>
    <cellStyle name="Normal 4 6 3 7 6" xfId="11056" xr:uid="{A8F5BD29-A45F-488B-8726-1C0FD90F9E92}"/>
    <cellStyle name="Normal 4 6 3 8" xfId="4774" xr:uid="{00000000-0005-0000-0000-00007A160000}"/>
    <cellStyle name="Normal 4 6 3 8 2" xfId="30073" xr:uid="{5ECB4286-AB65-46E4-AC58-4496B935AF8E}"/>
    <cellStyle name="Normal 4 6 3 8 3" xfId="21644" xr:uid="{B0D820A2-6C2B-4B05-BD68-9F1F982B6365}"/>
    <cellStyle name="Normal 4 6 3 8 4" xfId="38501" xr:uid="{E871DD01-B268-4D88-AF14-DB070D19F249}"/>
    <cellStyle name="Normal 4 6 3 8 5" xfId="13209" xr:uid="{E2938A56-1407-4F6B-86B6-F64DCC4BCB2E}"/>
    <cellStyle name="Normal 4 6 3 9" xfId="25855" xr:uid="{C07E7ECF-C494-4F57-9F3A-1A4648D1C346}"/>
    <cellStyle name="Normal 4 6 4" xfId="402" xr:uid="{00000000-0005-0000-0000-00007B160000}"/>
    <cellStyle name="Normal 4 6 4 10" xfId="34286" xr:uid="{85E48908-6DC3-4692-B527-F57852446E42}"/>
    <cellStyle name="Normal 4 6 4 11" xfId="8993" xr:uid="{55E4194E-BB08-40A6-828F-4F3BBE3ADF3D}"/>
    <cellStyle name="Normal 4 6 4 2" xfId="876" xr:uid="{00000000-0005-0000-0000-00007C160000}"/>
    <cellStyle name="Normal 4 6 4 2 2" xfId="3111" xr:uid="{00000000-0005-0000-0000-00007D160000}"/>
    <cellStyle name="Normal 4 6 4 2 2 2" xfId="7334" xr:uid="{00000000-0005-0000-0000-00007E160000}"/>
    <cellStyle name="Normal 4 6 4 2 2 2 2" xfId="32633" xr:uid="{F09D7620-D547-4BA6-B297-DB763034FDE0}"/>
    <cellStyle name="Normal 4 6 4 2 2 2 3" xfId="24204" xr:uid="{FF87F10B-C2F2-4BB8-95AD-7B19C59DC578}"/>
    <cellStyle name="Normal 4 6 4 2 2 2 4" xfId="41061" xr:uid="{F9B51372-398E-4EB0-91F4-57F2859FF739}"/>
    <cellStyle name="Normal 4 6 4 2 2 2 5" xfId="15769" xr:uid="{D07D9070-FE81-4CA6-A0B2-92D347FDF06F}"/>
    <cellStyle name="Normal 4 6 4 2 2 3" xfId="28415" xr:uid="{BE5FA4EA-45D5-4D44-836F-F3E6472387F7}"/>
    <cellStyle name="Normal 4 6 4 2 2 4" xfId="19986" xr:uid="{07469F83-2944-48C1-B220-A40730BFBE4F}"/>
    <cellStyle name="Normal 4 6 4 2 2 5" xfId="36844" xr:uid="{7A268F5D-64C4-4FF4-B7ED-F6868F612F4B}"/>
    <cellStyle name="Normal 4 6 4 2 2 6" xfId="11551" xr:uid="{E8F48B94-13E0-4704-B012-400769C9C53D}"/>
    <cellStyle name="Normal 4 6 4 2 3" xfId="5189" xr:uid="{00000000-0005-0000-0000-00007F160000}"/>
    <cellStyle name="Normal 4 6 4 2 3 2" xfId="30488" xr:uid="{516E9D55-16F1-4A08-B1FF-09C79CA02222}"/>
    <cellStyle name="Normal 4 6 4 2 3 3" xfId="22059" xr:uid="{895D7AD0-F2B7-4F7A-B584-92174F72411B}"/>
    <cellStyle name="Normal 4 6 4 2 3 4" xfId="38916" xr:uid="{C6425B06-FBAE-4926-BF2F-278DB2656C36}"/>
    <cellStyle name="Normal 4 6 4 2 3 5" xfId="13624" xr:uid="{7B414887-0AC3-449E-843D-F64D37A54BD0}"/>
    <cellStyle name="Normal 4 6 4 2 4" xfId="26270" xr:uid="{45CB4B91-7649-45CD-9F11-DDDE82368529}"/>
    <cellStyle name="Normal 4 6 4 2 5" xfId="17841" xr:uid="{47E1911B-1564-44AD-BD09-8DA88223E6D7}"/>
    <cellStyle name="Normal 4 6 4 2 6" xfId="34699" xr:uid="{0F032CEC-6904-40AC-877B-4B9ED2AED6B5}"/>
    <cellStyle name="Normal 4 6 4 2 7" xfId="9406" xr:uid="{DC29877A-E57F-4846-BAAC-032C5A917B87}"/>
    <cellStyle name="Normal 4 6 4 3" xfId="1294" xr:uid="{00000000-0005-0000-0000-000080160000}"/>
    <cellStyle name="Normal 4 6 4 3 2" xfId="3524" xr:uid="{00000000-0005-0000-0000-000081160000}"/>
    <cellStyle name="Normal 4 6 4 3 2 2" xfId="7747" xr:uid="{00000000-0005-0000-0000-000082160000}"/>
    <cellStyle name="Normal 4 6 4 3 2 2 2" xfId="33046" xr:uid="{E942C15C-ECBE-40A5-A126-2BD8AF968F1E}"/>
    <cellStyle name="Normal 4 6 4 3 2 2 3" xfId="24617" xr:uid="{498EDD81-26C6-43A7-97FA-DF40D32AFBBE}"/>
    <cellStyle name="Normal 4 6 4 3 2 2 4" xfId="41474" xr:uid="{F31FABAB-C5A0-4D9F-AB0E-074F4D59B1DD}"/>
    <cellStyle name="Normal 4 6 4 3 2 2 5" xfId="16182" xr:uid="{67DEA6F4-161C-4327-8A7F-39535A9CB736}"/>
    <cellStyle name="Normal 4 6 4 3 2 3" xfId="28828" xr:uid="{EEF15AE0-3B0C-4497-B06C-77EC51BAE2A6}"/>
    <cellStyle name="Normal 4 6 4 3 2 4" xfId="20399" xr:uid="{17FB4242-C700-44A6-B5BB-BD5380C48A5D}"/>
    <cellStyle name="Normal 4 6 4 3 2 5" xfId="37257" xr:uid="{21A80D4D-D86E-4C0A-BADC-D0C685547AB4}"/>
    <cellStyle name="Normal 4 6 4 3 2 6" xfId="11964" xr:uid="{907A1D02-2B9F-4892-9F7F-F86F1DFB0D08}"/>
    <cellStyle name="Normal 4 6 4 3 3" xfId="5602" xr:uid="{00000000-0005-0000-0000-000083160000}"/>
    <cellStyle name="Normal 4 6 4 3 3 2" xfId="30901" xr:uid="{9E764F2C-51F9-474C-83DE-28AA492F3201}"/>
    <cellStyle name="Normal 4 6 4 3 3 3" xfId="22472" xr:uid="{AACE1F69-0FE9-4919-85F9-A4F03F8ED960}"/>
    <cellStyle name="Normal 4 6 4 3 3 4" xfId="39329" xr:uid="{DD320FC2-DE0A-4532-9464-A2194223132F}"/>
    <cellStyle name="Normal 4 6 4 3 3 5" xfId="14037" xr:uid="{8AE56112-BD6C-4FEC-98F4-539F00B7E365}"/>
    <cellStyle name="Normal 4 6 4 3 4" xfId="26683" xr:uid="{D7B9B065-80E7-4F64-B3CA-0A35604BD3AC}"/>
    <cellStyle name="Normal 4 6 4 3 5" xfId="18254" xr:uid="{DB2B554C-9493-47AD-A6DF-4D6B9DFED0DD}"/>
    <cellStyle name="Normal 4 6 4 3 6" xfId="35112" xr:uid="{04BA7CE0-A79B-4BAD-BA2A-579BD26AF840}"/>
    <cellStyle name="Normal 4 6 4 3 7" xfId="9819" xr:uid="{1BF6DAA6-8820-46FA-8EC1-C4FDBAEA89AA}"/>
    <cellStyle name="Normal 4 6 4 4" xfId="1707" xr:uid="{00000000-0005-0000-0000-000084160000}"/>
    <cellStyle name="Normal 4 6 4 4 2" xfId="3937" xr:uid="{00000000-0005-0000-0000-000085160000}"/>
    <cellStyle name="Normal 4 6 4 4 2 2" xfId="8160" xr:uid="{00000000-0005-0000-0000-000086160000}"/>
    <cellStyle name="Normal 4 6 4 4 2 2 2" xfId="33459" xr:uid="{8CB8EA33-A220-4B40-B89B-C780642BE8B4}"/>
    <cellStyle name="Normal 4 6 4 4 2 2 3" xfId="25030" xr:uid="{079CEAC9-7AB1-4E66-8E56-4079443EF47B}"/>
    <cellStyle name="Normal 4 6 4 4 2 2 4" xfId="41887" xr:uid="{778461AA-8112-4096-8452-6FE3C8DD8EEF}"/>
    <cellStyle name="Normal 4 6 4 4 2 2 5" xfId="16595" xr:uid="{99B6F6D7-B382-4922-A754-5F718362ED1B}"/>
    <cellStyle name="Normal 4 6 4 4 2 3" xfId="29241" xr:uid="{E536F670-B6D4-4DE5-9D38-C1E53915D977}"/>
    <cellStyle name="Normal 4 6 4 4 2 4" xfId="20812" xr:uid="{26B857E4-350E-4211-8E46-30C3100C89D3}"/>
    <cellStyle name="Normal 4 6 4 4 2 5" xfId="37670" xr:uid="{F8B02CEE-0294-411A-9251-B6CC11273436}"/>
    <cellStyle name="Normal 4 6 4 4 2 6" xfId="12377" xr:uid="{9928232E-FDE6-458B-90A2-EA47B769D996}"/>
    <cellStyle name="Normal 4 6 4 4 3" xfId="6015" xr:uid="{00000000-0005-0000-0000-000087160000}"/>
    <cellStyle name="Normal 4 6 4 4 3 2" xfId="31314" xr:uid="{CE8DF128-C50E-4533-A99F-B4BCB99C70FC}"/>
    <cellStyle name="Normal 4 6 4 4 3 3" xfId="22885" xr:uid="{D8EA9F05-8B24-4AF9-A44A-06B667AB1A6A}"/>
    <cellStyle name="Normal 4 6 4 4 3 4" xfId="39742" xr:uid="{0E567E4B-6F80-4B47-8518-CB81E9A83827}"/>
    <cellStyle name="Normal 4 6 4 4 3 5" xfId="14450" xr:uid="{F127A321-CB10-4DC3-94D5-92D64E788C30}"/>
    <cellStyle name="Normal 4 6 4 4 4" xfId="27096" xr:uid="{DB23B1E2-DC61-4C86-9F95-C52183B67ECD}"/>
    <cellStyle name="Normal 4 6 4 4 5" xfId="18667" xr:uid="{EAE2E605-9162-4C97-A41E-E346C4A776AD}"/>
    <cellStyle name="Normal 4 6 4 4 6" xfId="35525" xr:uid="{73F43BBD-6C8D-4259-BB2C-2281D8960EA6}"/>
    <cellStyle name="Normal 4 6 4 4 7" xfId="10232" xr:uid="{05BA93E7-C983-41C6-AB5B-9AE9C982B28B}"/>
    <cellStyle name="Normal 4 6 4 5" xfId="2121" xr:uid="{00000000-0005-0000-0000-000088160000}"/>
    <cellStyle name="Normal 4 6 4 5 2" xfId="4350" xr:uid="{00000000-0005-0000-0000-000089160000}"/>
    <cellStyle name="Normal 4 6 4 5 2 2" xfId="8573" xr:uid="{00000000-0005-0000-0000-00008A160000}"/>
    <cellStyle name="Normal 4 6 4 5 2 2 2" xfId="33872" xr:uid="{01FBB471-5120-41C4-9761-6D2D4E415622}"/>
    <cellStyle name="Normal 4 6 4 5 2 2 3" xfId="25443" xr:uid="{ADA1C029-478E-41E4-A826-979DC450E8E4}"/>
    <cellStyle name="Normal 4 6 4 5 2 2 4" xfId="42300" xr:uid="{6B1C3415-586D-4774-A9AA-27A9FDEAFF2F}"/>
    <cellStyle name="Normal 4 6 4 5 2 2 5" xfId="17008" xr:uid="{828F3FE3-3EE3-4B28-B55F-C3B6EF826405}"/>
    <cellStyle name="Normal 4 6 4 5 2 3" xfId="29654" xr:uid="{FBBDAFED-5554-4101-8CCE-53357F7F6B9B}"/>
    <cellStyle name="Normal 4 6 4 5 2 4" xfId="21225" xr:uid="{B242E8C0-BF00-49E9-87C9-3EF40335BC8D}"/>
    <cellStyle name="Normal 4 6 4 5 2 5" xfId="38083" xr:uid="{29C0EA87-8EC2-4C30-ADFE-78808BE927A4}"/>
    <cellStyle name="Normal 4 6 4 5 2 6" xfId="12790" xr:uid="{622E9203-2D1B-4D34-B347-67C0E355807A}"/>
    <cellStyle name="Normal 4 6 4 5 3" xfId="6428" xr:uid="{00000000-0005-0000-0000-00008B160000}"/>
    <cellStyle name="Normal 4 6 4 5 3 2" xfId="31727" xr:uid="{78D98160-AC17-4C11-9F0F-4AA2107CBC98}"/>
    <cellStyle name="Normal 4 6 4 5 3 3" xfId="23298" xr:uid="{9AE45286-E019-415D-B462-559445667701}"/>
    <cellStyle name="Normal 4 6 4 5 3 4" xfId="40155" xr:uid="{46877CC4-D204-4D62-A035-DA7A1BAAA834}"/>
    <cellStyle name="Normal 4 6 4 5 3 5" xfId="14863" xr:uid="{0409DC26-C10E-432C-BEB6-354590D4B642}"/>
    <cellStyle name="Normal 4 6 4 5 4" xfId="27509" xr:uid="{F803F398-FAFA-4E0A-91D6-75023CC202B2}"/>
    <cellStyle name="Normal 4 6 4 5 5" xfId="19080" xr:uid="{569B4236-5B19-4D7E-AE9A-3829C0A82945}"/>
    <cellStyle name="Normal 4 6 4 5 6" xfId="35938" xr:uid="{21B47E6A-9A5A-48E5-ABA7-F68F1E8F2B81}"/>
    <cellStyle name="Normal 4 6 4 5 7" xfId="10645" xr:uid="{5A66AC4C-F356-44EA-A3C0-C9C0F156B172}"/>
    <cellStyle name="Normal 4 6 4 6" xfId="2557" xr:uid="{00000000-0005-0000-0000-00008C160000}"/>
    <cellStyle name="Normal 4 6 4 6 2" xfId="6841" xr:uid="{00000000-0005-0000-0000-00008D160000}"/>
    <cellStyle name="Normal 4 6 4 6 2 2" xfId="32140" xr:uid="{20323B61-0A9E-4AD4-B725-EE78EC540E73}"/>
    <cellStyle name="Normal 4 6 4 6 2 3" xfId="23711" xr:uid="{C4E33625-7C94-4497-AA7D-5503F6DD4FEC}"/>
    <cellStyle name="Normal 4 6 4 6 2 4" xfId="40568" xr:uid="{985FD94F-3557-463D-A9B4-760F9D22C686}"/>
    <cellStyle name="Normal 4 6 4 6 2 5" xfId="15276" xr:uid="{B0BCD8FA-B4F0-4222-9919-18029846E375}"/>
    <cellStyle name="Normal 4 6 4 6 3" xfId="27922" xr:uid="{06E655FA-A6E4-426D-801B-21CE6C2E45F5}"/>
    <cellStyle name="Normal 4 6 4 6 4" xfId="19493" xr:uid="{61E6507E-ECDF-47F6-9A4E-E530A19BC903}"/>
    <cellStyle name="Normal 4 6 4 6 5" xfId="36351" xr:uid="{2C9721C7-C96C-4C6E-B90C-89937D2B0575}"/>
    <cellStyle name="Normal 4 6 4 6 6" xfId="11058" xr:uid="{2841A1ED-7A44-493F-A3AE-A1AC491C4E82}"/>
    <cellStyle name="Normal 4 6 4 7" xfId="4776" xr:uid="{00000000-0005-0000-0000-00008E160000}"/>
    <cellStyle name="Normal 4 6 4 7 2" xfId="30075" xr:uid="{1ABE88A9-2DD2-4A04-B2B0-7354814B64BF}"/>
    <cellStyle name="Normal 4 6 4 7 3" xfId="21646" xr:uid="{D0B68CD5-73B9-4F9C-8B0C-E2B547E407E6}"/>
    <cellStyle name="Normal 4 6 4 7 4" xfId="38503" xr:uid="{A9ECFAB9-AC5A-4C9C-9F8B-B8B0E1D8B566}"/>
    <cellStyle name="Normal 4 6 4 7 5" xfId="13211" xr:uid="{38EC97BC-A039-4B3F-9244-0DF60898F5ED}"/>
    <cellStyle name="Normal 4 6 4 8" xfId="25857" xr:uid="{519CA414-A88E-4851-8719-447539099682}"/>
    <cellStyle name="Normal 4 6 4 9" xfId="17428" xr:uid="{2900CE33-0D4A-4CA1-9AE0-2F4892A19F0E}"/>
    <cellStyle name="Normal 4 6 5" xfId="869" xr:uid="{00000000-0005-0000-0000-00008F160000}"/>
    <cellStyle name="Normal 4 6 5 2" xfId="3104" xr:uid="{00000000-0005-0000-0000-000090160000}"/>
    <cellStyle name="Normal 4 6 5 2 2" xfId="7327" xr:uid="{00000000-0005-0000-0000-000091160000}"/>
    <cellStyle name="Normal 4 6 5 2 2 2" xfId="32626" xr:uid="{60535185-E78D-4854-A0AC-A0B62B648F68}"/>
    <cellStyle name="Normal 4 6 5 2 2 3" xfId="24197" xr:uid="{143BB071-2245-44DA-A6F9-4B2E48E2A71E}"/>
    <cellStyle name="Normal 4 6 5 2 2 4" xfId="41054" xr:uid="{95D44BD7-0310-4DE4-AED8-8C36E7666018}"/>
    <cellStyle name="Normal 4 6 5 2 2 5" xfId="15762" xr:uid="{23069DD6-C992-4D8F-81D2-69772794A892}"/>
    <cellStyle name="Normal 4 6 5 2 3" xfId="28408" xr:uid="{E900A5BC-2EC1-403C-8AC1-822A9AD33671}"/>
    <cellStyle name="Normal 4 6 5 2 4" xfId="19979" xr:uid="{162D4A60-2F5D-4AD9-B9B2-789112F0EFD3}"/>
    <cellStyle name="Normal 4 6 5 2 5" xfId="36837" xr:uid="{F564E421-59F4-4BA4-B528-6A0BCB871490}"/>
    <cellStyle name="Normal 4 6 5 2 6" xfId="11544" xr:uid="{B4A02B27-6C0D-4E2A-852D-EC64D6FDD5FE}"/>
    <cellStyle name="Normal 4 6 5 3" xfId="5182" xr:uid="{00000000-0005-0000-0000-000092160000}"/>
    <cellStyle name="Normal 4 6 5 3 2" xfId="30481" xr:uid="{95994167-596A-4047-BC80-715A091B61E8}"/>
    <cellStyle name="Normal 4 6 5 3 3" xfId="22052" xr:uid="{728B1186-44E2-4ACC-AC37-F15DE7A6FE0F}"/>
    <cellStyle name="Normal 4 6 5 3 4" xfId="38909" xr:uid="{2D1C0314-88F7-4017-BEB5-D290BED80408}"/>
    <cellStyle name="Normal 4 6 5 3 5" xfId="13617" xr:uid="{D5E78383-5C8D-4D90-A9EC-F06169332F86}"/>
    <cellStyle name="Normal 4 6 5 4" xfId="26263" xr:uid="{57BDC58B-8E41-440F-A4B6-3C29D3D9CC3F}"/>
    <cellStyle name="Normal 4 6 5 5" xfId="17834" xr:uid="{942CCF9A-B339-4B93-B60A-9AD3B37F75C4}"/>
    <cellStyle name="Normal 4 6 5 6" xfId="34692" xr:uid="{C5168516-BDB6-40FA-8D54-B5D4D51CA18B}"/>
    <cellStyle name="Normal 4 6 5 7" xfId="9399" xr:uid="{C0462D7D-F99B-4586-9EC6-762E82B6B135}"/>
    <cellStyle name="Normal 4 6 6" xfId="1287" xr:uid="{00000000-0005-0000-0000-000093160000}"/>
    <cellStyle name="Normal 4 6 6 2" xfId="3517" xr:uid="{00000000-0005-0000-0000-000094160000}"/>
    <cellStyle name="Normal 4 6 6 2 2" xfId="7740" xr:uid="{00000000-0005-0000-0000-000095160000}"/>
    <cellStyle name="Normal 4 6 6 2 2 2" xfId="33039" xr:uid="{6F4ABB6B-F872-4F28-BF1B-928E3B05890F}"/>
    <cellStyle name="Normal 4 6 6 2 2 3" xfId="24610" xr:uid="{1969618E-4441-452E-8A9E-683A5B47C54F}"/>
    <cellStyle name="Normal 4 6 6 2 2 4" xfId="41467" xr:uid="{F84B362D-B117-4386-94F8-04A7CED05B82}"/>
    <cellStyle name="Normal 4 6 6 2 2 5" xfId="16175" xr:uid="{5B7A233F-11E0-4E4B-BD14-878321A8AC37}"/>
    <cellStyle name="Normal 4 6 6 2 3" xfId="28821" xr:uid="{367BF7F3-68E7-4413-82CC-40A9FCF3A341}"/>
    <cellStyle name="Normal 4 6 6 2 4" xfId="20392" xr:uid="{925E88C2-59E8-4D33-8759-B6C36B6AC500}"/>
    <cellStyle name="Normal 4 6 6 2 5" xfId="37250" xr:uid="{57C76495-8752-4537-B79D-B0596074690A}"/>
    <cellStyle name="Normal 4 6 6 2 6" xfId="11957" xr:uid="{B69E95B5-5F5A-44BA-B496-30392710896A}"/>
    <cellStyle name="Normal 4 6 6 3" xfId="5595" xr:uid="{00000000-0005-0000-0000-000096160000}"/>
    <cellStyle name="Normal 4 6 6 3 2" xfId="30894" xr:uid="{4CDADCEA-1F10-40AD-8436-D12631802046}"/>
    <cellStyle name="Normal 4 6 6 3 3" xfId="22465" xr:uid="{172430BC-13B4-4F21-9BB6-2C906F3BBEC0}"/>
    <cellStyle name="Normal 4 6 6 3 4" xfId="39322" xr:uid="{0BB09470-FCB5-4CE6-9347-A44DA6513FDE}"/>
    <cellStyle name="Normal 4 6 6 3 5" xfId="14030" xr:uid="{2003375E-F58E-4E3F-B0B6-F24314DF5729}"/>
    <cellStyle name="Normal 4 6 6 4" xfId="26676" xr:uid="{62DE4E20-F1E8-4B87-B404-B43B876B26B4}"/>
    <cellStyle name="Normal 4 6 6 5" xfId="18247" xr:uid="{14BEF968-E890-4D90-9075-1035FB5C8B78}"/>
    <cellStyle name="Normal 4 6 6 6" xfId="35105" xr:uid="{FC3D1642-8168-43F2-A30D-E90C4A6C5C02}"/>
    <cellStyle name="Normal 4 6 6 7" xfId="9812" xr:uid="{A07B0FA0-3F3D-471E-961D-186E9F5E0433}"/>
    <cellStyle name="Normal 4 6 7" xfId="1700" xr:uid="{00000000-0005-0000-0000-000097160000}"/>
    <cellStyle name="Normal 4 6 7 2" xfId="3930" xr:uid="{00000000-0005-0000-0000-000098160000}"/>
    <cellStyle name="Normal 4 6 7 2 2" xfId="8153" xr:uid="{00000000-0005-0000-0000-000099160000}"/>
    <cellStyle name="Normal 4 6 7 2 2 2" xfId="33452" xr:uid="{2734AC53-5217-4C60-9827-0A919600A5E0}"/>
    <cellStyle name="Normal 4 6 7 2 2 3" xfId="25023" xr:uid="{01FAD13C-71CB-44E2-BAF4-B6D0E439CA80}"/>
    <cellStyle name="Normal 4 6 7 2 2 4" xfId="41880" xr:uid="{95CC3715-A4F0-4B2D-A1FD-A34681DC5689}"/>
    <cellStyle name="Normal 4 6 7 2 2 5" xfId="16588" xr:uid="{5A0E1549-C92A-4299-ADCF-CFBF23941752}"/>
    <cellStyle name="Normal 4 6 7 2 3" xfId="29234" xr:uid="{9738E5B4-9C5C-4B0F-B729-648DF863C50F}"/>
    <cellStyle name="Normal 4 6 7 2 4" xfId="20805" xr:uid="{34D381BE-4129-4E17-8263-D6831B06BF52}"/>
    <cellStyle name="Normal 4 6 7 2 5" xfId="37663" xr:uid="{0CFA6D3F-8E2B-4112-908A-F9303ABDF305}"/>
    <cellStyle name="Normal 4 6 7 2 6" xfId="12370" xr:uid="{6BD3D9CC-A669-4649-BD3B-99B2BD7879B6}"/>
    <cellStyle name="Normal 4 6 7 3" xfId="6008" xr:uid="{00000000-0005-0000-0000-00009A160000}"/>
    <cellStyle name="Normal 4 6 7 3 2" xfId="31307" xr:uid="{7109CBE4-5CC0-41E9-9D14-43361010CBB0}"/>
    <cellStyle name="Normal 4 6 7 3 3" xfId="22878" xr:uid="{40DFF090-08E9-48F6-9771-E3F8D7293F9F}"/>
    <cellStyle name="Normal 4 6 7 3 4" xfId="39735" xr:uid="{47B7E381-A310-4EA0-BFF0-A1A252AAF15D}"/>
    <cellStyle name="Normal 4 6 7 3 5" xfId="14443" xr:uid="{06EB3358-576F-40DA-96A1-53AEFF780A47}"/>
    <cellStyle name="Normal 4 6 7 4" xfId="27089" xr:uid="{83D612E4-6330-4B29-A226-8F629EF7B94E}"/>
    <cellStyle name="Normal 4 6 7 5" xfId="18660" xr:uid="{E6763282-272C-461B-B7D6-89ACA95995FC}"/>
    <cellStyle name="Normal 4 6 7 6" xfId="35518" xr:uid="{7B72CB0D-F4AB-4692-8764-E9CFEBBF5EEF}"/>
    <cellStyle name="Normal 4 6 7 7" xfId="10225" xr:uid="{CFA83394-5A8D-4CB6-B9E3-DA5CE66CC85D}"/>
    <cellStyle name="Normal 4 6 8" xfId="2114" xr:uid="{00000000-0005-0000-0000-00009B160000}"/>
    <cellStyle name="Normal 4 6 8 2" xfId="4343" xr:uid="{00000000-0005-0000-0000-00009C160000}"/>
    <cellStyle name="Normal 4 6 8 2 2" xfId="8566" xr:uid="{00000000-0005-0000-0000-00009D160000}"/>
    <cellStyle name="Normal 4 6 8 2 2 2" xfId="33865" xr:uid="{171EA64C-9137-4BB2-B676-08798017A7F7}"/>
    <cellStyle name="Normal 4 6 8 2 2 3" xfId="25436" xr:uid="{BB2A4E88-C7FA-49F5-B719-C5EED72128E9}"/>
    <cellStyle name="Normal 4 6 8 2 2 4" xfId="42293" xr:uid="{71495B8D-A52F-4AC2-B2CB-79E2D5867BAF}"/>
    <cellStyle name="Normal 4 6 8 2 2 5" xfId="17001" xr:uid="{AEA6DD32-4C61-48BE-80B6-4B4E6F330E76}"/>
    <cellStyle name="Normal 4 6 8 2 3" xfId="29647" xr:uid="{8B1F8301-FC3F-4035-88BD-11EC34BF7149}"/>
    <cellStyle name="Normal 4 6 8 2 4" xfId="21218" xr:uid="{A63FE5D9-678D-4F46-A147-C8708D8288B4}"/>
    <cellStyle name="Normal 4 6 8 2 5" xfId="38076" xr:uid="{162F64F3-C609-4151-AFE3-08F509BDACE8}"/>
    <cellStyle name="Normal 4 6 8 2 6" xfId="12783" xr:uid="{E8CB419F-F14D-4D08-8186-16AE2BDF833B}"/>
    <cellStyle name="Normal 4 6 8 3" xfId="6421" xr:uid="{00000000-0005-0000-0000-00009E160000}"/>
    <cellStyle name="Normal 4 6 8 3 2" xfId="31720" xr:uid="{2693DE63-7B3D-4ED0-B78C-79196C72A3AD}"/>
    <cellStyle name="Normal 4 6 8 3 3" xfId="23291" xr:uid="{1E158583-E6D7-47A9-8BE5-BB51A4315E08}"/>
    <cellStyle name="Normal 4 6 8 3 4" xfId="40148" xr:uid="{B31258BB-EF2F-4026-8EE8-2922CB5FC48B}"/>
    <cellStyle name="Normal 4 6 8 3 5" xfId="14856" xr:uid="{757E4FEB-50F3-4E49-A338-CB4B9136A5E8}"/>
    <cellStyle name="Normal 4 6 8 4" xfId="27502" xr:uid="{1C046B8E-E13B-44D8-B23A-A8ED47096A57}"/>
    <cellStyle name="Normal 4 6 8 5" xfId="19073" xr:uid="{8F55071B-E2A0-497F-AFDC-81BC8BF9C9C6}"/>
    <cellStyle name="Normal 4 6 8 6" xfId="35931" xr:uid="{C3B08FEE-462F-4F7D-8E0C-333257D2A8B1}"/>
    <cellStyle name="Normal 4 6 8 7" xfId="10638" xr:uid="{17FBCA3A-E8F7-47E7-A4D2-07DAE8F88954}"/>
    <cellStyle name="Normal 4 6 9" xfId="2550" xr:uid="{00000000-0005-0000-0000-00009F160000}"/>
    <cellStyle name="Normal 4 6 9 2" xfId="6834" xr:uid="{00000000-0005-0000-0000-0000A0160000}"/>
    <cellStyle name="Normal 4 6 9 2 2" xfId="32133" xr:uid="{7A010CBE-CD81-49C4-85A3-4C3031647841}"/>
    <cellStyle name="Normal 4 6 9 2 3" xfId="23704" xr:uid="{13EE7AD3-49B5-41C9-A585-2E4D43FF7385}"/>
    <cellStyle name="Normal 4 6 9 2 4" xfId="40561" xr:uid="{52A8D49E-E172-4A25-AF7A-2289F7FEC92A}"/>
    <cellStyle name="Normal 4 6 9 2 5" xfId="15269" xr:uid="{8CFC82EB-8325-4742-ACC5-E3A09D4CF009}"/>
    <cellStyle name="Normal 4 6 9 3" xfId="27915" xr:uid="{F4641FF4-8FBD-42E2-B896-5B6BED0B35A5}"/>
    <cellStyle name="Normal 4 6 9 4" xfId="19486" xr:uid="{004E8C6F-3657-4FA2-AC38-7F82F9300F1D}"/>
    <cellStyle name="Normal 4 6 9 5" xfId="36344" xr:uid="{1C60CDAB-66C0-4614-8053-3819BFE19C85}"/>
    <cellStyle name="Normal 4 6 9 6" xfId="11051" xr:uid="{0DD4F09E-F084-4CAB-B24C-70264EBDE5DD}"/>
    <cellStyle name="Normal 4 7" xfId="403" xr:uid="{00000000-0005-0000-0000-0000A1160000}"/>
    <cellStyle name="Normal 4 7 10" xfId="17429" xr:uid="{2BC605D7-F621-481B-A5A1-B99140FC7964}"/>
    <cellStyle name="Normal 4 7 11" xfId="34287" xr:uid="{C1D2DFC1-8742-41A8-9C08-72916B031F64}"/>
    <cellStyle name="Normal 4 7 12" xfId="8994" xr:uid="{A7AF6927-2588-4C7B-8571-462130052138}"/>
    <cellStyle name="Normal 4 7 2" xfId="404" xr:uid="{00000000-0005-0000-0000-0000A2160000}"/>
    <cellStyle name="Normal 4 7 2 10" xfId="34288" xr:uid="{98F6A61C-FC0F-435A-A6FA-A645DFBD4A09}"/>
    <cellStyle name="Normal 4 7 2 11" xfId="8995" xr:uid="{F47EC17E-B1B2-42D5-9447-FCC618661FEC}"/>
    <cellStyle name="Normal 4 7 2 2" xfId="878" xr:uid="{00000000-0005-0000-0000-0000A3160000}"/>
    <cellStyle name="Normal 4 7 2 2 2" xfId="3113" xr:uid="{00000000-0005-0000-0000-0000A4160000}"/>
    <cellStyle name="Normal 4 7 2 2 2 2" xfId="7336" xr:uid="{00000000-0005-0000-0000-0000A5160000}"/>
    <cellStyle name="Normal 4 7 2 2 2 2 2" xfId="32635" xr:uid="{7E6AFDAA-F064-4497-95F1-887037F9F669}"/>
    <cellStyle name="Normal 4 7 2 2 2 2 3" xfId="24206" xr:uid="{25A7CE20-E6B5-43BB-A749-945676E6C541}"/>
    <cellStyle name="Normal 4 7 2 2 2 2 4" xfId="41063" xr:uid="{D3EAAD22-F89D-43E5-853D-41C020C02C32}"/>
    <cellStyle name="Normal 4 7 2 2 2 2 5" xfId="15771" xr:uid="{86D1FEFC-FC78-49A7-B523-3150DA139FA2}"/>
    <cellStyle name="Normal 4 7 2 2 2 3" xfId="28417" xr:uid="{F7DE34BD-277D-4B24-8106-6932B7927DC4}"/>
    <cellStyle name="Normal 4 7 2 2 2 4" xfId="19988" xr:uid="{4A87980B-969B-48AF-B4B9-F4F8AEF40782}"/>
    <cellStyle name="Normal 4 7 2 2 2 5" xfId="36846" xr:uid="{00DACE3C-7253-413D-9CE3-B088E3A51D76}"/>
    <cellStyle name="Normal 4 7 2 2 2 6" xfId="11553" xr:uid="{8749ECAE-1E41-4BDF-AB20-EB88F07520AB}"/>
    <cellStyle name="Normal 4 7 2 2 3" xfId="5191" xr:uid="{00000000-0005-0000-0000-0000A6160000}"/>
    <cellStyle name="Normal 4 7 2 2 3 2" xfId="30490" xr:uid="{19E1EB7A-CACF-4D93-BC44-3F31392EAC1E}"/>
    <cellStyle name="Normal 4 7 2 2 3 3" xfId="22061" xr:uid="{DDFAD4A5-1E75-4125-8B52-931ACB957836}"/>
    <cellStyle name="Normal 4 7 2 2 3 4" xfId="38918" xr:uid="{36C7A3E6-DC32-436D-8F44-7A19C2FDB4E7}"/>
    <cellStyle name="Normal 4 7 2 2 3 5" xfId="13626" xr:uid="{0332B755-5150-4B40-B115-3FF14F60F69B}"/>
    <cellStyle name="Normal 4 7 2 2 4" xfId="26272" xr:uid="{68092CB3-9CB9-4AFF-BFCD-E235274EE529}"/>
    <cellStyle name="Normal 4 7 2 2 5" xfId="17843" xr:uid="{57CC9140-8A74-48A8-B13C-88B65BF3273E}"/>
    <cellStyle name="Normal 4 7 2 2 6" xfId="34701" xr:uid="{01568E27-9873-48F2-B841-CD57351009BE}"/>
    <cellStyle name="Normal 4 7 2 2 7" xfId="9408" xr:uid="{EE239056-E470-491A-B0C2-6773E54A5F90}"/>
    <cellStyle name="Normal 4 7 2 3" xfId="1296" xr:uid="{00000000-0005-0000-0000-0000A7160000}"/>
    <cellStyle name="Normal 4 7 2 3 2" xfId="3526" xr:uid="{00000000-0005-0000-0000-0000A8160000}"/>
    <cellStyle name="Normal 4 7 2 3 2 2" xfId="7749" xr:uid="{00000000-0005-0000-0000-0000A9160000}"/>
    <cellStyle name="Normal 4 7 2 3 2 2 2" xfId="33048" xr:uid="{8410E343-58CB-4C16-B1B7-F0DC072E9867}"/>
    <cellStyle name="Normal 4 7 2 3 2 2 3" xfId="24619" xr:uid="{3BE82A50-E209-47E4-8F19-F0D34C72CBCC}"/>
    <cellStyle name="Normal 4 7 2 3 2 2 4" xfId="41476" xr:uid="{93508832-4E7C-43A5-B5B8-A110C4B3D66D}"/>
    <cellStyle name="Normal 4 7 2 3 2 2 5" xfId="16184" xr:uid="{237AD777-831E-48E9-ABB7-3817F3E276D4}"/>
    <cellStyle name="Normal 4 7 2 3 2 3" xfId="28830" xr:uid="{099F2AE9-F135-4642-A5DC-E4D48AA17BD9}"/>
    <cellStyle name="Normal 4 7 2 3 2 4" xfId="20401" xr:uid="{F0B5E182-FA29-427B-9953-439DE0090FEC}"/>
    <cellStyle name="Normal 4 7 2 3 2 5" xfId="37259" xr:uid="{0F1D8283-7836-4565-9EEC-FA38C45FFEE9}"/>
    <cellStyle name="Normal 4 7 2 3 2 6" xfId="11966" xr:uid="{EE683E79-9533-4E3D-8776-1141C842BAA4}"/>
    <cellStyle name="Normal 4 7 2 3 3" xfId="5604" xr:uid="{00000000-0005-0000-0000-0000AA160000}"/>
    <cellStyle name="Normal 4 7 2 3 3 2" xfId="30903" xr:uid="{2BC6A686-8AF6-4A9B-94A8-C47615478BBF}"/>
    <cellStyle name="Normal 4 7 2 3 3 3" xfId="22474" xr:uid="{7D19FF54-B30C-4B42-BB1A-80BBA82EFC1A}"/>
    <cellStyle name="Normal 4 7 2 3 3 4" xfId="39331" xr:uid="{0C8B5CCA-7C69-448E-BF7D-2339A305E664}"/>
    <cellStyle name="Normal 4 7 2 3 3 5" xfId="14039" xr:uid="{26DA2855-4CFF-40D2-A691-27C65041DC95}"/>
    <cellStyle name="Normal 4 7 2 3 4" xfId="26685" xr:uid="{B858D5D8-ED88-4396-9FCC-1892668801FD}"/>
    <cellStyle name="Normal 4 7 2 3 5" xfId="18256" xr:uid="{E05432AE-3572-4B30-A6D1-D3BDF70F649D}"/>
    <cellStyle name="Normal 4 7 2 3 6" xfId="35114" xr:uid="{3F45A764-C0EC-4113-A108-1D8BC92F1DF9}"/>
    <cellStyle name="Normal 4 7 2 3 7" xfId="9821" xr:uid="{141B0C59-EA1D-42E8-9756-B38CFE01F3B0}"/>
    <cellStyle name="Normal 4 7 2 4" xfId="1709" xr:uid="{00000000-0005-0000-0000-0000AB160000}"/>
    <cellStyle name="Normal 4 7 2 4 2" xfId="3939" xr:uid="{00000000-0005-0000-0000-0000AC160000}"/>
    <cellStyle name="Normal 4 7 2 4 2 2" xfId="8162" xr:uid="{00000000-0005-0000-0000-0000AD160000}"/>
    <cellStyle name="Normal 4 7 2 4 2 2 2" xfId="33461" xr:uid="{8B31DA09-C75D-4983-B9FB-67CBA4BBBF6D}"/>
    <cellStyle name="Normal 4 7 2 4 2 2 3" xfId="25032" xr:uid="{AF0BACBE-8186-4AE3-B491-097F1779DC1C}"/>
    <cellStyle name="Normal 4 7 2 4 2 2 4" xfId="41889" xr:uid="{3A90AF1A-32B7-4D5E-84CC-A1B4FB1ED2C2}"/>
    <cellStyle name="Normal 4 7 2 4 2 2 5" xfId="16597" xr:uid="{F2CF5715-96BB-46DE-819B-BC06BDDDBC59}"/>
    <cellStyle name="Normal 4 7 2 4 2 3" xfId="29243" xr:uid="{76E05DC9-0C73-4817-A1BE-E0B0DE73718B}"/>
    <cellStyle name="Normal 4 7 2 4 2 4" xfId="20814" xr:uid="{C4C990A4-7856-4C92-A870-A773606553B7}"/>
    <cellStyle name="Normal 4 7 2 4 2 5" xfId="37672" xr:uid="{4F293B39-E0D7-469D-8F47-051BB0502BFF}"/>
    <cellStyle name="Normal 4 7 2 4 2 6" xfId="12379" xr:uid="{7597E93F-A260-4629-A368-B9D99DB3CE4C}"/>
    <cellStyle name="Normal 4 7 2 4 3" xfId="6017" xr:uid="{00000000-0005-0000-0000-0000AE160000}"/>
    <cellStyle name="Normal 4 7 2 4 3 2" xfId="31316" xr:uid="{E15EC531-C329-44B6-B5D0-8C8355EE8BB2}"/>
    <cellStyle name="Normal 4 7 2 4 3 3" xfId="22887" xr:uid="{206ABE4B-9FCD-4D83-9FF7-EC0639437FEF}"/>
    <cellStyle name="Normal 4 7 2 4 3 4" xfId="39744" xr:uid="{981C4E7F-1311-44B2-B8EE-B8909C643CC9}"/>
    <cellStyle name="Normal 4 7 2 4 3 5" xfId="14452" xr:uid="{726DC57C-5642-4DB6-89EC-AE7FA3D765D7}"/>
    <cellStyle name="Normal 4 7 2 4 4" xfId="27098" xr:uid="{09CAB282-2DD2-42A9-A706-A6351AA38F55}"/>
    <cellStyle name="Normal 4 7 2 4 5" xfId="18669" xr:uid="{7921BD42-A6D2-4CC0-AA78-F84EE74C8CAA}"/>
    <cellStyle name="Normal 4 7 2 4 6" xfId="35527" xr:uid="{E2B72B2D-13FB-404E-AB7C-12653383BE8A}"/>
    <cellStyle name="Normal 4 7 2 4 7" xfId="10234" xr:uid="{5BCBEB75-F272-45C7-B3D9-BDCBDB9FB014}"/>
    <cellStyle name="Normal 4 7 2 5" xfId="2123" xr:uid="{00000000-0005-0000-0000-0000AF160000}"/>
    <cellStyle name="Normal 4 7 2 5 2" xfId="4352" xr:uid="{00000000-0005-0000-0000-0000B0160000}"/>
    <cellStyle name="Normal 4 7 2 5 2 2" xfId="8575" xr:uid="{00000000-0005-0000-0000-0000B1160000}"/>
    <cellStyle name="Normal 4 7 2 5 2 2 2" xfId="33874" xr:uid="{8920E9C2-8972-4FB1-817A-85D586A0FCF8}"/>
    <cellStyle name="Normal 4 7 2 5 2 2 3" xfId="25445" xr:uid="{0F0FAE5D-0BC7-4349-991F-57BAE31B6B59}"/>
    <cellStyle name="Normal 4 7 2 5 2 2 4" xfId="42302" xr:uid="{92BE2AD9-9A16-4031-B386-F06E6117F374}"/>
    <cellStyle name="Normal 4 7 2 5 2 2 5" xfId="17010" xr:uid="{B58A91EC-AA57-4C19-9AB0-2066C9D2AFDE}"/>
    <cellStyle name="Normal 4 7 2 5 2 3" xfId="29656" xr:uid="{15C9AE37-B6BE-484B-98B7-F13A86FB4975}"/>
    <cellStyle name="Normal 4 7 2 5 2 4" xfId="21227" xr:uid="{5E343D93-65A6-45B0-9AD6-3979B38EB316}"/>
    <cellStyle name="Normal 4 7 2 5 2 5" xfId="38085" xr:uid="{DE13EA96-38D7-4F17-9A94-4DA33B001E8B}"/>
    <cellStyle name="Normal 4 7 2 5 2 6" xfId="12792" xr:uid="{D8629EB4-E057-4477-8819-CCE38D6AF779}"/>
    <cellStyle name="Normal 4 7 2 5 3" xfId="6430" xr:uid="{00000000-0005-0000-0000-0000B2160000}"/>
    <cellStyle name="Normal 4 7 2 5 3 2" xfId="31729" xr:uid="{F90C8A29-CF2E-4B19-8994-1F85212F6C73}"/>
    <cellStyle name="Normal 4 7 2 5 3 3" xfId="23300" xr:uid="{1CFA5ADE-6527-46D6-8B36-159C5B980287}"/>
    <cellStyle name="Normal 4 7 2 5 3 4" xfId="40157" xr:uid="{8E22C816-D991-4A85-BCEC-77A44184FC82}"/>
    <cellStyle name="Normal 4 7 2 5 3 5" xfId="14865" xr:uid="{A149A2BA-D0D2-49BE-860F-5A411E118112}"/>
    <cellStyle name="Normal 4 7 2 5 4" xfId="27511" xr:uid="{C898370E-8F0C-4CCC-BD1D-CA77A3EB71C9}"/>
    <cellStyle name="Normal 4 7 2 5 5" xfId="19082" xr:uid="{6BF72C45-53C6-4357-8FC6-ECA3A6D72549}"/>
    <cellStyle name="Normal 4 7 2 5 6" xfId="35940" xr:uid="{F219CEDF-381E-4802-9F14-C26292D20CC8}"/>
    <cellStyle name="Normal 4 7 2 5 7" xfId="10647" xr:uid="{740AF332-879D-4ECF-A6F9-44BFEAF3823D}"/>
    <cellStyle name="Normal 4 7 2 6" xfId="2559" xr:uid="{00000000-0005-0000-0000-0000B3160000}"/>
    <cellStyle name="Normal 4 7 2 6 2" xfId="6843" xr:uid="{00000000-0005-0000-0000-0000B4160000}"/>
    <cellStyle name="Normal 4 7 2 6 2 2" xfId="32142" xr:uid="{ECAE993E-50B8-45D7-9DD6-A08B777CB3FC}"/>
    <cellStyle name="Normal 4 7 2 6 2 3" xfId="23713" xr:uid="{8BC3054E-999F-4FE4-93B9-FB84A78A55D6}"/>
    <cellStyle name="Normal 4 7 2 6 2 4" xfId="40570" xr:uid="{3BA3CD6B-2082-4D14-BB29-27AE5E2ACF33}"/>
    <cellStyle name="Normal 4 7 2 6 2 5" xfId="15278" xr:uid="{0B7620FC-30FB-4DC2-859F-137715180E06}"/>
    <cellStyle name="Normal 4 7 2 6 3" xfId="27924" xr:uid="{52109770-2D9D-435C-B7E9-2B92977AC733}"/>
    <cellStyle name="Normal 4 7 2 6 4" xfId="19495" xr:uid="{2B91E34F-4CA8-4601-9B5B-396AB264395E}"/>
    <cellStyle name="Normal 4 7 2 6 5" xfId="36353" xr:uid="{D187D897-49FF-4BF0-BEBE-1C058D38C1C4}"/>
    <cellStyle name="Normal 4 7 2 6 6" xfId="11060" xr:uid="{DC074DE0-66B9-45A0-B71A-9A12E8E6B49C}"/>
    <cellStyle name="Normal 4 7 2 7" xfId="4778" xr:uid="{00000000-0005-0000-0000-0000B5160000}"/>
    <cellStyle name="Normal 4 7 2 7 2" xfId="30077" xr:uid="{5AC4BBE5-B960-43AC-9D11-FE86070AD7CF}"/>
    <cellStyle name="Normal 4 7 2 7 3" xfId="21648" xr:uid="{24EEB94C-3840-4B83-B330-4F060B609FBB}"/>
    <cellStyle name="Normal 4 7 2 7 4" xfId="38505" xr:uid="{18063F77-31A7-4080-9B47-548D906D359F}"/>
    <cellStyle name="Normal 4 7 2 7 5" xfId="13213" xr:uid="{803F8027-5BF7-48A5-8E15-A641D9D4AFC4}"/>
    <cellStyle name="Normal 4 7 2 8" xfId="25859" xr:uid="{411570F8-E79B-4A66-A392-0B899B7916AE}"/>
    <cellStyle name="Normal 4 7 2 9" xfId="17430" xr:uid="{8A68D2C0-9914-46DB-A895-D3F443BD6E9B}"/>
    <cellStyle name="Normal 4 7 3" xfId="877" xr:uid="{00000000-0005-0000-0000-0000B6160000}"/>
    <cellStyle name="Normal 4 7 3 2" xfId="3112" xr:uid="{00000000-0005-0000-0000-0000B7160000}"/>
    <cellStyle name="Normal 4 7 3 2 2" xfId="7335" xr:uid="{00000000-0005-0000-0000-0000B8160000}"/>
    <cellStyle name="Normal 4 7 3 2 2 2" xfId="32634" xr:uid="{C337949F-A07E-414F-B370-7E467DABFDBE}"/>
    <cellStyle name="Normal 4 7 3 2 2 3" xfId="24205" xr:uid="{8B0E437F-7220-40E8-8361-3AE4708649A9}"/>
    <cellStyle name="Normal 4 7 3 2 2 4" xfId="41062" xr:uid="{26E36EA7-D59A-4A3F-A802-6A07B49B56DD}"/>
    <cellStyle name="Normal 4 7 3 2 2 5" xfId="15770" xr:uid="{794C669D-852F-443E-AC17-D1A326C44647}"/>
    <cellStyle name="Normal 4 7 3 2 3" xfId="28416" xr:uid="{CF497B28-7D08-4E83-AADC-31B094CDF971}"/>
    <cellStyle name="Normal 4 7 3 2 4" xfId="19987" xr:uid="{FBC62CB8-E4B6-4DAB-915E-607BA5009F05}"/>
    <cellStyle name="Normal 4 7 3 2 5" xfId="36845" xr:uid="{73677992-173B-41AF-A05C-8E18B1B8D556}"/>
    <cellStyle name="Normal 4 7 3 2 6" xfId="11552" xr:uid="{939ED51E-E7BE-4A38-82AB-8E306F649D49}"/>
    <cellStyle name="Normal 4 7 3 3" xfId="5190" xr:uid="{00000000-0005-0000-0000-0000B9160000}"/>
    <cellStyle name="Normal 4 7 3 3 2" xfId="30489" xr:uid="{B7830CC6-1E44-4ED0-A980-B84E48F7AD8E}"/>
    <cellStyle name="Normal 4 7 3 3 3" xfId="22060" xr:uid="{F86B9E16-BB22-4045-B7F0-AFF58DE81948}"/>
    <cellStyle name="Normal 4 7 3 3 4" xfId="38917" xr:uid="{939976B6-76E5-439D-80F2-53280BFA1BA8}"/>
    <cellStyle name="Normal 4 7 3 3 5" xfId="13625" xr:uid="{AE5D44F5-DA77-478E-970F-1C56DDC4BC0E}"/>
    <cellStyle name="Normal 4 7 3 4" xfId="26271" xr:uid="{20E95D1C-1066-4E87-B8B1-759644C1AAF9}"/>
    <cellStyle name="Normal 4 7 3 5" xfId="17842" xr:uid="{70EC5AB1-2D25-4E50-9C3B-6EFA5F5A020D}"/>
    <cellStyle name="Normal 4 7 3 6" xfId="34700" xr:uid="{85A7C59A-335A-4011-9C49-F9DD95736EBF}"/>
    <cellStyle name="Normal 4 7 3 7" xfId="9407" xr:uid="{D848FB09-91F5-480D-82D7-A1BFFDCC0248}"/>
    <cellStyle name="Normal 4 7 4" xfId="1295" xr:uid="{00000000-0005-0000-0000-0000BA160000}"/>
    <cellStyle name="Normal 4 7 4 2" xfId="3525" xr:uid="{00000000-0005-0000-0000-0000BB160000}"/>
    <cellStyle name="Normal 4 7 4 2 2" xfId="7748" xr:uid="{00000000-0005-0000-0000-0000BC160000}"/>
    <cellStyle name="Normal 4 7 4 2 2 2" xfId="33047" xr:uid="{548FF773-2BB8-4C91-81F6-C64DFD74EF04}"/>
    <cellStyle name="Normal 4 7 4 2 2 3" xfId="24618" xr:uid="{FC70498D-9145-4094-B878-6F613E00B2B0}"/>
    <cellStyle name="Normal 4 7 4 2 2 4" xfId="41475" xr:uid="{6A098470-9ED9-49BD-9E5E-473F2AD4A78A}"/>
    <cellStyle name="Normal 4 7 4 2 2 5" xfId="16183" xr:uid="{78A2A3A0-E664-450F-8537-637D1070608F}"/>
    <cellStyle name="Normal 4 7 4 2 3" xfId="28829" xr:uid="{DF093E83-3ABB-4D5E-AA52-AD82A04819A8}"/>
    <cellStyle name="Normal 4 7 4 2 4" xfId="20400" xr:uid="{3BAA8C43-14BE-4F8B-8EA4-19F2BE26BCF4}"/>
    <cellStyle name="Normal 4 7 4 2 5" xfId="37258" xr:uid="{EA564EF7-D1EE-42DB-89D6-D447B62C479F}"/>
    <cellStyle name="Normal 4 7 4 2 6" xfId="11965" xr:uid="{5781B6D6-ECF2-4EEA-BD1A-AE4421513882}"/>
    <cellStyle name="Normal 4 7 4 3" xfId="5603" xr:uid="{00000000-0005-0000-0000-0000BD160000}"/>
    <cellStyle name="Normal 4 7 4 3 2" xfId="30902" xr:uid="{86E6AFD2-0852-4FB4-AC04-799DD969C133}"/>
    <cellStyle name="Normal 4 7 4 3 3" xfId="22473" xr:uid="{AC22CA30-8728-4F71-99EF-A6CBF8FBB512}"/>
    <cellStyle name="Normal 4 7 4 3 4" xfId="39330" xr:uid="{E6873B19-FBAB-4489-BD79-8777EF203250}"/>
    <cellStyle name="Normal 4 7 4 3 5" xfId="14038" xr:uid="{BDE18132-5F10-4898-9F23-A54F38E502B5}"/>
    <cellStyle name="Normal 4 7 4 4" xfId="26684" xr:uid="{7CEB777B-67AA-487A-B739-CDDDC410EBFA}"/>
    <cellStyle name="Normal 4 7 4 5" xfId="18255" xr:uid="{FA394BBD-4446-42E6-8EF5-F63D68A0752E}"/>
    <cellStyle name="Normal 4 7 4 6" xfId="35113" xr:uid="{EE596634-3DE8-44DF-A391-DD0163F5B6E9}"/>
    <cellStyle name="Normal 4 7 4 7" xfId="9820" xr:uid="{DEB218DB-09F6-4A71-9385-B2EC16C14EBD}"/>
    <cellStyle name="Normal 4 7 5" xfId="1708" xr:uid="{00000000-0005-0000-0000-0000BE160000}"/>
    <cellStyle name="Normal 4 7 5 2" xfId="3938" xr:uid="{00000000-0005-0000-0000-0000BF160000}"/>
    <cellStyle name="Normal 4 7 5 2 2" xfId="8161" xr:uid="{00000000-0005-0000-0000-0000C0160000}"/>
    <cellStyle name="Normal 4 7 5 2 2 2" xfId="33460" xr:uid="{E64FB155-720E-4998-83FA-44168CC5B7E0}"/>
    <cellStyle name="Normal 4 7 5 2 2 3" xfId="25031" xr:uid="{39549A72-21B7-4478-AE87-944B52355864}"/>
    <cellStyle name="Normal 4 7 5 2 2 4" xfId="41888" xr:uid="{83BF4267-9C12-40F5-945A-4E3C8C50268C}"/>
    <cellStyle name="Normal 4 7 5 2 2 5" xfId="16596" xr:uid="{1FB95DB9-2D57-4074-BD23-E0CF7A2C97F8}"/>
    <cellStyle name="Normal 4 7 5 2 3" xfId="29242" xr:uid="{50D321A0-4417-450A-A25E-6869A32FBC4A}"/>
    <cellStyle name="Normal 4 7 5 2 4" xfId="20813" xr:uid="{59DB9988-08AB-46D0-92B1-2FF398D0289E}"/>
    <cellStyle name="Normal 4 7 5 2 5" xfId="37671" xr:uid="{30C4AB36-67F7-4E87-A978-1844CDC9E1ED}"/>
    <cellStyle name="Normal 4 7 5 2 6" xfId="12378" xr:uid="{318D854B-E4E9-4C26-B477-DCCFA64F53CB}"/>
    <cellStyle name="Normal 4 7 5 3" xfId="6016" xr:uid="{00000000-0005-0000-0000-0000C1160000}"/>
    <cellStyle name="Normal 4 7 5 3 2" xfId="31315" xr:uid="{71B9EDAA-7F14-4B13-AB61-E8060D846456}"/>
    <cellStyle name="Normal 4 7 5 3 3" xfId="22886" xr:uid="{F5CA3F58-1208-4EB8-AC89-7DAE63CCEB82}"/>
    <cellStyle name="Normal 4 7 5 3 4" xfId="39743" xr:uid="{3091176C-BF97-45F2-90AF-BA0E1C61C7CE}"/>
    <cellStyle name="Normal 4 7 5 3 5" xfId="14451" xr:uid="{91925CDD-56A4-4F91-B898-869C5CE89507}"/>
    <cellStyle name="Normal 4 7 5 4" xfId="27097" xr:uid="{4F370134-86B6-4D26-A9D0-AAE33CDDFA4E}"/>
    <cellStyle name="Normal 4 7 5 5" xfId="18668" xr:uid="{8FB940F6-F78F-4BEF-9FF5-7A5D96B4A095}"/>
    <cellStyle name="Normal 4 7 5 6" xfId="35526" xr:uid="{0E75B2BE-30D2-4264-A5E9-EDAC95DFE48D}"/>
    <cellStyle name="Normal 4 7 5 7" xfId="10233" xr:uid="{DD7012C5-1694-435D-9FF7-A8A8A3E5CEA4}"/>
    <cellStyle name="Normal 4 7 6" xfId="2122" xr:uid="{00000000-0005-0000-0000-0000C2160000}"/>
    <cellStyle name="Normal 4 7 6 2" xfId="4351" xr:uid="{00000000-0005-0000-0000-0000C3160000}"/>
    <cellStyle name="Normal 4 7 6 2 2" xfId="8574" xr:uid="{00000000-0005-0000-0000-0000C4160000}"/>
    <cellStyle name="Normal 4 7 6 2 2 2" xfId="33873" xr:uid="{68EBDAEE-4BE3-42B8-97CD-E669F395A66F}"/>
    <cellStyle name="Normal 4 7 6 2 2 3" xfId="25444" xr:uid="{50EEF185-D695-48AF-8B58-43C124690BC7}"/>
    <cellStyle name="Normal 4 7 6 2 2 4" xfId="42301" xr:uid="{39311080-A409-4CA8-88FA-4BB4392794D8}"/>
    <cellStyle name="Normal 4 7 6 2 2 5" xfId="17009" xr:uid="{9013A997-AD6D-4FA5-85F5-F0DB31B38FD5}"/>
    <cellStyle name="Normal 4 7 6 2 3" xfId="29655" xr:uid="{F4037B6F-18D6-44E3-A35C-BCD93DC2E879}"/>
    <cellStyle name="Normal 4 7 6 2 4" xfId="21226" xr:uid="{99146CF5-0B67-49C4-BC84-7E138CDE5462}"/>
    <cellStyle name="Normal 4 7 6 2 5" xfId="38084" xr:uid="{41E39E6F-950D-4B81-BCB5-9AB768FAE7B8}"/>
    <cellStyle name="Normal 4 7 6 2 6" xfId="12791" xr:uid="{08EAFB56-FA0B-425F-861C-9952D18DA36E}"/>
    <cellStyle name="Normal 4 7 6 3" xfId="6429" xr:uid="{00000000-0005-0000-0000-0000C5160000}"/>
    <cellStyle name="Normal 4 7 6 3 2" xfId="31728" xr:uid="{E5417044-843A-428C-A803-8F262E2C4DF4}"/>
    <cellStyle name="Normal 4 7 6 3 3" xfId="23299" xr:uid="{689F9DA4-0696-4940-B7ED-E4310154FF58}"/>
    <cellStyle name="Normal 4 7 6 3 4" xfId="40156" xr:uid="{5A3910B2-BF29-437C-8C26-86754A2C34F6}"/>
    <cellStyle name="Normal 4 7 6 3 5" xfId="14864" xr:uid="{476477D5-73CB-4AD9-99B8-D03F496DF362}"/>
    <cellStyle name="Normal 4 7 6 4" xfId="27510" xr:uid="{B10217D3-4F05-4022-9EAE-31F214CB7CE8}"/>
    <cellStyle name="Normal 4 7 6 5" xfId="19081" xr:uid="{ED97B600-6D48-4D80-B909-CFBC28B8DCBC}"/>
    <cellStyle name="Normal 4 7 6 6" xfId="35939" xr:uid="{4BB1584E-B875-4A84-AB30-57E807ECCB06}"/>
    <cellStyle name="Normal 4 7 6 7" xfId="10646" xr:uid="{355A87F8-BF30-444C-A1A1-6CC8EC9E9790}"/>
    <cellStyle name="Normal 4 7 7" xfId="2558" xr:uid="{00000000-0005-0000-0000-0000C6160000}"/>
    <cellStyle name="Normal 4 7 7 2" xfId="6842" xr:uid="{00000000-0005-0000-0000-0000C7160000}"/>
    <cellStyle name="Normal 4 7 7 2 2" xfId="32141" xr:uid="{903FFB88-F114-45AB-A937-7F621BEE867E}"/>
    <cellStyle name="Normal 4 7 7 2 3" xfId="23712" xr:uid="{85FAFCED-CEC4-48DB-9AEB-2F865801B870}"/>
    <cellStyle name="Normal 4 7 7 2 4" xfId="40569" xr:uid="{3E5F18CA-F115-4CD0-B0CD-A11D8A65243E}"/>
    <cellStyle name="Normal 4 7 7 2 5" xfId="15277" xr:uid="{26219005-C56A-4F2F-97F5-26CA66983779}"/>
    <cellStyle name="Normal 4 7 7 3" xfId="27923" xr:uid="{00D6101D-8B38-44DB-930C-4C7982AB949B}"/>
    <cellStyle name="Normal 4 7 7 4" xfId="19494" xr:uid="{ED0A6850-88A6-45A6-A58B-19762788F778}"/>
    <cellStyle name="Normal 4 7 7 5" xfId="36352" xr:uid="{8FAE9EB3-D647-42E7-B754-BCAD0DB1260C}"/>
    <cellStyle name="Normal 4 7 7 6" xfId="11059" xr:uid="{A0587D20-88A9-4CD1-8C2C-17A90434D374}"/>
    <cellStyle name="Normal 4 7 8" xfId="4777" xr:uid="{00000000-0005-0000-0000-0000C8160000}"/>
    <cellStyle name="Normal 4 7 8 2" xfId="30076" xr:uid="{87C5128A-1C5F-4D8A-9400-5C67518F3051}"/>
    <cellStyle name="Normal 4 7 8 3" xfId="21647" xr:uid="{DABB7C80-2703-4F59-B3AD-BA7F07F415CA}"/>
    <cellStyle name="Normal 4 7 8 4" xfId="38504" xr:uid="{3BE845EC-5598-410B-B47A-F01866D99A33}"/>
    <cellStyle name="Normal 4 7 8 5" xfId="13212" xr:uid="{55FE7CE6-B290-4563-B00D-4C8EFB4D57F4}"/>
    <cellStyle name="Normal 4 7 9" xfId="25858" xr:uid="{7756B048-C402-408C-B934-ECD22EEF7732}"/>
    <cellStyle name="Normal 4 8" xfId="405" xr:uid="{00000000-0005-0000-0000-0000C9160000}"/>
    <cellStyle name="Normal 4 8 10" xfId="34289" xr:uid="{35AF6B5A-2C3D-4F15-A8BF-B8C25F81E4C8}"/>
    <cellStyle name="Normal 4 8 11" xfId="8996" xr:uid="{67EEA4FB-7D4A-4329-B913-B070D178AF07}"/>
    <cellStyle name="Normal 4 8 2" xfId="879" xr:uid="{00000000-0005-0000-0000-0000CA160000}"/>
    <cellStyle name="Normal 4 8 2 2" xfId="3114" xr:uid="{00000000-0005-0000-0000-0000CB160000}"/>
    <cellStyle name="Normal 4 8 2 2 2" xfId="7337" xr:uid="{00000000-0005-0000-0000-0000CC160000}"/>
    <cellStyle name="Normal 4 8 2 2 2 2" xfId="32636" xr:uid="{48BB860C-2C7C-47D2-B1A7-474DD8FAFA13}"/>
    <cellStyle name="Normal 4 8 2 2 2 3" xfId="24207" xr:uid="{ADE3D79F-B360-4DCC-82AD-5F5034AA4CA9}"/>
    <cellStyle name="Normal 4 8 2 2 2 4" xfId="41064" xr:uid="{5A847CA0-75D8-4BAA-81D2-C3BF5B0B048F}"/>
    <cellStyle name="Normal 4 8 2 2 2 5" xfId="15772" xr:uid="{B0A7D393-7788-4BCF-87C1-EC6023A23772}"/>
    <cellStyle name="Normal 4 8 2 2 3" xfId="28418" xr:uid="{83201812-060B-4AC2-B5BF-93FC6B322055}"/>
    <cellStyle name="Normal 4 8 2 2 4" xfId="19989" xr:uid="{5D6F44F4-FD65-45AA-9062-F432178ABF51}"/>
    <cellStyle name="Normal 4 8 2 2 5" xfId="36847" xr:uid="{787AF598-EDD1-4777-B19C-1447B5A3D722}"/>
    <cellStyle name="Normal 4 8 2 2 6" xfId="11554" xr:uid="{5653FEF7-35CD-4756-A8E4-C125D3F1B05D}"/>
    <cellStyle name="Normal 4 8 2 3" xfId="5192" xr:uid="{00000000-0005-0000-0000-0000CD160000}"/>
    <cellStyle name="Normal 4 8 2 3 2" xfId="30491" xr:uid="{3AD05171-6FA4-436B-ADBB-4C8D0B1BA821}"/>
    <cellStyle name="Normal 4 8 2 3 3" xfId="22062" xr:uid="{60A5019F-FF7B-4190-A0C1-98CD34779C49}"/>
    <cellStyle name="Normal 4 8 2 3 4" xfId="38919" xr:uid="{2B71DDD4-1471-48CA-96E9-1AD5447175CA}"/>
    <cellStyle name="Normal 4 8 2 3 5" xfId="13627" xr:uid="{124718C4-1AF7-42EA-B9B7-802EBB450220}"/>
    <cellStyle name="Normal 4 8 2 4" xfId="26273" xr:uid="{066DE5C3-768E-4BBB-9299-106AF9695C31}"/>
    <cellStyle name="Normal 4 8 2 5" xfId="17844" xr:uid="{9040B2B0-3FED-48AC-9F0A-D21E5721BE25}"/>
    <cellStyle name="Normal 4 8 2 6" xfId="34702" xr:uid="{B3E0810A-3E1F-459E-80D9-24FE208F4DCE}"/>
    <cellStyle name="Normal 4 8 2 7" xfId="9409" xr:uid="{F674A780-F553-489E-A6B4-F3BDE599EA2C}"/>
    <cellStyle name="Normal 4 8 3" xfId="1297" xr:uid="{00000000-0005-0000-0000-0000CE160000}"/>
    <cellStyle name="Normal 4 8 3 2" xfId="3527" xr:uid="{00000000-0005-0000-0000-0000CF160000}"/>
    <cellStyle name="Normal 4 8 3 2 2" xfId="7750" xr:uid="{00000000-0005-0000-0000-0000D0160000}"/>
    <cellStyle name="Normal 4 8 3 2 2 2" xfId="33049" xr:uid="{A7989BD0-4302-49E2-9B40-35EF8FDE9481}"/>
    <cellStyle name="Normal 4 8 3 2 2 3" xfId="24620" xr:uid="{EEE02E0E-9828-457C-BA8E-A3584A144F45}"/>
    <cellStyle name="Normal 4 8 3 2 2 4" xfId="41477" xr:uid="{0AFD28E7-423C-4DB4-A54D-7617955C2CE3}"/>
    <cellStyle name="Normal 4 8 3 2 2 5" xfId="16185" xr:uid="{EF669498-DEC3-46D8-8960-388042326557}"/>
    <cellStyle name="Normal 4 8 3 2 3" xfId="28831" xr:uid="{1C86A3A0-C46F-4ECF-B49F-7E329108D4A4}"/>
    <cellStyle name="Normal 4 8 3 2 4" xfId="20402" xr:uid="{EBED520D-60A4-4F96-A8BF-9DB7A46B6179}"/>
    <cellStyle name="Normal 4 8 3 2 5" xfId="37260" xr:uid="{E3548E2F-A582-484B-A3E6-94EDBC6198A6}"/>
    <cellStyle name="Normal 4 8 3 2 6" xfId="11967" xr:uid="{DADBF477-1269-4AF9-9AFB-BBB010BF85EA}"/>
    <cellStyle name="Normal 4 8 3 3" xfId="5605" xr:uid="{00000000-0005-0000-0000-0000D1160000}"/>
    <cellStyle name="Normal 4 8 3 3 2" xfId="30904" xr:uid="{D5256985-14E9-4458-9844-19F537FF51A3}"/>
    <cellStyle name="Normal 4 8 3 3 3" xfId="22475" xr:uid="{71AF3CC9-ADCC-448C-AB8E-FFA6653ADE5B}"/>
    <cellStyle name="Normal 4 8 3 3 4" xfId="39332" xr:uid="{E1F9E586-0078-4D77-B06E-A656E844FD8D}"/>
    <cellStyle name="Normal 4 8 3 3 5" xfId="14040" xr:uid="{0FA02301-9577-4925-9619-51471E54481A}"/>
    <cellStyle name="Normal 4 8 3 4" xfId="26686" xr:uid="{0F0D92FC-6789-4EA6-B3EC-B45A164C820A}"/>
    <cellStyle name="Normal 4 8 3 5" xfId="18257" xr:uid="{3B351ED3-D161-4770-A8A7-5BF2C2007DDF}"/>
    <cellStyle name="Normal 4 8 3 6" xfId="35115" xr:uid="{036B98B6-36BD-4D63-910D-8E758BBD775A}"/>
    <cellStyle name="Normal 4 8 3 7" xfId="9822" xr:uid="{56DCD2D8-8B5B-4009-9E4F-45AFC235A647}"/>
    <cellStyle name="Normal 4 8 4" xfId="1710" xr:uid="{00000000-0005-0000-0000-0000D2160000}"/>
    <cellStyle name="Normal 4 8 4 2" xfId="3940" xr:uid="{00000000-0005-0000-0000-0000D3160000}"/>
    <cellStyle name="Normal 4 8 4 2 2" xfId="8163" xr:uid="{00000000-0005-0000-0000-0000D4160000}"/>
    <cellStyle name="Normal 4 8 4 2 2 2" xfId="33462" xr:uid="{8ED7A029-3278-461F-9401-820FA2BD7290}"/>
    <cellStyle name="Normal 4 8 4 2 2 3" xfId="25033" xr:uid="{F402877A-EAF8-4A2B-BE7B-83687748B7ED}"/>
    <cellStyle name="Normal 4 8 4 2 2 4" xfId="41890" xr:uid="{3F5D10A0-CB1F-4AB6-B645-546F05F170E4}"/>
    <cellStyle name="Normal 4 8 4 2 2 5" xfId="16598" xr:uid="{5F2DC06A-EA86-454F-9A6C-912D786CD777}"/>
    <cellStyle name="Normal 4 8 4 2 3" xfId="29244" xr:uid="{87AAEE05-F1F2-455B-9A37-21B4D021D5D2}"/>
    <cellStyle name="Normal 4 8 4 2 4" xfId="20815" xr:uid="{12F32936-9DBC-43ED-A4D7-E1357A1DE5BB}"/>
    <cellStyle name="Normal 4 8 4 2 5" xfId="37673" xr:uid="{C71805BC-A67D-4E37-814A-92CF45D6F136}"/>
    <cellStyle name="Normal 4 8 4 2 6" xfId="12380" xr:uid="{A551BA5E-285D-4FB3-9CFE-79C02893943F}"/>
    <cellStyle name="Normal 4 8 4 3" xfId="6018" xr:uid="{00000000-0005-0000-0000-0000D5160000}"/>
    <cellStyle name="Normal 4 8 4 3 2" xfId="31317" xr:uid="{C627F581-A5E0-43A6-B180-A16A0A167818}"/>
    <cellStyle name="Normal 4 8 4 3 3" xfId="22888" xr:uid="{C82057B2-B3EF-4139-AE3A-ED2061D0E33E}"/>
    <cellStyle name="Normal 4 8 4 3 4" xfId="39745" xr:uid="{33614A88-74E3-45DC-A801-0ACC5B4A4B2D}"/>
    <cellStyle name="Normal 4 8 4 3 5" xfId="14453" xr:uid="{12835E8B-9D03-4005-BFC5-DB3EC61E9A30}"/>
    <cellStyle name="Normal 4 8 4 4" xfId="27099" xr:uid="{8199C517-3F4F-4E3E-925A-1A8F63554049}"/>
    <cellStyle name="Normal 4 8 4 5" xfId="18670" xr:uid="{2EEBEF42-FE70-416F-9AC1-8F0584676A4B}"/>
    <cellStyle name="Normal 4 8 4 6" xfId="35528" xr:uid="{F67F0BBF-0926-442D-9DE3-E8484A8EC693}"/>
    <cellStyle name="Normal 4 8 4 7" xfId="10235" xr:uid="{F3ACD0A8-8B75-4B42-AF88-FAE0103E9CFF}"/>
    <cellStyle name="Normal 4 8 5" xfId="2124" xr:uid="{00000000-0005-0000-0000-0000D6160000}"/>
    <cellStyle name="Normal 4 8 5 2" xfId="4353" xr:uid="{00000000-0005-0000-0000-0000D7160000}"/>
    <cellStyle name="Normal 4 8 5 2 2" xfId="8576" xr:uid="{00000000-0005-0000-0000-0000D8160000}"/>
    <cellStyle name="Normal 4 8 5 2 2 2" xfId="33875" xr:uid="{2517817E-111F-4195-B27B-971B6C9CBD3D}"/>
    <cellStyle name="Normal 4 8 5 2 2 3" xfId="25446" xr:uid="{A0437BA9-7BD2-4259-940F-26C263EBC6E2}"/>
    <cellStyle name="Normal 4 8 5 2 2 4" xfId="42303" xr:uid="{AEAF78E8-4EAE-4ECE-8EA4-9526DB91E59F}"/>
    <cellStyle name="Normal 4 8 5 2 2 5" xfId="17011" xr:uid="{86AE7868-F2B7-4D56-8709-A18F5B62149D}"/>
    <cellStyle name="Normal 4 8 5 2 3" xfId="29657" xr:uid="{93DA9855-FDAA-457E-BB50-B53BC3DB0314}"/>
    <cellStyle name="Normal 4 8 5 2 4" xfId="21228" xr:uid="{C919A444-E64B-419C-A6E0-E0BB977AF19D}"/>
    <cellStyle name="Normal 4 8 5 2 5" xfId="38086" xr:uid="{E4F2D20B-A2AA-40CF-A43D-C02A08E589BC}"/>
    <cellStyle name="Normal 4 8 5 2 6" xfId="12793" xr:uid="{C589FA60-436C-479D-91E5-3F45C45CD322}"/>
    <cellStyle name="Normal 4 8 5 3" xfId="6431" xr:uid="{00000000-0005-0000-0000-0000D9160000}"/>
    <cellStyle name="Normal 4 8 5 3 2" xfId="31730" xr:uid="{C90C11DB-BAB4-437D-A9DB-C73FF9B7AB9E}"/>
    <cellStyle name="Normal 4 8 5 3 3" xfId="23301" xr:uid="{4C91C10F-78C9-4D2D-90F8-3E90920BBD4A}"/>
    <cellStyle name="Normal 4 8 5 3 4" xfId="40158" xr:uid="{CE024D86-C23E-4697-9FFC-F1B1CA79AAF1}"/>
    <cellStyle name="Normal 4 8 5 3 5" xfId="14866" xr:uid="{2AD2EBD9-A79D-462E-8462-C81F8A335E17}"/>
    <cellStyle name="Normal 4 8 5 4" xfId="27512" xr:uid="{253FF047-73FF-4A26-BB4D-A8C24B87A82B}"/>
    <cellStyle name="Normal 4 8 5 5" xfId="19083" xr:uid="{4A6652E9-4CF2-4C0E-83C8-36CE75B3DA54}"/>
    <cellStyle name="Normal 4 8 5 6" xfId="35941" xr:uid="{3AC96A32-3056-4CD1-AA00-858EA9849B02}"/>
    <cellStyle name="Normal 4 8 5 7" xfId="10648" xr:uid="{35E32746-B970-4F26-AFD8-B19A46AD341D}"/>
    <cellStyle name="Normal 4 8 6" xfId="2560" xr:uid="{00000000-0005-0000-0000-0000DA160000}"/>
    <cellStyle name="Normal 4 8 6 2" xfId="6844" xr:uid="{00000000-0005-0000-0000-0000DB160000}"/>
    <cellStyle name="Normal 4 8 6 2 2" xfId="32143" xr:uid="{2BE9FB92-90E9-4E70-A175-5EEE23E0C784}"/>
    <cellStyle name="Normal 4 8 6 2 3" xfId="23714" xr:uid="{E6225B93-BB8C-4F61-B8D3-87265C778ABD}"/>
    <cellStyle name="Normal 4 8 6 2 4" xfId="40571" xr:uid="{7B16C98D-BD69-4A41-B6C7-CF7EEE58C480}"/>
    <cellStyle name="Normal 4 8 6 2 5" xfId="15279" xr:uid="{FEC67EBC-D137-4584-ABC9-3D0B1490AF45}"/>
    <cellStyle name="Normal 4 8 6 3" xfId="27925" xr:uid="{024AEA4E-500D-47BE-B7AF-0BB8C5B32969}"/>
    <cellStyle name="Normal 4 8 6 4" xfId="19496" xr:uid="{B002AF01-45FF-4B11-83FE-D44E26266643}"/>
    <cellStyle name="Normal 4 8 6 5" xfId="36354" xr:uid="{FB24A748-F596-46D8-9100-BF1BB46FF37A}"/>
    <cellStyle name="Normal 4 8 6 6" xfId="11061" xr:uid="{CF1F1947-5E12-4104-8D6F-EB757FDC69D4}"/>
    <cellStyle name="Normal 4 8 7" xfId="4779" xr:uid="{00000000-0005-0000-0000-0000DC160000}"/>
    <cellStyle name="Normal 4 8 7 2" xfId="30078" xr:uid="{F297FB5C-9391-41C8-B8A4-FEA775AED4F7}"/>
    <cellStyle name="Normal 4 8 7 3" xfId="21649" xr:uid="{6F9D0B25-938D-4006-BE43-D6B00A470C4C}"/>
    <cellStyle name="Normal 4 8 7 4" xfId="38506" xr:uid="{77F8B099-5548-445D-8674-83E13FEC4830}"/>
    <cellStyle name="Normal 4 8 7 5" xfId="13214" xr:uid="{78C2CB9F-2F17-44E9-984A-CEFE90344DA5}"/>
    <cellStyle name="Normal 4 8 8" xfId="25860" xr:uid="{EA6559CC-427B-4567-8355-6555E688807C}"/>
    <cellStyle name="Normal 4 8 9" xfId="17431" xr:uid="{D81E6C90-4C01-4A9D-818E-1F814BDA2687}"/>
    <cellStyle name="Normal 4 9" xfId="4716" xr:uid="{00000000-0005-0000-0000-0000DD160000}"/>
    <cellStyle name="Normal 4 9 2" xfId="30015" xr:uid="{46B90CB1-5707-4DCA-9363-1FCFD6AC9EDC}"/>
    <cellStyle name="Normal 4 9 3" xfId="21586" xr:uid="{5F3B3342-2E2A-4EB5-BC76-F74B7842F9ED}"/>
    <cellStyle name="Normal 4 9 4" xfId="38443" xr:uid="{03DD8823-0D9C-49CC-8CC0-C2E2C78F4E8A}"/>
    <cellStyle name="Normal 4 9 5" xfId="13151" xr:uid="{B82774D9-2F30-4E03-AB82-59844BE49285}"/>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33463" xr:uid="{5C31659A-4E4D-4E13-928F-ED9CEAD72B3F}"/>
    <cellStyle name="Normal 5 10 2 2 3" xfId="25034" xr:uid="{0991B8BA-B384-404C-9890-EFCAAA6EDE71}"/>
    <cellStyle name="Normal 5 10 2 2 4" xfId="41891" xr:uid="{AA983B4A-D2FC-426F-9FF8-420541F17103}"/>
    <cellStyle name="Normal 5 10 2 2 5" xfId="16599" xr:uid="{CDCBF483-9DEB-4B40-AFAB-D72F6621ACB1}"/>
    <cellStyle name="Normal 5 10 2 3" xfId="29245" xr:uid="{A830953C-2B08-464F-A6FC-9FC02CB9BA52}"/>
    <cellStyle name="Normal 5 10 2 4" xfId="20816" xr:uid="{E5E3511A-631A-43B5-98FB-507239ACA03B}"/>
    <cellStyle name="Normal 5 10 2 5" xfId="37674" xr:uid="{5023596A-74EE-40F7-A108-AC18DEA709CC}"/>
    <cellStyle name="Normal 5 10 2 6" xfId="12381" xr:uid="{8EBBA9F6-7976-458D-B409-7A4CE5AECDF5}"/>
    <cellStyle name="Normal 5 10 3" xfId="6019" xr:uid="{00000000-0005-0000-0000-0000E2160000}"/>
    <cellStyle name="Normal 5 10 3 2" xfId="31318" xr:uid="{B8FD57D4-6613-4862-9D48-3399EAAD87C3}"/>
    <cellStyle name="Normal 5 10 3 3" xfId="22889" xr:uid="{8BA28D36-4707-4AEB-830E-6611817B6843}"/>
    <cellStyle name="Normal 5 10 3 4" xfId="39746" xr:uid="{E7B55259-E7B0-4800-AA89-44F9285A0D9C}"/>
    <cellStyle name="Normal 5 10 3 5" xfId="14454" xr:uid="{3BA567C5-165A-44E9-98E6-F408D16883F9}"/>
    <cellStyle name="Normal 5 10 4" xfId="27100" xr:uid="{D9FAEC21-878E-4A2E-B1AF-9FC4B33E2F1F}"/>
    <cellStyle name="Normal 5 10 5" xfId="18671" xr:uid="{DF278995-925D-4CAF-AA8D-4165DD3F0630}"/>
    <cellStyle name="Normal 5 10 6" xfId="35529" xr:uid="{C01090BA-4FC0-4BD7-AEB5-C1021BAB9CE2}"/>
    <cellStyle name="Normal 5 10 7" xfId="10236" xr:uid="{39A790B8-EEF2-4503-AF40-DCD052AE34C4}"/>
    <cellStyle name="Normal 5 11" xfId="2125" xr:uid="{00000000-0005-0000-0000-0000E3160000}"/>
    <cellStyle name="Normal 5 11 2" xfId="4354" xr:uid="{00000000-0005-0000-0000-0000E4160000}"/>
    <cellStyle name="Normal 5 11 2 2" xfId="8577" xr:uid="{00000000-0005-0000-0000-0000E5160000}"/>
    <cellStyle name="Normal 5 11 2 2 2" xfId="33876" xr:uid="{BD8589CB-5175-4D0F-8011-3531079E4A60}"/>
    <cellStyle name="Normal 5 11 2 2 3" xfId="25447" xr:uid="{03401356-45EE-4CBB-9ADB-6B3E2E5D505B}"/>
    <cellStyle name="Normal 5 11 2 2 4" xfId="42304" xr:uid="{61F0BA05-40F7-4966-BCF4-3CBDD19962EF}"/>
    <cellStyle name="Normal 5 11 2 2 5" xfId="17012" xr:uid="{956794C3-6DEF-4F10-9E57-57E825CFB577}"/>
    <cellStyle name="Normal 5 11 2 3" xfId="29658" xr:uid="{F38E4126-28E0-4313-93B5-25E6AD1410F4}"/>
    <cellStyle name="Normal 5 11 2 4" xfId="21229" xr:uid="{9479EF4B-1DB5-4472-8874-A3CF05C033FE}"/>
    <cellStyle name="Normal 5 11 2 5" xfId="38087" xr:uid="{9F2273A8-ECB6-4630-8A2D-ABE37FE79463}"/>
    <cellStyle name="Normal 5 11 2 6" xfId="12794" xr:uid="{79CB38EE-F63B-40FC-9689-3AD016E3FEED}"/>
    <cellStyle name="Normal 5 11 3" xfId="6432" xr:uid="{00000000-0005-0000-0000-0000E6160000}"/>
    <cellStyle name="Normal 5 11 3 2" xfId="31731" xr:uid="{43F1135E-3B25-4DF4-AF4F-49BC568933EC}"/>
    <cellStyle name="Normal 5 11 3 3" xfId="23302" xr:uid="{6DF0DFE3-92E9-4197-9A24-71CE24D0D4C7}"/>
    <cellStyle name="Normal 5 11 3 4" xfId="40159" xr:uid="{2F94A6F6-0DC8-4AB3-9FA8-F7E4D5BC1ABE}"/>
    <cellStyle name="Normal 5 11 3 5" xfId="14867" xr:uid="{924E29F5-7C34-4F8C-9BC3-00523AE59887}"/>
    <cellStyle name="Normal 5 11 4" xfId="27513" xr:uid="{A287A647-384A-44F2-A000-2EB119455BBA}"/>
    <cellStyle name="Normal 5 11 5" xfId="19084" xr:uid="{2581FE83-EDE3-43C2-9E7E-A74640F15105}"/>
    <cellStyle name="Normal 5 11 6" xfId="35942" xr:uid="{2885ADE1-FBE5-4A9B-BDC8-DF96327F6C9E}"/>
    <cellStyle name="Normal 5 11 7" xfId="10649" xr:uid="{7F92514E-F263-4A54-836E-62BF9F636B1E}"/>
    <cellStyle name="Normal 5 12" xfId="2561" xr:uid="{00000000-0005-0000-0000-0000E7160000}"/>
    <cellStyle name="Normal 5 12 2" xfId="6845" xr:uid="{00000000-0005-0000-0000-0000E8160000}"/>
    <cellStyle name="Normal 5 12 2 2" xfId="32144" xr:uid="{8ED31CC2-78C0-4388-8B77-2E0C4A8D382C}"/>
    <cellStyle name="Normal 5 12 2 3" xfId="23715" xr:uid="{02BEDCCF-62A1-46E6-A764-3B67A5BE94EF}"/>
    <cellStyle name="Normal 5 12 2 4" xfId="40572" xr:uid="{15F9FA14-7771-4C32-BEA4-6F6D4A4C1479}"/>
    <cellStyle name="Normal 5 12 2 5" xfId="15280" xr:uid="{C8FBD9F6-0024-4BA0-8040-2939D1382620}"/>
    <cellStyle name="Normal 5 12 3" xfId="27926" xr:uid="{8D1E38EE-3611-49B5-AE03-9479D8DE0162}"/>
    <cellStyle name="Normal 5 12 4" xfId="19497" xr:uid="{1288FDBC-C0BA-4FE6-B4B0-C87D94A433E2}"/>
    <cellStyle name="Normal 5 12 5" xfId="36355" xr:uid="{07E8D23A-124D-4DF5-84FF-5349516D6A03}"/>
    <cellStyle name="Normal 5 12 6" xfId="11062" xr:uid="{A44DC093-8D2D-45C3-B852-555FB6C1B1F6}"/>
    <cellStyle name="Normal 5 13" xfId="4780" xr:uid="{00000000-0005-0000-0000-0000E9160000}"/>
    <cellStyle name="Normal 5 13 2" xfId="30079" xr:uid="{FCAEACC4-088D-4E5E-BCD0-AD401FF71A35}"/>
    <cellStyle name="Normal 5 13 3" xfId="21650" xr:uid="{DFFA2358-97B6-48AC-9D8C-8A6D4ECE338E}"/>
    <cellStyle name="Normal 5 13 4" xfId="38507" xr:uid="{695EDF4A-AFB5-4693-ACA6-A392C0BA170A}"/>
    <cellStyle name="Normal 5 13 5" xfId="13215" xr:uid="{3E40A0E7-68C2-463E-B923-53A46B8A0C3B}"/>
    <cellStyle name="Normal 5 14" xfId="25861" xr:uid="{A96446ED-4B81-4B83-9AB9-D5B4E84A657E}"/>
    <cellStyle name="Normal 5 15" xfId="17432" xr:uid="{70088511-8829-466A-8265-7393A317787E}"/>
    <cellStyle name="Normal 5 16" xfId="34290" xr:uid="{8AF6281C-43AD-4511-BC05-4B1297FFCAFA}"/>
    <cellStyle name="Normal 5 17" xfId="8997" xr:uid="{3994A89B-DDC3-4ACC-B605-29DE31FD1C8B}"/>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33877" xr:uid="{D9F2E5D2-BC15-45BE-AA59-01590F8765B4}"/>
    <cellStyle name="Normal 5 2 10 2 2 3" xfId="25448" xr:uid="{5E45DC78-2866-494D-959F-A8D9B405E267}"/>
    <cellStyle name="Normal 5 2 10 2 2 4" xfId="42305" xr:uid="{D7B7D181-B19C-46C8-94E0-37AA6B9F50AB}"/>
    <cellStyle name="Normal 5 2 10 2 2 5" xfId="17013" xr:uid="{32345D90-80A9-4FC7-B8F0-02FDF63D4E57}"/>
    <cellStyle name="Normal 5 2 10 2 3" xfId="29659" xr:uid="{4EB68ABB-35D4-423A-B990-3B084CF7A329}"/>
    <cellStyle name="Normal 5 2 10 2 4" xfId="21230" xr:uid="{A37828DD-297C-4CEA-B211-5125388B6F50}"/>
    <cellStyle name="Normal 5 2 10 2 5" xfId="38088" xr:uid="{488CC196-CBBF-4AC3-8FD9-B8BD2E6C3183}"/>
    <cellStyle name="Normal 5 2 10 2 6" xfId="12795" xr:uid="{F28DD037-5706-4248-82CD-391E128092AA}"/>
    <cellStyle name="Normal 5 2 10 3" xfId="6433" xr:uid="{00000000-0005-0000-0000-0000EE160000}"/>
    <cellStyle name="Normal 5 2 10 3 2" xfId="31732" xr:uid="{A8814062-8813-4CD1-AF99-CF0339ABED72}"/>
    <cellStyle name="Normal 5 2 10 3 3" xfId="23303" xr:uid="{B6E43CFC-7D58-4268-8A59-9B2DDDD43042}"/>
    <cellStyle name="Normal 5 2 10 3 4" xfId="40160" xr:uid="{CB8DCE6C-871F-4EAE-8D4C-23C231DE2453}"/>
    <cellStyle name="Normal 5 2 10 3 5" xfId="14868" xr:uid="{5A5168B8-FE37-4FBF-AD8E-F4F6DBF0CD26}"/>
    <cellStyle name="Normal 5 2 10 4" xfId="27514" xr:uid="{1FADD5DE-727D-49AD-AC52-4E8ECC718BFE}"/>
    <cellStyle name="Normal 5 2 10 5" xfId="19085" xr:uid="{BC5F9771-2587-4986-B344-95958232CF0C}"/>
    <cellStyle name="Normal 5 2 10 6" xfId="35943" xr:uid="{349F77E5-5261-41DA-A692-649497B6BD53}"/>
    <cellStyle name="Normal 5 2 10 7" xfId="10650" xr:uid="{B9CC1DC1-5EFE-4010-8AE5-E42D7F1E1ECD}"/>
    <cellStyle name="Normal 5 2 11" xfId="2562" xr:uid="{00000000-0005-0000-0000-0000EF160000}"/>
    <cellStyle name="Normal 5 2 11 2" xfId="6846" xr:uid="{00000000-0005-0000-0000-0000F0160000}"/>
    <cellStyle name="Normal 5 2 11 2 2" xfId="32145" xr:uid="{92FB954C-2694-450E-A7E3-77F0E75FE65C}"/>
    <cellStyle name="Normal 5 2 11 2 3" xfId="23716" xr:uid="{0A454C0D-6882-4727-991A-98F5DA48DF33}"/>
    <cellStyle name="Normal 5 2 11 2 4" xfId="40573" xr:uid="{53954280-AA18-4084-BE33-404BB02E6C16}"/>
    <cellStyle name="Normal 5 2 11 2 5" xfId="15281" xr:uid="{5126B2FF-45BF-4D27-8A57-5613BF90262E}"/>
    <cellStyle name="Normal 5 2 11 3" xfId="27927" xr:uid="{8B120F32-CD32-4CBB-86ED-A24439C1F2FC}"/>
    <cellStyle name="Normal 5 2 11 4" xfId="19498" xr:uid="{0D41779A-4BBC-4082-B6C2-1819FB618187}"/>
    <cellStyle name="Normal 5 2 11 5" xfId="36356" xr:uid="{9A60FBC0-F469-444C-BD3A-A2CE75E06153}"/>
    <cellStyle name="Normal 5 2 11 6" xfId="11063" xr:uid="{C024CD1B-3BAB-4757-9FB1-57E588595495}"/>
    <cellStyle name="Normal 5 2 12" xfId="4781" xr:uid="{00000000-0005-0000-0000-0000F1160000}"/>
    <cellStyle name="Normal 5 2 12 2" xfId="30080" xr:uid="{35863DCA-B177-4F51-9C49-E83CC0D9917A}"/>
    <cellStyle name="Normal 5 2 12 3" xfId="21651" xr:uid="{B9F48FD2-727D-43AD-896C-1E8C19798F2E}"/>
    <cellStyle name="Normal 5 2 12 4" xfId="38508" xr:uid="{E117E30B-52CB-471F-8C2C-C6BA49002475}"/>
    <cellStyle name="Normal 5 2 12 5" xfId="13216" xr:uid="{1B9B2071-4279-40AB-B11D-BEF27059F773}"/>
    <cellStyle name="Normal 5 2 13" xfId="25862" xr:uid="{37EE09E9-9343-44DB-8220-DF0734E0E72A}"/>
    <cellStyle name="Normal 5 2 14" xfId="17433" xr:uid="{9817FCA0-D0F9-4ECD-9809-72088F0E0387}"/>
    <cellStyle name="Normal 5 2 15" xfId="34291" xr:uid="{4A856C3E-3972-4B40-9BDA-7908C062B557}"/>
    <cellStyle name="Normal 5 2 16" xfId="8998" xr:uid="{4AD697C5-9B45-4F09-A18C-754FBFBF46D9}"/>
    <cellStyle name="Normal 5 2 2" xfId="408" xr:uid="{00000000-0005-0000-0000-0000F2160000}"/>
    <cellStyle name="Normal 5 2 2 10" xfId="2563" xr:uid="{00000000-0005-0000-0000-0000F3160000}"/>
    <cellStyle name="Normal 5 2 2 10 2" xfId="6847" xr:uid="{00000000-0005-0000-0000-0000F4160000}"/>
    <cellStyle name="Normal 5 2 2 10 2 2" xfId="32146" xr:uid="{EBCED260-ADBC-4723-8A0C-4644DC1349BC}"/>
    <cellStyle name="Normal 5 2 2 10 2 3" xfId="23717" xr:uid="{9653611B-3BD9-459E-A5C1-FC0BB9AB4BFA}"/>
    <cellStyle name="Normal 5 2 2 10 2 4" xfId="40574" xr:uid="{9189B25C-4CB2-4056-A6FA-C3BE8408B6AD}"/>
    <cellStyle name="Normal 5 2 2 10 2 5" xfId="15282" xr:uid="{1818666F-436E-4B0E-A7A1-29B800E807E1}"/>
    <cellStyle name="Normal 5 2 2 10 3" xfId="27928" xr:uid="{1B345DEE-AE8E-45D4-A43E-E559DDEA267D}"/>
    <cellStyle name="Normal 5 2 2 10 4" xfId="19499" xr:uid="{A34F728D-E759-4AB2-883C-9C2EA0314FB3}"/>
    <cellStyle name="Normal 5 2 2 10 5" xfId="36357" xr:uid="{744E7E55-4A31-48EA-B93C-FEBA95E5AE61}"/>
    <cellStyle name="Normal 5 2 2 10 6" xfId="11064" xr:uid="{0280885C-5D9E-4F13-9437-ABE8CE335369}"/>
    <cellStyle name="Normal 5 2 2 11" xfId="4782" xr:uid="{00000000-0005-0000-0000-0000F5160000}"/>
    <cellStyle name="Normal 5 2 2 11 2" xfId="30081" xr:uid="{A3D2C169-5E34-4A5C-8B61-9D0E7466D3DA}"/>
    <cellStyle name="Normal 5 2 2 11 3" xfId="21652" xr:uid="{AED43036-446A-48CF-874A-832AD9343777}"/>
    <cellStyle name="Normal 5 2 2 11 4" xfId="38509" xr:uid="{BB62E10B-C029-4B70-952B-2B9C5F7F34AD}"/>
    <cellStyle name="Normal 5 2 2 11 5" xfId="13217" xr:uid="{75FC76E7-697D-4D92-9C03-1C607F36E2BE}"/>
    <cellStyle name="Normal 5 2 2 12" xfId="25863" xr:uid="{885E0729-C2DA-4BE4-93CD-61C054C931D9}"/>
    <cellStyle name="Normal 5 2 2 13" xfId="17434" xr:uid="{71171252-AB64-4502-A51B-853563B490A0}"/>
    <cellStyle name="Normal 5 2 2 14" xfId="34292" xr:uid="{3B95775B-BE2C-4132-B253-4CE97A43E2A9}"/>
    <cellStyle name="Normal 5 2 2 15" xfId="8999" xr:uid="{C2939F37-95B3-4CD9-8D0F-A71AB55407B1}"/>
    <cellStyle name="Normal 5 2 2 2" xfId="409" xr:uid="{00000000-0005-0000-0000-0000F6160000}"/>
    <cellStyle name="Normal 5 2 2 2 10" xfId="4783" xr:uid="{00000000-0005-0000-0000-0000F7160000}"/>
    <cellStyle name="Normal 5 2 2 2 10 2" xfId="30082" xr:uid="{6FEA5291-21CB-46E7-A12D-8AE80FBFA2E1}"/>
    <cellStyle name="Normal 5 2 2 2 10 3" xfId="21653" xr:uid="{547B8D9B-FDFE-4D57-A73E-9E38B4E3F04D}"/>
    <cellStyle name="Normal 5 2 2 2 10 4" xfId="38510" xr:uid="{D7852A09-4BB6-4BA1-B71C-AAF8CC5F66D9}"/>
    <cellStyle name="Normal 5 2 2 2 10 5" xfId="13218" xr:uid="{75013DB8-CF62-44FB-9D74-274CF9743C76}"/>
    <cellStyle name="Normal 5 2 2 2 11" xfId="25864" xr:uid="{B6445AD4-A7DA-430A-986E-533AC1B8245D}"/>
    <cellStyle name="Normal 5 2 2 2 12" xfId="17435" xr:uid="{2FC5E064-2A03-4C10-8BA0-EA2166EA8581}"/>
    <cellStyle name="Normal 5 2 2 2 13" xfId="34293" xr:uid="{E3A8F7B4-FEC3-4334-B918-8AF17218B3FB}"/>
    <cellStyle name="Normal 5 2 2 2 14" xfId="9000" xr:uid="{8412C74D-15B6-42EA-A34A-8FE404433F95}"/>
    <cellStyle name="Normal 5 2 2 2 2" xfId="410" xr:uid="{00000000-0005-0000-0000-0000F8160000}"/>
    <cellStyle name="Normal 5 2 2 2 2 10" xfId="25865" xr:uid="{BA6A8987-8540-4144-BFB8-A4918EC42A7B}"/>
    <cellStyle name="Normal 5 2 2 2 2 11" xfId="17436" xr:uid="{5C4D3B22-8069-4FDB-AEE9-AE6F1204E266}"/>
    <cellStyle name="Normal 5 2 2 2 2 12" xfId="34294" xr:uid="{B01D872D-ED0C-4954-A2FE-9CE9962CF442}"/>
    <cellStyle name="Normal 5 2 2 2 2 13" xfId="9001" xr:uid="{D73AD248-3EAE-4EA7-92D2-A66684358513}"/>
    <cellStyle name="Normal 5 2 2 2 2 2" xfId="411" xr:uid="{00000000-0005-0000-0000-0000F9160000}"/>
    <cellStyle name="Normal 5 2 2 2 2 2 10" xfId="17437" xr:uid="{2A2F3DD7-2563-468D-B2FD-CFB893D25364}"/>
    <cellStyle name="Normal 5 2 2 2 2 2 11" xfId="34295" xr:uid="{10B0A535-5465-44EF-9BBE-EEC37DA215FB}"/>
    <cellStyle name="Normal 5 2 2 2 2 2 12" xfId="9002" xr:uid="{F3F449B4-0F1C-40C1-9C2F-398BC855E06E}"/>
    <cellStyle name="Normal 5 2 2 2 2 2 2" xfId="412" xr:uid="{00000000-0005-0000-0000-0000FA160000}"/>
    <cellStyle name="Normal 5 2 2 2 2 2 2 10" xfId="34296" xr:uid="{7F94A5BB-0D41-4ADF-8DF7-76587A0D9AE3}"/>
    <cellStyle name="Normal 5 2 2 2 2 2 2 11" xfId="9003" xr:uid="{DD197D62-4BFD-49D2-AEDA-F4E22BE2827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32643" xr:uid="{0D675EEF-0639-4874-B348-B56C8DF57AB0}"/>
    <cellStyle name="Normal 5 2 2 2 2 2 2 2 2 2 3" xfId="24214" xr:uid="{32E90AD3-296C-4F76-81F6-08EA63FC9DD3}"/>
    <cellStyle name="Normal 5 2 2 2 2 2 2 2 2 2 4" xfId="41071" xr:uid="{0745982B-319E-4EDF-B376-C797BDE05E57}"/>
    <cellStyle name="Normal 5 2 2 2 2 2 2 2 2 2 5" xfId="15779" xr:uid="{3C7AFFAB-70FD-4EEA-BA0D-B4094B2CCC6B}"/>
    <cellStyle name="Normal 5 2 2 2 2 2 2 2 2 3" xfId="28425" xr:uid="{D53563F9-F268-4459-9B83-D40D3220C3E9}"/>
    <cellStyle name="Normal 5 2 2 2 2 2 2 2 2 4" xfId="19996" xr:uid="{F8A4A449-7794-4EA6-8770-8768025A5127}"/>
    <cellStyle name="Normal 5 2 2 2 2 2 2 2 2 5" xfId="36854" xr:uid="{A5F014A1-31F5-4776-ACF6-A6F04DEC06C5}"/>
    <cellStyle name="Normal 5 2 2 2 2 2 2 2 2 6" xfId="11561" xr:uid="{DE84B648-C825-4277-B655-24DAD3364C53}"/>
    <cellStyle name="Normal 5 2 2 2 2 2 2 2 3" xfId="5199" xr:uid="{00000000-0005-0000-0000-0000FE160000}"/>
    <cellStyle name="Normal 5 2 2 2 2 2 2 2 3 2" xfId="30498" xr:uid="{5589F73D-5688-40DA-ABBD-607DEE54D164}"/>
    <cellStyle name="Normal 5 2 2 2 2 2 2 2 3 3" xfId="22069" xr:uid="{C9F4A96F-ADD7-492E-BCD9-A15E0F034BD0}"/>
    <cellStyle name="Normal 5 2 2 2 2 2 2 2 3 4" xfId="38926" xr:uid="{9B2EAE31-E2E9-4E86-8EF9-5528E4CA075F}"/>
    <cellStyle name="Normal 5 2 2 2 2 2 2 2 3 5" xfId="13634" xr:uid="{34D48997-33DE-4901-9017-70A3BD8D3F7C}"/>
    <cellStyle name="Normal 5 2 2 2 2 2 2 2 4" xfId="26280" xr:uid="{77D63C6D-2F02-4D58-9BF8-F4B7813E5F8F}"/>
    <cellStyle name="Normal 5 2 2 2 2 2 2 2 5" xfId="17851" xr:uid="{B94659F5-CBB2-445A-A7AE-785ED655FDAC}"/>
    <cellStyle name="Normal 5 2 2 2 2 2 2 2 6" xfId="34709" xr:uid="{2EE3FBA6-B74E-4729-A23C-DA2B1F7CB788}"/>
    <cellStyle name="Normal 5 2 2 2 2 2 2 2 7" xfId="9416" xr:uid="{A1971E28-BA3B-4576-AE92-2101976E33D6}"/>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33056" xr:uid="{431CA4C3-4F31-4268-B1A3-8B4E72CE46E2}"/>
    <cellStyle name="Normal 5 2 2 2 2 2 2 3 2 2 3" xfId="24627" xr:uid="{BB340BAF-6A27-437E-B73B-4A4D96791A87}"/>
    <cellStyle name="Normal 5 2 2 2 2 2 2 3 2 2 4" xfId="41484" xr:uid="{578717D4-EF15-4244-BB05-3525BE35AFBE}"/>
    <cellStyle name="Normal 5 2 2 2 2 2 2 3 2 2 5" xfId="16192" xr:uid="{1858CE56-09BE-4A5A-B6E9-B4D5336A7856}"/>
    <cellStyle name="Normal 5 2 2 2 2 2 2 3 2 3" xfId="28838" xr:uid="{879C4FAA-00E9-4FA9-8AB3-4E6D42173D94}"/>
    <cellStyle name="Normal 5 2 2 2 2 2 2 3 2 4" xfId="20409" xr:uid="{4D0EAF45-3EFE-459D-965A-30CDB49AA6F9}"/>
    <cellStyle name="Normal 5 2 2 2 2 2 2 3 2 5" xfId="37267" xr:uid="{A906BEB4-DBD0-406A-896D-944923A63C3F}"/>
    <cellStyle name="Normal 5 2 2 2 2 2 2 3 2 6" xfId="11974" xr:uid="{37D491AD-5657-4DF8-8628-17E4C0FB729D}"/>
    <cellStyle name="Normal 5 2 2 2 2 2 2 3 3" xfId="5612" xr:uid="{00000000-0005-0000-0000-000002170000}"/>
    <cellStyle name="Normal 5 2 2 2 2 2 2 3 3 2" xfId="30911" xr:uid="{68D49FCB-C888-4424-ACB0-09BA2B33EBC3}"/>
    <cellStyle name="Normal 5 2 2 2 2 2 2 3 3 3" xfId="22482" xr:uid="{00D955EB-8CD9-45A4-ADCF-7033E1822FFD}"/>
    <cellStyle name="Normal 5 2 2 2 2 2 2 3 3 4" xfId="39339" xr:uid="{1C447B8E-E351-4A08-BFDD-6C77F2984785}"/>
    <cellStyle name="Normal 5 2 2 2 2 2 2 3 3 5" xfId="14047" xr:uid="{E6B594BF-C9DA-4249-8BC7-BFCC47DDC304}"/>
    <cellStyle name="Normal 5 2 2 2 2 2 2 3 4" xfId="26693" xr:uid="{8A11A24D-5543-47A0-8E1E-E95850412771}"/>
    <cellStyle name="Normal 5 2 2 2 2 2 2 3 5" xfId="18264" xr:uid="{10CA405F-B0DC-46D5-BA74-6CF8EF7C39CD}"/>
    <cellStyle name="Normal 5 2 2 2 2 2 2 3 6" xfId="35122" xr:uid="{51CFB1B1-C7F8-4F4B-9A69-FE7F0796BD2A}"/>
    <cellStyle name="Normal 5 2 2 2 2 2 2 3 7" xfId="9829" xr:uid="{20F8650C-CFD6-4953-92BF-8EC11CCF321E}"/>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33469" xr:uid="{5D469926-3979-44D7-8CBA-8EE0FBE21F45}"/>
    <cellStyle name="Normal 5 2 2 2 2 2 2 4 2 2 3" xfId="25040" xr:uid="{7C336C05-E76E-4B2E-B2FB-4204D9A16484}"/>
    <cellStyle name="Normal 5 2 2 2 2 2 2 4 2 2 4" xfId="41897" xr:uid="{1226FAC4-E5B9-420D-99B2-DA34BE9A7AB3}"/>
    <cellStyle name="Normal 5 2 2 2 2 2 2 4 2 2 5" xfId="16605" xr:uid="{5E8454DA-16FC-476B-8746-90B9978DD092}"/>
    <cellStyle name="Normal 5 2 2 2 2 2 2 4 2 3" xfId="29251" xr:uid="{933C099E-B48F-44A3-B278-F3BF0DB665BE}"/>
    <cellStyle name="Normal 5 2 2 2 2 2 2 4 2 4" xfId="20822" xr:uid="{8D4BF02C-BCB6-4541-A750-B0824B6AC7EA}"/>
    <cellStyle name="Normal 5 2 2 2 2 2 2 4 2 5" xfId="37680" xr:uid="{A635DA2D-9556-46F8-A451-821C393B342C}"/>
    <cellStyle name="Normal 5 2 2 2 2 2 2 4 2 6" xfId="12387" xr:uid="{6B071483-AC1B-4F21-B620-28ED1196EF01}"/>
    <cellStyle name="Normal 5 2 2 2 2 2 2 4 3" xfId="6025" xr:uid="{00000000-0005-0000-0000-000006170000}"/>
    <cellStyle name="Normal 5 2 2 2 2 2 2 4 3 2" xfId="31324" xr:uid="{7162CAF7-10C6-4704-80B6-305C2AA3939E}"/>
    <cellStyle name="Normal 5 2 2 2 2 2 2 4 3 3" xfId="22895" xr:uid="{9187817C-7309-49CB-B034-AD3DBDA365B0}"/>
    <cellStyle name="Normal 5 2 2 2 2 2 2 4 3 4" xfId="39752" xr:uid="{4E633EAE-1567-4BE1-ABD3-582E38EE13E2}"/>
    <cellStyle name="Normal 5 2 2 2 2 2 2 4 3 5" xfId="14460" xr:uid="{DF426EE9-AABE-49A7-8703-AE49B9A948EC}"/>
    <cellStyle name="Normal 5 2 2 2 2 2 2 4 4" xfId="27106" xr:uid="{3678D3C5-92B9-4983-99F6-393E0D6574A9}"/>
    <cellStyle name="Normal 5 2 2 2 2 2 2 4 5" xfId="18677" xr:uid="{BA6DFA32-A467-466E-B301-01E43F9B3C22}"/>
    <cellStyle name="Normal 5 2 2 2 2 2 2 4 6" xfId="35535" xr:uid="{F30E24FA-B8E1-4545-A9F2-D93694BC2108}"/>
    <cellStyle name="Normal 5 2 2 2 2 2 2 4 7" xfId="10242" xr:uid="{2B6D4EA8-90EB-4664-88AC-46EBC96ADAB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33882" xr:uid="{E6B34C8F-1E1B-4475-99E5-A39FFF8131B4}"/>
    <cellStyle name="Normal 5 2 2 2 2 2 2 5 2 2 3" xfId="25453" xr:uid="{80311004-FB35-440A-8AF3-BFAC62BA4046}"/>
    <cellStyle name="Normal 5 2 2 2 2 2 2 5 2 2 4" xfId="42310" xr:uid="{EB6284EC-88FC-4400-86F7-DE96A9A7BE8F}"/>
    <cellStyle name="Normal 5 2 2 2 2 2 2 5 2 2 5" xfId="17018" xr:uid="{DDFA580F-996F-4B6B-A161-A290F96CD3F7}"/>
    <cellStyle name="Normal 5 2 2 2 2 2 2 5 2 3" xfId="29664" xr:uid="{0EACFDDE-5D4B-4FC6-8420-159CC7088C01}"/>
    <cellStyle name="Normal 5 2 2 2 2 2 2 5 2 4" xfId="21235" xr:uid="{F41AA62E-464F-405D-B792-825DF436BBBB}"/>
    <cellStyle name="Normal 5 2 2 2 2 2 2 5 2 5" xfId="38093" xr:uid="{12635202-6520-45D9-B2AF-48BDB1B93C52}"/>
    <cellStyle name="Normal 5 2 2 2 2 2 2 5 2 6" xfId="12800" xr:uid="{C5050C52-3799-4F53-9600-8DF981847655}"/>
    <cellStyle name="Normal 5 2 2 2 2 2 2 5 3" xfId="6438" xr:uid="{00000000-0005-0000-0000-00000A170000}"/>
    <cellStyle name="Normal 5 2 2 2 2 2 2 5 3 2" xfId="31737" xr:uid="{BD61BDCD-1F91-4450-B025-1192555AB95D}"/>
    <cellStyle name="Normal 5 2 2 2 2 2 2 5 3 3" xfId="23308" xr:uid="{60D33CB7-B004-4965-82D1-1773D9592FB5}"/>
    <cellStyle name="Normal 5 2 2 2 2 2 2 5 3 4" xfId="40165" xr:uid="{B6A1FCB3-B66B-469F-A44B-7A067BCA6760}"/>
    <cellStyle name="Normal 5 2 2 2 2 2 2 5 3 5" xfId="14873" xr:uid="{C3CEA016-BC59-4AD7-A928-5C6BF5F01D1D}"/>
    <cellStyle name="Normal 5 2 2 2 2 2 2 5 4" xfId="27519" xr:uid="{AA734861-FA3D-4B54-8F94-0180666EA87F}"/>
    <cellStyle name="Normal 5 2 2 2 2 2 2 5 5" xfId="19090" xr:uid="{6A3EF518-8449-454F-A035-9C9D2204874E}"/>
    <cellStyle name="Normal 5 2 2 2 2 2 2 5 6" xfId="35948" xr:uid="{06F56AF1-8AC2-4AC6-BF7A-068148FA14C8}"/>
    <cellStyle name="Normal 5 2 2 2 2 2 2 5 7" xfId="10655" xr:uid="{B7903742-392C-4F8E-944B-F714763C6543}"/>
    <cellStyle name="Normal 5 2 2 2 2 2 2 6" xfId="2567" xr:uid="{00000000-0005-0000-0000-00000B170000}"/>
    <cellStyle name="Normal 5 2 2 2 2 2 2 6 2" xfId="6851" xr:uid="{00000000-0005-0000-0000-00000C170000}"/>
    <cellStyle name="Normal 5 2 2 2 2 2 2 6 2 2" xfId="32150" xr:uid="{6E112279-6741-4EF0-A56B-912A49C3FB72}"/>
    <cellStyle name="Normal 5 2 2 2 2 2 2 6 2 3" xfId="23721" xr:uid="{D6388CFE-378A-49E9-BF87-4D64238BC97B}"/>
    <cellStyle name="Normal 5 2 2 2 2 2 2 6 2 4" xfId="40578" xr:uid="{ACE5441A-7D59-4E80-A084-D0D9EEA0C69D}"/>
    <cellStyle name="Normal 5 2 2 2 2 2 2 6 2 5" xfId="15286" xr:uid="{D5040D96-C39C-4765-B810-58BF753128A0}"/>
    <cellStyle name="Normal 5 2 2 2 2 2 2 6 3" xfId="27932" xr:uid="{9A669663-BE4C-4D08-A5FB-FC447E883F9B}"/>
    <cellStyle name="Normal 5 2 2 2 2 2 2 6 4" xfId="19503" xr:uid="{0377BA5D-FEBA-4344-BCFC-57EB612D9C84}"/>
    <cellStyle name="Normal 5 2 2 2 2 2 2 6 5" xfId="36361" xr:uid="{EC7D6794-38C5-4A78-8D3F-E5AF560E4424}"/>
    <cellStyle name="Normal 5 2 2 2 2 2 2 6 6" xfId="11068" xr:uid="{11FD4FDB-5B63-415E-85A1-16B3C15DB1A3}"/>
    <cellStyle name="Normal 5 2 2 2 2 2 2 7" xfId="4786" xr:uid="{00000000-0005-0000-0000-00000D170000}"/>
    <cellStyle name="Normal 5 2 2 2 2 2 2 7 2" xfId="30085" xr:uid="{277E95CF-1E98-4A63-BA41-82B2FCAC8B3B}"/>
    <cellStyle name="Normal 5 2 2 2 2 2 2 7 3" xfId="21656" xr:uid="{ACAA6AD2-E76A-4966-BE0F-93D392753B85}"/>
    <cellStyle name="Normal 5 2 2 2 2 2 2 7 4" xfId="38513" xr:uid="{2F550117-34DB-402C-A966-6F296A9CEBA2}"/>
    <cellStyle name="Normal 5 2 2 2 2 2 2 7 5" xfId="13221" xr:uid="{017F23BE-1395-4AE8-B9DD-69E6309F5761}"/>
    <cellStyle name="Normal 5 2 2 2 2 2 2 8" xfId="25867" xr:uid="{70297FA5-51D0-4D26-AB3D-62435449E2DD}"/>
    <cellStyle name="Normal 5 2 2 2 2 2 2 9" xfId="17438" xr:uid="{F780C2B8-ABAB-4B58-A63A-2C41F4B68F6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32642" xr:uid="{D8983CD7-55FA-4BF0-BCBA-CA4EDCA0B79A}"/>
    <cellStyle name="Normal 5 2 2 2 2 2 3 2 2 3" xfId="24213" xr:uid="{0B4AAD02-0BDC-474F-96D9-AEC59A84EE6E}"/>
    <cellStyle name="Normal 5 2 2 2 2 2 3 2 2 4" xfId="41070" xr:uid="{46FFA4D6-16EF-48BE-BD8A-1EFE72F4DD2C}"/>
    <cellStyle name="Normal 5 2 2 2 2 2 3 2 2 5" xfId="15778" xr:uid="{0398A1EB-C88B-48FB-BD95-E97096C75B3D}"/>
    <cellStyle name="Normal 5 2 2 2 2 2 3 2 3" xfId="28424" xr:uid="{67C3E130-B074-4BEC-B957-ECA485D8F8A1}"/>
    <cellStyle name="Normal 5 2 2 2 2 2 3 2 4" xfId="19995" xr:uid="{C3F3234D-543D-4750-B664-2340E26386B9}"/>
    <cellStyle name="Normal 5 2 2 2 2 2 3 2 5" xfId="36853" xr:uid="{58DAE339-5F9B-49FC-8B09-D877CAD2E4F6}"/>
    <cellStyle name="Normal 5 2 2 2 2 2 3 2 6" xfId="11560" xr:uid="{5A3A9E9E-8CF4-4F7C-A223-B5DAF64C51BF}"/>
    <cellStyle name="Normal 5 2 2 2 2 2 3 3" xfId="5198" xr:uid="{00000000-0005-0000-0000-000011170000}"/>
    <cellStyle name="Normal 5 2 2 2 2 2 3 3 2" xfId="30497" xr:uid="{07837A01-C16D-4E26-BF3A-0221DA6D083F}"/>
    <cellStyle name="Normal 5 2 2 2 2 2 3 3 3" xfId="22068" xr:uid="{26C134F7-0E13-47BC-912E-34F874F11BDB}"/>
    <cellStyle name="Normal 5 2 2 2 2 2 3 3 4" xfId="38925" xr:uid="{CBE7E4D8-7939-4EB7-BA96-54B964299DFB}"/>
    <cellStyle name="Normal 5 2 2 2 2 2 3 3 5" xfId="13633" xr:uid="{2CF69146-9B12-42F3-A895-8F9A2057F62D}"/>
    <cellStyle name="Normal 5 2 2 2 2 2 3 4" xfId="26279" xr:uid="{1C191302-A95E-4F6F-9122-78A5562E68ED}"/>
    <cellStyle name="Normal 5 2 2 2 2 2 3 5" xfId="17850" xr:uid="{AC70DE8D-8140-44EE-AD28-3020CF4A8F04}"/>
    <cellStyle name="Normal 5 2 2 2 2 2 3 6" xfId="34708" xr:uid="{BD85FD5A-659A-4BA9-B80B-8AB75F176817}"/>
    <cellStyle name="Normal 5 2 2 2 2 2 3 7" xfId="9415" xr:uid="{FE98CD54-767F-4E6B-8B45-67EB55307D15}"/>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33055" xr:uid="{B31BA26B-8532-4CDE-9664-5B21C1BCEAEB}"/>
    <cellStyle name="Normal 5 2 2 2 2 2 4 2 2 3" xfId="24626" xr:uid="{20A5E266-F9C2-449A-A720-AB53C29A5CB0}"/>
    <cellStyle name="Normal 5 2 2 2 2 2 4 2 2 4" xfId="41483" xr:uid="{38916708-6C28-4223-B7E4-BFE0BBEC22AC}"/>
    <cellStyle name="Normal 5 2 2 2 2 2 4 2 2 5" xfId="16191" xr:uid="{764D0CE7-0D6B-437D-84A2-93B1F05AE176}"/>
    <cellStyle name="Normal 5 2 2 2 2 2 4 2 3" xfId="28837" xr:uid="{BBB4367D-7D10-435F-A610-D0715BA84652}"/>
    <cellStyle name="Normal 5 2 2 2 2 2 4 2 4" xfId="20408" xr:uid="{89387CF1-618A-4E00-ADAF-EAAF9A845892}"/>
    <cellStyle name="Normal 5 2 2 2 2 2 4 2 5" xfId="37266" xr:uid="{CC622018-C7B5-4ECA-8961-A2DCF2B34D87}"/>
    <cellStyle name="Normal 5 2 2 2 2 2 4 2 6" xfId="11973" xr:uid="{28B5A496-99FA-44C6-9A5C-E17E9EC69FBA}"/>
    <cellStyle name="Normal 5 2 2 2 2 2 4 3" xfId="5611" xr:uid="{00000000-0005-0000-0000-000015170000}"/>
    <cellStyle name="Normal 5 2 2 2 2 2 4 3 2" xfId="30910" xr:uid="{ACD4C15C-6173-4885-85A3-98DDC14236AD}"/>
    <cellStyle name="Normal 5 2 2 2 2 2 4 3 3" xfId="22481" xr:uid="{CC70B437-6689-4B54-B48E-97EC67318F4E}"/>
    <cellStyle name="Normal 5 2 2 2 2 2 4 3 4" xfId="39338" xr:uid="{E1B7EAA6-80ED-487C-8237-51F9AAF716E0}"/>
    <cellStyle name="Normal 5 2 2 2 2 2 4 3 5" xfId="14046" xr:uid="{58C79825-891E-4195-8889-7F7538DAEA95}"/>
    <cellStyle name="Normal 5 2 2 2 2 2 4 4" xfId="26692" xr:uid="{20979813-210D-410A-8B10-89A9511C3C5D}"/>
    <cellStyle name="Normal 5 2 2 2 2 2 4 5" xfId="18263" xr:uid="{FAD2E5FE-4B22-4F70-B670-ECC46400F9AD}"/>
    <cellStyle name="Normal 5 2 2 2 2 2 4 6" xfId="35121" xr:uid="{56DB1E72-5A57-4E7C-B8B0-29F6B7C2FC5B}"/>
    <cellStyle name="Normal 5 2 2 2 2 2 4 7" xfId="9828" xr:uid="{F1FA3B3B-5082-45CF-8D92-3D3E91F4B833}"/>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33468" xr:uid="{2D63A213-CA21-41DB-A472-EE3FEFB5BA1F}"/>
    <cellStyle name="Normal 5 2 2 2 2 2 5 2 2 3" xfId="25039" xr:uid="{9D03F08D-16A3-47D0-A709-19034E4525A3}"/>
    <cellStyle name="Normal 5 2 2 2 2 2 5 2 2 4" xfId="41896" xr:uid="{8C61E564-413B-4835-BF5A-49E01BE6910B}"/>
    <cellStyle name="Normal 5 2 2 2 2 2 5 2 2 5" xfId="16604" xr:uid="{F954E733-0D34-4C36-9DF0-9EB4D0814EBC}"/>
    <cellStyle name="Normal 5 2 2 2 2 2 5 2 3" xfId="29250" xr:uid="{2D99663F-D2B5-448E-8614-48C3480C44EA}"/>
    <cellStyle name="Normal 5 2 2 2 2 2 5 2 4" xfId="20821" xr:uid="{9BAA1510-2FF9-4461-A386-B071557FA159}"/>
    <cellStyle name="Normal 5 2 2 2 2 2 5 2 5" xfId="37679" xr:uid="{38966065-C081-4FC5-BDCC-5EF6BE9941AA}"/>
    <cellStyle name="Normal 5 2 2 2 2 2 5 2 6" xfId="12386" xr:uid="{EEC8E4CB-4E16-4CB6-BA4F-D96716F000AD}"/>
    <cellStyle name="Normal 5 2 2 2 2 2 5 3" xfId="6024" xr:uid="{00000000-0005-0000-0000-000019170000}"/>
    <cellStyle name="Normal 5 2 2 2 2 2 5 3 2" xfId="31323" xr:uid="{EFDA74D9-0B48-4A8A-8698-7685D71EE6CE}"/>
    <cellStyle name="Normal 5 2 2 2 2 2 5 3 3" xfId="22894" xr:uid="{A02A1BC9-72E8-4454-91BE-698F6100127C}"/>
    <cellStyle name="Normal 5 2 2 2 2 2 5 3 4" xfId="39751" xr:uid="{0C556E31-5912-41A5-94E3-89053E5B8047}"/>
    <cellStyle name="Normal 5 2 2 2 2 2 5 3 5" xfId="14459" xr:uid="{B374BE6F-DDB8-4593-A37D-BAF35B588708}"/>
    <cellStyle name="Normal 5 2 2 2 2 2 5 4" xfId="27105" xr:uid="{A265B111-47D9-4830-88BA-70FE0652B179}"/>
    <cellStyle name="Normal 5 2 2 2 2 2 5 5" xfId="18676" xr:uid="{ED4A95FC-0E19-4CEC-813A-D468C85B12EA}"/>
    <cellStyle name="Normal 5 2 2 2 2 2 5 6" xfId="35534" xr:uid="{EC8DFA9F-D1AF-40DA-BAFB-FCEA8296CE29}"/>
    <cellStyle name="Normal 5 2 2 2 2 2 5 7" xfId="10241" xr:uid="{851814C6-87F6-4EE6-A56E-34A09B7E2F24}"/>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33881" xr:uid="{983E0558-5E3A-4617-AF4B-D6FA8BAD45A6}"/>
    <cellStyle name="Normal 5 2 2 2 2 2 6 2 2 3" xfId="25452" xr:uid="{6006C050-3261-48D1-895A-FB28F63ED849}"/>
    <cellStyle name="Normal 5 2 2 2 2 2 6 2 2 4" xfId="42309" xr:uid="{B72652D8-C83D-4F76-9AD0-90A16E5FF93E}"/>
    <cellStyle name="Normal 5 2 2 2 2 2 6 2 2 5" xfId="17017" xr:uid="{F7FD03E5-0698-472C-802D-41DE09FD69D9}"/>
    <cellStyle name="Normal 5 2 2 2 2 2 6 2 3" xfId="29663" xr:uid="{3B21AA9F-8C4C-471C-ADC6-6DE7A7A2F33B}"/>
    <cellStyle name="Normal 5 2 2 2 2 2 6 2 4" xfId="21234" xr:uid="{8EF49AD9-9711-4AD1-BB71-4D24946C4787}"/>
    <cellStyle name="Normal 5 2 2 2 2 2 6 2 5" xfId="38092" xr:uid="{0152D96A-0C72-4C6A-B14C-D79C2134F0D7}"/>
    <cellStyle name="Normal 5 2 2 2 2 2 6 2 6" xfId="12799" xr:uid="{E67DC355-C563-49E2-9622-CE8A08F642A7}"/>
    <cellStyle name="Normal 5 2 2 2 2 2 6 3" xfId="6437" xr:uid="{00000000-0005-0000-0000-00001D170000}"/>
    <cellStyle name="Normal 5 2 2 2 2 2 6 3 2" xfId="31736" xr:uid="{8C84B1C1-4DE5-42A6-9717-7071726EBA8F}"/>
    <cellStyle name="Normal 5 2 2 2 2 2 6 3 3" xfId="23307" xr:uid="{99C925B3-4B31-4528-A204-9CE8DA69C0B2}"/>
    <cellStyle name="Normal 5 2 2 2 2 2 6 3 4" xfId="40164" xr:uid="{155E961D-2D6F-4351-8A1C-9389C55EF23E}"/>
    <cellStyle name="Normal 5 2 2 2 2 2 6 3 5" xfId="14872" xr:uid="{2880EDBB-2F61-4070-9026-722CF1171845}"/>
    <cellStyle name="Normal 5 2 2 2 2 2 6 4" xfId="27518" xr:uid="{739D4F82-0E73-45E5-AC0D-738AE1939ED5}"/>
    <cellStyle name="Normal 5 2 2 2 2 2 6 5" xfId="19089" xr:uid="{E5F43E3C-98B2-42DE-9132-630A0BB3E302}"/>
    <cellStyle name="Normal 5 2 2 2 2 2 6 6" xfId="35947" xr:uid="{60E34EA3-A9A5-4FA3-89D7-5AE47D6C8F8B}"/>
    <cellStyle name="Normal 5 2 2 2 2 2 6 7" xfId="10654" xr:uid="{AAEF8B3F-2076-4675-9876-06938C831BF8}"/>
    <cellStyle name="Normal 5 2 2 2 2 2 7" xfId="2566" xr:uid="{00000000-0005-0000-0000-00001E170000}"/>
    <cellStyle name="Normal 5 2 2 2 2 2 7 2" xfId="6850" xr:uid="{00000000-0005-0000-0000-00001F170000}"/>
    <cellStyle name="Normal 5 2 2 2 2 2 7 2 2" xfId="32149" xr:uid="{F38B95CC-6540-4765-831D-50679A88C37A}"/>
    <cellStyle name="Normal 5 2 2 2 2 2 7 2 3" xfId="23720" xr:uid="{1791A7BB-34C1-4D22-B6F6-C18BC2BBB857}"/>
    <cellStyle name="Normal 5 2 2 2 2 2 7 2 4" xfId="40577" xr:uid="{CEF8ACE6-D921-49F7-B0FC-EFC9915D8986}"/>
    <cellStyle name="Normal 5 2 2 2 2 2 7 2 5" xfId="15285" xr:uid="{7BAA8F2E-AA43-4602-BBA5-45F3D1AB470F}"/>
    <cellStyle name="Normal 5 2 2 2 2 2 7 3" xfId="27931" xr:uid="{B465533F-C68A-4439-A4B4-8E504C8F3A87}"/>
    <cellStyle name="Normal 5 2 2 2 2 2 7 4" xfId="19502" xr:uid="{FAA2F9DA-CE1F-4E18-959D-436C9FF45E3A}"/>
    <cellStyle name="Normal 5 2 2 2 2 2 7 5" xfId="36360" xr:uid="{E6CF8BC7-5247-427F-948A-965566147D1B}"/>
    <cellStyle name="Normal 5 2 2 2 2 2 7 6" xfId="11067" xr:uid="{79E3D51A-BCC5-4428-B39C-B51C88433581}"/>
    <cellStyle name="Normal 5 2 2 2 2 2 8" xfId="4785" xr:uid="{00000000-0005-0000-0000-000020170000}"/>
    <cellStyle name="Normal 5 2 2 2 2 2 8 2" xfId="30084" xr:uid="{8A02611B-7934-4874-BF9B-AC5DB91E7003}"/>
    <cellStyle name="Normal 5 2 2 2 2 2 8 3" xfId="21655" xr:uid="{864F3C9B-7149-4795-9628-D27155040808}"/>
    <cellStyle name="Normal 5 2 2 2 2 2 8 4" xfId="38512" xr:uid="{5A44B0AD-29E2-4FB7-AE77-284BF8B194DE}"/>
    <cellStyle name="Normal 5 2 2 2 2 2 8 5" xfId="13220" xr:uid="{C571D672-C7C3-434C-A129-449179A52468}"/>
    <cellStyle name="Normal 5 2 2 2 2 2 9" xfId="25866" xr:uid="{2EBA9456-0377-4A84-B1E4-0EC11D8663BC}"/>
    <cellStyle name="Normal 5 2 2 2 2 3" xfId="413" xr:uid="{00000000-0005-0000-0000-000021170000}"/>
    <cellStyle name="Normal 5 2 2 2 2 3 10" xfId="34297" xr:uid="{DB6B14D4-63A4-4763-AC96-1DB1A9EA18FE}"/>
    <cellStyle name="Normal 5 2 2 2 2 3 11" xfId="9004" xr:uid="{F27C8672-8BFD-41DC-83CE-9A75ABA03672}"/>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32644" xr:uid="{A7EF5B28-673B-4E69-AE60-907954EBB864}"/>
    <cellStyle name="Normal 5 2 2 2 2 3 2 2 2 3" xfId="24215" xr:uid="{5BC080AD-FA97-4300-B968-DD8FD064EF9E}"/>
    <cellStyle name="Normal 5 2 2 2 2 3 2 2 2 4" xfId="41072" xr:uid="{B00DDD91-71E9-4926-A8B7-F6CD2367F443}"/>
    <cellStyle name="Normal 5 2 2 2 2 3 2 2 2 5" xfId="15780" xr:uid="{E7E4B99C-0CC8-4E54-8D33-94F68676EF67}"/>
    <cellStyle name="Normal 5 2 2 2 2 3 2 2 3" xfId="28426" xr:uid="{641BF731-EF41-4E53-A2A7-091CAFEFD33D}"/>
    <cellStyle name="Normal 5 2 2 2 2 3 2 2 4" xfId="19997" xr:uid="{836C4425-E3BB-4BBB-BB7B-A23AC6B721F2}"/>
    <cellStyle name="Normal 5 2 2 2 2 3 2 2 5" xfId="36855" xr:uid="{18DE8019-29C5-467E-8B61-D3C6ABDE0330}"/>
    <cellStyle name="Normal 5 2 2 2 2 3 2 2 6" xfId="11562" xr:uid="{E0513E09-5C5E-45BF-A0B7-E941899431B7}"/>
    <cellStyle name="Normal 5 2 2 2 2 3 2 3" xfId="5200" xr:uid="{00000000-0005-0000-0000-000025170000}"/>
    <cellStyle name="Normal 5 2 2 2 2 3 2 3 2" xfId="30499" xr:uid="{5E008065-7537-4241-B5CB-634E404195F9}"/>
    <cellStyle name="Normal 5 2 2 2 2 3 2 3 3" xfId="22070" xr:uid="{75AAF9B5-1064-4159-BD24-8E2D13A289B5}"/>
    <cellStyle name="Normal 5 2 2 2 2 3 2 3 4" xfId="38927" xr:uid="{24D5289B-7D8B-4C2E-94B0-B0BFCDAEBD4C}"/>
    <cellStyle name="Normal 5 2 2 2 2 3 2 3 5" xfId="13635" xr:uid="{47C3AF7B-0A59-4FCC-9AE1-97CB45967C2A}"/>
    <cellStyle name="Normal 5 2 2 2 2 3 2 4" xfId="26281" xr:uid="{CBEA110B-4124-4C97-B226-6B3D1E563A04}"/>
    <cellStyle name="Normal 5 2 2 2 2 3 2 5" xfId="17852" xr:uid="{5FA5E40E-3F58-4063-BE14-73C1055D7F6A}"/>
    <cellStyle name="Normal 5 2 2 2 2 3 2 6" xfId="34710" xr:uid="{5C7AF2E5-1F5D-4130-9FB8-634E53F3FB7F}"/>
    <cellStyle name="Normal 5 2 2 2 2 3 2 7" xfId="9417" xr:uid="{F60B5267-AADA-4593-BE37-90A14EB6129E}"/>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33057" xr:uid="{42CB9FDC-7E49-4F36-8871-AE3F5F13C97D}"/>
    <cellStyle name="Normal 5 2 2 2 2 3 3 2 2 3" xfId="24628" xr:uid="{E9C77820-B943-4378-B08F-AF152C8B9535}"/>
    <cellStyle name="Normal 5 2 2 2 2 3 3 2 2 4" xfId="41485" xr:uid="{46B4EDC6-9964-42A1-89FF-F0695416B6EA}"/>
    <cellStyle name="Normal 5 2 2 2 2 3 3 2 2 5" xfId="16193" xr:uid="{C50623DD-3A91-43AD-AF73-8EF9F65D00A7}"/>
    <cellStyle name="Normal 5 2 2 2 2 3 3 2 3" xfId="28839" xr:uid="{7C7655B0-CC17-4493-A567-970250154D09}"/>
    <cellStyle name="Normal 5 2 2 2 2 3 3 2 4" xfId="20410" xr:uid="{726D5FBE-E1F6-47AF-8A34-DAF6C63C7868}"/>
    <cellStyle name="Normal 5 2 2 2 2 3 3 2 5" xfId="37268" xr:uid="{9D78E8D6-EB69-43B5-A052-0D23298F302F}"/>
    <cellStyle name="Normal 5 2 2 2 2 3 3 2 6" xfId="11975" xr:uid="{D252303C-9750-4960-8EE2-6DB276CC64DD}"/>
    <cellStyle name="Normal 5 2 2 2 2 3 3 3" xfId="5613" xr:uid="{00000000-0005-0000-0000-000029170000}"/>
    <cellStyle name="Normal 5 2 2 2 2 3 3 3 2" xfId="30912" xr:uid="{FDDECC80-50CE-4ED3-A9A2-02335A971E7E}"/>
    <cellStyle name="Normal 5 2 2 2 2 3 3 3 3" xfId="22483" xr:uid="{CB211DDD-4B52-4C3D-A6E4-B9817F05E1E3}"/>
    <cellStyle name="Normal 5 2 2 2 2 3 3 3 4" xfId="39340" xr:uid="{AC590DC1-E3EC-4BC2-99B0-91ECE419A306}"/>
    <cellStyle name="Normal 5 2 2 2 2 3 3 3 5" xfId="14048" xr:uid="{1D6D8DEF-A697-4E55-A241-7070B2B3D601}"/>
    <cellStyle name="Normal 5 2 2 2 2 3 3 4" xfId="26694" xr:uid="{BFA2BF51-177D-4808-810D-575A3A4B0EBE}"/>
    <cellStyle name="Normal 5 2 2 2 2 3 3 5" xfId="18265" xr:uid="{8B510EBE-D846-4151-8C25-D11A0CA6963A}"/>
    <cellStyle name="Normal 5 2 2 2 2 3 3 6" xfId="35123" xr:uid="{9FBEC38E-2CC7-4E7F-91B3-80333FE15353}"/>
    <cellStyle name="Normal 5 2 2 2 2 3 3 7" xfId="9830" xr:uid="{318F4AF1-A146-47DE-BB15-54A5EE114EC5}"/>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33470" xr:uid="{9FF78E55-51DB-4513-9B30-9A6BAD4F439C}"/>
    <cellStyle name="Normal 5 2 2 2 2 3 4 2 2 3" xfId="25041" xr:uid="{5BBC8FDE-D9BD-4916-9D8C-78AAB2FBC1DE}"/>
    <cellStyle name="Normal 5 2 2 2 2 3 4 2 2 4" xfId="41898" xr:uid="{F59D09B7-1543-4793-A0A3-7494946923BD}"/>
    <cellStyle name="Normal 5 2 2 2 2 3 4 2 2 5" xfId="16606" xr:uid="{16FE1974-BF6E-43E2-B029-4A51EA598BD6}"/>
    <cellStyle name="Normal 5 2 2 2 2 3 4 2 3" xfId="29252" xr:uid="{408CC19A-0074-4028-832A-5F10ED0335D8}"/>
    <cellStyle name="Normal 5 2 2 2 2 3 4 2 4" xfId="20823" xr:uid="{4FC84B8A-F76B-4BFD-9DE3-E897705A1652}"/>
    <cellStyle name="Normal 5 2 2 2 2 3 4 2 5" xfId="37681" xr:uid="{7D796A78-13CC-4DF5-A2AE-92599CD5A963}"/>
    <cellStyle name="Normal 5 2 2 2 2 3 4 2 6" xfId="12388" xr:uid="{8FE9B13D-C73E-4028-AF05-0F468203E2D5}"/>
    <cellStyle name="Normal 5 2 2 2 2 3 4 3" xfId="6026" xr:uid="{00000000-0005-0000-0000-00002D170000}"/>
    <cellStyle name="Normal 5 2 2 2 2 3 4 3 2" xfId="31325" xr:uid="{E64AFAC7-AE1C-465B-BB50-0703F3AB403E}"/>
    <cellStyle name="Normal 5 2 2 2 2 3 4 3 3" xfId="22896" xr:uid="{4E666E43-059B-46F4-8AB2-91DAABC78C5A}"/>
    <cellStyle name="Normal 5 2 2 2 2 3 4 3 4" xfId="39753" xr:uid="{2CC44EA1-5D6A-4B49-9D44-CC9AF74E35B2}"/>
    <cellStyle name="Normal 5 2 2 2 2 3 4 3 5" xfId="14461" xr:uid="{7D89A037-933B-46B1-9F98-5B8FEBB70012}"/>
    <cellStyle name="Normal 5 2 2 2 2 3 4 4" xfId="27107" xr:uid="{BFD1E1C2-2811-44FF-99C1-9DCECA2CA841}"/>
    <cellStyle name="Normal 5 2 2 2 2 3 4 5" xfId="18678" xr:uid="{03DDD5EF-8F26-40AA-92FD-B06E1F2A5A24}"/>
    <cellStyle name="Normal 5 2 2 2 2 3 4 6" xfId="35536" xr:uid="{1A354456-12A7-44F6-9DB4-7AF65302767B}"/>
    <cellStyle name="Normal 5 2 2 2 2 3 4 7" xfId="10243" xr:uid="{08856A3A-F71B-44E3-A5FA-4D006AA577DF}"/>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33883" xr:uid="{A2C7593E-8B5E-4A95-8801-AB8FFE551363}"/>
    <cellStyle name="Normal 5 2 2 2 2 3 5 2 2 3" xfId="25454" xr:uid="{F01C1677-A0E2-4131-9B6C-0D33B1A4A4AA}"/>
    <cellStyle name="Normal 5 2 2 2 2 3 5 2 2 4" xfId="42311" xr:uid="{5E65206B-AFF8-4A5D-8E05-D01EC7487A34}"/>
    <cellStyle name="Normal 5 2 2 2 2 3 5 2 2 5" xfId="17019" xr:uid="{1940CD68-8E59-4EB8-9B40-3B5163967736}"/>
    <cellStyle name="Normal 5 2 2 2 2 3 5 2 3" xfId="29665" xr:uid="{23EDD32E-32F7-4230-BD03-CCD90AAF2C0A}"/>
    <cellStyle name="Normal 5 2 2 2 2 3 5 2 4" xfId="21236" xr:uid="{EE95482D-9BFD-42FD-841E-F665AF5A9E55}"/>
    <cellStyle name="Normal 5 2 2 2 2 3 5 2 5" xfId="38094" xr:uid="{62498BCA-2C66-43EE-A27B-EBCC04ABB7E6}"/>
    <cellStyle name="Normal 5 2 2 2 2 3 5 2 6" xfId="12801" xr:uid="{2F2A1E99-612C-41C1-BEAD-D815C13A0D27}"/>
    <cellStyle name="Normal 5 2 2 2 2 3 5 3" xfId="6439" xr:uid="{00000000-0005-0000-0000-000031170000}"/>
    <cellStyle name="Normal 5 2 2 2 2 3 5 3 2" xfId="31738" xr:uid="{F709A88E-2FFC-4796-8727-96524302B3A0}"/>
    <cellStyle name="Normal 5 2 2 2 2 3 5 3 3" xfId="23309" xr:uid="{6BE33FE0-C13A-4C44-B5A5-F7FAE5C98414}"/>
    <cellStyle name="Normal 5 2 2 2 2 3 5 3 4" xfId="40166" xr:uid="{D915D1F4-7F8B-491F-BB07-FEEF283B145C}"/>
    <cellStyle name="Normal 5 2 2 2 2 3 5 3 5" xfId="14874" xr:uid="{C08D5F54-0217-4AD7-BCA8-21A57D54D734}"/>
    <cellStyle name="Normal 5 2 2 2 2 3 5 4" xfId="27520" xr:uid="{1154AFEA-ADC2-4A14-8F5F-E76E67D262A9}"/>
    <cellStyle name="Normal 5 2 2 2 2 3 5 5" xfId="19091" xr:uid="{94858391-A356-4E02-B8B7-C161A9DF7BF4}"/>
    <cellStyle name="Normal 5 2 2 2 2 3 5 6" xfId="35949" xr:uid="{E0F41C47-2070-49F4-9884-7B56D111AF22}"/>
    <cellStyle name="Normal 5 2 2 2 2 3 5 7" xfId="10656" xr:uid="{ECFA1E13-E27A-4D3E-9A27-40DE2D761403}"/>
    <cellStyle name="Normal 5 2 2 2 2 3 6" xfId="2568" xr:uid="{00000000-0005-0000-0000-000032170000}"/>
    <cellStyle name="Normal 5 2 2 2 2 3 6 2" xfId="6852" xr:uid="{00000000-0005-0000-0000-000033170000}"/>
    <cellStyle name="Normal 5 2 2 2 2 3 6 2 2" xfId="32151" xr:uid="{EB0E4925-67CC-47F0-9343-1C29DBB7A138}"/>
    <cellStyle name="Normal 5 2 2 2 2 3 6 2 3" xfId="23722" xr:uid="{87B2E995-53FF-4B10-B48C-7FDF877E83A0}"/>
    <cellStyle name="Normal 5 2 2 2 2 3 6 2 4" xfId="40579" xr:uid="{5F2FF6C2-15C5-4053-8C9D-8BD51D2C8B35}"/>
    <cellStyle name="Normal 5 2 2 2 2 3 6 2 5" xfId="15287" xr:uid="{196802C0-C131-492A-82CA-D333E0107422}"/>
    <cellStyle name="Normal 5 2 2 2 2 3 6 3" xfId="27933" xr:uid="{E2DECD48-9DB7-4678-8F84-07E03A9935C5}"/>
    <cellStyle name="Normal 5 2 2 2 2 3 6 4" xfId="19504" xr:uid="{B603CAAC-50A7-4EC4-840D-8720C9046705}"/>
    <cellStyle name="Normal 5 2 2 2 2 3 6 5" xfId="36362" xr:uid="{8A6DAFBC-E16A-40F7-AFA9-5E1A457E01C9}"/>
    <cellStyle name="Normal 5 2 2 2 2 3 6 6" xfId="11069" xr:uid="{2584A069-73B6-4321-B8C5-F671E765E748}"/>
    <cellStyle name="Normal 5 2 2 2 2 3 7" xfId="4787" xr:uid="{00000000-0005-0000-0000-000034170000}"/>
    <cellStyle name="Normal 5 2 2 2 2 3 7 2" xfId="30086" xr:uid="{E8886DD1-F70E-4527-8ACE-5AA7C3DB3041}"/>
    <cellStyle name="Normal 5 2 2 2 2 3 7 3" xfId="21657" xr:uid="{4E8DF8BE-8861-41EF-9103-2A9C83F391A9}"/>
    <cellStyle name="Normal 5 2 2 2 2 3 7 4" xfId="38514" xr:uid="{C8DB6D0B-110B-4B08-A711-050B80E891D0}"/>
    <cellStyle name="Normal 5 2 2 2 2 3 7 5" xfId="13222" xr:uid="{ABA0841A-F3A9-4608-B182-5B8C3797D8CE}"/>
    <cellStyle name="Normal 5 2 2 2 2 3 8" xfId="25868" xr:uid="{64C75141-81A4-4BAF-B29B-942503B3CEA3}"/>
    <cellStyle name="Normal 5 2 2 2 2 3 9" xfId="17439" xr:uid="{D7F57B99-29D9-474E-A2C9-8327E68B8236}"/>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32641" xr:uid="{9A60EFE8-4B6D-4ACB-8093-9CDD4BBE6E29}"/>
    <cellStyle name="Normal 5 2 2 2 2 4 2 2 3" xfId="24212" xr:uid="{0A268A50-C77D-4967-961D-EB301ABD99BA}"/>
    <cellStyle name="Normal 5 2 2 2 2 4 2 2 4" xfId="41069" xr:uid="{D36EC9D6-BD88-4AF1-993B-3D1618D8F083}"/>
    <cellStyle name="Normal 5 2 2 2 2 4 2 2 5" xfId="15777" xr:uid="{9B788824-A504-4DC8-82C0-BF5F409909F8}"/>
    <cellStyle name="Normal 5 2 2 2 2 4 2 3" xfId="28423" xr:uid="{0C9BC160-9F88-471C-B9FC-9C77956C3480}"/>
    <cellStyle name="Normal 5 2 2 2 2 4 2 4" xfId="19994" xr:uid="{211A4231-03B3-4FF1-8220-3C4CDB9B3C9C}"/>
    <cellStyle name="Normal 5 2 2 2 2 4 2 5" xfId="36852" xr:uid="{8B07B27D-212F-4F84-A6A9-37B887CE91DF}"/>
    <cellStyle name="Normal 5 2 2 2 2 4 2 6" xfId="11559" xr:uid="{4F8905E2-7EE4-4421-9402-09124A47F33C}"/>
    <cellStyle name="Normal 5 2 2 2 2 4 3" xfId="5197" xr:uid="{00000000-0005-0000-0000-000038170000}"/>
    <cellStyle name="Normal 5 2 2 2 2 4 3 2" xfId="30496" xr:uid="{D0DA1AAD-0FBD-4ADA-9322-582AEAA9DB90}"/>
    <cellStyle name="Normal 5 2 2 2 2 4 3 3" xfId="22067" xr:uid="{4A640FCF-68C7-44F0-9679-8442987750BF}"/>
    <cellStyle name="Normal 5 2 2 2 2 4 3 4" xfId="38924" xr:uid="{672D97A3-8BC8-4328-AF30-0B66B2B756A3}"/>
    <cellStyle name="Normal 5 2 2 2 2 4 3 5" xfId="13632" xr:uid="{4A57CB2A-BBC3-48C3-9682-F9CB5772F1BC}"/>
    <cellStyle name="Normal 5 2 2 2 2 4 4" xfId="26278" xr:uid="{2DDEE33F-AFB4-4A2B-BB5A-A8725A552E61}"/>
    <cellStyle name="Normal 5 2 2 2 2 4 5" xfId="17849" xr:uid="{9DA39710-D82D-475A-9B5E-1F28D6555198}"/>
    <cellStyle name="Normal 5 2 2 2 2 4 6" xfId="34707" xr:uid="{3B4A2648-8A27-4142-BBCE-9E9D3E446E22}"/>
    <cellStyle name="Normal 5 2 2 2 2 4 7" xfId="9414" xr:uid="{816AB739-F26B-469B-AE88-5EA1FE7A488F}"/>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33054" xr:uid="{5529A0AF-36C5-4710-A0C7-60389A6EBE23}"/>
    <cellStyle name="Normal 5 2 2 2 2 5 2 2 3" xfId="24625" xr:uid="{895E7F89-71C5-4818-8FE7-82C099DCEAD8}"/>
    <cellStyle name="Normal 5 2 2 2 2 5 2 2 4" xfId="41482" xr:uid="{F0A9999D-BDC5-43A4-B01E-0F3F3D7E9EAC}"/>
    <cellStyle name="Normal 5 2 2 2 2 5 2 2 5" xfId="16190" xr:uid="{44C8C813-B3CF-4A51-A588-EB6910DF1BFE}"/>
    <cellStyle name="Normal 5 2 2 2 2 5 2 3" xfId="28836" xr:uid="{A0E5F60B-7DA6-40AC-87C4-ECF145FDDB88}"/>
    <cellStyle name="Normal 5 2 2 2 2 5 2 4" xfId="20407" xr:uid="{5ECFE3EF-B824-4121-9EA8-A2A48268C52B}"/>
    <cellStyle name="Normal 5 2 2 2 2 5 2 5" xfId="37265" xr:uid="{33778498-D184-48FF-8BD1-EB11205A7FB8}"/>
    <cellStyle name="Normal 5 2 2 2 2 5 2 6" xfId="11972" xr:uid="{F9CA008A-DA64-4CE7-8F15-195BB2FBA003}"/>
    <cellStyle name="Normal 5 2 2 2 2 5 3" xfId="5610" xr:uid="{00000000-0005-0000-0000-00003C170000}"/>
    <cellStyle name="Normal 5 2 2 2 2 5 3 2" xfId="30909" xr:uid="{A90EC6DC-8E7B-43F4-928E-7A36114D1022}"/>
    <cellStyle name="Normal 5 2 2 2 2 5 3 3" xfId="22480" xr:uid="{20531A7C-3855-4A1D-91D2-3B5360711C54}"/>
    <cellStyle name="Normal 5 2 2 2 2 5 3 4" xfId="39337" xr:uid="{3A2E3EC1-6CF4-41F9-ACBA-A3E94D4E2A21}"/>
    <cellStyle name="Normal 5 2 2 2 2 5 3 5" xfId="14045" xr:uid="{0BF1BFF4-99FF-4EE4-912C-F090F6759DCC}"/>
    <cellStyle name="Normal 5 2 2 2 2 5 4" xfId="26691" xr:uid="{2CB2F375-5B27-437A-AE5E-F104276CB43D}"/>
    <cellStyle name="Normal 5 2 2 2 2 5 5" xfId="18262" xr:uid="{339D90D8-BD88-4B2F-8EF3-63F0C455FDE5}"/>
    <cellStyle name="Normal 5 2 2 2 2 5 6" xfId="35120" xr:uid="{5308A633-1BBF-416C-BEF3-696F7E72774C}"/>
    <cellStyle name="Normal 5 2 2 2 2 5 7" xfId="9827" xr:uid="{1CC7C380-8E78-486B-B31C-21DA431DCC17}"/>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33467" xr:uid="{9D7B81E1-9B03-48A4-AE66-699AECFC178A}"/>
    <cellStyle name="Normal 5 2 2 2 2 6 2 2 3" xfId="25038" xr:uid="{67D6AD79-E7FD-45E0-8647-86D9B7D5E6C6}"/>
    <cellStyle name="Normal 5 2 2 2 2 6 2 2 4" xfId="41895" xr:uid="{D3DA098A-0310-4B22-B3F7-006A2135D4E5}"/>
    <cellStyle name="Normal 5 2 2 2 2 6 2 2 5" xfId="16603" xr:uid="{B2391626-1A54-4059-B220-E29C20B14F1A}"/>
    <cellStyle name="Normal 5 2 2 2 2 6 2 3" xfId="29249" xr:uid="{A2E0A503-53DE-4A8C-B15B-A1C4C90C4019}"/>
    <cellStyle name="Normal 5 2 2 2 2 6 2 4" xfId="20820" xr:uid="{46BE090E-FC74-49F6-AD42-32D85CA0AA73}"/>
    <cellStyle name="Normal 5 2 2 2 2 6 2 5" xfId="37678" xr:uid="{05C995E3-9444-4CD7-8DCC-C7B6195E3567}"/>
    <cellStyle name="Normal 5 2 2 2 2 6 2 6" xfId="12385" xr:uid="{DE98283D-6CE0-40DB-9EC5-3C9135F50FE6}"/>
    <cellStyle name="Normal 5 2 2 2 2 6 3" xfId="6023" xr:uid="{00000000-0005-0000-0000-000040170000}"/>
    <cellStyle name="Normal 5 2 2 2 2 6 3 2" xfId="31322" xr:uid="{2CE3BB98-30FA-4A6B-9F43-9B9D66DB9F98}"/>
    <cellStyle name="Normal 5 2 2 2 2 6 3 3" xfId="22893" xr:uid="{8E565747-8632-4A70-9BDA-F5541BE5F267}"/>
    <cellStyle name="Normal 5 2 2 2 2 6 3 4" xfId="39750" xr:uid="{2FDBD4B0-502A-481D-B94A-3B643AED6B40}"/>
    <cellStyle name="Normal 5 2 2 2 2 6 3 5" xfId="14458" xr:uid="{BECC72C3-8238-4770-BCB3-32AA7A3B472C}"/>
    <cellStyle name="Normal 5 2 2 2 2 6 4" xfId="27104" xr:uid="{C7338B55-492D-411B-8410-07AF822B7194}"/>
    <cellStyle name="Normal 5 2 2 2 2 6 5" xfId="18675" xr:uid="{0D8398BB-21C6-4859-97FE-137D71C2DFFA}"/>
    <cellStyle name="Normal 5 2 2 2 2 6 6" xfId="35533" xr:uid="{CF81DF5D-CD05-4BAA-9CFC-2B469CF0101D}"/>
    <cellStyle name="Normal 5 2 2 2 2 6 7" xfId="10240" xr:uid="{1EF53EEF-78C0-43CD-9651-8A57AA2CCF84}"/>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33880" xr:uid="{23BCA118-CCC5-4689-994F-6D913EE5C82C}"/>
    <cellStyle name="Normal 5 2 2 2 2 7 2 2 3" xfId="25451" xr:uid="{27421F14-F278-471F-90C3-17E9D6F40E87}"/>
    <cellStyle name="Normal 5 2 2 2 2 7 2 2 4" xfId="42308" xr:uid="{93E3D134-09DD-403A-9816-5E3402D84D6B}"/>
    <cellStyle name="Normal 5 2 2 2 2 7 2 2 5" xfId="17016" xr:uid="{17BA3794-15E3-4390-9EBB-B1CC76BDE437}"/>
    <cellStyle name="Normal 5 2 2 2 2 7 2 3" xfId="29662" xr:uid="{3626466A-5873-4B55-BFDE-531A4AE52369}"/>
    <cellStyle name="Normal 5 2 2 2 2 7 2 4" xfId="21233" xr:uid="{48CC14A2-6E8C-489D-87DF-ADB77132B4CC}"/>
    <cellStyle name="Normal 5 2 2 2 2 7 2 5" xfId="38091" xr:uid="{A7C8ABD1-3496-4CE2-B5EC-C9157DD6E1BD}"/>
    <cellStyle name="Normal 5 2 2 2 2 7 2 6" xfId="12798" xr:uid="{D137B08B-6EAA-4A26-994A-835C19E2EE6B}"/>
    <cellStyle name="Normal 5 2 2 2 2 7 3" xfId="6436" xr:uid="{00000000-0005-0000-0000-000044170000}"/>
    <cellStyle name="Normal 5 2 2 2 2 7 3 2" xfId="31735" xr:uid="{B1C77866-E8C9-44CA-A572-3BC9D9CAA45D}"/>
    <cellStyle name="Normal 5 2 2 2 2 7 3 3" xfId="23306" xr:uid="{B700BEE3-A8B9-4FB4-8207-AD28DCB222BF}"/>
    <cellStyle name="Normal 5 2 2 2 2 7 3 4" xfId="40163" xr:uid="{6EFDA352-B5B0-4B0E-85B9-4283B35C208F}"/>
    <cellStyle name="Normal 5 2 2 2 2 7 3 5" xfId="14871" xr:uid="{7372FBD1-2A4D-4097-9D9C-D56743B401C1}"/>
    <cellStyle name="Normal 5 2 2 2 2 7 4" xfId="27517" xr:uid="{F3757A46-E0C9-4F81-961B-F01A6A8D8AD3}"/>
    <cellStyle name="Normal 5 2 2 2 2 7 5" xfId="19088" xr:uid="{AACFA172-F481-477D-93AA-4BF3FB273488}"/>
    <cellStyle name="Normal 5 2 2 2 2 7 6" xfId="35946" xr:uid="{C24CD95B-BCF7-4233-95DF-0287CA02DD66}"/>
    <cellStyle name="Normal 5 2 2 2 2 7 7" xfId="10653" xr:uid="{01C074CF-4AA7-40EA-AC2C-2B790583E2D6}"/>
    <cellStyle name="Normal 5 2 2 2 2 8" xfId="2565" xr:uid="{00000000-0005-0000-0000-000045170000}"/>
    <cellStyle name="Normal 5 2 2 2 2 8 2" xfId="6849" xr:uid="{00000000-0005-0000-0000-000046170000}"/>
    <cellStyle name="Normal 5 2 2 2 2 8 2 2" xfId="32148" xr:uid="{A712B3DC-C0C3-4157-AE65-9E9931460FA5}"/>
    <cellStyle name="Normal 5 2 2 2 2 8 2 3" xfId="23719" xr:uid="{A06FC461-373F-45AD-8792-C3686C816375}"/>
    <cellStyle name="Normal 5 2 2 2 2 8 2 4" xfId="40576" xr:uid="{06D80852-30C3-441A-AA18-E342B25FCDC7}"/>
    <cellStyle name="Normal 5 2 2 2 2 8 2 5" xfId="15284" xr:uid="{3334D396-832D-4170-A36A-49F81E449BA5}"/>
    <cellStyle name="Normal 5 2 2 2 2 8 3" xfId="27930" xr:uid="{8F2CA39F-9293-4AFE-85D0-42F6CAA1A47E}"/>
    <cellStyle name="Normal 5 2 2 2 2 8 4" xfId="19501" xr:uid="{C24FD7EE-15A9-434C-99F6-13B89F38A344}"/>
    <cellStyle name="Normal 5 2 2 2 2 8 5" xfId="36359" xr:uid="{4BE51049-5E87-41CD-BF08-477742B7636F}"/>
    <cellStyle name="Normal 5 2 2 2 2 8 6" xfId="11066" xr:uid="{EC2E9A45-E6B9-4773-91CD-773F0F5E42CE}"/>
    <cellStyle name="Normal 5 2 2 2 2 9" xfId="4784" xr:uid="{00000000-0005-0000-0000-000047170000}"/>
    <cellStyle name="Normal 5 2 2 2 2 9 2" xfId="30083" xr:uid="{5E85500E-24F2-4136-B670-FDB31B0F08A7}"/>
    <cellStyle name="Normal 5 2 2 2 2 9 3" xfId="21654" xr:uid="{58FF56D8-A615-42FC-AE00-68ED87D27FF3}"/>
    <cellStyle name="Normal 5 2 2 2 2 9 4" xfId="38511" xr:uid="{32F808A0-6DBB-40F7-A8E2-E083FF1CC9CB}"/>
    <cellStyle name="Normal 5 2 2 2 2 9 5" xfId="13219" xr:uid="{D16D8223-5363-449E-A806-09E9738FEE4B}"/>
    <cellStyle name="Normal 5 2 2 2 3" xfId="414" xr:uid="{00000000-0005-0000-0000-000048170000}"/>
    <cellStyle name="Normal 5 2 2 2 3 10" xfId="17440" xr:uid="{0216EFDF-D7F5-49A5-84C0-B80B4C82BA0D}"/>
    <cellStyle name="Normal 5 2 2 2 3 11" xfId="34298" xr:uid="{B803EF50-F9AA-47DC-BFAE-9713805F747C}"/>
    <cellStyle name="Normal 5 2 2 2 3 12" xfId="9005" xr:uid="{78F82295-D9B5-47DE-BAB0-F8CB42EB2DC9}"/>
    <cellStyle name="Normal 5 2 2 2 3 2" xfId="415" xr:uid="{00000000-0005-0000-0000-000049170000}"/>
    <cellStyle name="Normal 5 2 2 2 3 2 10" xfId="34299" xr:uid="{F62DCFD2-E3C9-4FFF-98C9-951FAAC6D410}"/>
    <cellStyle name="Normal 5 2 2 2 3 2 11" xfId="9006" xr:uid="{07CFBE2C-DAB2-47BC-A8B4-2E19158EE23C}"/>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32646" xr:uid="{297580A3-2872-4454-9E02-0715FB9D9C13}"/>
    <cellStyle name="Normal 5 2 2 2 3 2 2 2 2 3" xfId="24217" xr:uid="{84F5508B-CBDC-441B-94D1-021C6D7A4394}"/>
    <cellStyle name="Normal 5 2 2 2 3 2 2 2 2 4" xfId="41074" xr:uid="{5549EBBB-1C26-4A94-8012-3DF1B06DB213}"/>
    <cellStyle name="Normal 5 2 2 2 3 2 2 2 2 5" xfId="15782" xr:uid="{282ED8E5-5C1C-4C95-9796-6760AD9B0F32}"/>
    <cellStyle name="Normal 5 2 2 2 3 2 2 2 3" xfId="28428" xr:uid="{F3FC78E4-048D-4EBE-A451-DCF5BF893E1D}"/>
    <cellStyle name="Normal 5 2 2 2 3 2 2 2 4" xfId="19999" xr:uid="{B4F9D202-F455-4429-8485-7BCBF0C9C9B2}"/>
    <cellStyle name="Normal 5 2 2 2 3 2 2 2 5" xfId="36857" xr:uid="{C8EB0770-48E1-403C-9028-4C3A5C9566AA}"/>
    <cellStyle name="Normal 5 2 2 2 3 2 2 2 6" xfId="11564" xr:uid="{7CB8C2E0-3413-4125-88DB-B15B6453D96C}"/>
    <cellStyle name="Normal 5 2 2 2 3 2 2 3" xfId="5202" xr:uid="{00000000-0005-0000-0000-00004D170000}"/>
    <cellStyle name="Normal 5 2 2 2 3 2 2 3 2" xfId="30501" xr:uid="{499644E4-5062-4A15-94FF-953CEFF2AE1E}"/>
    <cellStyle name="Normal 5 2 2 2 3 2 2 3 3" xfId="22072" xr:uid="{922AE1AA-153F-4283-BFEC-3C3DBA4D0068}"/>
    <cellStyle name="Normal 5 2 2 2 3 2 2 3 4" xfId="38929" xr:uid="{821D1E1A-0F8C-426D-A1EC-DA836C4F3EA4}"/>
    <cellStyle name="Normal 5 2 2 2 3 2 2 3 5" xfId="13637" xr:uid="{957262CC-2366-42A2-AF79-B27460F20FB7}"/>
    <cellStyle name="Normal 5 2 2 2 3 2 2 4" xfId="26283" xr:uid="{FEEB8CB1-61D8-4F12-99D2-D484C314E3C0}"/>
    <cellStyle name="Normal 5 2 2 2 3 2 2 5" xfId="17854" xr:uid="{3759A6C1-309D-43AA-BB07-9CC3940320FD}"/>
    <cellStyle name="Normal 5 2 2 2 3 2 2 6" xfId="34712" xr:uid="{3F89DC5B-7062-45E9-85DA-958FF087518D}"/>
    <cellStyle name="Normal 5 2 2 2 3 2 2 7" xfId="9419" xr:uid="{8023791F-0762-411E-A96D-91B3C030661D}"/>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33059" xr:uid="{18E630E5-CC2C-4D1A-A311-F6FBD8DC37B3}"/>
    <cellStyle name="Normal 5 2 2 2 3 2 3 2 2 3" xfId="24630" xr:uid="{83ADAAC7-87BB-4174-9B6A-819953982D55}"/>
    <cellStyle name="Normal 5 2 2 2 3 2 3 2 2 4" xfId="41487" xr:uid="{FFC96D38-6C1D-46A2-8EF9-BD607AAC35FE}"/>
    <cellStyle name="Normal 5 2 2 2 3 2 3 2 2 5" xfId="16195" xr:uid="{C6BB3A59-35DB-4461-88A2-957B8FF7CBC2}"/>
    <cellStyle name="Normal 5 2 2 2 3 2 3 2 3" xfId="28841" xr:uid="{2DFC163A-3AB0-4D5A-9809-38FF9FCB4726}"/>
    <cellStyle name="Normal 5 2 2 2 3 2 3 2 4" xfId="20412" xr:uid="{10D9A810-0CE1-472B-A9AD-400DE917E9F7}"/>
    <cellStyle name="Normal 5 2 2 2 3 2 3 2 5" xfId="37270" xr:uid="{A3477C5A-6782-4FB7-AAF4-B265CC97F52E}"/>
    <cellStyle name="Normal 5 2 2 2 3 2 3 2 6" xfId="11977" xr:uid="{14986BBF-C072-4DFB-B635-1FDCE08BBBFE}"/>
    <cellStyle name="Normal 5 2 2 2 3 2 3 3" xfId="5615" xr:uid="{00000000-0005-0000-0000-000051170000}"/>
    <cellStyle name="Normal 5 2 2 2 3 2 3 3 2" xfId="30914" xr:uid="{8BB66886-6B51-47B4-ABA6-0E733318EDCF}"/>
    <cellStyle name="Normal 5 2 2 2 3 2 3 3 3" xfId="22485" xr:uid="{D40DBFB0-21C7-4059-A32F-7A50AE232FC4}"/>
    <cellStyle name="Normal 5 2 2 2 3 2 3 3 4" xfId="39342" xr:uid="{01D61FA9-892C-4327-BDBD-2F2BEAD42893}"/>
    <cellStyle name="Normal 5 2 2 2 3 2 3 3 5" xfId="14050" xr:uid="{AABD21E7-D893-4B1F-A022-81BD9B5CF85F}"/>
    <cellStyle name="Normal 5 2 2 2 3 2 3 4" xfId="26696" xr:uid="{21065D69-6661-4084-85FE-5D8F307108E8}"/>
    <cellStyle name="Normal 5 2 2 2 3 2 3 5" xfId="18267" xr:uid="{16FC5396-2174-46E0-885E-DCF3561D2B5B}"/>
    <cellStyle name="Normal 5 2 2 2 3 2 3 6" xfId="35125" xr:uid="{27FC6C2D-F382-454E-84A9-AA1A45CB7C55}"/>
    <cellStyle name="Normal 5 2 2 2 3 2 3 7" xfId="9832" xr:uid="{1483A5FD-B84E-421C-A191-432929BA33C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33472" xr:uid="{71DD46B4-D8D8-495F-98A8-2D34528AC71B}"/>
    <cellStyle name="Normal 5 2 2 2 3 2 4 2 2 3" xfId="25043" xr:uid="{8D01EDF8-7BC2-4CE9-900C-5A2EF626E48C}"/>
    <cellStyle name="Normal 5 2 2 2 3 2 4 2 2 4" xfId="41900" xr:uid="{E928B11C-3FEB-48A8-AA63-4998369E85CF}"/>
    <cellStyle name="Normal 5 2 2 2 3 2 4 2 2 5" xfId="16608" xr:uid="{A62B06EC-5F3B-4A64-8280-FE6E04132697}"/>
    <cellStyle name="Normal 5 2 2 2 3 2 4 2 3" xfId="29254" xr:uid="{BBFBBBF0-A699-40CE-A91B-27E14FF35C2A}"/>
    <cellStyle name="Normal 5 2 2 2 3 2 4 2 4" xfId="20825" xr:uid="{4C5875B2-37C8-4066-B983-FC8BAECA7D2D}"/>
    <cellStyle name="Normal 5 2 2 2 3 2 4 2 5" xfId="37683" xr:uid="{33FF7F44-246C-45A3-8B88-0F44EF9962B4}"/>
    <cellStyle name="Normal 5 2 2 2 3 2 4 2 6" xfId="12390" xr:uid="{14F84DA6-3136-4035-A497-C14909914F73}"/>
    <cellStyle name="Normal 5 2 2 2 3 2 4 3" xfId="6028" xr:uid="{00000000-0005-0000-0000-000055170000}"/>
    <cellStyle name="Normal 5 2 2 2 3 2 4 3 2" xfId="31327" xr:uid="{1916055D-3847-47B5-AA89-A9158C932B28}"/>
    <cellStyle name="Normal 5 2 2 2 3 2 4 3 3" xfId="22898" xr:uid="{49893A6C-5CE2-4217-934C-A96833B2ED57}"/>
    <cellStyle name="Normal 5 2 2 2 3 2 4 3 4" xfId="39755" xr:uid="{2AA08AB2-11DB-485F-AA5C-D3D8699DE044}"/>
    <cellStyle name="Normal 5 2 2 2 3 2 4 3 5" xfId="14463" xr:uid="{93F431DF-2F57-4F7F-87F0-5A1766AF7C76}"/>
    <cellStyle name="Normal 5 2 2 2 3 2 4 4" xfId="27109" xr:uid="{187220BE-C553-416A-94A5-F329E64861C7}"/>
    <cellStyle name="Normal 5 2 2 2 3 2 4 5" xfId="18680" xr:uid="{D3378015-90ED-42C0-8620-451DFD2A9669}"/>
    <cellStyle name="Normal 5 2 2 2 3 2 4 6" xfId="35538" xr:uid="{429BD655-46FA-4669-A5BF-A3666966628D}"/>
    <cellStyle name="Normal 5 2 2 2 3 2 4 7" xfId="10245" xr:uid="{722635F5-685D-417B-9CB2-4E8D0D09935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33885" xr:uid="{47F06C43-8138-46A8-B6FA-EA650447AEAC}"/>
    <cellStyle name="Normal 5 2 2 2 3 2 5 2 2 3" xfId="25456" xr:uid="{F983583E-866F-4B6C-82D7-F94434D84DC7}"/>
    <cellStyle name="Normal 5 2 2 2 3 2 5 2 2 4" xfId="42313" xr:uid="{A1610EB1-C67A-4CBC-B56A-47399E63A61B}"/>
    <cellStyle name="Normal 5 2 2 2 3 2 5 2 2 5" xfId="17021" xr:uid="{568B8580-4171-4E7D-B114-F3101DDA17C1}"/>
    <cellStyle name="Normal 5 2 2 2 3 2 5 2 3" xfId="29667" xr:uid="{F6BED0A5-2711-4A2C-8417-D6F0EC3E522E}"/>
    <cellStyle name="Normal 5 2 2 2 3 2 5 2 4" xfId="21238" xr:uid="{C60D4C20-62FB-4B00-B059-C34F565299F8}"/>
    <cellStyle name="Normal 5 2 2 2 3 2 5 2 5" xfId="38096" xr:uid="{F2B211AC-1F85-46AC-9642-8D5EF8D9F646}"/>
    <cellStyle name="Normal 5 2 2 2 3 2 5 2 6" xfId="12803" xr:uid="{EBBB1028-B06B-4B74-9AA8-EEB0C26A82C6}"/>
    <cellStyle name="Normal 5 2 2 2 3 2 5 3" xfId="6441" xr:uid="{00000000-0005-0000-0000-000059170000}"/>
    <cellStyle name="Normal 5 2 2 2 3 2 5 3 2" xfId="31740" xr:uid="{DE64BB3C-0836-4350-A53F-1AE62B81AA50}"/>
    <cellStyle name="Normal 5 2 2 2 3 2 5 3 3" xfId="23311" xr:uid="{12D0F82A-7293-4DF4-94DD-50499FA00EE1}"/>
    <cellStyle name="Normal 5 2 2 2 3 2 5 3 4" xfId="40168" xr:uid="{8BEBDCF8-52AB-410C-A860-DC1425D76638}"/>
    <cellStyle name="Normal 5 2 2 2 3 2 5 3 5" xfId="14876" xr:uid="{1649E6D5-BA6C-4DF0-B21C-23C795B6B295}"/>
    <cellStyle name="Normal 5 2 2 2 3 2 5 4" xfId="27522" xr:uid="{FFA7D32C-D61D-414A-8B35-30CA7C2CE9F3}"/>
    <cellStyle name="Normal 5 2 2 2 3 2 5 5" xfId="19093" xr:uid="{0DB870D5-F068-4539-99D2-7C1D4A13BD09}"/>
    <cellStyle name="Normal 5 2 2 2 3 2 5 6" xfId="35951" xr:uid="{BE5F2872-9914-4657-8542-6041BB4CA17C}"/>
    <cellStyle name="Normal 5 2 2 2 3 2 5 7" xfId="10658" xr:uid="{BFF4CDEE-8886-43A6-8C6B-6BFD7196270F}"/>
    <cellStyle name="Normal 5 2 2 2 3 2 6" xfId="2570" xr:uid="{00000000-0005-0000-0000-00005A170000}"/>
    <cellStyle name="Normal 5 2 2 2 3 2 6 2" xfId="6854" xr:uid="{00000000-0005-0000-0000-00005B170000}"/>
    <cellStyle name="Normal 5 2 2 2 3 2 6 2 2" xfId="32153" xr:uid="{2E9A54CC-AAF9-47AF-AEBB-B171D1658119}"/>
    <cellStyle name="Normal 5 2 2 2 3 2 6 2 3" xfId="23724" xr:uid="{3B9664C7-ECED-41F2-A710-1EF2C35E5D82}"/>
    <cellStyle name="Normal 5 2 2 2 3 2 6 2 4" xfId="40581" xr:uid="{71C5ACC6-923D-4D6D-8E56-51CB18FE2387}"/>
    <cellStyle name="Normal 5 2 2 2 3 2 6 2 5" xfId="15289" xr:uid="{B1A9AA24-D32C-4C15-A1B2-024035FD5A89}"/>
    <cellStyle name="Normal 5 2 2 2 3 2 6 3" xfId="27935" xr:uid="{61DF7A6F-8C5C-403C-BC38-8015DEB28CC9}"/>
    <cellStyle name="Normal 5 2 2 2 3 2 6 4" xfId="19506" xr:uid="{E2D5FCF8-C3AE-4B04-8176-EB9D05AC587C}"/>
    <cellStyle name="Normal 5 2 2 2 3 2 6 5" xfId="36364" xr:uid="{862A5F45-520B-4966-86ED-65BB8EDBB1BE}"/>
    <cellStyle name="Normal 5 2 2 2 3 2 6 6" xfId="11071" xr:uid="{86228D58-5CD5-440C-83E3-F397794A7230}"/>
    <cellStyle name="Normal 5 2 2 2 3 2 7" xfId="4789" xr:uid="{00000000-0005-0000-0000-00005C170000}"/>
    <cellStyle name="Normal 5 2 2 2 3 2 7 2" xfId="30088" xr:uid="{ED25C144-1378-4A57-804F-70AAC769C114}"/>
    <cellStyle name="Normal 5 2 2 2 3 2 7 3" xfId="21659" xr:uid="{AA33BB43-BC6F-4BF3-8549-CB0BFAF27ACD}"/>
    <cellStyle name="Normal 5 2 2 2 3 2 7 4" xfId="38516" xr:uid="{0B604B00-9CC8-468C-BA40-B43EC03217AC}"/>
    <cellStyle name="Normal 5 2 2 2 3 2 7 5" xfId="13224" xr:uid="{AC5D00FA-59CC-4DD1-8426-B46F8F949561}"/>
    <cellStyle name="Normal 5 2 2 2 3 2 8" xfId="25870" xr:uid="{3245C695-86DE-41B8-AB8D-6E508FC2543F}"/>
    <cellStyle name="Normal 5 2 2 2 3 2 9" xfId="17441" xr:uid="{ADC382DA-98EB-4D0B-A8A9-45B3F0BEB1FC}"/>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32645" xr:uid="{1061B7B9-DFD2-4FA3-AD55-C222A111401A}"/>
    <cellStyle name="Normal 5 2 2 2 3 3 2 2 3" xfId="24216" xr:uid="{1810C811-3676-4832-93E8-491847C88DC6}"/>
    <cellStyle name="Normal 5 2 2 2 3 3 2 2 4" xfId="41073" xr:uid="{F18DFF8C-0B39-48AD-9C21-1E42306BE971}"/>
    <cellStyle name="Normal 5 2 2 2 3 3 2 2 5" xfId="15781" xr:uid="{1E1D5A6F-5E21-4CBD-8CC6-73C978451F53}"/>
    <cellStyle name="Normal 5 2 2 2 3 3 2 3" xfId="28427" xr:uid="{1C00679A-6DDB-432B-B337-D4B001706B89}"/>
    <cellStyle name="Normal 5 2 2 2 3 3 2 4" xfId="19998" xr:uid="{899E0A5E-34E3-42C4-BBCD-4E8CBD4AC79F}"/>
    <cellStyle name="Normal 5 2 2 2 3 3 2 5" xfId="36856" xr:uid="{8E824D9F-4C33-472B-B192-B2CC467BED73}"/>
    <cellStyle name="Normal 5 2 2 2 3 3 2 6" xfId="11563" xr:uid="{839778CB-A7BB-408E-BB45-F8D9C319004B}"/>
    <cellStyle name="Normal 5 2 2 2 3 3 3" xfId="5201" xr:uid="{00000000-0005-0000-0000-000060170000}"/>
    <cellStyle name="Normal 5 2 2 2 3 3 3 2" xfId="30500" xr:uid="{45395332-719E-4316-8E7C-06C07815CFE0}"/>
    <cellStyle name="Normal 5 2 2 2 3 3 3 3" xfId="22071" xr:uid="{7C54A5F6-0032-4A7D-9425-2D93A9547032}"/>
    <cellStyle name="Normal 5 2 2 2 3 3 3 4" xfId="38928" xr:uid="{2295F1E8-F5BC-427F-939A-E241DEB6EF6D}"/>
    <cellStyle name="Normal 5 2 2 2 3 3 3 5" xfId="13636" xr:uid="{2E042EFF-C86A-4865-899B-4A4F393025DD}"/>
    <cellStyle name="Normal 5 2 2 2 3 3 4" xfId="26282" xr:uid="{0C542034-33B8-4033-A1DB-926A80D4445B}"/>
    <cellStyle name="Normal 5 2 2 2 3 3 5" xfId="17853" xr:uid="{EF450978-15F5-4EEA-8716-5ABC78836150}"/>
    <cellStyle name="Normal 5 2 2 2 3 3 6" xfId="34711" xr:uid="{EB4887DF-0240-4B14-9154-ACCCDA4E6291}"/>
    <cellStyle name="Normal 5 2 2 2 3 3 7" xfId="9418" xr:uid="{F4AF624D-1B67-4C37-848C-5037169C544E}"/>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33058" xr:uid="{BF9DC7CB-A962-4E35-B2E3-26E969B0B89D}"/>
    <cellStyle name="Normal 5 2 2 2 3 4 2 2 3" xfId="24629" xr:uid="{14BC5FD6-C03D-4F5B-B073-CBDF2C125584}"/>
    <cellStyle name="Normal 5 2 2 2 3 4 2 2 4" xfId="41486" xr:uid="{4B382D7F-141D-4804-B92E-2601FBF79AFE}"/>
    <cellStyle name="Normal 5 2 2 2 3 4 2 2 5" xfId="16194" xr:uid="{B72A7225-BA07-4910-925C-A99A59CB8EFC}"/>
    <cellStyle name="Normal 5 2 2 2 3 4 2 3" xfId="28840" xr:uid="{A36132EC-4494-4641-8122-F023A0CF638F}"/>
    <cellStyle name="Normal 5 2 2 2 3 4 2 4" xfId="20411" xr:uid="{3EEFB98E-23A4-41F2-8645-DC8865B9058D}"/>
    <cellStyle name="Normal 5 2 2 2 3 4 2 5" xfId="37269" xr:uid="{D3C58597-ED2D-4F1B-9F33-0D2DA4000F29}"/>
    <cellStyle name="Normal 5 2 2 2 3 4 2 6" xfId="11976" xr:uid="{DEF3DC6F-92B3-4939-B7D8-C2E08886FA3A}"/>
    <cellStyle name="Normal 5 2 2 2 3 4 3" xfId="5614" xr:uid="{00000000-0005-0000-0000-000064170000}"/>
    <cellStyle name="Normal 5 2 2 2 3 4 3 2" xfId="30913" xr:uid="{0FF87801-F7DF-4FDC-AB9F-E26A97BFAC5D}"/>
    <cellStyle name="Normal 5 2 2 2 3 4 3 3" xfId="22484" xr:uid="{ABCBAF52-CD51-43CB-9C46-2CAF07A29D98}"/>
    <cellStyle name="Normal 5 2 2 2 3 4 3 4" xfId="39341" xr:uid="{5C041443-2523-41EC-983F-F694FFDDD61B}"/>
    <cellStyle name="Normal 5 2 2 2 3 4 3 5" xfId="14049" xr:uid="{9DE9C4A7-E29A-4384-BCC9-163DBB5963AB}"/>
    <cellStyle name="Normal 5 2 2 2 3 4 4" xfId="26695" xr:uid="{710BF8F3-BCF5-414C-B67E-EC1026A78CA1}"/>
    <cellStyle name="Normal 5 2 2 2 3 4 5" xfId="18266" xr:uid="{5FBB70F7-070D-4A28-9830-E84D4E1A8BCA}"/>
    <cellStyle name="Normal 5 2 2 2 3 4 6" xfId="35124" xr:uid="{29D38B0E-57CB-4708-BD08-4D86CE873C1A}"/>
    <cellStyle name="Normal 5 2 2 2 3 4 7" xfId="9831" xr:uid="{DE5DFFA2-EA9D-4070-9C6D-C2DDF0C043AC}"/>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33471" xr:uid="{893C5011-52C5-43BF-884B-BC50FBDA0150}"/>
    <cellStyle name="Normal 5 2 2 2 3 5 2 2 3" xfId="25042" xr:uid="{8833E43C-7137-49BF-B531-D1BBC9DB2F9D}"/>
    <cellStyle name="Normal 5 2 2 2 3 5 2 2 4" xfId="41899" xr:uid="{0B33B5B3-2DC0-4070-827F-2D9E8E1B16B1}"/>
    <cellStyle name="Normal 5 2 2 2 3 5 2 2 5" xfId="16607" xr:uid="{0542B2CF-0F5D-4BFE-A6B9-942695ECF40C}"/>
    <cellStyle name="Normal 5 2 2 2 3 5 2 3" xfId="29253" xr:uid="{83AA4956-5963-4A3B-A948-7B9BB0A25446}"/>
    <cellStyle name="Normal 5 2 2 2 3 5 2 4" xfId="20824" xr:uid="{797092AC-6488-40B6-80DF-2B66ECC68FB6}"/>
    <cellStyle name="Normal 5 2 2 2 3 5 2 5" xfId="37682" xr:uid="{1A1D2571-8CC7-4124-8F27-101C4B379839}"/>
    <cellStyle name="Normal 5 2 2 2 3 5 2 6" xfId="12389" xr:uid="{5ED6F2AD-FB11-4F40-841C-09F96625DBE1}"/>
    <cellStyle name="Normal 5 2 2 2 3 5 3" xfId="6027" xr:uid="{00000000-0005-0000-0000-000068170000}"/>
    <cellStyle name="Normal 5 2 2 2 3 5 3 2" xfId="31326" xr:uid="{3E51E678-0B65-4271-B0C4-780C3A09AB52}"/>
    <cellStyle name="Normal 5 2 2 2 3 5 3 3" xfId="22897" xr:uid="{97866829-C52F-42A2-8166-812E39CED796}"/>
    <cellStyle name="Normal 5 2 2 2 3 5 3 4" xfId="39754" xr:uid="{939AC2ED-7289-4789-9000-AB608B51E0EC}"/>
    <cellStyle name="Normal 5 2 2 2 3 5 3 5" xfId="14462" xr:uid="{EF6A06B2-1E04-484F-9E04-4799F8D05C7E}"/>
    <cellStyle name="Normal 5 2 2 2 3 5 4" xfId="27108" xr:uid="{2D626EE9-56D0-4871-83D4-9BF2B88B0B63}"/>
    <cellStyle name="Normal 5 2 2 2 3 5 5" xfId="18679" xr:uid="{87B08640-038D-426D-8D9E-56D0AB306DF6}"/>
    <cellStyle name="Normal 5 2 2 2 3 5 6" xfId="35537" xr:uid="{B768E122-7D33-4394-BD12-BCD6986F0F88}"/>
    <cellStyle name="Normal 5 2 2 2 3 5 7" xfId="10244" xr:uid="{1F7C7B4A-7808-4F29-8485-38A007EB5D14}"/>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33884" xr:uid="{BADD87F0-DD67-4788-BB4E-E7AE8F71850B}"/>
    <cellStyle name="Normal 5 2 2 2 3 6 2 2 3" xfId="25455" xr:uid="{97FD2ACA-DB8F-4251-B4BA-92172CBA40A1}"/>
    <cellStyle name="Normal 5 2 2 2 3 6 2 2 4" xfId="42312" xr:uid="{E4F6072E-B5DD-44A2-B651-D4E7CC316285}"/>
    <cellStyle name="Normal 5 2 2 2 3 6 2 2 5" xfId="17020" xr:uid="{54BD478F-4A30-4ACE-9988-947C014D473C}"/>
    <cellStyle name="Normal 5 2 2 2 3 6 2 3" xfId="29666" xr:uid="{6EF02B9A-4F49-4E3A-A835-9C7DD86513A8}"/>
    <cellStyle name="Normal 5 2 2 2 3 6 2 4" xfId="21237" xr:uid="{90ECCE9F-D739-42A9-AD99-82F2E2090356}"/>
    <cellStyle name="Normal 5 2 2 2 3 6 2 5" xfId="38095" xr:uid="{DECED1B1-5EDB-4D8A-B4D1-AF20A2C6FFCE}"/>
    <cellStyle name="Normal 5 2 2 2 3 6 2 6" xfId="12802" xr:uid="{B12C7DBE-9183-4E67-A5DA-D9E8C5D95AD9}"/>
    <cellStyle name="Normal 5 2 2 2 3 6 3" xfId="6440" xr:uid="{00000000-0005-0000-0000-00006C170000}"/>
    <cellStyle name="Normal 5 2 2 2 3 6 3 2" xfId="31739" xr:uid="{EB8D0AD6-FCD3-4DA5-A6A4-E51DC112E503}"/>
    <cellStyle name="Normal 5 2 2 2 3 6 3 3" xfId="23310" xr:uid="{9976226B-180C-4D3B-BE66-A28F112BE98A}"/>
    <cellStyle name="Normal 5 2 2 2 3 6 3 4" xfId="40167" xr:uid="{D16F2FC9-048C-4E29-A6F4-65E294F64C3B}"/>
    <cellStyle name="Normal 5 2 2 2 3 6 3 5" xfId="14875" xr:uid="{421E9697-BEFE-4274-802A-99EB70BBFB3E}"/>
    <cellStyle name="Normal 5 2 2 2 3 6 4" xfId="27521" xr:uid="{5FA4DED3-A662-4C13-B975-2BEB0F968891}"/>
    <cellStyle name="Normal 5 2 2 2 3 6 5" xfId="19092" xr:uid="{1E1813BF-ABA0-405D-817C-680B66331420}"/>
    <cellStyle name="Normal 5 2 2 2 3 6 6" xfId="35950" xr:uid="{348326E7-AA9B-4B5D-AB10-0FCCC34C6D02}"/>
    <cellStyle name="Normal 5 2 2 2 3 6 7" xfId="10657" xr:uid="{5250845E-40DD-40F8-81F3-88BDD79218E8}"/>
    <cellStyle name="Normal 5 2 2 2 3 7" xfId="2569" xr:uid="{00000000-0005-0000-0000-00006D170000}"/>
    <cellStyle name="Normal 5 2 2 2 3 7 2" xfId="6853" xr:uid="{00000000-0005-0000-0000-00006E170000}"/>
    <cellStyle name="Normal 5 2 2 2 3 7 2 2" xfId="32152" xr:uid="{B4944EC5-D1FE-43F0-85D4-14DD76202577}"/>
    <cellStyle name="Normal 5 2 2 2 3 7 2 3" xfId="23723" xr:uid="{D8011077-AFFE-4663-8664-C81A4A7035CA}"/>
    <cellStyle name="Normal 5 2 2 2 3 7 2 4" xfId="40580" xr:uid="{ADB67F88-A7E1-44DE-8F36-7A6A344D7EE9}"/>
    <cellStyle name="Normal 5 2 2 2 3 7 2 5" xfId="15288" xr:uid="{33288FB4-1E5A-4073-B54C-EF03F24D89A8}"/>
    <cellStyle name="Normal 5 2 2 2 3 7 3" xfId="27934" xr:uid="{31125366-364E-4F48-B261-BCFA271DFCF9}"/>
    <cellStyle name="Normal 5 2 2 2 3 7 4" xfId="19505" xr:uid="{D6241AB5-60E4-4824-B62C-66CFBC5FA64B}"/>
    <cellStyle name="Normal 5 2 2 2 3 7 5" xfId="36363" xr:uid="{4F70606A-3CB6-49C0-B1AA-A91C347952A4}"/>
    <cellStyle name="Normal 5 2 2 2 3 7 6" xfId="11070" xr:uid="{815F7AA3-E168-4139-B935-9A507DAFBB95}"/>
    <cellStyle name="Normal 5 2 2 2 3 8" xfId="4788" xr:uid="{00000000-0005-0000-0000-00006F170000}"/>
    <cellStyle name="Normal 5 2 2 2 3 8 2" xfId="30087" xr:uid="{61452C63-FE7C-41C8-9769-157F6FB757EF}"/>
    <cellStyle name="Normal 5 2 2 2 3 8 3" xfId="21658" xr:uid="{2F66BD8A-A39C-4846-8FBB-31C7181A9C1F}"/>
    <cellStyle name="Normal 5 2 2 2 3 8 4" xfId="38515" xr:uid="{7D8D4D00-6C1C-4735-B02D-CA7C37B89670}"/>
    <cellStyle name="Normal 5 2 2 2 3 8 5" xfId="13223" xr:uid="{C6C27463-D726-41B7-AFC1-4008AEFFF6CB}"/>
    <cellStyle name="Normal 5 2 2 2 3 9" xfId="25869" xr:uid="{81A355D6-FDF8-49E7-A496-6C61EB95E501}"/>
    <cellStyle name="Normal 5 2 2 2 4" xfId="416" xr:uid="{00000000-0005-0000-0000-000070170000}"/>
    <cellStyle name="Normal 5 2 2 2 4 10" xfId="34300" xr:uid="{2369363B-9C1B-444B-8E65-60AF5DA1E94A}"/>
    <cellStyle name="Normal 5 2 2 2 4 11" xfId="9007" xr:uid="{492212C1-F5F0-4E3A-9150-D271A67BCD1C}"/>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32647" xr:uid="{D917D580-CA97-42E2-81A4-15EDD87046F0}"/>
    <cellStyle name="Normal 5 2 2 2 4 2 2 2 3" xfId="24218" xr:uid="{F86EC11B-441C-46B2-B63F-2B0AD67295B0}"/>
    <cellStyle name="Normal 5 2 2 2 4 2 2 2 4" xfId="41075" xr:uid="{7D3769C6-2930-470F-B540-815C9CC03791}"/>
    <cellStyle name="Normal 5 2 2 2 4 2 2 2 5" xfId="15783" xr:uid="{12379731-1A14-4EE0-98BB-775F08C288D0}"/>
    <cellStyle name="Normal 5 2 2 2 4 2 2 3" xfId="28429" xr:uid="{92DE0E56-EF7F-434E-B3C8-3100D7587355}"/>
    <cellStyle name="Normal 5 2 2 2 4 2 2 4" xfId="20000" xr:uid="{6368F97C-AD96-469A-AEDB-D17FA0E60D55}"/>
    <cellStyle name="Normal 5 2 2 2 4 2 2 5" xfId="36858" xr:uid="{A0F4ECEF-973F-4721-B56D-DD1575C6B1A2}"/>
    <cellStyle name="Normal 5 2 2 2 4 2 2 6" xfId="11565" xr:uid="{6C318FB9-89ED-4A03-AB36-94AF1D18191A}"/>
    <cellStyle name="Normal 5 2 2 2 4 2 3" xfId="5203" xr:uid="{00000000-0005-0000-0000-000074170000}"/>
    <cellStyle name="Normal 5 2 2 2 4 2 3 2" xfId="30502" xr:uid="{C5B9A938-1365-4FAB-9E0A-232DBDEF77F6}"/>
    <cellStyle name="Normal 5 2 2 2 4 2 3 3" xfId="22073" xr:uid="{BA2F3C87-0564-4B46-9ED0-1C67FD58BB60}"/>
    <cellStyle name="Normal 5 2 2 2 4 2 3 4" xfId="38930" xr:uid="{0352B106-63AF-4DF1-91C7-355D947BBFA3}"/>
    <cellStyle name="Normal 5 2 2 2 4 2 3 5" xfId="13638" xr:uid="{D859E698-A024-40E4-A776-095C0B57DCAA}"/>
    <cellStyle name="Normal 5 2 2 2 4 2 4" xfId="26284" xr:uid="{1F5FE355-22F2-442C-B369-267A9F2AD722}"/>
    <cellStyle name="Normal 5 2 2 2 4 2 5" xfId="17855" xr:uid="{A67617C7-A44B-4B0F-A23D-8869B7E36B62}"/>
    <cellStyle name="Normal 5 2 2 2 4 2 6" xfId="34713" xr:uid="{3EF9F770-62A4-4A72-9473-CF3CFED39183}"/>
    <cellStyle name="Normal 5 2 2 2 4 2 7" xfId="9420" xr:uid="{72D1E923-D501-4981-9B2F-8A7470E498F6}"/>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33060" xr:uid="{A14D5645-31E5-4B6A-A2E2-84C3D4271B2B}"/>
    <cellStyle name="Normal 5 2 2 2 4 3 2 2 3" xfId="24631" xr:uid="{347B4543-BBB7-4682-B918-897D994E7953}"/>
    <cellStyle name="Normal 5 2 2 2 4 3 2 2 4" xfId="41488" xr:uid="{34F36089-393E-4298-9A02-6731368E0291}"/>
    <cellStyle name="Normal 5 2 2 2 4 3 2 2 5" xfId="16196" xr:uid="{A63DC27C-D672-479D-8CD3-39251560B04C}"/>
    <cellStyle name="Normal 5 2 2 2 4 3 2 3" xfId="28842" xr:uid="{5C315AB6-9409-40C6-8BD8-757D6D3427AE}"/>
    <cellStyle name="Normal 5 2 2 2 4 3 2 4" xfId="20413" xr:uid="{C06E3598-7F7B-4848-ADCC-E06E032995B6}"/>
    <cellStyle name="Normal 5 2 2 2 4 3 2 5" xfId="37271" xr:uid="{AAD1ECB4-2DEA-4879-8AA1-E34C43392153}"/>
    <cellStyle name="Normal 5 2 2 2 4 3 2 6" xfId="11978" xr:uid="{1DBE4DE0-6380-402C-BB91-9C64A602C46A}"/>
    <cellStyle name="Normal 5 2 2 2 4 3 3" xfId="5616" xr:uid="{00000000-0005-0000-0000-000078170000}"/>
    <cellStyle name="Normal 5 2 2 2 4 3 3 2" xfId="30915" xr:uid="{4AD8A764-3A76-4AF5-ACE3-23816E084AD5}"/>
    <cellStyle name="Normal 5 2 2 2 4 3 3 3" xfId="22486" xr:uid="{D40E97D3-DFDE-40A7-A224-04CB16DB8245}"/>
    <cellStyle name="Normal 5 2 2 2 4 3 3 4" xfId="39343" xr:uid="{CEBD97B6-C041-4038-A809-1F054392D770}"/>
    <cellStyle name="Normal 5 2 2 2 4 3 3 5" xfId="14051" xr:uid="{4ACABBE6-F042-43AB-B19E-2880C62E15CD}"/>
    <cellStyle name="Normal 5 2 2 2 4 3 4" xfId="26697" xr:uid="{44FCF507-7772-4BB1-9C9A-CA6D83E1061E}"/>
    <cellStyle name="Normal 5 2 2 2 4 3 5" xfId="18268" xr:uid="{489D795F-3FA1-4F75-ABF6-AED4F6A072F6}"/>
    <cellStyle name="Normal 5 2 2 2 4 3 6" xfId="35126" xr:uid="{768ADC32-AE72-47C3-8838-D4178B9E3407}"/>
    <cellStyle name="Normal 5 2 2 2 4 3 7" xfId="9833" xr:uid="{DE908BF2-0942-4550-81C4-FCB752611B0A}"/>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33473" xr:uid="{F9E1B1C6-3122-431A-BEFA-A96CA3E2BE94}"/>
    <cellStyle name="Normal 5 2 2 2 4 4 2 2 3" xfId="25044" xr:uid="{135874A3-04F6-4973-A68D-E0B37EE2C931}"/>
    <cellStyle name="Normal 5 2 2 2 4 4 2 2 4" xfId="41901" xr:uid="{5B3958FC-0873-4D9C-BFC0-5F5D2A3A7028}"/>
    <cellStyle name="Normal 5 2 2 2 4 4 2 2 5" xfId="16609" xr:uid="{44FDA55C-845D-471F-B73A-E30F94D2DAFF}"/>
    <cellStyle name="Normal 5 2 2 2 4 4 2 3" xfId="29255" xr:uid="{98564735-F5FF-4F4A-8B37-B31A07145D65}"/>
    <cellStyle name="Normal 5 2 2 2 4 4 2 4" xfId="20826" xr:uid="{613A116A-5B7B-4DF1-AAF3-C1D6FC4AC5B2}"/>
    <cellStyle name="Normal 5 2 2 2 4 4 2 5" xfId="37684" xr:uid="{A12C5EB3-E7B5-484D-BC48-7365B7A93BAD}"/>
    <cellStyle name="Normal 5 2 2 2 4 4 2 6" xfId="12391" xr:uid="{A1437CDD-84A6-4B66-9813-82DDB5AA82EF}"/>
    <cellStyle name="Normal 5 2 2 2 4 4 3" xfId="6029" xr:uid="{00000000-0005-0000-0000-00007C170000}"/>
    <cellStyle name="Normal 5 2 2 2 4 4 3 2" xfId="31328" xr:uid="{0E63C766-5936-4D3E-81BD-26077887C770}"/>
    <cellStyle name="Normal 5 2 2 2 4 4 3 3" xfId="22899" xr:uid="{FF1E5D00-A6B2-47AD-B5DE-F44DCE555AFA}"/>
    <cellStyle name="Normal 5 2 2 2 4 4 3 4" xfId="39756" xr:uid="{0B6F7902-C661-409D-ADF6-944D9B4A03A8}"/>
    <cellStyle name="Normal 5 2 2 2 4 4 3 5" xfId="14464" xr:uid="{02E6C030-F7BD-4F1F-981C-F2BC792D37F0}"/>
    <cellStyle name="Normal 5 2 2 2 4 4 4" xfId="27110" xr:uid="{D13E4C05-B2E4-49CD-8B57-EA8ECBE37F01}"/>
    <cellStyle name="Normal 5 2 2 2 4 4 5" xfId="18681" xr:uid="{7CC0C7DF-E505-44F6-9162-EFCE6933F6FD}"/>
    <cellStyle name="Normal 5 2 2 2 4 4 6" xfId="35539" xr:uid="{87DC5487-0203-46C8-9558-ECB8D9AF479F}"/>
    <cellStyle name="Normal 5 2 2 2 4 4 7" xfId="10246" xr:uid="{CF9A14A3-452B-4DA6-A69B-435F4D227D92}"/>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33886" xr:uid="{54A6D8EE-4E3B-4C74-82A3-AF80E84FA120}"/>
    <cellStyle name="Normal 5 2 2 2 4 5 2 2 3" xfId="25457" xr:uid="{ECD012C6-7635-4AB2-A524-8099F428D176}"/>
    <cellStyle name="Normal 5 2 2 2 4 5 2 2 4" xfId="42314" xr:uid="{3D816D31-B2D5-40CA-B27D-9FBDB1168C49}"/>
    <cellStyle name="Normal 5 2 2 2 4 5 2 2 5" xfId="17022" xr:uid="{4DC1A142-A34C-46E9-B737-2424CD88AEF2}"/>
    <cellStyle name="Normal 5 2 2 2 4 5 2 3" xfId="29668" xr:uid="{5D80D31D-ACB4-4BD7-979B-F43AC51245CB}"/>
    <cellStyle name="Normal 5 2 2 2 4 5 2 4" xfId="21239" xr:uid="{6DBB5A6A-6AE3-45EC-B62D-741E3396DBAF}"/>
    <cellStyle name="Normal 5 2 2 2 4 5 2 5" xfId="38097" xr:uid="{CAC73E8D-4373-4BFD-8A77-B6D8AB9C9DF3}"/>
    <cellStyle name="Normal 5 2 2 2 4 5 2 6" xfId="12804" xr:uid="{64F2E681-BDEF-4E81-AA9E-17450D1C685B}"/>
    <cellStyle name="Normal 5 2 2 2 4 5 3" xfId="6442" xr:uid="{00000000-0005-0000-0000-000080170000}"/>
    <cellStyle name="Normal 5 2 2 2 4 5 3 2" xfId="31741" xr:uid="{8D10FDDE-1DEE-44FB-A605-0D08C7EFAAB6}"/>
    <cellStyle name="Normal 5 2 2 2 4 5 3 3" xfId="23312" xr:uid="{6FEBF4C8-58E5-4926-AFAE-58D5D5714848}"/>
    <cellStyle name="Normal 5 2 2 2 4 5 3 4" xfId="40169" xr:uid="{71552E29-905E-43C3-A342-BE7401454B6C}"/>
    <cellStyle name="Normal 5 2 2 2 4 5 3 5" xfId="14877" xr:uid="{F8E82D34-7EAE-4345-9013-BB9320B43B0B}"/>
    <cellStyle name="Normal 5 2 2 2 4 5 4" xfId="27523" xr:uid="{44E6CB26-23F5-40A5-9490-E3C253834907}"/>
    <cellStyle name="Normal 5 2 2 2 4 5 5" xfId="19094" xr:uid="{3C22AF20-AB7E-48E5-803A-4A094734495E}"/>
    <cellStyle name="Normal 5 2 2 2 4 5 6" xfId="35952" xr:uid="{4E8BEB80-6F3F-4606-98BF-09CA9264C39D}"/>
    <cellStyle name="Normal 5 2 2 2 4 5 7" xfId="10659" xr:uid="{CA60319B-E635-47F2-A420-9FE358596750}"/>
    <cellStyle name="Normal 5 2 2 2 4 6" xfId="2571" xr:uid="{00000000-0005-0000-0000-000081170000}"/>
    <cellStyle name="Normal 5 2 2 2 4 6 2" xfId="6855" xr:uid="{00000000-0005-0000-0000-000082170000}"/>
    <cellStyle name="Normal 5 2 2 2 4 6 2 2" xfId="32154" xr:uid="{CDFFB22D-4C9C-4C96-AE08-B62578BB2D9D}"/>
    <cellStyle name="Normal 5 2 2 2 4 6 2 3" xfId="23725" xr:uid="{2A19AD80-21B5-492B-A5E2-6E8BFFEDFBFC}"/>
    <cellStyle name="Normal 5 2 2 2 4 6 2 4" xfId="40582" xr:uid="{0C9D2DE2-3EE0-4A9E-9BE0-3A1EC55D3054}"/>
    <cellStyle name="Normal 5 2 2 2 4 6 2 5" xfId="15290" xr:uid="{6C46CE9E-D20E-46C9-AA86-C4A8803D9B79}"/>
    <cellStyle name="Normal 5 2 2 2 4 6 3" xfId="27936" xr:uid="{ADE5892A-8813-43CD-BCBA-F810058A1121}"/>
    <cellStyle name="Normal 5 2 2 2 4 6 4" xfId="19507" xr:uid="{96D41BB2-C098-459B-AD62-FA43CC4D8B13}"/>
    <cellStyle name="Normal 5 2 2 2 4 6 5" xfId="36365" xr:uid="{2F4F580A-924B-48A9-B46C-35470F8E0742}"/>
    <cellStyle name="Normal 5 2 2 2 4 6 6" xfId="11072" xr:uid="{7FA9A2E7-BF62-4E62-AB20-1949F2493AE8}"/>
    <cellStyle name="Normal 5 2 2 2 4 7" xfId="4790" xr:uid="{00000000-0005-0000-0000-000083170000}"/>
    <cellStyle name="Normal 5 2 2 2 4 7 2" xfId="30089" xr:uid="{F2B88F41-E9AA-439F-A397-4A1F7D2FDF5A}"/>
    <cellStyle name="Normal 5 2 2 2 4 7 3" xfId="21660" xr:uid="{524AD04E-ED00-4546-951F-2C2DB9659F08}"/>
    <cellStyle name="Normal 5 2 2 2 4 7 4" xfId="38517" xr:uid="{C6C126A9-A5B6-4199-9194-5E3C31B70AD5}"/>
    <cellStyle name="Normal 5 2 2 2 4 7 5" xfId="13225" xr:uid="{FA323555-AB83-425C-A469-11F3FFE0E782}"/>
    <cellStyle name="Normal 5 2 2 2 4 8" xfId="25871" xr:uid="{49DD5374-6371-41E2-AF51-F1FF179FCE37}"/>
    <cellStyle name="Normal 5 2 2 2 4 9" xfId="17442" xr:uid="{A56EE87E-56B6-4664-BF33-D4FBCEF313CB}"/>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32640" xr:uid="{A3F601C6-5F40-44A0-90DF-DC8F7F2ED05F}"/>
    <cellStyle name="Normal 5 2 2 2 5 2 2 3" xfId="24211" xr:uid="{CCF241EE-E555-4F98-8A3D-12035AC7010B}"/>
    <cellStyle name="Normal 5 2 2 2 5 2 2 4" xfId="41068" xr:uid="{706FB769-4EFD-4228-864E-2E94193DD0E6}"/>
    <cellStyle name="Normal 5 2 2 2 5 2 2 5" xfId="15776" xr:uid="{646C97CB-D4E5-4100-8874-49476728E427}"/>
    <cellStyle name="Normal 5 2 2 2 5 2 3" xfId="28422" xr:uid="{2BF53E78-9B74-433E-8C79-8B26306144A5}"/>
    <cellStyle name="Normal 5 2 2 2 5 2 4" xfId="19993" xr:uid="{E0379535-8AA7-46CC-9EFC-BB9209D9F619}"/>
    <cellStyle name="Normal 5 2 2 2 5 2 5" xfId="36851" xr:uid="{F696D10F-F999-4612-9BA1-9A0D5391CF8C}"/>
    <cellStyle name="Normal 5 2 2 2 5 2 6" xfId="11558" xr:uid="{F0011E17-6C0F-46B7-8A1D-87A231EA3CE4}"/>
    <cellStyle name="Normal 5 2 2 2 5 3" xfId="5196" xr:uid="{00000000-0005-0000-0000-000087170000}"/>
    <cellStyle name="Normal 5 2 2 2 5 3 2" xfId="30495" xr:uid="{D7E61F27-AAE1-4FE9-969C-888200935B1D}"/>
    <cellStyle name="Normal 5 2 2 2 5 3 3" xfId="22066" xr:uid="{06658254-B7DD-4B15-A824-FAB6A5BD728B}"/>
    <cellStyle name="Normal 5 2 2 2 5 3 4" xfId="38923" xr:uid="{28452C3C-22ED-4426-BBC3-E92E20ED9DE1}"/>
    <cellStyle name="Normal 5 2 2 2 5 3 5" xfId="13631" xr:uid="{0AC6B0A6-0BCA-4FBB-87B9-E6A540557EE5}"/>
    <cellStyle name="Normal 5 2 2 2 5 4" xfId="26277" xr:uid="{90519D7B-34B2-40DA-B94B-09A6A34B4244}"/>
    <cellStyle name="Normal 5 2 2 2 5 5" xfId="17848" xr:uid="{235CDE75-1376-4110-AEBC-DDDD33E2D7CD}"/>
    <cellStyle name="Normal 5 2 2 2 5 6" xfId="34706" xr:uid="{2906835E-C6AF-499F-BC5E-585BC351B3D3}"/>
    <cellStyle name="Normal 5 2 2 2 5 7" xfId="9413" xr:uid="{D0DDA2D9-C215-48CB-B58A-CB6177A6D2E7}"/>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33053" xr:uid="{13CE3C16-958B-49D6-9E5B-86F879059E2B}"/>
    <cellStyle name="Normal 5 2 2 2 6 2 2 3" xfId="24624" xr:uid="{584D9C31-51F3-4707-B382-7BD3BF3927BA}"/>
    <cellStyle name="Normal 5 2 2 2 6 2 2 4" xfId="41481" xr:uid="{93B18866-D88E-424E-90E0-E466FF20E19C}"/>
    <cellStyle name="Normal 5 2 2 2 6 2 2 5" xfId="16189" xr:uid="{862E090B-E494-4AC7-8D3F-2A61ADC957EB}"/>
    <cellStyle name="Normal 5 2 2 2 6 2 3" xfId="28835" xr:uid="{33D60A7E-F3F0-492E-A941-5DE6D07A44E7}"/>
    <cellStyle name="Normal 5 2 2 2 6 2 4" xfId="20406" xr:uid="{FA6ED3DD-0C70-4F66-82E2-4ECE44590A37}"/>
    <cellStyle name="Normal 5 2 2 2 6 2 5" xfId="37264" xr:uid="{F949F359-D1DE-4C32-9231-4FB6D041EFF6}"/>
    <cellStyle name="Normal 5 2 2 2 6 2 6" xfId="11971" xr:uid="{E3CF22E3-085A-478C-9EDD-7E19FB530E47}"/>
    <cellStyle name="Normal 5 2 2 2 6 3" xfId="5609" xr:uid="{00000000-0005-0000-0000-00008B170000}"/>
    <cellStyle name="Normal 5 2 2 2 6 3 2" xfId="30908" xr:uid="{96C41ECA-6BA7-4E03-8F9B-BF173FF82B8E}"/>
    <cellStyle name="Normal 5 2 2 2 6 3 3" xfId="22479" xr:uid="{A665FC51-02DC-4F94-A0AB-20073414497A}"/>
    <cellStyle name="Normal 5 2 2 2 6 3 4" xfId="39336" xr:uid="{6BE927E5-6147-4E1B-8CBF-FE44F0F740D8}"/>
    <cellStyle name="Normal 5 2 2 2 6 3 5" xfId="14044" xr:uid="{672B8A64-41E3-41C3-AB61-A601F60B54DA}"/>
    <cellStyle name="Normal 5 2 2 2 6 4" xfId="26690" xr:uid="{545AEE48-793D-4973-B105-8E109BABC60C}"/>
    <cellStyle name="Normal 5 2 2 2 6 5" xfId="18261" xr:uid="{D4F3AC7E-4B60-4143-B1E6-C4F18D852CE9}"/>
    <cellStyle name="Normal 5 2 2 2 6 6" xfId="35119" xr:uid="{145ED23F-4CC4-417E-8F7C-7EEAD54D840B}"/>
    <cellStyle name="Normal 5 2 2 2 6 7" xfId="9826" xr:uid="{FB101D57-9F07-4EB2-83A1-D00A041C9D11}"/>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33466" xr:uid="{8FE9EE98-DC58-4E0B-A99F-49B9D091822A}"/>
    <cellStyle name="Normal 5 2 2 2 7 2 2 3" xfId="25037" xr:uid="{173DFD41-E42F-4A93-898F-2EFBA7571F29}"/>
    <cellStyle name="Normal 5 2 2 2 7 2 2 4" xfId="41894" xr:uid="{479A36EF-7622-4348-9680-D0928ACD2DDF}"/>
    <cellStyle name="Normal 5 2 2 2 7 2 2 5" xfId="16602" xr:uid="{EDC0BEB5-DBF3-4B8E-B123-B606D712FDF8}"/>
    <cellStyle name="Normal 5 2 2 2 7 2 3" xfId="29248" xr:uid="{31E97D25-8801-4797-9BED-C7BB17B166A3}"/>
    <cellStyle name="Normal 5 2 2 2 7 2 4" xfId="20819" xr:uid="{41AFC0BC-6309-4A01-A312-B5791B8B3B92}"/>
    <cellStyle name="Normal 5 2 2 2 7 2 5" xfId="37677" xr:uid="{6EBFAC63-369A-4D48-B12D-D7BE42A40E05}"/>
    <cellStyle name="Normal 5 2 2 2 7 2 6" xfId="12384" xr:uid="{620632A5-8BF7-4103-899E-1AD8E70E4A4C}"/>
    <cellStyle name="Normal 5 2 2 2 7 3" xfId="6022" xr:uid="{00000000-0005-0000-0000-00008F170000}"/>
    <cellStyle name="Normal 5 2 2 2 7 3 2" xfId="31321" xr:uid="{8CD56820-1917-4EE2-92AC-72210CD1B2AB}"/>
    <cellStyle name="Normal 5 2 2 2 7 3 3" xfId="22892" xr:uid="{A776FD92-84C9-4B7E-8687-CCA7A0E5E5A1}"/>
    <cellStyle name="Normal 5 2 2 2 7 3 4" xfId="39749" xr:uid="{9ACC80D9-83A2-4624-B858-498A2B46E917}"/>
    <cellStyle name="Normal 5 2 2 2 7 3 5" xfId="14457" xr:uid="{74B71ABA-E8E9-4B9F-B410-8D4AF14F0568}"/>
    <cellStyle name="Normal 5 2 2 2 7 4" xfId="27103" xr:uid="{85B782EA-3247-4A0D-BF03-CC2170608D78}"/>
    <cellStyle name="Normal 5 2 2 2 7 5" xfId="18674" xr:uid="{F22738F2-DE67-490B-BED6-6579ED6CBF8F}"/>
    <cellStyle name="Normal 5 2 2 2 7 6" xfId="35532" xr:uid="{63460B18-9C3C-432D-BFA4-B6D3441297AE}"/>
    <cellStyle name="Normal 5 2 2 2 7 7" xfId="10239" xr:uid="{48BB35A1-0614-49E4-8B14-4B2721ECD43E}"/>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33879" xr:uid="{ED23E53F-E83A-4AAC-8E71-0885CFA9F3C6}"/>
    <cellStyle name="Normal 5 2 2 2 8 2 2 3" xfId="25450" xr:uid="{6BDA6B56-5B02-4F8B-9FD2-825253E07864}"/>
    <cellStyle name="Normal 5 2 2 2 8 2 2 4" xfId="42307" xr:uid="{4B5CCD81-6359-4BFC-9504-D2B9655396A6}"/>
    <cellStyle name="Normal 5 2 2 2 8 2 2 5" xfId="17015" xr:uid="{0B8C422A-7A58-4413-B81C-41F6C5811EEF}"/>
    <cellStyle name="Normal 5 2 2 2 8 2 3" xfId="29661" xr:uid="{F66C0E84-A6E4-4209-AA5C-4CA12D685296}"/>
    <cellStyle name="Normal 5 2 2 2 8 2 4" xfId="21232" xr:uid="{48CF62DB-4D54-4B1F-9EE7-CE9FA449EC38}"/>
    <cellStyle name="Normal 5 2 2 2 8 2 5" xfId="38090" xr:uid="{01FD69DC-44FE-4079-B4EB-F2F431729F7E}"/>
    <cellStyle name="Normal 5 2 2 2 8 2 6" xfId="12797" xr:uid="{36C5ABAB-0E75-4A7F-9247-3C0A40142E0A}"/>
    <cellStyle name="Normal 5 2 2 2 8 3" xfId="6435" xr:uid="{00000000-0005-0000-0000-000093170000}"/>
    <cellStyle name="Normal 5 2 2 2 8 3 2" xfId="31734" xr:uid="{7700CA3D-57A7-4C6A-98EC-19926FFBE22A}"/>
    <cellStyle name="Normal 5 2 2 2 8 3 3" xfId="23305" xr:uid="{204CA945-5DBB-4ED8-849A-7D80C5B589BE}"/>
    <cellStyle name="Normal 5 2 2 2 8 3 4" xfId="40162" xr:uid="{3D7E4906-73FC-4508-BB49-1A44F1402C78}"/>
    <cellStyle name="Normal 5 2 2 2 8 3 5" xfId="14870" xr:uid="{C442DEB5-D030-4FDD-9FFB-ED6DAEE55FC0}"/>
    <cellStyle name="Normal 5 2 2 2 8 4" xfId="27516" xr:uid="{4AE0BE7D-64FB-4E4B-8B85-F5E354BE826F}"/>
    <cellStyle name="Normal 5 2 2 2 8 5" xfId="19087" xr:uid="{CF49CE02-5639-4396-9EB6-4969781D17CC}"/>
    <cellStyle name="Normal 5 2 2 2 8 6" xfId="35945" xr:uid="{74D98E0E-2394-4650-9F67-42FD7A5928BA}"/>
    <cellStyle name="Normal 5 2 2 2 8 7" xfId="10652" xr:uid="{BD052D18-B28E-4105-825E-4CFDDE3653F0}"/>
    <cellStyle name="Normal 5 2 2 2 9" xfId="2564" xr:uid="{00000000-0005-0000-0000-000094170000}"/>
    <cellStyle name="Normal 5 2 2 2 9 2" xfId="6848" xr:uid="{00000000-0005-0000-0000-000095170000}"/>
    <cellStyle name="Normal 5 2 2 2 9 2 2" xfId="32147" xr:uid="{ECAB516B-C41B-4B0E-90F0-9F9D1EBDE1FB}"/>
    <cellStyle name="Normal 5 2 2 2 9 2 3" xfId="23718" xr:uid="{17A4DCA7-9EDF-46F7-88E6-DF93FAE73A3D}"/>
    <cellStyle name="Normal 5 2 2 2 9 2 4" xfId="40575" xr:uid="{43D4C9D6-FE42-4ADC-A2A4-C9E19D92AC3B}"/>
    <cellStyle name="Normal 5 2 2 2 9 2 5" xfId="15283" xr:uid="{35BB2C20-CF79-4345-98C0-EE7B71EFACA8}"/>
    <cellStyle name="Normal 5 2 2 2 9 3" xfId="27929" xr:uid="{F0779CE9-37B7-420A-A2E9-E51B05B4E0A4}"/>
    <cellStyle name="Normal 5 2 2 2 9 4" xfId="19500" xr:uid="{8D25FB15-04A9-46EF-B9DD-1A9EF7437F10}"/>
    <cellStyle name="Normal 5 2 2 2 9 5" xfId="36358" xr:uid="{1065C54D-B834-43B1-946A-D81824015403}"/>
    <cellStyle name="Normal 5 2 2 2 9 6" xfId="11065" xr:uid="{C55DA65C-4C2A-48AF-9DBC-F0C5B5B626B4}"/>
    <cellStyle name="Normal 5 2 2 3" xfId="417" xr:uid="{00000000-0005-0000-0000-000096170000}"/>
    <cellStyle name="Normal 5 2 2 3 10" xfId="25872" xr:uid="{57E20F53-B6B0-44AF-BFA6-BE30399DE7B1}"/>
    <cellStyle name="Normal 5 2 2 3 11" xfId="17443" xr:uid="{7D3E7415-9496-483F-A907-6E21CB279040}"/>
    <cellStyle name="Normal 5 2 2 3 12" xfId="34301" xr:uid="{1179B3D3-FCE4-4ACF-A4D9-F8DBD4B6B905}"/>
    <cellStyle name="Normal 5 2 2 3 13" xfId="9008" xr:uid="{386DCBAB-2AB6-45D0-88FA-A8934EC32BF4}"/>
    <cellStyle name="Normal 5 2 2 3 2" xfId="418" xr:uid="{00000000-0005-0000-0000-000097170000}"/>
    <cellStyle name="Normal 5 2 2 3 2 10" xfId="17444" xr:uid="{B298B74E-1C41-4960-A4B7-ACE68BF6F2F2}"/>
    <cellStyle name="Normal 5 2 2 3 2 11" xfId="34302" xr:uid="{DE2C8A19-7B0D-4DC9-8D85-1DC1C0DB8C81}"/>
    <cellStyle name="Normal 5 2 2 3 2 12" xfId="9009" xr:uid="{931DE429-F9F2-4783-A899-1387F99ABA71}"/>
    <cellStyle name="Normal 5 2 2 3 2 2" xfId="419" xr:uid="{00000000-0005-0000-0000-000098170000}"/>
    <cellStyle name="Normal 5 2 2 3 2 2 10" xfId="34303" xr:uid="{8BEBEA55-8DBF-469A-8FF4-F3DAB5392601}"/>
    <cellStyle name="Normal 5 2 2 3 2 2 11" xfId="9010" xr:uid="{AB9DC007-AFBC-49F9-9C8E-FD6F5A7D0CE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32650" xr:uid="{F5834783-370A-4EF7-A19E-275721BC7465}"/>
    <cellStyle name="Normal 5 2 2 3 2 2 2 2 2 3" xfId="24221" xr:uid="{67FF5F0A-69F0-490E-846B-11AF7C5D6C76}"/>
    <cellStyle name="Normal 5 2 2 3 2 2 2 2 2 4" xfId="41078" xr:uid="{4D98D3D5-FDA3-4ED3-855C-4FFD2E3B4EE4}"/>
    <cellStyle name="Normal 5 2 2 3 2 2 2 2 2 5" xfId="15786" xr:uid="{71F672B5-28D9-4B87-9D8B-B1B0E3AF6EA9}"/>
    <cellStyle name="Normal 5 2 2 3 2 2 2 2 3" xfId="28432" xr:uid="{64A2E1E7-D0FB-4C45-A557-CDA2474C1299}"/>
    <cellStyle name="Normal 5 2 2 3 2 2 2 2 4" xfId="20003" xr:uid="{1E44901E-9C80-49BD-99E8-13D06B4AA7BE}"/>
    <cellStyle name="Normal 5 2 2 3 2 2 2 2 5" xfId="36861" xr:uid="{2A44D322-2636-445A-B4A4-95520A1FE460}"/>
    <cellStyle name="Normal 5 2 2 3 2 2 2 2 6" xfId="11568" xr:uid="{4F71F826-D0E1-43E8-A475-F8C80D75B363}"/>
    <cellStyle name="Normal 5 2 2 3 2 2 2 3" xfId="5206" xr:uid="{00000000-0005-0000-0000-00009C170000}"/>
    <cellStyle name="Normal 5 2 2 3 2 2 2 3 2" xfId="30505" xr:uid="{8B3CF80E-E2BF-434B-A69A-B86F3D11353D}"/>
    <cellStyle name="Normal 5 2 2 3 2 2 2 3 3" xfId="22076" xr:uid="{C59ED7C2-9F76-46E1-A0F9-5F224933B11F}"/>
    <cellStyle name="Normal 5 2 2 3 2 2 2 3 4" xfId="38933" xr:uid="{AF77097A-EBCF-475E-B1DE-67EC4FA96B4F}"/>
    <cellStyle name="Normal 5 2 2 3 2 2 2 3 5" xfId="13641" xr:uid="{F50381FB-1361-4CAF-BDB6-0AA0BB8CB376}"/>
    <cellStyle name="Normal 5 2 2 3 2 2 2 4" xfId="26287" xr:uid="{E6FEE270-48E6-4206-AC94-504FD73E6EC2}"/>
    <cellStyle name="Normal 5 2 2 3 2 2 2 5" xfId="17858" xr:uid="{5B421DD0-264B-4CB4-BA0B-2748AA32748D}"/>
    <cellStyle name="Normal 5 2 2 3 2 2 2 6" xfId="34716" xr:uid="{D3839A64-DF3F-4816-A9A1-77C5ECB845FB}"/>
    <cellStyle name="Normal 5 2 2 3 2 2 2 7" xfId="9423" xr:uid="{19EBD884-C0BB-4C1B-AB52-C6676BDD1B1D}"/>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33063" xr:uid="{46C1528A-E8E7-41BB-A580-26921FB10094}"/>
    <cellStyle name="Normal 5 2 2 3 2 2 3 2 2 3" xfId="24634" xr:uid="{7C1A445F-8E22-49F4-9399-E532B857C779}"/>
    <cellStyle name="Normal 5 2 2 3 2 2 3 2 2 4" xfId="41491" xr:uid="{E96DD303-32CA-4226-A99D-71F516B28F9B}"/>
    <cellStyle name="Normal 5 2 2 3 2 2 3 2 2 5" xfId="16199" xr:uid="{0830EE0A-AFA6-423E-8F9F-909EA0A25245}"/>
    <cellStyle name="Normal 5 2 2 3 2 2 3 2 3" xfId="28845" xr:uid="{0FA670DE-2E27-49DA-84E5-6F4F4B3D026C}"/>
    <cellStyle name="Normal 5 2 2 3 2 2 3 2 4" xfId="20416" xr:uid="{85AAEE15-A752-4BA3-9241-4264D1FDFF31}"/>
    <cellStyle name="Normal 5 2 2 3 2 2 3 2 5" xfId="37274" xr:uid="{9442ACBE-7949-4B4B-B888-6BBD66250C5F}"/>
    <cellStyle name="Normal 5 2 2 3 2 2 3 2 6" xfId="11981" xr:uid="{BAF146C4-BA31-4A9A-B188-ED70E786CF15}"/>
    <cellStyle name="Normal 5 2 2 3 2 2 3 3" xfId="5619" xr:uid="{00000000-0005-0000-0000-0000A0170000}"/>
    <cellStyle name="Normal 5 2 2 3 2 2 3 3 2" xfId="30918" xr:uid="{1A674C6B-6B58-440A-8C51-CE5CCD380C69}"/>
    <cellStyle name="Normal 5 2 2 3 2 2 3 3 3" xfId="22489" xr:uid="{DF616D55-AE59-4357-9D21-4A28755148C7}"/>
    <cellStyle name="Normal 5 2 2 3 2 2 3 3 4" xfId="39346" xr:uid="{C754BF27-5A04-498C-BD38-78D11B44DEE4}"/>
    <cellStyle name="Normal 5 2 2 3 2 2 3 3 5" xfId="14054" xr:uid="{369A3C0B-A744-4D84-B5ED-40FB8ABB33E0}"/>
    <cellStyle name="Normal 5 2 2 3 2 2 3 4" xfId="26700" xr:uid="{C6460689-C4C9-42AF-B310-E12345FAEA48}"/>
    <cellStyle name="Normal 5 2 2 3 2 2 3 5" xfId="18271" xr:uid="{28CEAF1E-6BC5-44EE-B2D6-F43F438B660A}"/>
    <cellStyle name="Normal 5 2 2 3 2 2 3 6" xfId="35129" xr:uid="{823956CF-8E90-4ACE-811A-6A10A29E763A}"/>
    <cellStyle name="Normal 5 2 2 3 2 2 3 7" xfId="9836" xr:uid="{946B2562-121C-4A6D-86C4-D49232566E6A}"/>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33476" xr:uid="{DA54A45F-B051-4925-99E4-D8E57D91A785}"/>
    <cellStyle name="Normal 5 2 2 3 2 2 4 2 2 3" xfId="25047" xr:uid="{94874C8F-DF6A-4825-976C-9C82DB126AF8}"/>
    <cellStyle name="Normal 5 2 2 3 2 2 4 2 2 4" xfId="41904" xr:uid="{262E5E8D-E990-43D1-84FE-D8DE9C400CAA}"/>
    <cellStyle name="Normal 5 2 2 3 2 2 4 2 2 5" xfId="16612" xr:uid="{02B537F4-F2D0-4B75-9506-14B151FB4D39}"/>
    <cellStyle name="Normal 5 2 2 3 2 2 4 2 3" xfId="29258" xr:uid="{4D1D8387-8C1F-4ACE-AF83-9E2C9005E002}"/>
    <cellStyle name="Normal 5 2 2 3 2 2 4 2 4" xfId="20829" xr:uid="{F744CC40-4ED6-4505-A4BD-A346F8427210}"/>
    <cellStyle name="Normal 5 2 2 3 2 2 4 2 5" xfId="37687" xr:uid="{0A6CB366-87C1-4499-9D3B-8BCC61719380}"/>
    <cellStyle name="Normal 5 2 2 3 2 2 4 2 6" xfId="12394" xr:uid="{F36FEBA1-1700-496D-AF42-D91F0CA1CF3D}"/>
    <cellStyle name="Normal 5 2 2 3 2 2 4 3" xfId="6032" xr:uid="{00000000-0005-0000-0000-0000A4170000}"/>
    <cellStyle name="Normal 5 2 2 3 2 2 4 3 2" xfId="31331" xr:uid="{7C12D7F1-019C-452A-8AD5-75FB327CF2FE}"/>
    <cellStyle name="Normal 5 2 2 3 2 2 4 3 3" xfId="22902" xr:uid="{F9C421BF-EEB3-4BF1-829B-CBF876A3BC82}"/>
    <cellStyle name="Normal 5 2 2 3 2 2 4 3 4" xfId="39759" xr:uid="{F8794AF2-BA6E-45D2-BF6C-5B25F67B36EE}"/>
    <cellStyle name="Normal 5 2 2 3 2 2 4 3 5" xfId="14467" xr:uid="{DB917752-F39D-4479-A8B4-D2F008026BC1}"/>
    <cellStyle name="Normal 5 2 2 3 2 2 4 4" xfId="27113" xr:uid="{61873E59-D9EC-4A67-9F0C-09D4D9862949}"/>
    <cellStyle name="Normal 5 2 2 3 2 2 4 5" xfId="18684" xr:uid="{F09BE6BB-C924-42A5-8ECF-48B9072B392F}"/>
    <cellStyle name="Normal 5 2 2 3 2 2 4 6" xfId="35542" xr:uid="{C6D270FB-64ED-4311-A8FF-AF5695BA40A0}"/>
    <cellStyle name="Normal 5 2 2 3 2 2 4 7" xfId="10249" xr:uid="{1BFF7F2A-344D-4603-9690-F92530B657E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33889" xr:uid="{4033C467-63E2-4B1D-854D-F3AC761BA1B2}"/>
    <cellStyle name="Normal 5 2 2 3 2 2 5 2 2 3" xfId="25460" xr:uid="{B29183CB-3E6C-49D1-8E72-4A8AE6A3A79A}"/>
    <cellStyle name="Normal 5 2 2 3 2 2 5 2 2 4" xfId="42317" xr:uid="{9D392413-026B-40FD-AE7C-A8CF5CE44F39}"/>
    <cellStyle name="Normal 5 2 2 3 2 2 5 2 2 5" xfId="17025" xr:uid="{CAF3D294-C1B2-476E-9AC8-B562E2FE5958}"/>
    <cellStyle name="Normal 5 2 2 3 2 2 5 2 3" xfId="29671" xr:uid="{8FD51EE0-5441-41F5-9521-172CA501FB87}"/>
    <cellStyle name="Normal 5 2 2 3 2 2 5 2 4" xfId="21242" xr:uid="{839115C5-3ADE-4B4A-B2EA-C521279C81EB}"/>
    <cellStyle name="Normal 5 2 2 3 2 2 5 2 5" xfId="38100" xr:uid="{03B4F24D-E08C-452C-AC4F-7DE5929BC2F1}"/>
    <cellStyle name="Normal 5 2 2 3 2 2 5 2 6" xfId="12807" xr:uid="{BD2E9BFE-BDA6-49D9-A7E6-ED9C50928362}"/>
    <cellStyle name="Normal 5 2 2 3 2 2 5 3" xfId="6445" xr:uid="{00000000-0005-0000-0000-0000A8170000}"/>
    <cellStyle name="Normal 5 2 2 3 2 2 5 3 2" xfId="31744" xr:uid="{AD24D95E-7887-4E6C-B059-0E767509BD55}"/>
    <cellStyle name="Normal 5 2 2 3 2 2 5 3 3" xfId="23315" xr:uid="{828FDBB8-F3FF-4646-B9FB-F3BCA27DD844}"/>
    <cellStyle name="Normal 5 2 2 3 2 2 5 3 4" xfId="40172" xr:uid="{DBC4D1DE-6BD4-4D75-917E-772CB429857B}"/>
    <cellStyle name="Normal 5 2 2 3 2 2 5 3 5" xfId="14880" xr:uid="{0F46900B-D121-424F-B2A1-3BCCD21FE8B9}"/>
    <cellStyle name="Normal 5 2 2 3 2 2 5 4" xfId="27526" xr:uid="{6AC1D0F6-5179-4368-B780-7125567EDD89}"/>
    <cellStyle name="Normal 5 2 2 3 2 2 5 5" xfId="19097" xr:uid="{62F62E58-8436-4012-8B53-B85A9D40C8BA}"/>
    <cellStyle name="Normal 5 2 2 3 2 2 5 6" xfId="35955" xr:uid="{A872C237-2B8C-46A5-A3B9-45DEDB387C2B}"/>
    <cellStyle name="Normal 5 2 2 3 2 2 5 7" xfId="10662" xr:uid="{B6C638BB-2C9C-482E-9172-7D5BD82E869B}"/>
    <cellStyle name="Normal 5 2 2 3 2 2 6" xfId="2574" xr:uid="{00000000-0005-0000-0000-0000A9170000}"/>
    <cellStyle name="Normal 5 2 2 3 2 2 6 2" xfId="6858" xr:uid="{00000000-0005-0000-0000-0000AA170000}"/>
    <cellStyle name="Normal 5 2 2 3 2 2 6 2 2" xfId="32157" xr:uid="{FBFF21F5-F288-4B7E-99FB-4876E0D199AC}"/>
    <cellStyle name="Normal 5 2 2 3 2 2 6 2 3" xfId="23728" xr:uid="{2B25B374-8FDF-4C04-8EDD-FB7AB7342793}"/>
    <cellStyle name="Normal 5 2 2 3 2 2 6 2 4" xfId="40585" xr:uid="{DBCA21B3-8572-4C5D-A539-307BB83323CA}"/>
    <cellStyle name="Normal 5 2 2 3 2 2 6 2 5" xfId="15293" xr:uid="{FEC10462-2C9B-4A6A-A03C-F1CB939461F0}"/>
    <cellStyle name="Normal 5 2 2 3 2 2 6 3" xfId="27939" xr:uid="{CF2406CB-CFFA-4986-A5B9-290B4C64D603}"/>
    <cellStyle name="Normal 5 2 2 3 2 2 6 4" xfId="19510" xr:uid="{3E1A0D34-A6B4-4424-8DD4-21B9111AAE1E}"/>
    <cellStyle name="Normal 5 2 2 3 2 2 6 5" xfId="36368" xr:uid="{A1C71DD4-292B-4E83-8FDF-6DA8310978A4}"/>
    <cellStyle name="Normal 5 2 2 3 2 2 6 6" xfId="11075" xr:uid="{A66F2B73-8396-42E5-9024-7051E715FDA0}"/>
    <cellStyle name="Normal 5 2 2 3 2 2 7" xfId="4793" xr:uid="{00000000-0005-0000-0000-0000AB170000}"/>
    <cellStyle name="Normal 5 2 2 3 2 2 7 2" xfId="30092" xr:uid="{3C2E214C-1A8D-4F82-A860-BDED4A0E59FD}"/>
    <cellStyle name="Normal 5 2 2 3 2 2 7 3" xfId="21663" xr:uid="{5EA46B82-E846-4FC8-8D1E-C078A74E98E1}"/>
    <cellStyle name="Normal 5 2 2 3 2 2 7 4" xfId="38520" xr:uid="{29BF4693-2123-48B7-8B44-950D019C0A1D}"/>
    <cellStyle name="Normal 5 2 2 3 2 2 7 5" xfId="13228" xr:uid="{0244EB2C-F385-48EF-8123-E86CF76FEC9D}"/>
    <cellStyle name="Normal 5 2 2 3 2 2 8" xfId="25874" xr:uid="{E1C93165-F46C-4100-AB6F-590A246E55BA}"/>
    <cellStyle name="Normal 5 2 2 3 2 2 9" xfId="17445" xr:uid="{20140AB1-17DB-4370-B8F5-83DB91DE6DED}"/>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32649" xr:uid="{FEDF4862-6001-4192-9731-C3B655FD267B}"/>
    <cellStyle name="Normal 5 2 2 3 2 3 2 2 3" xfId="24220" xr:uid="{967F42B7-0FC6-43CD-AA32-961B9F0C78C7}"/>
    <cellStyle name="Normal 5 2 2 3 2 3 2 2 4" xfId="41077" xr:uid="{6AB9DF13-A1EF-4027-82F7-257D22549A35}"/>
    <cellStyle name="Normal 5 2 2 3 2 3 2 2 5" xfId="15785" xr:uid="{68660E65-6B0B-4187-98A9-3C0CE058685D}"/>
    <cellStyle name="Normal 5 2 2 3 2 3 2 3" xfId="28431" xr:uid="{8D6B6257-ADAB-42F7-920B-55E0C3D5D032}"/>
    <cellStyle name="Normal 5 2 2 3 2 3 2 4" xfId="20002" xr:uid="{FB14D947-48B9-477E-90A6-044A61F7DF38}"/>
    <cellStyle name="Normal 5 2 2 3 2 3 2 5" xfId="36860" xr:uid="{02498FF0-D14D-4385-9267-7B6D168CB421}"/>
    <cellStyle name="Normal 5 2 2 3 2 3 2 6" xfId="11567" xr:uid="{A1676C50-DE2D-4742-8832-C60200AE3E27}"/>
    <cellStyle name="Normal 5 2 2 3 2 3 3" xfId="5205" xr:uid="{00000000-0005-0000-0000-0000AF170000}"/>
    <cellStyle name="Normal 5 2 2 3 2 3 3 2" xfId="30504" xr:uid="{1FB52430-13CD-4848-8619-CD42E5BF824A}"/>
    <cellStyle name="Normal 5 2 2 3 2 3 3 3" xfId="22075" xr:uid="{DEAD8330-6ABA-441E-B5C0-560B9EB3BE80}"/>
    <cellStyle name="Normal 5 2 2 3 2 3 3 4" xfId="38932" xr:uid="{D75E6247-D3FB-430D-BF4F-C44CA278F82C}"/>
    <cellStyle name="Normal 5 2 2 3 2 3 3 5" xfId="13640" xr:uid="{05A93C37-4F24-4E8C-A3F7-F92EB57EF50B}"/>
    <cellStyle name="Normal 5 2 2 3 2 3 4" xfId="26286" xr:uid="{871A5657-A4CC-40BF-B57A-9C42A55C75A6}"/>
    <cellStyle name="Normal 5 2 2 3 2 3 5" xfId="17857" xr:uid="{EB0E59D8-5314-422F-9D69-24DA87D51D95}"/>
    <cellStyle name="Normal 5 2 2 3 2 3 6" xfId="34715" xr:uid="{6C2DA9A1-EE20-4937-99C1-1692062F9BCF}"/>
    <cellStyle name="Normal 5 2 2 3 2 3 7" xfId="9422" xr:uid="{4107A8F4-3593-4BB5-BA5A-0CA7F820F5AD}"/>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33062" xr:uid="{3F2B5ABD-94F3-425C-B480-E54D0BCF6A11}"/>
    <cellStyle name="Normal 5 2 2 3 2 4 2 2 3" xfId="24633" xr:uid="{3543DD49-73D6-406C-8700-64EF00ED139C}"/>
    <cellStyle name="Normal 5 2 2 3 2 4 2 2 4" xfId="41490" xr:uid="{CFBB1F4A-A0A7-485F-AC85-46D4A36CE0CB}"/>
    <cellStyle name="Normal 5 2 2 3 2 4 2 2 5" xfId="16198" xr:uid="{DFEF9AAC-F9EB-41D4-AA38-A7575F051658}"/>
    <cellStyle name="Normal 5 2 2 3 2 4 2 3" xfId="28844" xr:uid="{9C51FC5E-9F9F-4F6C-9C73-3DB7505E4020}"/>
    <cellStyle name="Normal 5 2 2 3 2 4 2 4" xfId="20415" xr:uid="{9ADF942D-35E4-42B3-91CF-EE397F347B47}"/>
    <cellStyle name="Normal 5 2 2 3 2 4 2 5" xfId="37273" xr:uid="{D0C7643C-60F1-4037-8B71-E6B8425683E6}"/>
    <cellStyle name="Normal 5 2 2 3 2 4 2 6" xfId="11980" xr:uid="{70E3B51C-C4DD-468D-B9AE-6564EBCAF2F0}"/>
    <cellStyle name="Normal 5 2 2 3 2 4 3" xfId="5618" xr:uid="{00000000-0005-0000-0000-0000B3170000}"/>
    <cellStyle name="Normal 5 2 2 3 2 4 3 2" xfId="30917" xr:uid="{65C5E69E-9693-40F4-B5CC-2F77450F1D3A}"/>
    <cellStyle name="Normal 5 2 2 3 2 4 3 3" xfId="22488" xr:uid="{FC8DBE81-8440-42FB-A824-995189A796C0}"/>
    <cellStyle name="Normal 5 2 2 3 2 4 3 4" xfId="39345" xr:uid="{84BDEB23-6D82-4C3F-BC05-07DF8BFAACFE}"/>
    <cellStyle name="Normal 5 2 2 3 2 4 3 5" xfId="14053" xr:uid="{5D4889EF-2D72-4061-B811-6F03A5EE8C10}"/>
    <cellStyle name="Normal 5 2 2 3 2 4 4" xfId="26699" xr:uid="{3BB56C7D-F126-4537-A139-4C6FD2A21927}"/>
    <cellStyle name="Normal 5 2 2 3 2 4 5" xfId="18270" xr:uid="{DF1731C6-3EE4-4732-ADEB-0AB3FADAE72C}"/>
    <cellStyle name="Normal 5 2 2 3 2 4 6" xfId="35128" xr:uid="{32BD9599-5E8B-42B8-8A96-B12D07ECB91A}"/>
    <cellStyle name="Normal 5 2 2 3 2 4 7" xfId="9835" xr:uid="{9E004F6E-245D-4A73-8F07-F7BC0518D14E}"/>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33475" xr:uid="{FCB04CE9-1843-4E57-A652-7F0B741C1F55}"/>
    <cellStyle name="Normal 5 2 2 3 2 5 2 2 3" xfId="25046" xr:uid="{9C2D8E0F-8D6B-4B62-AC48-4D401C9E1BCA}"/>
    <cellStyle name="Normal 5 2 2 3 2 5 2 2 4" xfId="41903" xr:uid="{5C7B4CAA-4B00-42C9-B9F7-2DCC3BC09D80}"/>
    <cellStyle name="Normal 5 2 2 3 2 5 2 2 5" xfId="16611" xr:uid="{E394B5B5-BEF5-479E-A41E-DB541F6FEBD2}"/>
    <cellStyle name="Normal 5 2 2 3 2 5 2 3" xfId="29257" xr:uid="{8B57D478-622C-4EF0-B921-FC9D1FDE6AC1}"/>
    <cellStyle name="Normal 5 2 2 3 2 5 2 4" xfId="20828" xr:uid="{FB8CA826-FBFF-456F-89B8-7076C9D2571A}"/>
    <cellStyle name="Normal 5 2 2 3 2 5 2 5" xfId="37686" xr:uid="{EDB685C6-CAAA-4CB8-BB12-1C4E1D515824}"/>
    <cellStyle name="Normal 5 2 2 3 2 5 2 6" xfId="12393" xr:uid="{A03A8ADD-14FD-493B-86D7-FAB341F28EAA}"/>
    <cellStyle name="Normal 5 2 2 3 2 5 3" xfId="6031" xr:uid="{00000000-0005-0000-0000-0000B7170000}"/>
    <cellStyle name="Normal 5 2 2 3 2 5 3 2" xfId="31330" xr:uid="{8B5AC0C0-052B-4032-BD65-E30806421AE2}"/>
    <cellStyle name="Normal 5 2 2 3 2 5 3 3" xfId="22901" xr:uid="{A25B54F1-448F-45A8-91BC-89F3F435DE07}"/>
    <cellStyle name="Normal 5 2 2 3 2 5 3 4" xfId="39758" xr:uid="{DF4C8C6E-C7E8-43E4-B350-64BB7A0B8233}"/>
    <cellStyle name="Normal 5 2 2 3 2 5 3 5" xfId="14466" xr:uid="{CFF0077E-0529-48D5-A9AD-9A55DF01A8B2}"/>
    <cellStyle name="Normal 5 2 2 3 2 5 4" xfId="27112" xr:uid="{9AF6EA9C-3DB0-4117-B261-39EFE6D9F872}"/>
    <cellStyle name="Normal 5 2 2 3 2 5 5" xfId="18683" xr:uid="{44E82EB9-AA95-4CCA-A0C4-57297D413210}"/>
    <cellStyle name="Normal 5 2 2 3 2 5 6" xfId="35541" xr:uid="{D565F13D-E5BA-4009-998E-1127CE7AC470}"/>
    <cellStyle name="Normal 5 2 2 3 2 5 7" xfId="10248" xr:uid="{2CDFF600-9D9A-46FD-A225-B279459FD3ED}"/>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33888" xr:uid="{05E829D6-D0F4-42E7-80E5-D882FD9ACE81}"/>
    <cellStyle name="Normal 5 2 2 3 2 6 2 2 3" xfId="25459" xr:uid="{B4557662-7CF0-422D-A314-29FB111A2485}"/>
    <cellStyle name="Normal 5 2 2 3 2 6 2 2 4" xfId="42316" xr:uid="{6309AE77-1DD9-49A8-88A3-89C601596C2C}"/>
    <cellStyle name="Normal 5 2 2 3 2 6 2 2 5" xfId="17024" xr:uid="{31649F86-9EBC-488B-B27B-AEEED949073D}"/>
    <cellStyle name="Normal 5 2 2 3 2 6 2 3" xfId="29670" xr:uid="{FFAA12A3-B25A-4BD3-AC5A-73B5138F577A}"/>
    <cellStyle name="Normal 5 2 2 3 2 6 2 4" xfId="21241" xr:uid="{3819BE30-A647-4DE1-A284-29A52A3E442A}"/>
    <cellStyle name="Normal 5 2 2 3 2 6 2 5" xfId="38099" xr:uid="{1CD7B174-5357-4CF9-9DD2-53FD6216C0F0}"/>
    <cellStyle name="Normal 5 2 2 3 2 6 2 6" xfId="12806" xr:uid="{6D34A42D-7902-41DD-8149-FE50309215B5}"/>
    <cellStyle name="Normal 5 2 2 3 2 6 3" xfId="6444" xr:uid="{00000000-0005-0000-0000-0000BB170000}"/>
    <cellStyle name="Normal 5 2 2 3 2 6 3 2" xfId="31743" xr:uid="{B0C47835-0405-4465-9F5F-1CA8AC8C3550}"/>
    <cellStyle name="Normal 5 2 2 3 2 6 3 3" xfId="23314" xr:uid="{96DCADFC-413E-464A-90F0-C998C0A1DDD3}"/>
    <cellStyle name="Normal 5 2 2 3 2 6 3 4" xfId="40171" xr:uid="{FC48D9A0-03C2-479C-8247-A6AC661F15DA}"/>
    <cellStyle name="Normal 5 2 2 3 2 6 3 5" xfId="14879" xr:uid="{2681E42A-2D4A-444D-BA76-B5F659C987AE}"/>
    <cellStyle name="Normal 5 2 2 3 2 6 4" xfId="27525" xr:uid="{CD171303-1A86-41B8-8B21-E85ECF81A2B5}"/>
    <cellStyle name="Normal 5 2 2 3 2 6 5" xfId="19096" xr:uid="{E54AE0A2-B5EA-45BA-822B-A290BFBD0438}"/>
    <cellStyle name="Normal 5 2 2 3 2 6 6" xfId="35954" xr:uid="{3490102B-329D-4007-9951-DFD055D217FC}"/>
    <cellStyle name="Normal 5 2 2 3 2 6 7" xfId="10661" xr:uid="{9893D09C-E204-483C-830B-D73E091864C1}"/>
    <cellStyle name="Normal 5 2 2 3 2 7" xfId="2573" xr:uid="{00000000-0005-0000-0000-0000BC170000}"/>
    <cellStyle name="Normal 5 2 2 3 2 7 2" xfId="6857" xr:uid="{00000000-0005-0000-0000-0000BD170000}"/>
    <cellStyle name="Normal 5 2 2 3 2 7 2 2" xfId="32156" xr:uid="{73E34BCE-03DD-4203-A9BA-B7577D60C6BD}"/>
    <cellStyle name="Normal 5 2 2 3 2 7 2 3" xfId="23727" xr:uid="{F3713B7B-2E3D-45AA-A9B2-9D9EC1C39A56}"/>
    <cellStyle name="Normal 5 2 2 3 2 7 2 4" xfId="40584" xr:uid="{FC24FD88-8F0A-450C-B9DC-ADC50914A1E3}"/>
    <cellStyle name="Normal 5 2 2 3 2 7 2 5" xfId="15292" xr:uid="{3AD16B92-0DB0-4F44-9303-CCA33FAFD82A}"/>
    <cellStyle name="Normal 5 2 2 3 2 7 3" xfId="27938" xr:uid="{55D4F4F8-D4DA-419B-B7D9-11AEB1FFFC31}"/>
    <cellStyle name="Normal 5 2 2 3 2 7 4" xfId="19509" xr:uid="{CCC6FD2F-E7FA-4A3A-845B-30E2E97F4420}"/>
    <cellStyle name="Normal 5 2 2 3 2 7 5" xfId="36367" xr:uid="{8F941BB0-8131-4CB5-9932-FEF5B992F5C1}"/>
    <cellStyle name="Normal 5 2 2 3 2 7 6" xfId="11074" xr:uid="{B330111F-3E22-4570-9D25-E436C558B852}"/>
    <cellStyle name="Normal 5 2 2 3 2 8" xfId="4792" xr:uid="{00000000-0005-0000-0000-0000BE170000}"/>
    <cellStyle name="Normal 5 2 2 3 2 8 2" xfId="30091" xr:uid="{0ED0D808-06EE-4C6C-ACEA-C7FE82035E7A}"/>
    <cellStyle name="Normal 5 2 2 3 2 8 3" xfId="21662" xr:uid="{A22DA3D5-3BBC-449F-B49B-B7D763336945}"/>
    <cellStyle name="Normal 5 2 2 3 2 8 4" xfId="38519" xr:uid="{BE908982-DECB-42EC-82E2-721FEC304973}"/>
    <cellStyle name="Normal 5 2 2 3 2 8 5" xfId="13227" xr:uid="{EB482F6F-363F-40C2-81A2-97C65470B6DA}"/>
    <cellStyle name="Normal 5 2 2 3 2 9" xfId="25873" xr:uid="{D06D0D54-7F62-4DB3-A912-28C38FB6984E}"/>
    <cellStyle name="Normal 5 2 2 3 3" xfId="420" xr:uid="{00000000-0005-0000-0000-0000BF170000}"/>
    <cellStyle name="Normal 5 2 2 3 3 10" xfId="34304" xr:uid="{253F7C66-0677-450C-9981-FCA8009AA5DC}"/>
    <cellStyle name="Normal 5 2 2 3 3 11" xfId="9011" xr:uid="{8EBBA900-45B2-4424-B50E-E0C905DACB6B}"/>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32651" xr:uid="{7CD8E7E1-F77D-403C-9B61-9B4D59046C51}"/>
    <cellStyle name="Normal 5 2 2 3 3 2 2 2 3" xfId="24222" xr:uid="{D802E5D2-8A37-411C-8C00-3A26AA7FEEEE}"/>
    <cellStyle name="Normal 5 2 2 3 3 2 2 2 4" xfId="41079" xr:uid="{237DEF70-25F3-4F25-85C4-7F024F86A5AE}"/>
    <cellStyle name="Normal 5 2 2 3 3 2 2 2 5" xfId="15787" xr:uid="{ECDAD5A4-09D5-4C34-92F3-62B3804CDF8A}"/>
    <cellStyle name="Normal 5 2 2 3 3 2 2 3" xfId="28433" xr:uid="{23F93174-896C-4B25-BD3D-F87ABEB96678}"/>
    <cellStyle name="Normal 5 2 2 3 3 2 2 4" xfId="20004" xr:uid="{5B721430-32F2-4C5C-BC2B-AC6A857B4E64}"/>
    <cellStyle name="Normal 5 2 2 3 3 2 2 5" xfId="36862" xr:uid="{800150E4-C53D-4E27-9BD5-5BDCE16A07B5}"/>
    <cellStyle name="Normal 5 2 2 3 3 2 2 6" xfId="11569" xr:uid="{735094F6-5F16-4BDF-BA47-F199D5177D23}"/>
    <cellStyle name="Normal 5 2 2 3 3 2 3" xfId="5207" xr:uid="{00000000-0005-0000-0000-0000C3170000}"/>
    <cellStyle name="Normal 5 2 2 3 3 2 3 2" xfId="30506" xr:uid="{AF96D0E3-12C9-446D-AECC-7614A85E3C68}"/>
    <cellStyle name="Normal 5 2 2 3 3 2 3 3" xfId="22077" xr:uid="{7779E108-B38E-4296-80CC-546F139D33D4}"/>
    <cellStyle name="Normal 5 2 2 3 3 2 3 4" xfId="38934" xr:uid="{DA17C5AD-5824-44F4-8402-B61B1AD80B71}"/>
    <cellStyle name="Normal 5 2 2 3 3 2 3 5" xfId="13642" xr:uid="{F6236504-A860-451D-B1A8-DE08BB4BF959}"/>
    <cellStyle name="Normal 5 2 2 3 3 2 4" xfId="26288" xr:uid="{6BBF4087-B5E5-437C-B8E6-5E781ED573EC}"/>
    <cellStyle name="Normal 5 2 2 3 3 2 5" xfId="17859" xr:uid="{CF217B58-E3C6-4C4C-8C19-832174631C19}"/>
    <cellStyle name="Normal 5 2 2 3 3 2 6" xfId="34717" xr:uid="{8AB94A35-1FB8-4EBF-9B89-79569591382A}"/>
    <cellStyle name="Normal 5 2 2 3 3 2 7" xfId="9424" xr:uid="{CA0133B6-5F4E-4DC8-849C-5282BCB05C2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33064" xr:uid="{A1E719CD-0CC1-40EF-960F-B2E6FE560FDD}"/>
    <cellStyle name="Normal 5 2 2 3 3 3 2 2 3" xfId="24635" xr:uid="{B777ACCD-2E93-4821-8244-532F5941694C}"/>
    <cellStyle name="Normal 5 2 2 3 3 3 2 2 4" xfId="41492" xr:uid="{F9FD801E-75CE-4CCF-96B4-F4B295C1BF0B}"/>
    <cellStyle name="Normal 5 2 2 3 3 3 2 2 5" xfId="16200" xr:uid="{88ABDDE8-A446-47B0-A96D-4D620B5666AB}"/>
    <cellStyle name="Normal 5 2 2 3 3 3 2 3" xfId="28846" xr:uid="{BA70FD30-28D8-4F49-B0EC-AD97AE24B373}"/>
    <cellStyle name="Normal 5 2 2 3 3 3 2 4" xfId="20417" xr:uid="{716E64CA-DFE9-4A41-BF10-D9F6D4EDEB75}"/>
    <cellStyle name="Normal 5 2 2 3 3 3 2 5" xfId="37275" xr:uid="{3AF47C6F-BEDA-4000-9167-A543DED951CF}"/>
    <cellStyle name="Normal 5 2 2 3 3 3 2 6" xfId="11982" xr:uid="{02AF2956-A58E-423B-84A3-31D6113DC0B6}"/>
    <cellStyle name="Normal 5 2 2 3 3 3 3" xfId="5620" xr:uid="{00000000-0005-0000-0000-0000C7170000}"/>
    <cellStyle name="Normal 5 2 2 3 3 3 3 2" xfId="30919" xr:uid="{DD4F7190-B9C0-455B-A13A-63ED8483D503}"/>
    <cellStyle name="Normal 5 2 2 3 3 3 3 3" xfId="22490" xr:uid="{EEEADA44-3B07-4622-A971-99444817B4CF}"/>
    <cellStyle name="Normal 5 2 2 3 3 3 3 4" xfId="39347" xr:uid="{C6AC02ED-03FE-4B6B-A666-748ABA3670F9}"/>
    <cellStyle name="Normal 5 2 2 3 3 3 3 5" xfId="14055" xr:uid="{7E82CDC7-B9CE-43D6-9C7D-126F574602E4}"/>
    <cellStyle name="Normal 5 2 2 3 3 3 4" xfId="26701" xr:uid="{D50FED3E-52B7-4DDB-91EF-C3197DF23F40}"/>
    <cellStyle name="Normal 5 2 2 3 3 3 5" xfId="18272" xr:uid="{304DF520-2F3A-49C0-A81C-5B9E711A565A}"/>
    <cellStyle name="Normal 5 2 2 3 3 3 6" xfId="35130" xr:uid="{84B503A9-0638-4943-AD1D-D407F91FF887}"/>
    <cellStyle name="Normal 5 2 2 3 3 3 7" xfId="9837" xr:uid="{12446BBF-B878-4CB4-A486-024E9EF1D09D}"/>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33477" xr:uid="{94BF6A43-82C9-4E7F-9B3E-7A42ACA1B99A}"/>
    <cellStyle name="Normal 5 2 2 3 3 4 2 2 3" xfId="25048" xr:uid="{17E9F628-ED98-49FF-A03F-3139C04E3B14}"/>
    <cellStyle name="Normal 5 2 2 3 3 4 2 2 4" xfId="41905" xr:uid="{7A15DFE7-FFA6-417C-950A-51AE9FA31F22}"/>
    <cellStyle name="Normal 5 2 2 3 3 4 2 2 5" xfId="16613" xr:uid="{8BC41A06-418B-47BD-B43E-61EDA367FFE1}"/>
    <cellStyle name="Normal 5 2 2 3 3 4 2 3" xfId="29259" xr:uid="{5EB29750-BBB3-4958-8DF4-9498049C4176}"/>
    <cellStyle name="Normal 5 2 2 3 3 4 2 4" xfId="20830" xr:uid="{098CF739-ED6E-418B-9063-45C2B40D9F7A}"/>
    <cellStyle name="Normal 5 2 2 3 3 4 2 5" xfId="37688" xr:uid="{5B1FD588-649D-429B-A6E1-67101665522F}"/>
    <cellStyle name="Normal 5 2 2 3 3 4 2 6" xfId="12395" xr:uid="{127AA9B2-4510-4C96-9FA3-91FF87758FBB}"/>
    <cellStyle name="Normal 5 2 2 3 3 4 3" xfId="6033" xr:uid="{00000000-0005-0000-0000-0000CB170000}"/>
    <cellStyle name="Normal 5 2 2 3 3 4 3 2" xfId="31332" xr:uid="{8EA68036-09CD-4AB6-8276-E2BFDB05075A}"/>
    <cellStyle name="Normal 5 2 2 3 3 4 3 3" xfId="22903" xr:uid="{454DC448-F6B9-4802-BACB-912157FDB536}"/>
    <cellStyle name="Normal 5 2 2 3 3 4 3 4" xfId="39760" xr:uid="{6E5B3703-010A-4DF0-B8C7-E0090FE886C6}"/>
    <cellStyle name="Normal 5 2 2 3 3 4 3 5" xfId="14468" xr:uid="{A614BCCB-7FF5-4A08-9457-8FEB54338224}"/>
    <cellStyle name="Normal 5 2 2 3 3 4 4" xfId="27114" xr:uid="{31C54D54-E432-41CC-A976-C3F8D06D46D3}"/>
    <cellStyle name="Normal 5 2 2 3 3 4 5" xfId="18685" xr:uid="{4CC2323A-12E4-40D6-AB02-3A06F4B37768}"/>
    <cellStyle name="Normal 5 2 2 3 3 4 6" xfId="35543" xr:uid="{F5E0103B-D334-40D6-A118-4D1450E436A4}"/>
    <cellStyle name="Normal 5 2 2 3 3 4 7" xfId="10250" xr:uid="{EA934990-5120-4D77-936B-29F7E315BC5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33890" xr:uid="{81784571-9D8F-433B-BAF8-7E6876D90F21}"/>
    <cellStyle name="Normal 5 2 2 3 3 5 2 2 3" xfId="25461" xr:uid="{4653B809-23C2-4BF9-A438-BD8174D1E410}"/>
    <cellStyle name="Normal 5 2 2 3 3 5 2 2 4" xfId="42318" xr:uid="{8B36B82F-BB07-496B-B545-34A3D8C176BE}"/>
    <cellStyle name="Normal 5 2 2 3 3 5 2 2 5" xfId="17026" xr:uid="{39A00112-B74D-4976-9920-87E5C629F7AC}"/>
    <cellStyle name="Normal 5 2 2 3 3 5 2 3" xfId="29672" xr:uid="{28E5DBB1-9D39-4F00-803D-A387A0B09297}"/>
    <cellStyle name="Normal 5 2 2 3 3 5 2 4" xfId="21243" xr:uid="{1EC7832C-DF33-4C5D-80F1-31F6BB24EABC}"/>
    <cellStyle name="Normal 5 2 2 3 3 5 2 5" xfId="38101" xr:uid="{783ED9E3-559F-4326-B3FF-618C5CD8A759}"/>
    <cellStyle name="Normal 5 2 2 3 3 5 2 6" xfId="12808" xr:uid="{695A81A3-F965-4C4C-869F-8C77B987220A}"/>
    <cellStyle name="Normal 5 2 2 3 3 5 3" xfId="6446" xr:uid="{00000000-0005-0000-0000-0000CF170000}"/>
    <cellStyle name="Normal 5 2 2 3 3 5 3 2" xfId="31745" xr:uid="{7E561868-E18E-43A7-9544-47FC5DB913F0}"/>
    <cellStyle name="Normal 5 2 2 3 3 5 3 3" xfId="23316" xr:uid="{7D9636C3-1986-45E3-BD7C-B79379EEE537}"/>
    <cellStyle name="Normal 5 2 2 3 3 5 3 4" xfId="40173" xr:uid="{EFDFAF07-2FF1-43DA-AF27-92105268C83A}"/>
    <cellStyle name="Normal 5 2 2 3 3 5 3 5" xfId="14881" xr:uid="{44D36482-22CB-42F5-91BE-76C58B211982}"/>
    <cellStyle name="Normal 5 2 2 3 3 5 4" xfId="27527" xr:uid="{5D34EA94-06FB-48E1-96C3-A713B85D11B2}"/>
    <cellStyle name="Normal 5 2 2 3 3 5 5" xfId="19098" xr:uid="{1B1245C9-0076-4394-BC71-CFD92EF16751}"/>
    <cellStyle name="Normal 5 2 2 3 3 5 6" xfId="35956" xr:uid="{C1917C0C-1687-4E5A-87F2-81802017B357}"/>
    <cellStyle name="Normal 5 2 2 3 3 5 7" xfId="10663" xr:uid="{6729DE5F-C8BF-4F73-9421-6E8A292E3720}"/>
    <cellStyle name="Normal 5 2 2 3 3 6" xfId="2575" xr:uid="{00000000-0005-0000-0000-0000D0170000}"/>
    <cellStyle name="Normal 5 2 2 3 3 6 2" xfId="6859" xr:uid="{00000000-0005-0000-0000-0000D1170000}"/>
    <cellStyle name="Normal 5 2 2 3 3 6 2 2" xfId="32158" xr:uid="{42C50B93-FD28-4A4B-B89B-B78A17D8551A}"/>
    <cellStyle name="Normal 5 2 2 3 3 6 2 3" xfId="23729" xr:uid="{CAA96670-2217-4495-BA54-2516A8597555}"/>
    <cellStyle name="Normal 5 2 2 3 3 6 2 4" xfId="40586" xr:uid="{D63A20AB-7A29-4435-B3C6-949BDC4BC2F4}"/>
    <cellStyle name="Normal 5 2 2 3 3 6 2 5" xfId="15294" xr:uid="{00BACE6D-7EEB-44A1-BEDE-B2F79F0B5260}"/>
    <cellStyle name="Normal 5 2 2 3 3 6 3" xfId="27940" xr:uid="{CC6A61FB-BABD-4B8D-B11F-17DE25D145D1}"/>
    <cellStyle name="Normal 5 2 2 3 3 6 4" xfId="19511" xr:uid="{4F4913C3-190C-4901-A783-0985A88F794A}"/>
    <cellStyle name="Normal 5 2 2 3 3 6 5" xfId="36369" xr:uid="{926C5CB5-5BBC-47B7-A8C3-C6CF6F66444F}"/>
    <cellStyle name="Normal 5 2 2 3 3 6 6" xfId="11076" xr:uid="{D1209570-D1F0-4C51-A1D1-599E0BC67942}"/>
    <cellStyle name="Normal 5 2 2 3 3 7" xfId="4794" xr:uid="{00000000-0005-0000-0000-0000D2170000}"/>
    <cellStyle name="Normal 5 2 2 3 3 7 2" xfId="30093" xr:uid="{1B1FB640-233C-4325-ADA3-FC468EC7AF86}"/>
    <cellStyle name="Normal 5 2 2 3 3 7 3" xfId="21664" xr:uid="{3BEF195D-BFD6-4A2A-B2F9-4CA00ABE527D}"/>
    <cellStyle name="Normal 5 2 2 3 3 7 4" xfId="38521" xr:uid="{3AF65EBC-DD9E-42FE-88D1-DB19A98DDDB8}"/>
    <cellStyle name="Normal 5 2 2 3 3 7 5" xfId="13229" xr:uid="{41997D5E-7CA4-4E9D-9776-6273362C65B6}"/>
    <cellStyle name="Normal 5 2 2 3 3 8" xfId="25875" xr:uid="{88379FCB-DDE5-4742-AEB8-BA8D703B2424}"/>
    <cellStyle name="Normal 5 2 2 3 3 9" xfId="17446" xr:uid="{AB4EC9E3-F08C-4AE5-AB7E-A687272E8A43}"/>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32648" xr:uid="{8CC073D6-8908-478B-AAA1-BE6C122F804F}"/>
    <cellStyle name="Normal 5 2 2 3 4 2 2 3" xfId="24219" xr:uid="{8FD9D2ED-D437-431C-B60B-FBA3BE9C5662}"/>
    <cellStyle name="Normal 5 2 2 3 4 2 2 4" xfId="41076" xr:uid="{2E79069B-ACA2-4A54-9074-8406C98CFFCA}"/>
    <cellStyle name="Normal 5 2 2 3 4 2 2 5" xfId="15784" xr:uid="{A727DD1E-DC31-456F-A29D-8BCDFA5F12AE}"/>
    <cellStyle name="Normal 5 2 2 3 4 2 3" xfId="28430" xr:uid="{D3D1D620-6BBD-4910-A6CA-A206E66A7E1A}"/>
    <cellStyle name="Normal 5 2 2 3 4 2 4" xfId="20001" xr:uid="{9A97B239-F3A7-4F93-A926-2B2167FCBE14}"/>
    <cellStyle name="Normal 5 2 2 3 4 2 5" xfId="36859" xr:uid="{8319B65A-1C75-4C9F-BF6F-421CCA67FE7D}"/>
    <cellStyle name="Normal 5 2 2 3 4 2 6" xfId="11566" xr:uid="{03A15D6E-0658-413F-BA1B-07576814AB3D}"/>
    <cellStyle name="Normal 5 2 2 3 4 3" xfId="5204" xr:uid="{00000000-0005-0000-0000-0000D6170000}"/>
    <cellStyle name="Normal 5 2 2 3 4 3 2" xfId="30503" xr:uid="{ED957164-40EF-4A19-A8EB-59D42F572F52}"/>
    <cellStyle name="Normal 5 2 2 3 4 3 3" xfId="22074" xr:uid="{FF7E9465-BE71-4953-AE33-DDA9F4A4FECB}"/>
    <cellStyle name="Normal 5 2 2 3 4 3 4" xfId="38931" xr:uid="{A39A1A5C-E520-4387-B85E-313CF4BF381C}"/>
    <cellStyle name="Normal 5 2 2 3 4 3 5" xfId="13639" xr:uid="{AEF45EE3-3CB6-4E17-85B2-73258C311B8D}"/>
    <cellStyle name="Normal 5 2 2 3 4 4" xfId="26285" xr:uid="{B5C5295F-B60F-4EC1-AE0B-0E37C24F986B}"/>
    <cellStyle name="Normal 5 2 2 3 4 5" xfId="17856" xr:uid="{75838222-B3F1-4345-B5A1-A605780EF1AC}"/>
    <cellStyle name="Normal 5 2 2 3 4 6" xfId="34714" xr:uid="{86B55189-D87A-47E0-9AA9-304A10B4F9E2}"/>
    <cellStyle name="Normal 5 2 2 3 4 7" xfId="9421" xr:uid="{979394CE-7DC8-4D64-B5D4-009795CD284E}"/>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33061" xr:uid="{E09F8258-091D-404D-ADBD-6907171FD43B}"/>
    <cellStyle name="Normal 5 2 2 3 5 2 2 3" xfId="24632" xr:uid="{1EE90CBC-0251-4647-9927-1791C3C821C0}"/>
    <cellStyle name="Normal 5 2 2 3 5 2 2 4" xfId="41489" xr:uid="{6E95D727-801A-4EB9-BCB8-DFB32E74BF67}"/>
    <cellStyle name="Normal 5 2 2 3 5 2 2 5" xfId="16197" xr:uid="{E7C39686-623A-4BDB-BD42-F696E002A105}"/>
    <cellStyle name="Normal 5 2 2 3 5 2 3" xfId="28843" xr:uid="{CCA22C01-5A56-4D28-9381-5E671871AA01}"/>
    <cellStyle name="Normal 5 2 2 3 5 2 4" xfId="20414" xr:uid="{8C4BA127-A687-4D70-8585-2867FACE75E7}"/>
    <cellStyle name="Normal 5 2 2 3 5 2 5" xfId="37272" xr:uid="{65857F1D-F114-448F-A63E-4895DFC83C19}"/>
    <cellStyle name="Normal 5 2 2 3 5 2 6" xfId="11979" xr:uid="{E487BC59-7320-49B5-9C21-9895BB63E657}"/>
    <cellStyle name="Normal 5 2 2 3 5 3" xfId="5617" xr:uid="{00000000-0005-0000-0000-0000DA170000}"/>
    <cellStyle name="Normal 5 2 2 3 5 3 2" xfId="30916" xr:uid="{45460540-25BE-4D37-AE50-FF8AA87FA649}"/>
    <cellStyle name="Normal 5 2 2 3 5 3 3" xfId="22487" xr:uid="{82ECA951-21EF-47AD-A7B7-248C77602331}"/>
    <cellStyle name="Normal 5 2 2 3 5 3 4" xfId="39344" xr:uid="{58FC53EC-94D8-4F17-945A-79A5FF87784A}"/>
    <cellStyle name="Normal 5 2 2 3 5 3 5" xfId="14052" xr:uid="{0703FDBC-56AB-40E2-8499-9FADF83CAA81}"/>
    <cellStyle name="Normal 5 2 2 3 5 4" xfId="26698" xr:uid="{C7A788D0-96A8-455F-93B6-4CB3C7CDA2DF}"/>
    <cellStyle name="Normal 5 2 2 3 5 5" xfId="18269" xr:uid="{E36EB2CD-D4B7-4128-8735-FC720DC57124}"/>
    <cellStyle name="Normal 5 2 2 3 5 6" xfId="35127" xr:uid="{71E54490-ED3E-4F59-A055-138F4A0AC23E}"/>
    <cellStyle name="Normal 5 2 2 3 5 7" xfId="9834" xr:uid="{7E776004-4BBE-4D25-AC74-DFFAEF7BD7E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33474" xr:uid="{8BB85826-1BF6-4CF0-853A-7619BC259FCF}"/>
    <cellStyle name="Normal 5 2 2 3 6 2 2 3" xfId="25045" xr:uid="{64377B40-8894-46E0-BAD1-9624AB6822AD}"/>
    <cellStyle name="Normal 5 2 2 3 6 2 2 4" xfId="41902" xr:uid="{2124A753-EE55-47C4-8020-78B55ADDB0CD}"/>
    <cellStyle name="Normal 5 2 2 3 6 2 2 5" xfId="16610" xr:uid="{A90E0DC0-31D3-4315-BB57-4B97CE8A7ACC}"/>
    <cellStyle name="Normal 5 2 2 3 6 2 3" xfId="29256" xr:uid="{AC728D84-018E-4339-BAC2-D4A7E2830FBD}"/>
    <cellStyle name="Normal 5 2 2 3 6 2 4" xfId="20827" xr:uid="{A1C3E521-0BFA-4CE9-918E-2562D9672CC6}"/>
    <cellStyle name="Normal 5 2 2 3 6 2 5" xfId="37685" xr:uid="{BB18E159-14B2-46EA-87E5-13D7DBE99310}"/>
    <cellStyle name="Normal 5 2 2 3 6 2 6" xfId="12392" xr:uid="{D3C8DC7C-BE92-4463-A3CA-8F249238C254}"/>
    <cellStyle name="Normal 5 2 2 3 6 3" xfId="6030" xr:uid="{00000000-0005-0000-0000-0000DE170000}"/>
    <cellStyle name="Normal 5 2 2 3 6 3 2" xfId="31329" xr:uid="{B3450758-EBCA-4D25-951F-365FFD9EADB5}"/>
    <cellStyle name="Normal 5 2 2 3 6 3 3" xfId="22900" xr:uid="{110456C6-DC57-41A2-950B-AC1E6E999E16}"/>
    <cellStyle name="Normal 5 2 2 3 6 3 4" xfId="39757" xr:uid="{886C38B5-80C2-4130-BEC1-8A0C353A2565}"/>
    <cellStyle name="Normal 5 2 2 3 6 3 5" xfId="14465" xr:uid="{82CC0C85-C076-43CC-9918-723BEE3C2144}"/>
    <cellStyle name="Normal 5 2 2 3 6 4" xfId="27111" xr:uid="{C8F6BD4A-1922-4F26-8686-DE71270FFF6C}"/>
    <cellStyle name="Normal 5 2 2 3 6 5" xfId="18682" xr:uid="{8730C77E-9122-46F6-83D8-2448A2450C57}"/>
    <cellStyle name="Normal 5 2 2 3 6 6" xfId="35540" xr:uid="{597B6143-22C8-41D6-807A-099187C99897}"/>
    <cellStyle name="Normal 5 2 2 3 6 7" xfId="10247" xr:uid="{3E417E81-E0F7-418D-B60E-6E51F5D22344}"/>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33887" xr:uid="{1D43E034-455B-4CA1-AB1B-9A7AC4D6BC2F}"/>
    <cellStyle name="Normal 5 2 2 3 7 2 2 3" xfId="25458" xr:uid="{238F719C-A478-4011-821E-F841CD61F13A}"/>
    <cellStyle name="Normal 5 2 2 3 7 2 2 4" xfId="42315" xr:uid="{065CD38D-D1C7-48F2-91DA-E4D81AFFE1D8}"/>
    <cellStyle name="Normal 5 2 2 3 7 2 2 5" xfId="17023" xr:uid="{4955EF0C-DBED-4E9C-9807-49D0B5CB8E0A}"/>
    <cellStyle name="Normal 5 2 2 3 7 2 3" xfId="29669" xr:uid="{F5DE3DA3-CC96-4A2B-9B70-1CBA7F0F031E}"/>
    <cellStyle name="Normal 5 2 2 3 7 2 4" xfId="21240" xr:uid="{0FCFD91D-684B-4CFD-A5A6-90A700D730A7}"/>
    <cellStyle name="Normal 5 2 2 3 7 2 5" xfId="38098" xr:uid="{E692EE53-F639-4B6F-B95E-74C4EDE864C4}"/>
    <cellStyle name="Normal 5 2 2 3 7 2 6" xfId="12805" xr:uid="{7CE45B62-6C6E-4560-9C50-DDBC8981B565}"/>
    <cellStyle name="Normal 5 2 2 3 7 3" xfId="6443" xr:uid="{00000000-0005-0000-0000-0000E2170000}"/>
    <cellStyle name="Normal 5 2 2 3 7 3 2" xfId="31742" xr:uid="{77177D88-D00C-4BAA-A2ED-F2DAF1619A1C}"/>
    <cellStyle name="Normal 5 2 2 3 7 3 3" xfId="23313" xr:uid="{F02343BB-31C4-4F86-AA6A-5A1D6833B12E}"/>
    <cellStyle name="Normal 5 2 2 3 7 3 4" xfId="40170" xr:uid="{D68226CA-A5AF-496D-B896-929CFC2C07BE}"/>
    <cellStyle name="Normal 5 2 2 3 7 3 5" xfId="14878" xr:uid="{7C62BF62-C345-4B79-B6B7-A3429B026184}"/>
    <cellStyle name="Normal 5 2 2 3 7 4" xfId="27524" xr:uid="{3BCD1331-9F61-47B4-965E-8833518DF703}"/>
    <cellStyle name="Normal 5 2 2 3 7 5" xfId="19095" xr:uid="{FEDE4729-CBEF-4116-8B49-9611642B55DE}"/>
    <cellStyle name="Normal 5 2 2 3 7 6" xfId="35953" xr:uid="{C7B6888E-E871-4576-9187-5F8C0991C5FA}"/>
    <cellStyle name="Normal 5 2 2 3 7 7" xfId="10660" xr:uid="{DFC5BC66-7783-44D2-93CE-9398DB81D358}"/>
    <cellStyle name="Normal 5 2 2 3 8" xfId="2572" xr:uid="{00000000-0005-0000-0000-0000E3170000}"/>
    <cellStyle name="Normal 5 2 2 3 8 2" xfId="6856" xr:uid="{00000000-0005-0000-0000-0000E4170000}"/>
    <cellStyle name="Normal 5 2 2 3 8 2 2" xfId="32155" xr:uid="{1C6E908B-CA6B-4A3B-99ED-54DC4AC8CCE2}"/>
    <cellStyle name="Normal 5 2 2 3 8 2 3" xfId="23726" xr:uid="{E878ACF2-68E3-4E4C-A60E-76FBB7DA5C94}"/>
    <cellStyle name="Normal 5 2 2 3 8 2 4" xfId="40583" xr:uid="{31753D0D-3E66-4DA3-8529-F1A1F3BCE10F}"/>
    <cellStyle name="Normal 5 2 2 3 8 2 5" xfId="15291" xr:uid="{CA143F70-4ACC-4B47-85B5-7452213AF8A3}"/>
    <cellStyle name="Normal 5 2 2 3 8 3" xfId="27937" xr:uid="{5D3C1C62-DCD1-461C-9E3D-3EC0AD30E6C2}"/>
    <cellStyle name="Normal 5 2 2 3 8 4" xfId="19508" xr:uid="{FDDF66D2-19C8-4544-A6E3-2DC4BC1A86AA}"/>
    <cellStyle name="Normal 5 2 2 3 8 5" xfId="36366" xr:uid="{E0C0BFDF-CF6B-4FC7-925E-979924BB8B3B}"/>
    <cellStyle name="Normal 5 2 2 3 8 6" xfId="11073" xr:uid="{AF1C48C1-F5D0-4FCF-AF2D-4AA1104B015A}"/>
    <cellStyle name="Normal 5 2 2 3 9" xfId="4791" xr:uid="{00000000-0005-0000-0000-0000E5170000}"/>
    <cellStyle name="Normal 5 2 2 3 9 2" xfId="30090" xr:uid="{9C489B2A-A43B-473F-A030-2C7826FCDD62}"/>
    <cellStyle name="Normal 5 2 2 3 9 3" xfId="21661" xr:uid="{A72F41CE-7B87-409B-BDB2-ED4A87AEE2F6}"/>
    <cellStyle name="Normal 5 2 2 3 9 4" xfId="38518" xr:uid="{23D7EADD-DB80-469B-9D66-70E89E54192D}"/>
    <cellStyle name="Normal 5 2 2 3 9 5" xfId="13226" xr:uid="{51B0349F-77B0-4BAA-B203-58C3D47EB489}"/>
    <cellStyle name="Normal 5 2 2 4" xfId="421" xr:uid="{00000000-0005-0000-0000-0000E6170000}"/>
    <cellStyle name="Normal 5 2 2 4 10" xfId="17447" xr:uid="{12E68946-AACC-4D8B-830B-ED1AC7F7AF32}"/>
    <cellStyle name="Normal 5 2 2 4 11" xfId="34305" xr:uid="{0118BD6F-801F-44EA-9362-0FBD47CA8B30}"/>
    <cellStyle name="Normal 5 2 2 4 12" xfId="9012" xr:uid="{8C1E8174-751D-4C1A-8EB1-C7C20CEFEE35}"/>
    <cellStyle name="Normal 5 2 2 4 2" xfId="422" xr:uid="{00000000-0005-0000-0000-0000E7170000}"/>
    <cellStyle name="Normal 5 2 2 4 2 10" xfId="34306" xr:uid="{0AF4FA29-0C76-414E-B4E7-E59CABF96B6D}"/>
    <cellStyle name="Normal 5 2 2 4 2 11" xfId="9013" xr:uid="{834A387C-9FAD-408B-9956-817B0D90A2C9}"/>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32653" xr:uid="{0D1DB861-4023-4E36-B8BB-40D69ACD9328}"/>
    <cellStyle name="Normal 5 2 2 4 2 2 2 2 3" xfId="24224" xr:uid="{9909A629-D28F-4629-929F-6DD690FA9BF8}"/>
    <cellStyle name="Normal 5 2 2 4 2 2 2 2 4" xfId="41081" xr:uid="{7E4D3FB1-5F57-4155-BDAE-F5B8FB174124}"/>
    <cellStyle name="Normal 5 2 2 4 2 2 2 2 5" xfId="15789" xr:uid="{A3CD9CAC-EAE3-4BA1-803C-93B19470062A}"/>
    <cellStyle name="Normal 5 2 2 4 2 2 2 3" xfId="28435" xr:uid="{02F7E084-FAFD-4813-90A3-DDC309C40B4B}"/>
    <cellStyle name="Normal 5 2 2 4 2 2 2 4" xfId="20006" xr:uid="{6F9D9655-70B0-4DBD-AC82-8156226B50A2}"/>
    <cellStyle name="Normal 5 2 2 4 2 2 2 5" xfId="36864" xr:uid="{6585A056-1252-4945-BE1F-905B3A063AEF}"/>
    <cellStyle name="Normal 5 2 2 4 2 2 2 6" xfId="11571" xr:uid="{B6FC3631-39B6-45D5-A576-B6CCCABC45AF}"/>
    <cellStyle name="Normal 5 2 2 4 2 2 3" xfId="5209" xr:uid="{00000000-0005-0000-0000-0000EB170000}"/>
    <cellStyle name="Normal 5 2 2 4 2 2 3 2" xfId="30508" xr:uid="{E4B2C6E7-F355-499E-AA89-04F123EF8AD6}"/>
    <cellStyle name="Normal 5 2 2 4 2 2 3 3" xfId="22079" xr:uid="{5C598487-6614-4E82-A0E1-B2230FE4841E}"/>
    <cellStyle name="Normal 5 2 2 4 2 2 3 4" xfId="38936" xr:uid="{45266FF3-2A7E-464D-9E83-CDA807BD6A94}"/>
    <cellStyle name="Normal 5 2 2 4 2 2 3 5" xfId="13644" xr:uid="{43B45462-9FBA-411F-BC16-1F211C64E7F6}"/>
    <cellStyle name="Normal 5 2 2 4 2 2 4" xfId="26290" xr:uid="{17BC841C-9442-4C08-9A89-D78466C1F112}"/>
    <cellStyle name="Normal 5 2 2 4 2 2 5" xfId="17861" xr:uid="{A8B31A37-7B72-4C15-8A06-B447E698445F}"/>
    <cellStyle name="Normal 5 2 2 4 2 2 6" xfId="34719" xr:uid="{AC0201D0-9146-4CAD-9BDD-3C68BF19B43E}"/>
    <cellStyle name="Normal 5 2 2 4 2 2 7" xfId="9426" xr:uid="{AC626A2D-3C09-466A-B8A2-2C78EAAE28D7}"/>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33066" xr:uid="{675F6A68-B464-47A1-A833-1BAB33BFB44F}"/>
    <cellStyle name="Normal 5 2 2 4 2 3 2 2 3" xfId="24637" xr:uid="{27836695-EA0F-4271-8C1B-CB70B435CDA4}"/>
    <cellStyle name="Normal 5 2 2 4 2 3 2 2 4" xfId="41494" xr:uid="{90C77B87-3F5B-47C9-886B-548259FDCF4B}"/>
    <cellStyle name="Normal 5 2 2 4 2 3 2 2 5" xfId="16202" xr:uid="{A148C51A-0A03-4363-9B42-839858848352}"/>
    <cellStyle name="Normal 5 2 2 4 2 3 2 3" xfId="28848" xr:uid="{25726B8F-4A24-44AA-9482-CD679A978ABA}"/>
    <cellStyle name="Normal 5 2 2 4 2 3 2 4" xfId="20419" xr:uid="{6C28539A-F31B-4A79-B646-0E8DAB086865}"/>
    <cellStyle name="Normal 5 2 2 4 2 3 2 5" xfId="37277" xr:uid="{B4B451E9-27BE-48F1-885F-93DAE8E94254}"/>
    <cellStyle name="Normal 5 2 2 4 2 3 2 6" xfId="11984" xr:uid="{403AA01F-8C00-4AED-9A5A-360104B179B9}"/>
    <cellStyle name="Normal 5 2 2 4 2 3 3" xfId="5622" xr:uid="{00000000-0005-0000-0000-0000EF170000}"/>
    <cellStyle name="Normal 5 2 2 4 2 3 3 2" xfId="30921" xr:uid="{F55BFE11-F0E1-44CA-B3D3-2AC5AE2D8357}"/>
    <cellStyle name="Normal 5 2 2 4 2 3 3 3" xfId="22492" xr:uid="{BC59BCA2-EEC0-431B-B00D-336D0B833D82}"/>
    <cellStyle name="Normal 5 2 2 4 2 3 3 4" xfId="39349" xr:uid="{D35C393F-CD89-497D-BF2E-6E9B643D0AE1}"/>
    <cellStyle name="Normal 5 2 2 4 2 3 3 5" xfId="14057" xr:uid="{0B90218D-870C-47FA-935A-BCEC6779C8B0}"/>
    <cellStyle name="Normal 5 2 2 4 2 3 4" xfId="26703" xr:uid="{E06F4A32-20A8-4310-9A51-5452A2CAAA8E}"/>
    <cellStyle name="Normal 5 2 2 4 2 3 5" xfId="18274" xr:uid="{E621812E-B43D-4F71-BA3E-9D3C36124FA2}"/>
    <cellStyle name="Normal 5 2 2 4 2 3 6" xfId="35132" xr:uid="{AD68C019-E995-4BF3-B193-2F48AA2FD4D0}"/>
    <cellStyle name="Normal 5 2 2 4 2 3 7" xfId="9839" xr:uid="{E4511C6A-6D98-4222-AA3F-EED8E79321A6}"/>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33479" xr:uid="{70ED8FE3-E008-4BB1-966A-937FC5188009}"/>
    <cellStyle name="Normal 5 2 2 4 2 4 2 2 3" xfId="25050" xr:uid="{0318854A-3EC1-461E-9363-A4D8F4A56466}"/>
    <cellStyle name="Normal 5 2 2 4 2 4 2 2 4" xfId="41907" xr:uid="{6A7DCD88-ABA7-438A-A063-A48A88EFCE3D}"/>
    <cellStyle name="Normal 5 2 2 4 2 4 2 2 5" xfId="16615" xr:uid="{A07198A7-B1C5-4A54-9753-AB851DE90B65}"/>
    <cellStyle name="Normal 5 2 2 4 2 4 2 3" xfId="29261" xr:uid="{D75A07E5-7B22-4AF1-AE02-5F7E1BB2E3EC}"/>
    <cellStyle name="Normal 5 2 2 4 2 4 2 4" xfId="20832" xr:uid="{56B6642A-3F3F-4198-A903-5F6F5059DE02}"/>
    <cellStyle name="Normal 5 2 2 4 2 4 2 5" xfId="37690" xr:uid="{7C2160F9-5E6F-4B8F-9007-34DE9F0C06B2}"/>
    <cellStyle name="Normal 5 2 2 4 2 4 2 6" xfId="12397" xr:uid="{A40792E3-8E09-46E5-B926-ACC0DCF0CEDC}"/>
    <cellStyle name="Normal 5 2 2 4 2 4 3" xfId="6035" xr:uid="{00000000-0005-0000-0000-0000F3170000}"/>
    <cellStyle name="Normal 5 2 2 4 2 4 3 2" xfId="31334" xr:uid="{C883A183-2ABE-4B60-8562-1D6149DB6A29}"/>
    <cellStyle name="Normal 5 2 2 4 2 4 3 3" xfId="22905" xr:uid="{9ED2D398-E553-435C-96BE-51AD3DEEC232}"/>
    <cellStyle name="Normal 5 2 2 4 2 4 3 4" xfId="39762" xr:uid="{D2B035D3-2D1F-4CF1-9914-1C783FBDB7A1}"/>
    <cellStyle name="Normal 5 2 2 4 2 4 3 5" xfId="14470" xr:uid="{9C824EB8-E207-4A10-89AD-76C289BF9ADB}"/>
    <cellStyle name="Normal 5 2 2 4 2 4 4" xfId="27116" xr:uid="{391356CB-B341-48FC-9DA4-F742E6409E4B}"/>
    <cellStyle name="Normal 5 2 2 4 2 4 5" xfId="18687" xr:uid="{C9682CE0-8F2D-4B3D-8F91-FFAA13661EAA}"/>
    <cellStyle name="Normal 5 2 2 4 2 4 6" xfId="35545" xr:uid="{2EA53E52-C813-4CD6-B6DD-DDD1DBB1B7D4}"/>
    <cellStyle name="Normal 5 2 2 4 2 4 7" xfId="10252" xr:uid="{172DBFF0-ADE3-45CF-AFD7-D1379D0A6B15}"/>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33892" xr:uid="{5908B275-6273-4414-A655-05B6740309BF}"/>
    <cellStyle name="Normal 5 2 2 4 2 5 2 2 3" xfId="25463" xr:uid="{6A9F536B-058D-4A05-A07F-DEEC51F2E719}"/>
    <cellStyle name="Normal 5 2 2 4 2 5 2 2 4" xfId="42320" xr:uid="{849544D3-B7BE-4CE7-965F-59F37F4BD2C8}"/>
    <cellStyle name="Normal 5 2 2 4 2 5 2 2 5" xfId="17028" xr:uid="{FBB56F0E-E1E7-478E-88AE-C3009E7D3E66}"/>
    <cellStyle name="Normal 5 2 2 4 2 5 2 3" xfId="29674" xr:uid="{E2571A6A-5885-4A7F-B722-5CD5F68F877E}"/>
    <cellStyle name="Normal 5 2 2 4 2 5 2 4" xfId="21245" xr:uid="{72CFB282-04DB-4237-A1D9-AB698E653886}"/>
    <cellStyle name="Normal 5 2 2 4 2 5 2 5" xfId="38103" xr:uid="{9041FE78-56D4-46DE-9179-087C2AB23A2A}"/>
    <cellStyle name="Normal 5 2 2 4 2 5 2 6" xfId="12810" xr:uid="{6BDCE1E1-BE17-4A6B-A4E0-A5F6AF5AF6EB}"/>
    <cellStyle name="Normal 5 2 2 4 2 5 3" xfId="6448" xr:uid="{00000000-0005-0000-0000-0000F7170000}"/>
    <cellStyle name="Normal 5 2 2 4 2 5 3 2" xfId="31747" xr:uid="{D9423975-B31B-4524-BD25-23ED46BB460A}"/>
    <cellStyle name="Normal 5 2 2 4 2 5 3 3" xfId="23318" xr:uid="{C5253A46-6152-4F0A-8F89-647B043A62FD}"/>
    <cellStyle name="Normal 5 2 2 4 2 5 3 4" xfId="40175" xr:uid="{1C59A284-D66B-4222-A791-8093D0CB97AE}"/>
    <cellStyle name="Normal 5 2 2 4 2 5 3 5" xfId="14883" xr:uid="{EC94718B-9691-4EAB-AAFE-03132753A13A}"/>
    <cellStyle name="Normal 5 2 2 4 2 5 4" xfId="27529" xr:uid="{04996054-45B2-406F-9D28-E347F025D2BA}"/>
    <cellStyle name="Normal 5 2 2 4 2 5 5" xfId="19100" xr:uid="{0A082262-6592-4C81-9765-0CF134B8CE0E}"/>
    <cellStyle name="Normal 5 2 2 4 2 5 6" xfId="35958" xr:uid="{B1C046A5-DC43-42C8-B083-FE511B3459AA}"/>
    <cellStyle name="Normal 5 2 2 4 2 5 7" xfId="10665" xr:uid="{450392C2-1C0B-4C65-AF9F-4AB65A5CA6A0}"/>
    <cellStyle name="Normal 5 2 2 4 2 6" xfId="2577" xr:uid="{00000000-0005-0000-0000-0000F8170000}"/>
    <cellStyle name="Normal 5 2 2 4 2 6 2" xfId="6861" xr:uid="{00000000-0005-0000-0000-0000F9170000}"/>
    <cellStyle name="Normal 5 2 2 4 2 6 2 2" xfId="32160" xr:uid="{69EA9AA0-B38F-4996-B3E1-657DB3AD5EF1}"/>
    <cellStyle name="Normal 5 2 2 4 2 6 2 3" xfId="23731" xr:uid="{BB34813D-220C-4E20-94FE-B5DF6C1A6E46}"/>
    <cellStyle name="Normal 5 2 2 4 2 6 2 4" xfId="40588" xr:uid="{EB441A1E-1C12-4909-8762-3B656FBEE3AD}"/>
    <cellStyle name="Normal 5 2 2 4 2 6 2 5" xfId="15296" xr:uid="{1CFAB7A1-56C4-45DB-AA1D-3B36EE4C6BAB}"/>
    <cellStyle name="Normal 5 2 2 4 2 6 3" xfId="27942" xr:uid="{4B4AF8E9-CE24-446D-AB5D-968F0C4AE621}"/>
    <cellStyle name="Normal 5 2 2 4 2 6 4" xfId="19513" xr:uid="{1E7B6DD1-111A-4971-9089-A144A83F2564}"/>
    <cellStyle name="Normal 5 2 2 4 2 6 5" xfId="36371" xr:uid="{287E0D7E-E19D-4FCD-AFAF-66909A08F133}"/>
    <cellStyle name="Normal 5 2 2 4 2 6 6" xfId="11078" xr:uid="{F6E73DBA-B57F-4A6F-AB18-87EADC8022A6}"/>
    <cellStyle name="Normal 5 2 2 4 2 7" xfId="4796" xr:uid="{00000000-0005-0000-0000-0000FA170000}"/>
    <cellStyle name="Normal 5 2 2 4 2 7 2" xfId="30095" xr:uid="{0A71565E-E568-4C72-A32E-4433E8669EEE}"/>
    <cellStyle name="Normal 5 2 2 4 2 7 3" xfId="21666" xr:uid="{422138C7-378A-4B41-AF70-4F679D72EFD4}"/>
    <cellStyle name="Normal 5 2 2 4 2 7 4" xfId="38523" xr:uid="{552A00E0-8DCB-4B13-B63D-28D14A4ABEC8}"/>
    <cellStyle name="Normal 5 2 2 4 2 7 5" xfId="13231" xr:uid="{4BC0FD39-33B0-4491-A95B-4B73FBA04ABA}"/>
    <cellStyle name="Normal 5 2 2 4 2 8" xfId="25877" xr:uid="{9E233257-28CD-4EEB-B4F1-52DE5162F7D8}"/>
    <cellStyle name="Normal 5 2 2 4 2 9" xfId="17448" xr:uid="{EBBCD1A6-2D1C-4196-B795-12AADC812449}"/>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32652" xr:uid="{DA24710F-451A-407A-83F8-87A950A7D251}"/>
    <cellStyle name="Normal 5 2 2 4 3 2 2 3" xfId="24223" xr:uid="{A929830E-25DA-4B3E-9596-D63521EC3D53}"/>
    <cellStyle name="Normal 5 2 2 4 3 2 2 4" xfId="41080" xr:uid="{EA1EDC2A-8FAD-4418-BE25-1F9B5BB300EB}"/>
    <cellStyle name="Normal 5 2 2 4 3 2 2 5" xfId="15788" xr:uid="{A7391A6B-A5B1-432D-9344-91B7495D7C4A}"/>
    <cellStyle name="Normal 5 2 2 4 3 2 3" xfId="28434" xr:uid="{7E690454-CF30-4F04-9214-790C39B07CAB}"/>
    <cellStyle name="Normal 5 2 2 4 3 2 4" xfId="20005" xr:uid="{6BF362C6-6496-4068-A626-A4582ADBB353}"/>
    <cellStyle name="Normal 5 2 2 4 3 2 5" xfId="36863" xr:uid="{B6B266B3-7C59-4660-822D-32571A06D444}"/>
    <cellStyle name="Normal 5 2 2 4 3 2 6" xfId="11570" xr:uid="{E0FBCD00-320C-4DCC-B414-BAF6B9569FBE}"/>
    <cellStyle name="Normal 5 2 2 4 3 3" xfId="5208" xr:uid="{00000000-0005-0000-0000-0000FE170000}"/>
    <cellStyle name="Normal 5 2 2 4 3 3 2" xfId="30507" xr:uid="{33A30E06-21C0-4CB1-AC68-E080A99D89B4}"/>
    <cellStyle name="Normal 5 2 2 4 3 3 3" xfId="22078" xr:uid="{80BD0C94-C1FE-4318-981A-9B787E724363}"/>
    <cellStyle name="Normal 5 2 2 4 3 3 4" xfId="38935" xr:uid="{B526C96B-2EEF-4E37-96F6-2DC74844C94C}"/>
    <cellStyle name="Normal 5 2 2 4 3 3 5" xfId="13643" xr:uid="{F5F247D9-7D4E-483F-A76E-85538410DB2C}"/>
    <cellStyle name="Normal 5 2 2 4 3 4" xfId="26289" xr:uid="{EED36E05-0F96-4C05-934D-71305E2085D3}"/>
    <cellStyle name="Normal 5 2 2 4 3 5" xfId="17860" xr:uid="{DCE2E6A3-42DA-457D-BAA1-7E436ABFC4D0}"/>
    <cellStyle name="Normal 5 2 2 4 3 6" xfId="34718" xr:uid="{1A9A942B-02C5-45FB-8A7F-62EDA63B2F01}"/>
    <cellStyle name="Normal 5 2 2 4 3 7" xfId="9425" xr:uid="{8902C545-C222-4170-9C0A-666A0F02998F}"/>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33065" xr:uid="{7AE3FB33-D06C-4AE9-B7E0-839BC35D4BBB}"/>
    <cellStyle name="Normal 5 2 2 4 4 2 2 3" xfId="24636" xr:uid="{7CA70091-95DA-4A21-AFB1-E3BA303B5DD5}"/>
    <cellStyle name="Normal 5 2 2 4 4 2 2 4" xfId="41493" xr:uid="{6AE10949-A435-4852-904C-915AFDA6D164}"/>
    <cellStyle name="Normal 5 2 2 4 4 2 2 5" xfId="16201" xr:uid="{7C943DFA-1B6E-493C-A186-34ECEAAC1EDC}"/>
    <cellStyle name="Normal 5 2 2 4 4 2 3" xfId="28847" xr:uid="{1053D6B1-52B1-4367-9D74-66A879DDE3CC}"/>
    <cellStyle name="Normal 5 2 2 4 4 2 4" xfId="20418" xr:uid="{40E2FBD7-EB9C-4BED-945A-620B83F71242}"/>
    <cellStyle name="Normal 5 2 2 4 4 2 5" xfId="37276" xr:uid="{4ADD8685-1C36-4009-B764-4EFF58C8FB46}"/>
    <cellStyle name="Normal 5 2 2 4 4 2 6" xfId="11983" xr:uid="{9246AA40-4B1F-4742-8127-0AE16E2E9466}"/>
    <cellStyle name="Normal 5 2 2 4 4 3" xfId="5621" xr:uid="{00000000-0005-0000-0000-000002180000}"/>
    <cellStyle name="Normal 5 2 2 4 4 3 2" xfId="30920" xr:uid="{6FAC6F71-832D-4688-B1C8-6598713E2351}"/>
    <cellStyle name="Normal 5 2 2 4 4 3 3" xfId="22491" xr:uid="{30CA2E98-657A-4BEA-8735-318B697DD2D3}"/>
    <cellStyle name="Normal 5 2 2 4 4 3 4" xfId="39348" xr:uid="{B6E285E7-ABBE-45F6-A72E-D6C13223158E}"/>
    <cellStyle name="Normal 5 2 2 4 4 3 5" xfId="14056" xr:uid="{89998D41-644B-41D8-97A3-05EFA60EEB38}"/>
    <cellStyle name="Normal 5 2 2 4 4 4" xfId="26702" xr:uid="{47C24493-F8A3-429B-BB58-A34504BDB30A}"/>
    <cellStyle name="Normal 5 2 2 4 4 5" xfId="18273" xr:uid="{4AE57AA2-B834-40F9-8F65-DD0DB16483F7}"/>
    <cellStyle name="Normal 5 2 2 4 4 6" xfId="35131" xr:uid="{FF6EAB2F-CFC5-4AF0-9C08-A08342449D1D}"/>
    <cellStyle name="Normal 5 2 2 4 4 7" xfId="9838" xr:uid="{D8392BD3-24A7-40BD-AA0F-6B9346BE0BA8}"/>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33478" xr:uid="{AD81B221-8265-48B8-972B-2D0029DDB6E8}"/>
    <cellStyle name="Normal 5 2 2 4 5 2 2 3" xfId="25049" xr:uid="{AC86DD54-085B-4500-95DA-C14EED7924D5}"/>
    <cellStyle name="Normal 5 2 2 4 5 2 2 4" xfId="41906" xr:uid="{F87FFC5E-4160-451B-B6DD-7858D79B1643}"/>
    <cellStyle name="Normal 5 2 2 4 5 2 2 5" xfId="16614" xr:uid="{AF275C89-4EF9-4140-9028-4BF749BB2B06}"/>
    <cellStyle name="Normal 5 2 2 4 5 2 3" xfId="29260" xr:uid="{B7C87342-CA4F-4DBB-8B46-26719788E2E4}"/>
    <cellStyle name="Normal 5 2 2 4 5 2 4" xfId="20831" xr:uid="{CB7D217E-3059-4951-BAEE-B96335F45068}"/>
    <cellStyle name="Normal 5 2 2 4 5 2 5" xfId="37689" xr:uid="{11474F61-BA8A-4918-905E-11518E7BACF6}"/>
    <cellStyle name="Normal 5 2 2 4 5 2 6" xfId="12396" xr:uid="{CC689AD2-6DB3-411B-A2F9-C2EEBF946CC7}"/>
    <cellStyle name="Normal 5 2 2 4 5 3" xfId="6034" xr:uid="{00000000-0005-0000-0000-000006180000}"/>
    <cellStyle name="Normal 5 2 2 4 5 3 2" xfId="31333" xr:uid="{C2B32C62-6CB5-44C5-AA3C-B9E7264F7446}"/>
    <cellStyle name="Normal 5 2 2 4 5 3 3" xfId="22904" xr:uid="{BEBDC19B-DC90-46F1-83C2-EBA8A0EDF2D9}"/>
    <cellStyle name="Normal 5 2 2 4 5 3 4" xfId="39761" xr:uid="{B6DBA80A-F2D7-4815-962D-DB68A13DFD3C}"/>
    <cellStyle name="Normal 5 2 2 4 5 3 5" xfId="14469" xr:uid="{E5654F42-78A1-4657-BBC2-F77562943F98}"/>
    <cellStyle name="Normal 5 2 2 4 5 4" xfId="27115" xr:uid="{6D1D8767-C20F-4808-A87F-2C8CDBC88B13}"/>
    <cellStyle name="Normal 5 2 2 4 5 5" xfId="18686" xr:uid="{536477D3-8102-4972-BDBD-BB9E8A3EA37A}"/>
    <cellStyle name="Normal 5 2 2 4 5 6" xfId="35544" xr:uid="{3C9440E7-7881-4A76-A23E-5FAB4166F4B6}"/>
    <cellStyle name="Normal 5 2 2 4 5 7" xfId="10251" xr:uid="{030B8365-4183-41FD-978F-621D3EE74DA5}"/>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33891" xr:uid="{63CE3B1F-86B0-4484-ABAC-9449F52A589F}"/>
    <cellStyle name="Normal 5 2 2 4 6 2 2 3" xfId="25462" xr:uid="{39CC9DB4-1BB5-48B5-B9BD-3C0B9B9BBA8A}"/>
    <cellStyle name="Normal 5 2 2 4 6 2 2 4" xfId="42319" xr:uid="{78401926-36FD-48C5-AD04-0125A069D41A}"/>
    <cellStyle name="Normal 5 2 2 4 6 2 2 5" xfId="17027" xr:uid="{38D9412C-E2B5-4DD6-A659-979498C24D14}"/>
    <cellStyle name="Normal 5 2 2 4 6 2 3" xfId="29673" xr:uid="{05C568F7-1417-4DE9-B8A6-95848F48B850}"/>
    <cellStyle name="Normal 5 2 2 4 6 2 4" xfId="21244" xr:uid="{2EE47563-2308-4001-A356-4FD7B6396586}"/>
    <cellStyle name="Normal 5 2 2 4 6 2 5" xfId="38102" xr:uid="{2A994E92-3807-4CB6-A766-5FDA1D7A3E21}"/>
    <cellStyle name="Normal 5 2 2 4 6 2 6" xfId="12809" xr:uid="{D4AF046E-1E94-484E-A0EE-8B301AF207C6}"/>
    <cellStyle name="Normal 5 2 2 4 6 3" xfId="6447" xr:uid="{00000000-0005-0000-0000-00000A180000}"/>
    <cellStyle name="Normal 5 2 2 4 6 3 2" xfId="31746" xr:uid="{F18A8C64-022F-4865-91B9-31C0F19C146D}"/>
    <cellStyle name="Normal 5 2 2 4 6 3 3" xfId="23317" xr:uid="{557A7F28-05B8-4952-9348-28BA2E0E0F00}"/>
    <cellStyle name="Normal 5 2 2 4 6 3 4" xfId="40174" xr:uid="{9BBEB33C-22E5-4AD8-996B-86DC81CE80A6}"/>
    <cellStyle name="Normal 5 2 2 4 6 3 5" xfId="14882" xr:uid="{C080C525-FE06-471D-A655-22D49E5E8252}"/>
    <cellStyle name="Normal 5 2 2 4 6 4" xfId="27528" xr:uid="{3370D190-2D45-4F48-BCE8-F42BACEA2D1F}"/>
    <cellStyle name="Normal 5 2 2 4 6 5" xfId="19099" xr:uid="{F5933732-9765-481A-9ED4-18700AC51C11}"/>
    <cellStyle name="Normal 5 2 2 4 6 6" xfId="35957" xr:uid="{57FDD861-B808-4C09-9FAD-A07E2603E6EB}"/>
    <cellStyle name="Normal 5 2 2 4 6 7" xfId="10664" xr:uid="{4BB9F21D-CF49-407F-AE8B-5828894CA5D3}"/>
    <cellStyle name="Normal 5 2 2 4 7" xfId="2576" xr:uid="{00000000-0005-0000-0000-00000B180000}"/>
    <cellStyle name="Normal 5 2 2 4 7 2" xfId="6860" xr:uid="{00000000-0005-0000-0000-00000C180000}"/>
    <cellStyle name="Normal 5 2 2 4 7 2 2" xfId="32159" xr:uid="{7285AF59-CB9A-47CD-A467-CC27DECF675C}"/>
    <cellStyle name="Normal 5 2 2 4 7 2 3" xfId="23730" xr:uid="{F7F69D34-3DC3-4F6F-8A3B-7FFF39613A1C}"/>
    <cellStyle name="Normal 5 2 2 4 7 2 4" xfId="40587" xr:uid="{61331639-071A-4DDC-9F1C-7ABC6EE0FF81}"/>
    <cellStyle name="Normal 5 2 2 4 7 2 5" xfId="15295" xr:uid="{27CFDCB0-660A-4E87-9B55-0FE535E23ED9}"/>
    <cellStyle name="Normal 5 2 2 4 7 3" xfId="27941" xr:uid="{2D544E11-F189-4A65-A9CD-DBBD9823FCA0}"/>
    <cellStyle name="Normal 5 2 2 4 7 4" xfId="19512" xr:uid="{AA495C7C-389A-41F6-8F89-6C8AFF076426}"/>
    <cellStyle name="Normal 5 2 2 4 7 5" xfId="36370" xr:uid="{A0FB5EB8-B1F6-401E-9471-42707CEF831B}"/>
    <cellStyle name="Normal 5 2 2 4 7 6" xfId="11077" xr:uid="{E694B5B3-B829-4814-AE26-F26E5461A09B}"/>
    <cellStyle name="Normal 5 2 2 4 8" xfId="4795" xr:uid="{00000000-0005-0000-0000-00000D180000}"/>
    <cellStyle name="Normal 5 2 2 4 8 2" xfId="30094" xr:uid="{16A96B96-B897-4B56-AFC5-6C802765BE62}"/>
    <cellStyle name="Normal 5 2 2 4 8 3" xfId="21665" xr:uid="{00737572-0290-4DED-B15A-C02520A1A750}"/>
    <cellStyle name="Normal 5 2 2 4 8 4" xfId="38522" xr:uid="{2E0A232E-801A-4643-B749-AAC833443C2B}"/>
    <cellStyle name="Normal 5 2 2 4 8 5" xfId="13230" xr:uid="{A10E6530-DC84-447E-A25D-BD6FF80A83FB}"/>
    <cellStyle name="Normal 5 2 2 4 9" xfId="25876" xr:uid="{DA7EF46F-3AB3-43C7-A682-F93ED23EEB36}"/>
    <cellStyle name="Normal 5 2 2 5" xfId="423" xr:uid="{00000000-0005-0000-0000-00000E180000}"/>
    <cellStyle name="Normal 5 2 2 5 10" xfId="34307" xr:uid="{5A65328C-C656-416F-A644-0732CD0255BE}"/>
    <cellStyle name="Normal 5 2 2 5 11" xfId="9014" xr:uid="{765079BE-10F9-433A-9642-A22AD9E948E8}"/>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32654" xr:uid="{4A3580E7-9B58-4194-8B75-D53EB801BA78}"/>
    <cellStyle name="Normal 5 2 2 5 2 2 2 3" xfId="24225" xr:uid="{A3F8C09C-CB2C-466A-8F41-32FECC598ABF}"/>
    <cellStyle name="Normal 5 2 2 5 2 2 2 4" xfId="41082" xr:uid="{CA27979F-6135-4501-9D17-E3D3523B7E30}"/>
    <cellStyle name="Normal 5 2 2 5 2 2 2 5" xfId="15790" xr:uid="{99AE9FD7-74FD-4BD0-912B-984DC050A10C}"/>
    <cellStyle name="Normal 5 2 2 5 2 2 3" xfId="28436" xr:uid="{FC5A433D-5D1A-4E21-B82E-DA4DABCB332D}"/>
    <cellStyle name="Normal 5 2 2 5 2 2 4" xfId="20007" xr:uid="{3B90F710-001D-4D3C-BD6B-5CA562433EC4}"/>
    <cellStyle name="Normal 5 2 2 5 2 2 5" xfId="36865" xr:uid="{87B98BB7-57CD-41C2-9DDB-D4B69C6C2A6E}"/>
    <cellStyle name="Normal 5 2 2 5 2 2 6" xfId="11572" xr:uid="{C0214B93-A48A-469A-A506-3E70C8CBCD1F}"/>
    <cellStyle name="Normal 5 2 2 5 2 3" xfId="5210" xr:uid="{00000000-0005-0000-0000-000012180000}"/>
    <cellStyle name="Normal 5 2 2 5 2 3 2" xfId="30509" xr:uid="{557AE79C-C919-4D6F-94D4-1882BD2CC260}"/>
    <cellStyle name="Normal 5 2 2 5 2 3 3" xfId="22080" xr:uid="{5E11C153-795C-42E4-A5E7-81FF88438F17}"/>
    <cellStyle name="Normal 5 2 2 5 2 3 4" xfId="38937" xr:uid="{87DB09DF-19C6-4D7B-828E-0608D788F22E}"/>
    <cellStyle name="Normal 5 2 2 5 2 3 5" xfId="13645" xr:uid="{01FD70D9-FA5E-4F64-ADC7-B134772AA637}"/>
    <cellStyle name="Normal 5 2 2 5 2 4" xfId="26291" xr:uid="{98E5CC3F-B0EC-488D-B2FE-5AB678C60A21}"/>
    <cellStyle name="Normal 5 2 2 5 2 5" xfId="17862" xr:uid="{1E244521-AD8E-48E3-BCBA-DB9484B9FE19}"/>
    <cellStyle name="Normal 5 2 2 5 2 6" xfId="34720" xr:uid="{7A00BEAC-324E-4EE5-AA4F-9A6EB8EA0270}"/>
    <cellStyle name="Normal 5 2 2 5 2 7" xfId="9427" xr:uid="{AE15FA8C-2893-4D4E-844A-436F6C4E49B9}"/>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33067" xr:uid="{F083126E-0C62-457A-929E-324BD1EEB473}"/>
    <cellStyle name="Normal 5 2 2 5 3 2 2 3" xfId="24638" xr:uid="{C94037C4-476F-4AB0-A47F-C00A42FF7985}"/>
    <cellStyle name="Normal 5 2 2 5 3 2 2 4" xfId="41495" xr:uid="{D0EF8F77-13E2-4211-A66F-222B3D786152}"/>
    <cellStyle name="Normal 5 2 2 5 3 2 2 5" xfId="16203" xr:uid="{441AC485-D71C-4F18-8CEA-7D487F63CB53}"/>
    <cellStyle name="Normal 5 2 2 5 3 2 3" xfId="28849" xr:uid="{3101B7DE-A59B-4CD9-9C6F-9FD7ADD6B714}"/>
    <cellStyle name="Normal 5 2 2 5 3 2 4" xfId="20420" xr:uid="{49AA9107-94D2-45F8-9FDE-E7CE6FDB7922}"/>
    <cellStyle name="Normal 5 2 2 5 3 2 5" xfId="37278" xr:uid="{248C7EB6-8617-4FB3-9E30-8C651D6FAEF7}"/>
    <cellStyle name="Normal 5 2 2 5 3 2 6" xfId="11985" xr:uid="{0CC8516A-E608-4B16-AD48-B0450B54AB53}"/>
    <cellStyle name="Normal 5 2 2 5 3 3" xfId="5623" xr:uid="{00000000-0005-0000-0000-000016180000}"/>
    <cellStyle name="Normal 5 2 2 5 3 3 2" xfId="30922" xr:uid="{6BC0DD18-869B-4609-9558-4B15DF0519BA}"/>
    <cellStyle name="Normal 5 2 2 5 3 3 3" xfId="22493" xr:uid="{010AA7BE-E343-4F18-8F07-02D7A995C195}"/>
    <cellStyle name="Normal 5 2 2 5 3 3 4" xfId="39350" xr:uid="{F2A6D17B-0025-4529-BC3E-7B80975BFB18}"/>
    <cellStyle name="Normal 5 2 2 5 3 3 5" xfId="14058" xr:uid="{3BF773DE-0525-40FB-9E2E-DD456994767F}"/>
    <cellStyle name="Normal 5 2 2 5 3 4" xfId="26704" xr:uid="{1E30B31C-216D-454C-9333-F40B9C2CA290}"/>
    <cellStyle name="Normal 5 2 2 5 3 5" xfId="18275" xr:uid="{A4471FBB-3C68-4579-AF05-41ED4316BF9F}"/>
    <cellStyle name="Normal 5 2 2 5 3 6" xfId="35133" xr:uid="{5158F7B8-FBBB-4304-8C4D-7573380994BF}"/>
    <cellStyle name="Normal 5 2 2 5 3 7" xfId="9840" xr:uid="{D0A9C381-0D68-41A7-8ABE-B97908362DDD}"/>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33480" xr:uid="{5491474F-8F1E-4FFC-8842-5E256BEE5D6E}"/>
    <cellStyle name="Normal 5 2 2 5 4 2 2 3" xfId="25051" xr:uid="{78DD9826-D877-4AAB-A1B4-1DAEA3AB5956}"/>
    <cellStyle name="Normal 5 2 2 5 4 2 2 4" xfId="41908" xr:uid="{B83DC24B-29E5-46ED-B7B9-5C71F2521A07}"/>
    <cellStyle name="Normal 5 2 2 5 4 2 2 5" xfId="16616" xr:uid="{D691B3E1-30AB-490B-ACBA-B8F8FA00C134}"/>
    <cellStyle name="Normal 5 2 2 5 4 2 3" xfId="29262" xr:uid="{C871FA4B-7C83-4AE6-8EFB-505931ECEC8A}"/>
    <cellStyle name="Normal 5 2 2 5 4 2 4" xfId="20833" xr:uid="{CD0E34D7-D59E-4A05-9E84-01656FD5CD06}"/>
    <cellStyle name="Normal 5 2 2 5 4 2 5" xfId="37691" xr:uid="{781FED0B-B475-45F4-AF73-1B0B48B87640}"/>
    <cellStyle name="Normal 5 2 2 5 4 2 6" xfId="12398" xr:uid="{A432692C-7821-4DF9-AF7C-BF586B16DA35}"/>
    <cellStyle name="Normal 5 2 2 5 4 3" xfId="6036" xr:uid="{00000000-0005-0000-0000-00001A180000}"/>
    <cellStyle name="Normal 5 2 2 5 4 3 2" xfId="31335" xr:uid="{ABA48F35-E048-4536-8019-DD29D8287158}"/>
    <cellStyle name="Normal 5 2 2 5 4 3 3" xfId="22906" xr:uid="{7CC555B5-89AB-4E40-BCBC-43CE7C829F30}"/>
    <cellStyle name="Normal 5 2 2 5 4 3 4" xfId="39763" xr:uid="{17938CFC-F0D6-4A92-A920-2D6DE0C33C50}"/>
    <cellStyle name="Normal 5 2 2 5 4 3 5" xfId="14471" xr:uid="{1D56DF3B-EE82-4028-9C82-956C678D8554}"/>
    <cellStyle name="Normal 5 2 2 5 4 4" xfId="27117" xr:uid="{78A421C4-C3FB-4E80-9BD6-666C2CF9B3C5}"/>
    <cellStyle name="Normal 5 2 2 5 4 5" xfId="18688" xr:uid="{A3A6D903-F359-4184-A2FF-EF9710452E16}"/>
    <cellStyle name="Normal 5 2 2 5 4 6" xfId="35546" xr:uid="{2E6880D9-EBBE-463F-958C-26228B431916}"/>
    <cellStyle name="Normal 5 2 2 5 4 7" xfId="10253" xr:uid="{48B9E5E4-56CF-42A2-958C-00C7556723F2}"/>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33893" xr:uid="{88F9BC1C-99F3-41A3-8E62-E6E628D5587D}"/>
    <cellStyle name="Normal 5 2 2 5 5 2 2 3" xfId="25464" xr:uid="{A5BD97F7-D11E-4997-AA66-8E897EF7A25A}"/>
    <cellStyle name="Normal 5 2 2 5 5 2 2 4" xfId="42321" xr:uid="{B7948F6E-4568-4ED9-B448-1277BC4B8017}"/>
    <cellStyle name="Normal 5 2 2 5 5 2 2 5" xfId="17029" xr:uid="{C80450FF-2655-4FC8-8ABA-DE58F17BD58C}"/>
    <cellStyle name="Normal 5 2 2 5 5 2 3" xfId="29675" xr:uid="{C7E5B673-6858-4A2A-8A3B-8F9B15737BD0}"/>
    <cellStyle name="Normal 5 2 2 5 5 2 4" xfId="21246" xr:uid="{900D315A-F5A7-43B4-AF8C-D36B4B5DD981}"/>
    <cellStyle name="Normal 5 2 2 5 5 2 5" xfId="38104" xr:uid="{1D6222BA-B763-40EB-ACF5-85008BEEA53B}"/>
    <cellStyle name="Normal 5 2 2 5 5 2 6" xfId="12811" xr:uid="{1E75F83B-74C3-445A-87E3-3186223D420F}"/>
    <cellStyle name="Normal 5 2 2 5 5 3" xfId="6449" xr:uid="{00000000-0005-0000-0000-00001E180000}"/>
    <cellStyle name="Normal 5 2 2 5 5 3 2" xfId="31748" xr:uid="{22717A74-FE91-42C2-A509-1C8D51ECF4C6}"/>
    <cellStyle name="Normal 5 2 2 5 5 3 3" xfId="23319" xr:uid="{ED5FB4B3-BDC3-40C6-A9D1-9128080B7F3C}"/>
    <cellStyle name="Normal 5 2 2 5 5 3 4" xfId="40176" xr:uid="{B13E4031-5A49-40E4-9B39-5E750F5127AA}"/>
    <cellStyle name="Normal 5 2 2 5 5 3 5" xfId="14884" xr:uid="{DCB37A2C-32C5-44FF-8C1C-FACC9B7AA837}"/>
    <cellStyle name="Normal 5 2 2 5 5 4" xfId="27530" xr:uid="{469F2C31-E619-46B7-A199-779E299598A0}"/>
    <cellStyle name="Normal 5 2 2 5 5 5" xfId="19101" xr:uid="{B9EABD6D-AA68-4D3A-B2BF-4864633E3520}"/>
    <cellStyle name="Normal 5 2 2 5 5 6" xfId="35959" xr:uid="{5AA0E0B7-24F3-412B-AAA2-A3344477A9F9}"/>
    <cellStyle name="Normal 5 2 2 5 5 7" xfId="10666" xr:uid="{5CC4704B-536B-41DD-879D-F1FB87DD211D}"/>
    <cellStyle name="Normal 5 2 2 5 6" xfId="2578" xr:uid="{00000000-0005-0000-0000-00001F180000}"/>
    <cellStyle name="Normal 5 2 2 5 6 2" xfId="6862" xr:uid="{00000000-0005-0000-0000-000020180000}"/>
    <cellStyle name="Normal 5 2 2 5 6 2 2" xfId="32161" xr:uid="{2E350132-E182-478E-A759-3D2E455B2D3C}"/>
    <cellStyle name="Normal 5 2 2 5 6 2 3" xfId="23732" xr:uid="{DA304A54-FC0C-4B5E-92C5-086B1CD0F68E}"/>
    <cellStyle name="Normal 5 2 2 5 6 2 4" xfId="40589" xr:uid="{AAEBAF8D-506D-4A17-AB06-58B585DFE126}"/>
    <cellStyle name="Normal 5 2 2 5 6 2 5" xfId="15297" xr:uid="{E00C160D-9B34-457B-B479-271DC34D1426}"/>
    <cellStyle name="Normal 5 2 2 5 6 3" xfId="27943" xr:uid="{04DD2F5B-4B6C-45E1-90DC-9570313C3FC1}"/>
    <cellStyle name="Normal 5 2 2 5 6 4" xfId="19514" xr:uid="{F4CC3028-4DB2-4653-9578-2A94B79D490A}"/>
    <cellStyle name="Normal 5 2 2 5 6 5" xfId="36372" xr:uid="{68038FF1-83CC-46F1-9351-10E186BF0136}"/>
    <cellStyle name="Normal 5 2 2 5 6 6" xfId="11079" xr:uid="{376D9C71-ACBA-4471-BEED-4584AECFFDA8}"/>
    <cellStyle name="Normal 5 2 2 5 7" xfId="4797" xr:uid="{00000000-0005-0000-0000-000021180000}"/>
    <cellStyle name="Normal 5 2 2 5 7 2" xfId="30096" xr:uid="{6366234D-2950-4F4F-9252-187126B95A32}"/>
    <cellStyle name="Normal 5 2 2 5 7 3" xfId="21667" xr:uid="{DAD7CB4D-2732-4B32-978D-C556DC284F32}"/>
    <cellStyle name="Normal 5 2 2 5 7 4" xfId="38524" xr:uid="{8799AE53-1E3C-45FC-82BE-5B61BF4AB24B}"/>
    <cellStyle name="Normal 5 2 2 5 7 5" xfId="13232" xr:uid="{532948CC-901E-4300-8B8B-A2A5A7B5FA78}"/>
    <cellStyle name="Normal 5 2 2 5 8" xfId="25878" xr:uid="{1D2BBF2D-A585-419A-8CAB-1C0D0DA1BBDB}"/>
    <cellStyle name="Normal 5 2 2 5 9" xfId="17449" xr:uid="{6640CD39-6C70-407A-BF13-8A684434C954}"/>
    <cellStyle name="Normal 5 2 2 6" xfId="882" xr:uid="{00000000-0005-0000-0000-000022180000}"/>
    <cellStyle name="Normal 5 2 2 6 2" xfId="3117" xr:uid="{00000000-0005-0000-0000-000023180000}"/>
    <cellStyle name="Normal 5 2 2 6 2 2" xfId="7340" xr:uid="{00000000-0005-0000-0000-000024180000}"/>
    <cellStyle name="Normal 5 2 2 6 2 2 2" xfId="32639" xr:uid="{E97CEC59-495A-4FD2-8334-CBD42C1A36E7}"/>
    <cellStyle name="Normal 5 2 2 6 2 2 3" xfId="24210" xr:uid="{EAEBACAA-53A8-447B-BE7E-EEFAA750DC07}"/>
    <cellStyle name="Normal 5 2 2 6 2 2 4" xfId="41067" xr:uid="{C38F4CD0-6B22-445F-8FBD-F9C6A363E27E}"/>
    <cellStyle name="Normal 5 2 2 6 2 2 5" xfId="15775" xr:uid="{E8B324E8-99AD-4A7F-B598-F9ED605CE21A}"/>
    <cellStyle name="Normal 5 2 2 6 2 3" xfId="28421" xr:uid="{B56F9DD3-AA6F-4949-BC67-09D1598F4419}"/>
    <cellStyle name="Normal 5 2 2 6 2 4" xfId="19992" xr:uid="{3C7E7D43-80CE-4167-A45D-A601B05D34AB}"/>
    <cellStyle name="Normal 5 2 2 6 2 5" xfId="36850" xr:uid="{221CC94A-A073-4C14-ADE1-14F2C29777E3}"/>
    <cellStyle name="Normal 5 2 2 6 2 6" xfId="11557" xr:uid="{B49A0247-C5D7-4A1F-8150-280A267A3509}"/>
    <cellStyle name="Normal 5 2 2 6 3" xfId="5195" xr:uid="{00000000-0005-0000-0000-000025180000}"/>
    <cellStyle name="Normal 5 2 2 6 3 2" xfId="30494" xr:uid="{7855DA65-0973-48C0-BD8A-1D75E5C4240A}"/>
    <cellStyle name="Normal 5 2 2 6 3 3" xfId="22065" xr:uid="{DC4DDE1D-53AB-438E-8A9D-15C199A0D262}"/>
    <cellStyle name="Normal 5 2 2 6 3 4" xfId="38922" xr:uid="{1A11E3D0-35DB-4B3E-BA66-CFC26F4BC16C}"/>
    <cellStyle name="Normal 5 2 2 6 3 5" xfId="13630" xr:uid="{8578B311-D424-438B-87D4-1C011786DDF8}"/>
    <cellStyle name="Normal 5 2 2 6 4" xfId="26276" xr:uid="{1FB3EEA9-2843-42CD-A22C-D4A984699975}"/>
    <cellStyle name="Normal 5 2 2 6 5" xfId="17847" xr:uid="{A2DABD4E-C4EB-417C-A6E3-6235B72A88F2}"/>
    <cellStyle name="Normal 5 2 2 6 6" xfId="34705" xr:uid="{C40BEE8E-C183-437C-A989-8A69A3E482D8}"/>
    <cellStyle name="Normal 5 2 2 6 7" xfId="9412" xr:uid="{A3C1370B-DEC2-4B0C-AD4D-BADF919CD0DA}"/>
    <cellStyle name="Normal 5 2 2 7" xfId="1300" xr:uid="{00000000-0005-0000-0000-000026180000}"/>
    <cellStyle name="Normal 5 2 2 7 2" xfId="3530" xr:uid="{00000000-0005-0000-0000-000027180000}"/>
    <cellStyle name="Normal 5 2 2 7 2 2" xfId="7753" xr:uid="{00000000-0005-0000-0000-000028180000}"/>
    <cellStyle name="Normal 5 2 2 7 2 2 2" xfId="33052" xr:uid="{1DD281D2-0CD1-4978-A4D3-D7863F683979}"/>
    <cellStyle name="Normal 5 2 2 7 2 2 3" xfId="24623" xr:uid="{CF5DEA42-8EDC-44B5-A2B4-9FE12F68FEAF}"/>
    <cellStyle name="Normal 5 2 2 7 2 2 4" xfId="41480" xr:uid="{1915F904-9C87-4D92-9C7A-AD22A9A596DD}"/>
    <cellStyle name="Normal 5 2 2 7 2 2 5" xfId="16188" xr:uid="{F54FF6BE-3039-4A3D-87D1-C0E4BEEBC812}"/>
    <cellStyle name="Normal 5 2 2 7 2 3" xfId="28834" xr:uid="{5FF98EA5-57C6-4388-A75C-0140BDDC84A1}"/>
    <cellStyle name="Normal 5 2 2 7 2 4" xfId="20405" xr:uid="{142E9BBE-66C5-41AB-89BB-79173761E8E2}"/>
    <cellStyle name="Normal 5 2 2 7 2 5" xfId="37263" xr:uid="{BC606FBE-15F2-4C8F-8938-8C32D021E34C}"/>
    <cellStyle name="Normal 5 2 2 7 2 6" xfId="11970" xr:uid="{3FA2F9B9-3611-42F1-81BE-05024359CAAD}"/>
    <cellStyle name="Normal 5 2 2 7 3" xfId="5608" xr:uid="{00000000-0005-0000-0000-000029180000}"/>
    <cellStyle name="Normal 5 2 2 7 3 2" xfId="30907" xr:uid="{CD802584-54AF-4224-9200-8332742BFE78}"/>
    <cellStyle name="Normal 5 2 2 7 3 3" xfId="22478" xr:uid="{F663D500-90A6-4979-8005-1EAC9D59BE86}"/>
    <cellStyle name="Normal 5 2 2 7 3 4" xfId="39335" xr:uid="{40A9738F-1E8F-4326-B143-24A82C5EFCDA}"/>
    <cellStyle name="Normal 5 2 2 7 3 5" xfId="14043" xr:uid="{FECA1CD0-E2C2-4571-80B4-AF0FE0823C2E}"/>
    <cellStyle name="Normal 5 2 2 7 4" xfId="26689" xr:uid="{F31761AD-B084-4729-A3CD-537E0B076C92}"/>
    <cellStyle name="Normal 5 2 2 7 5" xfId="18260" xr:uid="{26E341A4-17F4-4D9F-BC4C-9C4CF7B4A86C}"/>
    <cellStyle name="Normal 5 2 2 7 6" xfId="35118" xr:uid="{B1A7A3D4-F181-4A60-8620-393F0ACA87D9}"/>
    <cellStyle name="Normal 5 2 2 7 7" xfId="9825" xr:uid="{00C039F7-D48B-49D5-9C49-7832101B6182}"/>
    <cellStyle name="Normal 5 2 2 8" xfId="1713" xr:uid="{00000000-0005-0000-0000-00002A180000}"/>
    <cellStyle name="Normal 5 2 2 8 2" xfId="3943" xr:uid="{00000000-0005-0000-0000-00002B180000}"/>
    <cellStyle name="Normal 5 2 2 8 2 2" xfId="8166" xr:uid="{00000000-0005-0000-0000-00002C180000}"/>
    <cellStyle name="Normal 5 2 2 8 2 2 2" xfId="33465" xr:uid="{F9CC414A-EB69-4150-BFC8-633695F36E06}"/>
    <cellStyle name="Normal 5 2 2 8 2 2 3" xfId="25036" xr:uid="{7263B95A-5B79-4144-B77D-CAB4F52CC50C}"/>
    <cellStyle name="Normal 5 2 2 8 2 2 4" xfId="41893" xr:uid="{DFFB1D38-B924-4230-9888-FDF6F57928FD}"/>
    <cellStyle name="Normal 5 2 2 8 2 2 5" xfId="16601" xr:uid="{8D9CA8D3-49F3-4C4B-8349-0835535C694B}"/>
    <cellStyle name="Normal 5 2 2 8 2 3" xfId="29247" xr:uid="{7DDB267E-736D-4F30-B87C-28EADE9E4758}"/>
    <cellStyle name="Normal 5 2 2 8 2 4" xfId="20818" xr:uid="{9A647E9D-658F-463E-B358-95591B34D3A1}"/>
    <cellStyle name="Normal 5 2 2 8 2 5" xfId="37676" xr:uid="{3B5D8704-700F-4BDC-B1D9-B2927B808332}"/>
    <cellStyle name="Normal 5 2 2 8 2 6" xfId="12383" xr:uid="{0B8AEC99-93D0-42FC-87CD-86F8A17E46FA}"/>
    <cellStyle name="Normal 5 2 2 8 3" xfId="6021" xr:uid="{00000000-0005-0000-0000-00002D180000}"/>
    <cellStyle name="Normal 5 2 2 8 3 2" xfId="31320" xr:uid="{F91B23C5-D3AC-4C8C-B28E-007007E22ECC}"/>
    <cellStyle name="Normal 5 2 2 8 3 3" xfId="22891" xr:uid="{972E7762-4A3E-4F76-8013-378F78F31C35}"/>
    <cellStyle name="Normal 5 2 2 8 3 4" xfId="39748" xr:uid="{ACA233FB-05DA-41E3-BF6C-2ABC726703E6}"/>
    <cellStyle name="Normal 5 2 2 8 3 5" xfId="14456" xr:uid="{EC2A7ADF-BEDF-47A6-BEB8-AF43458E2E28}"/>
    <cellStyle name="Normal 5 2 2 8 4" xfId="27102" xr:uid="{F8393859-3769-44EA-B1E3-2A4CEA619E79}"/>
    <cellStyle name="Normal 5 2 2 8 5" xfId="18673" xr:uid="{0BCBEB95-F6FC-48C8-BA83-88257091D367}"/>
    <cellStyle name="Normal 5 2 2 8 6" xfId="35531" xr:uid="{15033829-1CAA-434A-B96F-312972E8C4AD}"/>
    <cellStyle name="Normal 5 2 2 8 7" xfId="10238" xr:uid="{E3F5F727-DB47-4536-AFC3-D26879D333CA}"/>
    <cellStyle name="Normal 5 2 2 9" xfId="2127" xr:uid="{00000000-0005-0000-0000-00002E180000}"/>
    <cellStyle name="Normal 5 2 2 9 2" xfId="4356" xr:uid="{00000000-0005-0000-0000-00002F180000}"/>
    <cellStyle name="Normal 5 2 2 9 2 2" xfId="8579" xr:uid="{00000000-0005-0000-0000-000030180000}"/>
    <cellStyle name="Normal 5 2 2 9 2 2 2" xfId="33878" xr:uid="{350FD6C5-8CBC-4DC1-BAD8-DA2DAFE205D8}"/>
    <cellStyle name="Normal 5 2 2 9 2 2 3" xfId="25449" xr:uid="{776593A3-2BDF-4218-9312-56549074D261}"/>
    <cellStyle name="Normal 5 2 2 9 2 2 4" xfId="42306" xr:uid="{EF692C79-2E9D-4668-AAB0-ADAEB2D9BF4C}"/>
    <cellStyle name="Normal 5 2 2 9 2 2 5" xfId="17014" xr:uid="{CF606615-E282-401B-8E43-73745222F78F}"/>
    <cellStyle name="Normal 5 2 2 9 2 3" xfId="29660" xr:uid="{21E78649-C0BC-4A99-A10B-E5B1E974066D}"/>
    <cellStyle name="Normal 5 2 2 9 2 4" xfId="21231" xr:uid="{3BB3E0DD-1017-47ED-BBE5-656D5744EDD5}"/>
    <cellStyle name="Normal 5 2 2 9 2 5" xfId="38089" xr:uid="{7A1BEAEC-B578-4FE0-A449-5FDB30E51C0C}"/>
    <cellStyle name="Normal 5 2 2 9 2 6" xfId="12796" xr:uid="{31B72EE5-4752-4E5A-B086-694A5B215A7D}"/>
    <cellStyle name="Normal 5 2 2 9 3" xfId="6434" xr:uid="{00000000-0005-0000-0000-000031180000}"/>
    <cellStyle name="Normal 5 2 2 9 3 2" xfId="31733" xr:uid="{0506FC75-D80D-47B0-A313-19E659BF2ACD}"/>
    <cellStyle name="Normal 5 2 2 9 3 3" xfId="23304" xr:uid="{AB540A12-04A2-4CDD-B17E-97675FA12DC5}"/>
    <cellStyle name="Normal 5 2 2 9 3 4" xfId="40161" xr:uid="{9E4F1261-567C-45CA-AA36-2BD38871ABC1}"/>
    <cellStyle name="Normal 5 2 2 9 3 5" xfId="14869" xr:uid="{E19FD78B-C366-445D-8F96-917ECA0848EE}"/>
    <cellStyle name="Normal 5 2 2 9 4" xfId="27515" xr:uid="{9BB4D10A-3ED4-4B80-AA24-F512D0935E51}"/>
    <cellStyle name="Normal 5 2 2 9 5" xfId="19086" xr:uid="{8844A6F8-9314-44A0-BA8B-13FE821AAB57}"/>
    <cellStyle name="Normal 5 2 2 9 6" xfId="35944" xr:uid="{DF2FA2FE-7F0F-4FB4-A492-2A85586E6353}"/>
    <cellStyle name="Normal 5 2 2 9 7" xfId="10651" xr:uid="{F9505AB8-36A2-47D6-BF19-08766FEECAEB}"/>
    <cellStyle name="Normal 5 2 3" xfId="424" xr:uid="{00000000-0005-0000-0000-000032180000}"/>
    <cellStyle name="Normal 5 2 3 10" xfId="4798" xr:uid="{00000000-0005-0000-0000-000033180000}"/>
    <cellStyle name="Normal 5 2 3 10 2" xfId="30097" xr:uid="{20217232-DC28-4B51-A79B-C2B9921E4C69}"/>
    <cellStyle name="Normal 5 2 3 10 3" xfId="21668" xr:uid="{26C9A9BD-93A5-4BC6-9576-D5706B21D6D8}"/>
    <cellStyle name="Normal 5 2 3 10 4" xfId="38525" xr:uid="{6C32A82B-FC15-4D98-B4E0-C0C08A06D3A0}"/>
    <cellStyle name="Normal 5 2 3 10 5" xfId="13233" xr:uid="{FC046B09-8CAE-4AE7-ABEA-7FDAF215D141}"/>
    <cellStyle name="Normal 5 2 3 11" xfId="25879" xr:uid="{47941B6B-9E81-4AB3-8C40-378D2A165B02}"/>
    <cellStyle name="Normal 5 2 3 12" xfId="17450" xr:uid="{57029E59-90A0-4834-B087-D43D3F4F9E28}"/>
    <cellStyle name="Normal 5 2 3 13" xfId="34308" xr:uid="{82479184-012D-4EF0-94CC-C626EC662979}"/>
    <cellStyle name="Normal 5 2 3 14" xfId="9015" xr:uid="{718F0432-435B-46E5-BD86-BC8C138434A3}"/>
    <cellStyle name="Normal 5 2 3 2" xfId="425" xr:uid="{00000000-0005-0000-0000-000034180000}"/>
    <cellStyle name="Normal 5 2 3 2 10" xfId="25880" xr:uid="{A4F01498-6487-48C6-BBD1-0705B7CA3894}"/>
    <cellStyle name="Normal 5 2 3 2 11" xfId="17451" xr:uid="{90B354F5-AE0D-41E3-BD2C-EB7662D01AB8}"/>
    <cellStyle name="Normal 5 2 3 2 12" xfId="34309" xr:uid="{C179C7F2-3B46-4263-9817-B1F33AC4259F}"/>
    <cellStyle name="Normal 5 2 3 2 13" xfId="9016" xr:uid="{8361F138-CF4D-4F07-A571-C117B8C6C8A7}"/>
    <cellStyle name="Normal 5 2 3 2 2" xfId="426" xr:uid="{00000000-0005-0000-0000-000035180000}"/>
    <cellStyle name="Normal 5 2 3 2 2 10" xfId="17452" xr:uid="{1452C910-4D7F-4CF2-B3C8-55A20A154DAE}"/>
    <cellStyle name="Normal 5 2 3 2 2 11" xfId="34310" xr:uid="{3D43B773-0455-465D-9296-1D08EF170D43}"/>
    <cellStyle name="Normal 5 2 3 2 2 12" xfId="9017" xr:uid="{824E18D6-3080-4401-92BC-2220AE840114}"/>
    <cellStyle name="Normal 5 2 3 2 2 2" xfId="427" xr:uid="{00000000-0005-0000-0000-000036180000}"/>
    <cellStyle name="Normal 5 2 3 2 2 2 10" xfId="34311" xr:uid="{6D597D7C-F88F-4BCD-9CCF-355EF89B62AF}"/>
    <cellStyle name="Normal 5 2 3 2 2 2 11" xfId="9018" xr:uid="{1C6B1D18-9388-49A6-959E-2FFBB1306818}"/>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32658" xr:uid="{47B929F9-E7C5-4F07-907C-C561198EFC9C}"/>
    <cellStyle name="Normal 5 2 3 2 2 2 2 2 2 3" xfId="24229" xr:uid="{4CA3E7F4-8564-4040-9F87-A198BC0BDD6B}"/>
    <cellStyle name="Normal 5 2 3 2 2 2 2 2 2 4" xfId="41086" xr:uid="{14291875-4298-4CED-9B71-8E61A1393F60}"/>
    <cellStyle name="Normal 5 2 3 2 2 2 2 2 2 5" xfId="15794" xr:uid="{E66CA223-9D7F-4525-ACFC-A64F95C99EF4}"/>
    <cellStyle name="Normal 5 2 3 2 2 2 2 2 3" xfId="28440" xr:uid="{72A2B427-3B0D-400B-A873-CA73B61EEBCF}"/>
    <cellStyle name="Normal 5 2 3 2 2 2 2 2 4" xfId="20011" xr:uid="{3B6C97FB-F6E9-46F2-B52B-E34B419BED9B}"/>
    <cellStyle name="Normal 5 2 3 2 2 2 2 2 5" xfId="36869" xr:uid="{5FB28718-D83D-4D10-B529-7D4447A7C10D}"/>
    <cellStyle name="Normal 5 2 3 2 2 2 2 2 6" xfId="11576" xr:uid="{4799B5F1-F9A6-456F-B177-7A680F6665A4}"/>
    <cellStyle name="Normal 5 2 3 2 2 2 2 3" xfId="5214" xr:uid="{00000000-0005-0000-0000-00003A180000}"/>
    <cellStyle name="Normal 5 2 3 2 2 2 2 3 2" xfId="30513" xr:uid="{0FEF9D9B-0342-4836-A6C6-5B81887FD449}"/>
    <cellStyle name="Normal 5 2 3 2 2 2 2 3 3" xfId="22084" xr:uid="{7AE539BD-194A-4185-B349-181B1E2ECBB4}"/>
    <cellStyle name="Normal 5 2 3 2 2 2 2 3 4" xfId="38941" xr:uid="{ABB4B6AE-BA0E-4F12-AB19-D8F918F4124F}"/>
    <cellStyle name="Normal 5 2 3 2 2 2 2 3 5" xfId="13649" xr:uid="{3A003433-756B-4323-889A-F2009F23628C}"/>
    <cellStyle name="Normal 5 2 3 2 2 2 2 4" xfId="26295" xr:uid="{1B804CE4-5B81-463C-82D6-4C9185740098}"/>
    <cellStyle name="Normal 5 2 3 2 2 2 2 5" xfId="17866" xr:uid="{1D7E227F-FB65-43C6-811F-EAC7B9549BD1}"/>
    <cellStyle name="Normal 5 2 3 2 2 2 2 6" xfId="34724" xr:uid="{99590966-08D2-4E29-8FB6-265442F8AE20}"/>
    <cellStyle name="Normal 5 2 3 2 2 2 2 7" xfId="9431" xr:uid="{9D45948E-1277-480A-8F25-EF9235D02BDD}"/>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33071" xr:uid="{7648EC68-8194-4B1D-AEDE-F568D7BB86CC}"/>
    <cellStyle name="Normal 5 2 3 2 2 2 3 2 2 3" xfId="24642" xr:uid="{56FE3C9C-4203-44D1-92E1-8F74F43B10E7}"/>
    <cellStyle name="Normal 5 2 3 2 2 2 3 2 2 4" xfId="41499" xr:uid="{28671B63-8E25-4528-98D2-7121182F3ADC}"/>
    <cellStyle name="Normal 5 2 3 2 2 2 3 2 2 5" xfId="16207" xr:uid="{7B20D8C6-B3DD-4FAD-A0DB-37DFA675FF82}"/>
    <cellStyle name="Normal 5 2 3 2 2 2 3 2 3" xfId="28853" xr:uid="{F17628F1-5726-431F-BDCF-A6AF0618E6E6}"/>
    <cellStyle name="Normal 5 2 3 2 2 2 3 2 4" xfId="20424" xr:uid="{C7A8B65B-8817-4F22-A40A-B727234487E3}"/>
    <cellStyle name="Normal 5 2 3 2 2 2 3 2 5" xfId="37282" xr:uid="{8D966EC6-72AF-4424-9927-4CABE6D17606}"/>
    <cellStyle name="Normal 5 2 3 2 2 2 3 2 6" xfId="11989" xr:uid="{ACEA3634-932E-4A4B-B0BB-709F6453A3B9}"/>
    <cellStyle name="Normal 5 2 3 2 2 2 3 3" xfId="5627" xr:uid="{00000000-0005-0000-0000-00003E180000}"/>
    <cellStyle name="Normal 5 2 3 2 2 2 3 3 2" xfId="30926" xr:uid="{E5F20713-26E7-4FCF-B9CC-79EA8B2DA7AC}"/>
    <cellStyle name="Normal 5 2 3 2 2 2 3 3 3" xfId="22497" xr:uid="{4B66CE03-6947-4B16-B985-344138177867}"/>
    <cellStyle name="Normal 5 2 3 2 2 2 3 3 4" xfId="39354" xr:uid="{028D47FC-738F-44D6-BD9E-A234F6F883E3}"/>
    <cellStyle name="Normal 5 2 3 2 2 2 3 3 5" xfId="14062" xr:uid="{81B240F0-E48F-493D-80DE-B21FB636F3EF}"/>
    <cellStyle name="Normal 5 2 3 2 2 2 3 4" xfId="26708" xr:uid="{3DACC50C-80BA-4B8A-9440-E6242C09640C}"/>
    <cellStyle name="Normal 5 2 3 2 2 2 3 5" xfId="18279" xr:uid="{C7881307-67DA-47A4-9811-C58D9CD44616}"/>
    <cellStyle name="Normal 5 2 3 2 2 2 3 6" xfId="35137" xr:uid="{8E2C650C-AB73-41FD-8784-51F16550283A}"/>
    <cellStyle name="Normal 5 2 3 2 2 2 3 7" xfId="9844" xr:uid="{9D373663-AC56-4BDD-B9F9-5EB1F85C5BD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33484" xr:uid="{D05181A1-4C2F-4729-B94A-FAA45E77F979}"/>
    <cellStyle name="Normal 5 2 3 2 2 2 4 2 2 3" xfId="25055" xr:uid="{794D0041-0AC0-4AC6-8D12-C503F7D0B246}"/>
    <cellStyle name="Normal 5 2 3 2 2 2 4 2 2 4" xfId="41912" xr:uid="{7646BAC4-5783-42C9-8DEB-CA2CF6CB5CB9}"/>
    <cellStyle name="Normal 5 2 3 2 2 2 4 2 2 5" xfId="16620" xr:uid="{96D489B2-C8C2-442A-BAC9-84AAB9A9FC3E}"/>
    <cellStyle name="Normal 5 2 3 2 2 2 4 2 3" xfId="29266" xr:uid="{54BBA2B3-0F5F-4729-814F-59720CADFF10}"/>
    <cellStyle name="Normal 5 2 3 2 2 2 4 2 4" xfId="20837" xr:uid="{EBE2E654-D8DD-408B-AF06-AE38FC09CD2A}"/>
    <cellStyle name="Normal 5 2 3 2 2 2 4 2 5" xfId="37695" xr:uid="{62F5451D-B029-4186-B7D4-C85A84254402}"/>
    <cellStyle name="Normal 5 2 3 2 2 2 4 2 6" xfId="12402" xr:uid="{18786732-CD51-41AF-BA27-4AED494F803E}"/>
    <cellStyle name="Normal 5 2 3 2 2 2 4 3" xfId="6040" xr:uid="{00000000-0005-0000-0000-000042180000}"/>
    <cellStyle name="Normal 5 2 3 2 2 2 4 3 2" xfId="31339" xr:uid="{92EBC666-5438-49D3-84B4-648F9EFAE904}"/>
    <cellStyle name="Normal 5 2 3 2 2 2 4 3 3" xfId="22910" xr:uid="{92A405F8-2286-4334-93D7-0E1CFA60D69A}"/>
    <cellStyle name="Normal 5 2 3 2 2 2 4 3 4" xfId="39767" xr:uid="{B35732B8-0F80-49AA-BDCE-F7D06DA13322}"/>
    <cellStyle name="Normal 5 2 3 2 2 2 4 3 5" xfId="14475" xr:uid="{95B3310E-2EA4-4C53-B279-D99543B03E5C}"/>
    <cellStyle name="Normal 5 2 3 2 2 2 4 4" xfId="27121" xr:uid="{4BAB9E55-5064-4812-B210-5B6A27310036}"/>
    <cellStyle name="Normal 5 2 3 2 2 2 4 5" xfId="18692" xr:uid="{8008683B-12F0-495E-A25B-53A82E2B0D6B}"/>
    <cellStyle name="Normal 5 2 3 2 2 2 4 6" xfId="35550" xr:uid="{9888208D-C16F-4DAE-8527-722DA92EB9BA}"/>
    <cellStyle name="Normal 5 2 3 2 2 2 4 7" xfId="10257" xr:uid="{D1AB4466-AA0A-45EC-958D-821E0D7D6353}"/>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33897" xr:uid="{A45C1B91-B44F-4914-8438-E9A39D72DD57}"/>
    <cellStyle name="Normal 5 2 3 2 2 2 5 2 2 3" xfId="25468" xr:uid="{A0474B45-CFFA-476E-9B22-F4A96C5BDE06}"/>
    <cellStyle name="Normal 5 2 3 2 2 2 5 2 2 4" xfId="42325" xr:uid="{37CA498A-46F5-4C6C-A97A-D2FCE39982E7}"/>
    <cellStyle name="Normal 5 2 3 2 2 2 5 2 2 5" xfId="17033" xr:uid="{0E23D912-A578-4C15-A42A-AB1B63278380}"/>
    <cellStyle name="Normal 5 2 3 2 2 2 5 2 3" xfId="29679" xr:uid="{889350CD-1E73-4103-81B1-B0172EC068EE}"/>
    <cellStyle name="Normal 5 2 3 2 2 2 5 2 4" xfId="21250" xr:uid="{F93A42EB-F69A-450E-B392-029419AE2D18}"/>
    <cellStyle name="Normal 5 2 3 2 2 2 5 2 5" xfId="38108" xr:uid="{D8C144AD-9B31-4B69-A95B-56772DA19B0C}"/>
    <cellStyle name="Normal 5 2 3 2 2 2 5 2 6" xfId="12815" xr:uid="{A8B90559-BE49-4618-AED6-717A8AC6C0C7}"/>
    <cellStyle name="Normal 5 2 3 2 2 2 5 3" xfId="6453" xr:uid="{00000000-0005-0000-0000-000046180000}"/>
    <cellStyle name="Normal 5 2 3 2 2 2 5 3 2" xfId="31752" xr:uid="{271CD6C5-79B1-4318-845D-A2F3BB1FFD2C}"/>
    <cellStyle name="Normal 5 2 3 2 2 2 5 3 3" xfId="23323" xr:uid="{40031143-C923-4D87-8DD2-1A7E18A92775}"/>
    <cellStyle name="Normal 5 2 3 2 2 2 5 3 4" xfId="40180" xr:uid="{DE0416DF-70D2-4C4F-A4D7-86777E3740B5}"/>
    <cellStyle name="Normal 5 2 3 2 2 2 5 3 5" xfId="14888" xr:uid="{071DA52C-9E51-453D-8CDB-5F4B86E8BAC0}"/>
    <cellStyle name="Normal 5 2 3 2 2 2 5 4" xfId="27534" xr:uid="{2916828F-DF14-4FEB-AA72-BAD3396AD1C8}"/>
    <cellStyle name="Normal 5 2 3 2 2 2 5 5" xfId="19105" xr:uid="{EE4E75CF-249C-4D38-94E9-0028700828A3}"/>
    <cellStyle name="Normal 5 2 3 2 2 2 5 6" xfId="35963" xr:uid="{3DB2F5C1-9790-404D-AB7E-BDA47929FBE9}"/>
    <cellStyle name="Normal 5 2 3 2 2 2 5 7" xfId="10670" xr:uid="{62B48F6F-52B6-435F-8E04-E89B27535284}"/>
    <cellStyle name="Normal 5 2 3 2 2 2 6" xfId="2582" xr:uid="{00000000-0005-0000-0000-000047180000}"/>
    <cellStyle name="Normal 5 2 3 2 2 2 6 2" xfId="6866" xr:uid="{00000000-0005-0000-0000-000048180000}"/>
    <cellStyle name="Normal 5 2 3 2 2 2 6 2 2" xfId="32165" xr:uid="{49F1F858-45FF-4F07-A312-F8BAE42FA36B}"/>
    <cellStyle name="Normal 5 2 3 2 2 2 6 2 3" xfId="23736" xr:uid="{014F6C0F-2F32-474C-AD3F-1A98DEC5FE81}"/>
    <cellStyle name="Normal 5 2 3 2 2 2 6 2 4" xfId="40593" xr:uid="{82360217-2868-4883-8E95-9F2F6F929100}"/>
    <cellStyle name="Normal 5 2 3 2 2 2 6 2 5" xfId="15301" xr:uid="{302AC5CB-C67B-487D-B664-142E5EB5B36E}"/>
    <cellStyle name="Normal 5 2 3 2 2 2 6 3" xfId="27947" xr:uid="{D9501431-0F05-437B-80BE-FD1A4A6A45DF}"/>
    <cellStyle name="Normal 5 2 3 2 2 2 6 4" xfId="19518" xr:uid="{B14B9B4F-CBAB-4376-9E5F-718BFF34DF2B}"/>
    <cellStyle name="Normal 5 2 3 2 2 2 6 5" xfId="36376" xr:uid="{7226F504-27AA-4C9B-AAA0-9F5C67D2DE72}"/>
    <cellStyle name="Normal 5 2 3 2 2 2 6 6" xfId="11083" xr:uid="{C43F63AD-2C6C-4A1C-A1DD-09AD776D430B}"/>
    <cellStyle name="Normal 5 2 3 2 2 2 7" xfId="4801" xr:uid="{00000000-0005-0000-0000-000049180000}"/>
    <cellStyle name="Normal 5 2 3 2 2 2 7 2" xfId="30100" xr:uid="{333D79E7-C55F-4EB8-A627-F53953D19EEF}"/>
    <cellStyle name="Normal 5 2 3 2 2 2 7 3" xfId="21671" xr:uid="{A7E0C7CA-9AC3-4E51-B95D-F885C6D5E686}"/>
    <cellStyle name="Normal 5 2 3 2 2 2 7 4" xfId="38528" xr:uid="{DE7DE5B1-BF6D-447A-B36A-4D4CB882BB33}"/>
    <cellStyle name="Normal 5 2 3 2 2 2 7 5" xfId="13236" xr:uid="{4C882234-A097-4FAA-8935-4A53916A5A8E}"/>
    <cellStyle name="Normal 5 2 3 2 2 2 8" xfId="25882" xr:uid="{E7E84191-87F6-4257-9BD3-0F8CE4411B40}"/>
    <cellStyle name="Normal 5 2 3 2 2 2 9" xfId="17453" xr:uid="{948FE603-43E2-43F3-ACFF-A1A28730964C}"/>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32657" xr:uid="{498EC4D9-FD17-4FB7-BB0E-DA7FA76B1520}"/>
    <cellStyle name="Normal 5 2 3 2 2 3 2 2 3" xfId="24228" xr:uid="{195060AA-C58B-4B73-8222-851BA55C286E}"/>
    <cellStyle name="Normal 5 2 3 2 2 3 2 2 4" xfId="41085" xr:uid="{C8E03BA7-4AB0-494A-A333-8015037CFC36}"/>
    <cellStyle name="Normal 5 2 3 2 2 3 2 2 5" xfId="15793" xr:uid="{5D474498-2631-4B37-972A-369FCCFBA6E1}"/>
    <cellStyle name="Normal 5 2 3 2 2 3 2 3" xfId="28439" xr:uid="{D37F415B-8A5D-478E-8F6A-39580F4AA3AF}"/>
    <cellStyle name="Normal 5 2 3 2 2 3 2 4" xfId="20010" xr:uid="{B5D10DA9-6C4A-4AD7-BC4A-0ACF72EC8D30}"/>
    <cellStyle name="Normal 5 2 3 2 2 3 2 5" xfId="36868" xr:uid="{E28FC1AB-9ABC-4F97-A661-6F3D303CD48B}"/>
    <cellStyle name="Normal 5 2 3 2 2 3 2 6" xfId="11575" xr:uid="{04E46995-052B-4980-BC88-4C2B18364996}"/>
    <cellStyle name="Normal 5 2 3 2 2 3 3" xfId="5213" xr:uid="{00000000-0005-0000-0000-00004D180000}"/>
    <cellStyle name="Normal 5 2 3 2 2 3 3 2" xfId="30512" xr:uid="{D29E579B-8BDB-4617-BA8A-400A0DBE4EA8}"/>
    <cellStyle name="Normal 5 2 3 2 2 3 3 3" xfId="22083" xr:uid="{EF9EEF11-6704-43D1-BFA0-5F65C03A69A7}"/>
    <cellStyle name="Normal 5 2 3 2 2 3 3 4" xfId="38940" xr:uid="{B1847963-670D-439E-A445-8523B108B77E}"/>
    <cellStyle name="Normal 5 2 3 2 2 3 3 5" xfId="13648" xr:uid="{F8D98BE2-3B4D-49D8-ACE2-55F58851E4BB}"/>
    <cellStyle name="Normal 5 2 3 2 2 3 4" xfId="26294" xr:uid="{BEFF9E77-D230-4AE1-9161-D84C5350F89B}"/>
    <cellStyle name="Normal 5 2 3 2 2 3 5" xfId="17865" xr:uid="{093A3839-F5F4-48A3-AEBF-E93E28B2566A}"/>
    <cellStyle name="Normal 5 2 3 2 2 3 6" xfId="34723" xr:uid="{4C3BB93E-FE99-4C9B-A6FF-62066C716AE8}"/>
    <cellStyle name="Normal 5 2 3 2 2 3 7" xfId="9430" xr:uid="{ADDA16D7-2EFC-4A12-ADA0-B5C302EFCE18}"/>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33070" xr:uid="{ABB5168C-B93A-4FB8-8831-BD5272E0C16E}"/>
    <cellStyle name="Normal 5 2 3 2 2 4 2 2 3" xfId="24641" xr:uid="{0C4727A5-246E-441D-B60F-4AC7DD902BE1}"/>
    <cellStyle name="Normal 5 2 3 2 2 4 2 2 4" xfId="41498" xr:uid="{8EF4107D-4960-4FEA-B976-315881D24BA0}"/>
    <cellStyle name="Normal 5 2 3 2 2 4 2 2 5" xfId="16206" xr:uid="{3AA27880-BD18-4F4F-86A5-1C99C2E8448E}"/>
    <cellStyle name="Normal 5 2 3 2 2 4 2 3" xfId="28852" xr:uid="{54419B54-149E-4103-A9E5-BA4CC8729370}"/>
    <cellStyle name="Normal 5 2 3 2 2 4 2 4" xfId="20423" xr:uid="{D582F84B-E2C7-4130-9E24-7E8788ED78AA}"/>
    <cellStyle name="Normal 5 2 3 2 2 4 2 5" xfId="37281" xr:uid="{32D2488E-6DDD-4D7A-94EB-3CE4E8F35905}"/>
    <cellStyle name="Normal 5 2 3 2 2 4 2 6" xfId="11988" xr:uid="{AC9D0676-0C76-4E91-B869-5ECB76372D24}"/>
    <cellStyle name="Normal 5 2 3 2 2 4 3" xfId="5626" xr:uid="{00000000-0005-0000-0000-000051180000}"/>
    <cellStyle name="Normal 5 2 3 2 2 4 3 2" xfId="30925" xr:uid="{EC5B192C-64DF-4619-BB11-1D60A976EE90}"/>
    <cellStyle name="Normal 5 2 3 2 2 4 3 3" xfId="22496" xr:uid="{0B3640A6-5615-456C-9292-8648D041E0AF}"/>
    <cellStyle name="Normal 5 2 3 2 2 4 3 4" xfId="39353" xr:uid="{90E40A98-5C4D-45CD-9687-4AE35AB8FE58}"/>
    <cellStyle name="Normal 5 2 3 2 2 4 3 5" xfId="14061" xr:uid="{B8803854-E68B-472C-8E33-4798BD1E1805}"/>
    <cellStyle name="Normal 5 2 3 2 2 4 4" xfId="26707" xr:uid="{7CE4A1D1-5DD6-4858-AA0D-CE7AAFF358C6}"/>
    <cellStyle name="Normal 5 2 3 2 2 4 5" xfId="18278" xr:uid="{5E564291-605F-4043-B9D4-909A71BF6DFC}"/>
    <cellStyle name="Normal 5 2 3 2 2 4 6" xfId="35136" xr:uid="{55CC5D64-5089-4863-8955-C604BE0FC8E6}"/>
    <cellStyle name="Normal 5 2 3 2 2 4 7" xfId="9843" xr:uid="{A8B85394-7051-4110-BE9E-887F8332196A}"/>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33483" xr:uid="{EBF4A766-8A4C-4F9E-AAD5-F7E206AC6009}"/>
    <cellStyle name="Normal 5 2 3 2 2 5 2 2 3" xfId="25054" xr:uid="{87A55588-32F5-4AA6-9DC2-6CA699E99FE8}"/>
    <cellStyle name="Normal 5 2 3 2 2 5 2 2 4" xfId="41911" xr:uid="{74FE2E3D-1D4C-4BB9-BCFA-A0F8BC274C8E}"/>
    <cellStyle name="Normal 5 2 3 2 2 5 2 2 5" xfId="16619" xr:uid="{3DC7FDEE-9F0D-4B1A-A6F9-22AA4E7856A3}"/>
    <cellStyle name="Normal 5 2 3 2 2 5 2 3" xfId="29265" xr:uid="{5F00D840-4A09-4421-AF2A-E36C74BDAE0C}"/>
    <cellStyle name="Normal 5 2 3 2 2 5 2 4" xfId="20836" xr:uid="{F4479059-5880-4030-9254-DCF1476D23D4}"/>
    <cellStyle name="Normal 5 2 3 2 2 5 2 5" xfId="37694" xr:uid="{E7857A77-CF91-4282-BD65-21EF1920572A}"/>
    <cellStyle name="Normal 5 2 3 2 2 5 2 6" xfId="12401" xr:uid="{6BAAD5AF-D552-40E7-A6F0-2D2A67ED8059}"/>
    <cellStyle name="Normal 5 2 3 2 2 5 3" xfId="6039" xr:uid="{00000000-0005-0000-0000-000055180000}"/>
    <cellStyle name="Normal 5 2 3 2 2 5 3 2" xfId="31338" xr:uid="{C6C4236A-AA77-4A57-8AEA-31BAE6D83E04}"/>
    <cellStyle name="Normal 5 2 3 2 2 5 3 3" xfId="22909" xr:uid="{C12279C8-093D-4B92-AABE-F644D822CE62}"/>
    <cellStyle name="Normal 5 2 3 2 2 5 3 4" xfId="39766" xr:uid="{BF59D19E-BB50-4E0F-9AA2-AEF1EAAABB4A}"/>
    <cellStyle name="Normal 5 2 3 2 2 5 3 5" xfId="14474" xr:uid="{2F1044F5-6183-46A3-9EF0-4EA6321291CB}"/>
    <cellStyle name="Normal 5 2 3 2 2 5 4" xfId="27120" xr:uid="{CC68C28C-E0BB-48F9-8D7A-173F3AACDAA6}"/>
    <cellStyle name="Normal 5 2 3 2 2 5 5" xfId="18691" xr:uid="{82F2D9D0-6D33-4D3A-A85E-1C3E211AB53B}"/>
    <cellStyle name="Normal 5 2 3 2 2 5 6" xfId="35549" xr:uid="{05F7965F-4A49-42CE-8D30-06A22A085F0B}"/>
    <cellStyle name="Normal 5 2 3 2 2 5 7" xfId="10256" xr:uid="{27A62748-5082-4102-AAD5-DF401C90D1BA}"/>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33896" xr:uid="{08093AF9-02D4-4764-BBDA-3FF904781201}"/>
    <cellStyle name="Normal 5 2 3 2 2 6 2 2 3" xfId="25467" xr:uid="{351BE79A-FAB1-485D-B75F-8AC204E2D08F}"/>
    <cellStyle name="Normal 5 2 3 2 2 6 2 2 4" xfId="42324" xr:uid="{B6EF2255-8D98-4365-80EB-2E71FBA4DACF}"/>
    <cellStyle name="Normal 5 2 3 2 2 6 2 2 5" xfId="17032" xr:uid="{FFBCB811-7A42-4D99-A373-E475F88019DB}"/>
    <cellStyle name="Normal 5 2 3 2 2 6 2 3" xfId="29678" xr:uid="{833BE5D6-2A4B-4117-827A-AFC19CBD4D57}"/>
    <cellStyle name="Normal 5 2 3 2 2 6 2 4" xfId="21249" xr:uid="{DD2B24A1-4A17-463C-8858-4FA676936F9D}"/>
    <cellStyle name="Normal 5 2 3 2 2 6 2 5" xfId="38107" xr:uid="{17A7C4CC-B843-4C4B-938F-D7F309AF2EDF}"/>
    <cellStyle name="Normal 5 2 3 2 2 6 2 6" xfId="12814" xr:uid="{B0A066D4-6A86-4684-8C30-3BFA0CE2971E}"/>
    <cellStyle name="Normal 5 2 3 2 2 6 3" xfId="6452" xr:uid="{00000000-0005-0000-0000-000059180000}"/>
    <cellStyle name="Normal 5 2 3 2 2 6 3 2" xfId="31751" xr:uid="{FB7E680A-FEC7-4EE5-BD3B-7B84D96D848B}"/>
    <cellStyle name="Normal 5 2 3 2 2 6 3 3" xfId="23322" xr:uid="{4BFF1712-7239-437B-BAD4-2CCD18875DF9}"/>
    <cellStyle name="Normal 5 2 3 2 2 6 3 4" xfId="40179" xr:uid="{0DC56FA7-BED2-4569-B52C-A40DB3D054F5}"/>
    <cellStyle name="Normal 5 2 3 2 2 6 3 5" xfId="14887" xr:uid="{BAE2F74C-9F7F-4D9C-915A-50321635FD8F}"/>
    <cellStyle name="Normal 5 2 3 2 2 6 4" xfId="27533" xr:uid="{D31A2B5B-6BE6-4DEA-AFD4-7541AF91862D}"/>
    <cellStyle name="Normal 5 2 3 2 2 6 5" xfId="19104" xr:uid="{4A4CD792-F60A-4C83-98D5-ABEB57DC17C7}"/>
    <cellStyle name="Normal 5 2 3 2 2 6 6" xfId="35962" xr:uid="{CF712663-66BE-43D9-8999-735F73F8284C}"/>
    <cellStyle name="Normal 5 2 3 2 2 6 7" xfId="10669" xr:uid="{AFF618E5-63EE-47A3-AEE9-E2D0E952F328}"/>
    <cellStyle name="Normal 5 2 3 2 2 7" xfId="2581" xr:uid="{00000000-0005-0000-0000-00005A180000}"/>
    <cellStyle name="Normal 5 2 3 2 2 7 2" xfId="6865" xr:uid="{00000000-0005-0000-0000-00005B180000}"/>
    <cellStyle name="Normal 5 2 3 2 2 7 2 2" xfId="32164" xr:uid="{A196387F-1028-4E15-8D21-DB0C40C1737D}"/>
    <cellStyle name="Normal 5 2 3 2 2 7 2 3" xfId="23735" xr:uid="{1223BB52-72CA-491B-8BD6-6F8B4E53985C}"/>
    <cellStyle name="Normal 5 2 3 2 2 7 2 4" xfId="40592" xr:uid="{65765530-2D5E-4017-A5D3-B734513D5011}"/>
    <cellStyle name="Normal 5 2 3 2 2 7 2 5" xfId="15300" xr:uid="{144B05DE-A712-4B6A-B466-8ECA91455AF5}"/>
    <cellStyle name="Normal 5 2 3 2 2 7 3" xfId="27946" xr:uid="{28EF77C6-71C5-43B2-AB6B-AAEAC783C87B}"/>
    <cellStyle name="Normal 5 2 3 2 2 7 4" xfId="19517" xr:uid="{242A608B-78F0-4056-AF2B-C2290C49C095}"/>
    <cellStyle name="Normal 5 2 3 2 2 7 5" xfId="36375" xr:uid="{153A559A-365D-4A6D-96DA-6DA19A4396F4}"/>
    <cellStyle name="Normal 5 2 3 2 2 7 6" xfId="11082" xr:uid="{01C678E8-0ACB-41F1-B09D-B46A61AE8D9F}"/>
    <cellStyle name="Normal 5 2 3 2 2 8" xfId="4800" xr:uid="{00000000-0005-0000-0000-00005C180000}"/>
    <cellStyle name="Normal 5 2 3 2 2 8 2" xfId="30099" xr:uid="{A2AB6C28-4BB5-4C2D-8C66-6795479FE211}"/>
    <cellStyle name="Normal 5 2 3 2 2 8 3" xfId="21670" xr:uid="{0013B113-03FF-4014-BF2E-0FC5A691F99B}"/>
    <cellStyle name="Normal 5 2 3 2 2 8 4" xfId="38527" xr:uid="{BCA2C7D4-576D-4683-9D22-BC0BEC009EB1}"/>
    <cellStyle name="Normal 5 2 3 2 2 8 5" xfId="13235" xr:uid="{D967AA32-3D47-4875-AD1D-6A1AB349B4B3}"/>
    <cellStyle name="Normal 5 2 3 2 2 9" xfId="25881" xr:uid="{364F9669-B631-42BA-BC15-55BEA5AF37D2}"/>
    <cellStyle name="Normal 5 2 3 2 3" xfId="428" xr:uid="{00000000-0005-0000-0000-00005D180000}"/>
    <cellStyle name="Normal 5 2 3 2 3 10" xfId="34312" xr:uid="{D5B5E1F3-054D-40F1-BDCD-13314F590DC7}"/>
    <cellStyle name="Normal 5 2 3 2 3 11" xfId="9019" xr:uid="{0E260738-5FEB-473B-BBBF-E5CC810D9D73}"/>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32659" xr:uid="{1B32A50B-7783-45E6-A6DE-7C3B8B0171DD}"/>
    <cellStyle name="Normal 5 2 3 2 3 2 2 2 3" xfId="24230" xr:uid="{5C8A455F-A67D-4C4E-BFDF-4F339E6043EE}"/>
    <cellStyle name="Normal 5 2 3 2 3 2 2 2 4" xfId="41087" xr:uid="{3FA20CAA-7492-4D19-A293-499725F4FE70}"/>
    <cellStyle name="Normal 5 2 3 2 3 2 2 2 5" xfId="15795" xr:uid="{18F7CFB9-FF16-4588-A341-B425AE6BD661}"/>
    <cellStyle name="Normal 5 2 3 2 3 2 2 3" xfId="28441" xr:uid="{E907531F-6914-4B89-8E8C-54375DE18FF0}"/>
    <cellStyle name="Normal 5 2 3 2 3 2 2 4" xfId="20012" xr:uid="{8E80E914-D74C-4714-918F-DF0160FECCC4}"/>
    <cellStyle name="Normal 5 2 3 2 3 2 2 5" xfId="36870" xr:uid="{83E5B17A-FE60-48E0-AC46-59B196E76ACB}"/>
    <cellStyle name="Normal 5 2 3 2 3 2 2 6" xfId="11577" xr:uid="{B3446108-71AC-40D5-AB77-7903E984629D}"/>
    <cellStyle name="Normal 5 2 3 2 3 2 3" xfId="5215" xr:uid="{00000000-0005-0000-0000-000061180000}"/>
    <cellStyle name="Normal 5 2 3 2 3 2 3 2" xfId="30514" xr:uid="{AF57380E-B39D-4354-8A25-68FFA59871B2}"/>
    <cellStyle name="Normal 5 2 3 2 3 2 3 3" xfId="22085" xr:uid="{0CCE3BAC-1F8A-4240-87F8-53967C9550D9}"/>
    <cellStyle name="Normal 5 2 3 2 3 2 3 4" xfId="38942" xr:uid="{F1DEEF83-41EA-4EE9-8B3B-290E30171847}"/>
    <cellStyle name="Normal 5 2 3 2 3 2 3 5" xfId="13650" xr:uid="{808280B6-7EA3-4682-8F59-E1C68A713447}"/>
    <cellStyle name="Normal 5 2 3 2 3 2 4" xfId="26296" xr:uid="{007E4AB7-9EC2-429C-B070-54A6A474DB33}"/>
    <cellStyle name="Normal 5 2 3 2 3 2 5" xfId="17867" xr:uid="{7BD76D5B-2631-4448-95A9-08CB0E2FB3D9}"/>
    <cellStyle name="Normal 5 2 3 2 3 2 6" xfId="34725" xr:uid="{B0263BB5-BF19-4274-AFE9-4755ABA4011D}"/>
    <cellStyle name="Normal 5 2 3 2 3 2 7" xfId="9432" xr:uid="{EEDAC98C-8211-4FFB-88DC-5FB992CBEEEF}"/>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33072" xr:uid="{A5965B7D-3B41-4AA6-92A9-B47A16EA9B56}"/>
    <cellStyle name="Normal 5 2 3 2 3 3 2 2 3" xfId="24643" xr:uid="{5BEBFD8B-802E-4EEA-B01C-CAF0E83D95C3}"/>
    <cellStyle name="Normal 5 2 3 2 3 3 2 2 4" xfId="41500" xr:uid="{D33C70F4-1EBB-45FF-855A-B1B4230144E2}"/>
    <cellStyle name="Normal 5 2 3 2 3 3 2 2 5" xfId="16208" xr:uid="{7F971D5B-A673-4B55-93E8-C6450270B3F8}"/>
    <cellStyle name="Normal 5 2 3 2 3 3 2 3" xfId="28854" xr:uid="{93736F68-2E29-4EFC-BBC0-918F6AA1DD09}"/>
    <cellStyle name="Normal 5 2 3 2 3 3 2 4" xfId="20425" xr:uid="{D14FBF55-B3E3-471A-B5DE-8A16B0A42135}"/>
    <cellStyle name="Normal 5 2 3 2 3 3 2 5" xfId="37283" xr:uid="{C43A0D1F-1A8C-4C69-8F14-EBBF534F048D}"/>
    <cellStyle name="Normal 5 2 3 2 3 3 2 6" xfId="11990" xr:uid="{B74DFEC9-A9F6-415F-BF0C-575E5D20786D}"/>
    <cellStyle name="Normal 5 2 3 2 3 3 3" xfId="5628" xr:uid="{00000000-0005-0000-0000-000065180000}"/>
    <cellStyle name="Normal 5 2 3 2 3 3 3 2" xfId="30927" xr:uid="{25AE2E29-47A8-4D8B-9519-F5AA0FD77EAA}"/>
    <cellStyle name="Normal 5 2 3 2 3 3 3 3" xfId="22498" xr:uid="{7177BD34-C21F-4B69-A28C-34ACA4E7AB96}"/>
    <cellStyle name="Normal 5 2 3 2 3 3 3 4" xfId="39355" xr:uid="{C166098A-7327-4870-9CDE-21C0F2CEA64C}"/>
    <cellStyle name="Normal 5 2 3 2 3 3 3 5" xfId="14063" xr:uid="{15572C3E-11F7-4506-A818-75EC08309CB5}"/>
    <cellStyle name="Normal 5 2 3 2 3 3 4" xfId="26709" xr:uid="{68C0D4A6-0915-439C-9420-C0F68B269D77}"/>
    <cellStyle name="Normal 5 2 3 2 3 3 5" xfId="18280" xr:uid="{249A03A3-CA58-432A-95E8-E9D880BA9913}"/>
    <cellStyle name="Normal 5 2 3 2 3 3 6" xfId="35138" xr:uid="{7A5FEC0A-6F42-4F6A-B98F-0A82BAE9351D}"/>
    <cellStyle name="Normal 5 2 3 2 3 3 7" xfId="9845" xr:uid="{516E4CA1-50C6-456B-828C-46D93DF55F7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33485" xr:uid="{8A5DA1E4-7365-4AD4-BACB-8FD82EA93D5E}"/>
    <cellStyle name="Normal 5 2 3 2 3 4 2 2 3" xfId="25056" xr:uid="{A78AFD28-E55B-4B67-9F1E-64C6985E9C94}"/>
    <cellStyle name="Normal 5 2 3 2 3 4 2 2 4" xfId="41913" xr:uid="{522B39B5-118A-44C9-90F2-57FBEF872AAC}"/>
    <cellStyle name="Normal 5 2 3 2 3 4 2 2 5" xfId="16621" xr:uid="{2C52ACDA-8A1F-4662-975B-756CFC5E258C}"/>
    <cellStyle name="Normal 5 2 3 2 3 4 2 3" xfId="29267" xr:uid="{50FA3081-6F00-40CB-8B68-4A32109B8C5F}"/>
    <cellStyle name="Normal 5 2 3 2 3 4 2 4" xfId="20838" xr:uid="{DCC947E0-8FDE-4939-A298-7C40F156B50E}"/>
    <cellStyle name="Normal 5 2 3 2 3 4 2 5" xfId="37696" xr:uid="{0C492477-82E5-4D82-803E-7FCD0114401E}"/>
    <cellStyle name="Normal 5 2 3 2 3 4 2 6" xfId="12403" xr:uid="{ADB9F227-0318-44F9-8E81-BC3D2512FC08}"/>
    <cellStyle name="Normal 5 2 3 2 3 4 3" xfId="6041" xr:uid="{00000000-0005-0000-0000-000069180000}"/>
    <cellStyle name="Normal 5 2 3 2 3 4 3 2" xfId="31340" xr:uid="{12504C13-8287-4261-9476-CDB874E60881}"/>
    <cellStyle name="Normal 5 2 3 2 3 4 3 3" xfId="22911" xr:uid="{68695508-7E73-42DE-BC7E-5A9B8C0F33DA}"/>
    <cellStyle name="Normal 5 2 3 2 3 4 3 4" xfId="39768" xr:uid="{A915141A-27B5-4D7D-A7EB-98B81E0A4860}"/>
    <cellStyle name="Normal 5 2 3 2 3 4 3 5" xfId="14476" xr:uid="{E6D2B944-541E-4E40-85B6-8CCC6370E498}"/>
    <cellStyle name="Normal 5 2 3 2 3 4 4" xfId="27122" xr:uid="{F0CBB1B7-CE1D-422B-8204-C95D74AEB945}"/>
    <cellStyle name="Normal 5 2 3 2 3 4 5" xfId="18693" xr:uid="{0D464488-F4CD-4491-906C-3A0E9120B28F}"/>
    <cellStyle name="Normal 5 2 3 2 3 4 6" xfId="35551" xr:uid="{85E89C6F-1837-4CA0-A7BA-E0012DBCCC9D}"/>
    <cellStyle name="Normal 5 2 3 2 3 4 7" xfId="10258" xr:uid="{546A158B-4D6F-4954-B5AD-54C6233AA876}"/>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33898" xr:uid="{A18A599B-B075-4E9F-89C7-6E5113EF5E0D}"/>
    <cellStyle name="Normal 5 2 3 2 3 5 2 2 3" xfId="25469" xr:uid="{DFE3B2AE-1BE5-4FB7-9281-DACD7B13984A}"/>
    <cellStyle name="Normal 5 2 3 2 3 5 2 2 4" xfId="42326" xr:uid="{56CDC42E-C519-4284-BAB8-060BE741AFED}"/>
    <cellStyle name="Normal 5 2 3 2 3 5 2 2 5" xfId="17034" xr:uid="{02E81228-FE92-4FDA-A8F8-F3A4CB28B2FA}"/>
    <cellStyle name="Normal 5 2 3 2 3 5 2 3" xfId="29680" xr:uid="{EFB17838-6A7B-4F19-AFDE-C0466F197661}"/>
    <cellStyle name="Normal 5 2 3 2 3 5 2 4" xfId="21251" xr:uid="{9BCD9CBA-CB2C-41FB-AD43-93FB45DAD031}"/>
    <cellStyle name="Normal 5 2 3 2 3 5 2 5" xfId="38109" xr:uid="{E40D5D6C-8A37-43F2-B245-F46EC934309D}"/>
    <cellStyle name="Normal 5 2 3 2 3 5 2 6" xfId="12816" xr:uid="{A576A4D1-3DE3-4D46-8203-75566EF35195}"/>
    <cellStyle name="Normal 5 2 3 2 3 5 3" xfId="6454" xr:uid="{00000000-0005-0000-0000-00006D180000}"/>
    <cellStyle name="Normal 5 2 3 2 3 5 3 2" xfId="31753" xr:uid="{7F7909D0-56C9-4EBF-8301-F9B4C5F0BF9D}"/>
    <cellStyle name="Normal 5 2 3 2 3 5 3 3" xfId="23324" xr:uid="{E2387C72-B5C5-423F-8240-A4EAF37BEA27}"/>
    <cellStyle name="Normal 5 2 3 2 3 5 3 4" xfId="40181" xr:uid="{EBB6CCB1-5821-40EB-B514-827C6167A07F}"/>
    <cellStyle name="Normal 5 2 3 2 3 5 3 5" xfId="14889" xr:uid="{F4F48AF0-AE1E-4153-823E-C59CD50B9CC6}"/>
    <cellStyle name="Normal 5 2 3 2 3 5 4" xfId="27535" xr:uid="{DA63D40D-4D49-4C2F-B262-95E40C413503}"/>
    <cellStyle name="Normal 5 2 3 2 3 5 5" xfId="19106" xr:uid="{FEEACD46-A58D-4F77-B384-AC7A3F15C591}"/>
    <cellStyle name="Normal 5 2 3 2 3 5 6" xfId="35964" xr:uid="{D6F57F91-E457-4A64-B790-ABBC18891655}"/>
    <cellStyle name="Normal 5 2 3 2 3 5 7" xfId="10671" xr:uid="{6F2AB209-3F1A-48EC-B652-7E48365E4C9A}"/>
    <cellStyle name="Normal 5 2 3 2 3 6" xfId="2583" xr:uid="{00000000-0005-0000-0000-00006E180000}"/>
    <cellStyle name="Normal 5 2 3 2 3 6 2" xfId="6867" xr:uid="{00000000-0005-0000-0000-00006F180000}"/>
    <cellStyle name="Normal 5 2 3 2 3 6 2 2" xfId="32166" xr:uid="{06A02B73-8705-4797-9237-44533D2ED5C8}"/>
    <cellStyle name="Normal 5 2 3 2 3 6 2 3" xfId="23737" xr:uid="{5B29A260-FEE9-44E9-BF3D-86580F4B7BDE}"/>
    <cellStyle name="Normal 5 2 3 2 3 6 2 4" xfId="40594" xr:uid="{D59C6DFD-6EB4-4D5A-A126-1C9BD08621F5}"/>
    <cellStyle name="Normal 5 2 3 2 3 6 2 5" xfId="15302" xr:uid="{F71E70D4-AF80-4293-98D6-D05EEEC32CA7}"/>
    <cellStyle name="Normal 5 2 3 2 3 6 3" xfId="27948" xr:uid="{48735901-528C-4358-810E-11B20D7EDD29}"/>
    <cellStyle name="Normal 5 2 3 2 3 6 4" xfId="19519" xr:uid="{AF53AEA1-FF79-4502-9673-42EBDA1E885D}"/>
    <cellStyle name="Normal 5 2 3 2 3 6 5" xfId="36377" xr:uid="{2A7134FD-1295-418A-9C4C-EFE2FFD3037F}"/>
    <cellStyle name="Normal 5 2 3 2 3 6 6" xfId="11084" xr:uid="{AD8F886F-9F54-4377-A743-A25ACFE2E31C}"/>
    <cellStyle name="Normal 5 2 3 2 3 7" xfId="4802" xr:uid="{00000000-0005-0000-0000-000070180000}"/>
    <cellStyle name="Normal 5 2 3 2 3 7 2" xfId="30101" xr:uid="{249345A1-5545-4EA2-ABEC-4D1C1ACFFCB8}"/>
    <cellStyle name="Normal 5 2 3 2 3 7 3" xfId="21672" xr:uid="{B5FE08F9-ACB8-4DE0-809E-ED9F270C24EC}"/>
    <cellStyle name="Normal 5 2 3 2 3 7 4" xfId="38529" xr:uid="{678B65BC-B5B6-4E9F-B908-1AFE76A6D5F2}"/>
    <cellStyle name="Normal 5 2 3 2 3 7 5" xfId="13237" xr:uid="{ED2C8381-09E5-4047-8486-F831CF2574F6}"/>
    <cellStyle name="Normal 5 2 3 2 3 8" xfId="25883" xr:uid="{21479B15-10EA-4929-9910-234076EE0A8A}"/>
    <cellStyle name="Normal 5 2 3 2 3 9" xfId="17454" xr:uid="{05568AB9-93B1-4455-B1A2-6F1C3AA4D84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32656" xr:uid="{EBB7F60B-DFD0-4262-9D70-A0399BF3DDFB}"/>
    <cellStyle name="Normal 5 2 3 2 4 2 2 3" xfId="24227" xr:uid="{10328DCA-2AB9-4F5A-A6B0-DE83E2447F35}"/>
    <cellStyle name="Normal 5 2 3 2 4 2 2 4" xfId="41084" xr:uid="{D359C531-78F1-40D6-ADDB-A41DD4760DC8}"/>
    <cellStyle name="Normal 5 2 3 2 4 2 2 5" xfId="15792" xr:uid="{8AB24F77-4F87-4AEB-8388-CC28E9AB62DA}"/>
    <cellStyle name="Normal 5 2 3 2 4 2 3" xfId="28438" xr:uid="{AD879966-FAB1-41D2-B6BD-6123607AA6F0}"/>
    <cellStyle name="Normal 5 2 3 2 4 2 4" xfId="20009" xr:uid="{5C61E23D-6FF7-44A1-82E4-52B8F1B45E45}"/>
    <cellStyle name="Normal 5 2 3 2 4 2 5" xfId="36867" xr:uid="{20800869-B8E5-426B-A0C4-8286DA1E0A46}"/>
    <cellStyle name="Normal 5 2 3 2 4 2 6" xfId="11574" xr:uid="{41E11F94-AA15-4B9A-B8B3-D8790A868ED3}"/>
    <cellStyle name="Normal 5 2 3 2 4 3" xfId="5212" xr:uid="{00000000-0005-0000-0000-000074180000}"/>
    <cellStyle name="Normal 5 2 3 2 4 3 2" xfId="30511" xr:uid="{FFE3FEBB-0BDE-41BD-AA07-22BF5B1F0468}"/>
    <cellStyle name="Normal 5 2 3 2 4 3 3" xfId="22082" xr:uid="{4483E39F-1015-4112-9FB6-6864055AC8CA}"/>
    <cellStyle name="Normal 5 2 3 2 4 3 4" xfId="38939" xr:uid="{E9FD8E7A-21F9-493D-A034-99425017E2C9}"/>
    <cellStyle name="Normal 5 2 3 2 4 3 5" xfId="13647" xr:uid="{704E1E72-BB39-4C40-B4EE-C1319599CED0}"/>
    <cellStyle name="Normal 5 2 3 2 4 4" xfId="26293" xr:uid="{B775F9B9-DEF8-4C56-AF7D-CB0686863D39}"/>
    <cellStyle name="Normal 5 2 3 2 4 5" xfId="17864" xr:uid="{03B1A303-B625-49CC-A99D-7F19BFCFEDE2}"/>
    <cellStyle name="Normal 5 2 3 2 4 6" xfId="34722" xr:uid="{FBA54F0B-F285-476F-B294-66FE37E27501}"/>
    <cellStyle name="Normal 5 2 3 2 4 7" xfId="9429" xr:uid="{ED489377-375C-44F2-91F5-9DB5545AA264}"/>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33069" xr:uid="{4ECB98C8-135E-4670-AF9B-138847705264}"/>
    <cellStyle name="Normal 5 2 3 2 5 2 2 3" xfId="24640" xr:uid="{2468A171-8F63-4A00-A757-D4DAE38F2413}"/>
    <cellStyle name="Normal 5 2 3 2 5 2 2 4" xfId="41497" xr:uid="{F504C7E0-231C-4219-978A-F24DF8D81723}"/>
    <cellStyle name="Normal 5 2 3 2 5 2 2 5" xfId="16205" xr:uid="{4382331B-CBBA-401B-B139-2C666A04E57A}"/>
    <cellStyle name="Normal 5 2 3 2 5 2 3" xfId="28851" xr:uid="{DD188339-22EC-4008-9B16-1633F0A56FB5}"/>
    <cellStyle name="Normal 5 2 3 2 5 2 4" xfId="20422" xr:uid="{D2C31001-A93B-4375-841D-8886333CA408}"/>
    <cellStyle name="Normal 5 2 3 2 5 2 5" xfId="37280" xr:uid="{B6C01F00-48E9-47D4-AD81-D18B2006DE8B}"/>
    <cellStyle name="Normal 5 2 3 2 5 2 6" xfId="11987" xr:uid="{692CE714-0C71-4243-BD9D-C132F0C19F29}"/>
    <cellStyle name="Normal 5 2 3 2 5 3" xfId="5625" xr:uid="{00000000-0005-0000-0000-000078180000}"/>
    <cellStyle name="Normal 5 2 3 2 5 3 2" xfId="30924" xr:uid="{4539E6AD-556C-45EA-BECF-5CEC6D68C278}"/>
    <cellStyle name="Normal 5 2 3 2 5 3 3" xfId="22495" xr:uid="{63480FE2-29C4-49D4-971A-FA3CF9594CDA}"/>
    <cellStyle name="Normal 5 2 3 2 5 3 4" xfId="39352" xr:uid="{92ECDD6D-8776-4A60-95E6-8A74679A90C8}"/>
    <cellStyle name="Normal 5 2 3 2 5 3 5" xfId="14060" xr:uid="{6E9B91D4-7360-4735-B291-5E6B90342311}"/>
    <cellStyle name="Normal 5 2 3 2 5 4" xfId="26706" xr:uid="{B2099DF3-0271-4DF0-9A25-E3CA14964591}"/>
    <cellStyle name="Normal 5 2 3 2 5 5" xfId="18277" xr:uid="{1F3ECF7C-A1CA-4F6C-B247-6EBCDE18CA0E}"/>
    <cellStyle name="Normal 5 2 3 2 5 6" xfId="35135" xr:uid="{BCAE7C24-637F-4074-919B-2F665690CBBD}"/>
    <cellStyle name="Normal 5 2 3 2 5 7" xfId="9842" xr:uid="{8B6673F5-0D88-4A53-A945-C33EBB8E594D}"/>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33482" xr:uid="{D1907DFE-9F31-4BC7-BDDC-C633CD5777D5}"/>
    <cellStyle name="Normal 5 2 3 2 6 2 2 3" xfId="25053" xr:uid="{E549E2F9-EF25-403C-AF31-D3B4A5B0839E}"/>
    <cellStyle name="Normal 5 2 3 2 6 2 2 4" xfId="41910" xr:uid="{6F91BF62-93E5-46B7-80FF-94D3393E9D95}"/>
    <cellStyle name="Normal 5 2 3 2 6 2 2 5" xfId="16618" xr:uid="{D5CF7BF8-FBA3-4525-8E9E-D23EE7477CAD}"/>
    <cellStyle name="Normal 5 2 3 2 6 2 3" xfId="29264" xr:uid="{E1CAB8D4-8B02-426E-A65D-6F6642C0F140}"/>
    <cellStyle name="Normal 5 2 3 2 6 2 4" xfId="20835" xr:uid="{6A057074-F726-4460-816F-B4F7731BD884}"/>
    <cellStyle name="Normal 5 2 3 2 6 2 5" xfId="37693" xr:uid="{1F1F337E-2917-453C-8038-7CE0BAB4FDB6}"/>
    <cellStyle name="Normal 5 2 3 2 6 2 6" xfId="12400" xr:uid="{1A40FACC-72FE-47CD-8FD5-53597279A6CB}"/>
    <cellStyle name="Normal 5 2 3 2 6 3" xfId="6038" xr:uid="{00000000-0005-0000-0000-00007C180000}"/>
    <cellStyle name="Normal 5 2 3 2 6 3 2" xfId="31337" xr:uid="{75028874-DCF6-4566-B1E2-FEE0677AE9F4}"/>
    <cellStyle name="Normal 5 2 3 2 6 3 3" xfId="22908" xr:uid="{EC8712CF-7EF4-41B6-8676-DB2D5BADE669}"/>
    <cellStyle name="Normal 5 2 3 2 6 3 4" xfId="39765" xr:uid="{3ABF88AF-78E9-4E7A-8E91-50DD9B605932}"/>
    <cellStyle name="Normal 5 2 3 2 6 3 5" xfId="14473" xr:uid="{9F35919B-76C6-492A-938A-E6F077D0DA7A}"/>
    <cellStyle name="Normal 5 2 3 2 6 4" xfId="27119" xr:uid="{C849EBB3-ECA5-4B8C-A5CB-1E673F7675FE}"/>
    <cellStyle name="Normal 5 2 3 2 6 5" xfId="18690" xr:uid="{AC42B05B-7B8D-400E-B958-88B4D3927B85}"/>
    <cellStyle name="Normal 5 2 3 2 6 6" xfId="35548" xr:uid="{95FBBC6C-4EE9-4AB1-A614-A303FC7D0D12}"/>
    <cellStyle name="Normal 5 2 3 2 6 7" xfId="10255" xr:uid="{14ED8F5C-00CF-4A4D-B003-8FBAAEFF941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33895" xr:uid="{EFEB4116-E2A3-44B7-B918-999440288E4D}"/>
    <cellStyle name="Normal 5 2 3 2 7 2 2 3" xfId="25466" xr:uid="{0A194282-BAEE-4DDC-A096-4B920A9851E0}"/>
    <cellStyle name="Normal 5 2 3 2 7 2 2 4" xfId="42323" xr:uid="{00D45610-5CC2-4E29-A5C4-27F2681C867D}"/>
    <cellStyle name="Normal 5 2 3 2 7 2 2 5" xfId="17031" xr:uid="{E4D9E305-D609-4817-8462-E25E03E8313F}"/>
    <cellStyle name="Normal 5 2 3 2 7 2 3" xfId="29677" xr:uid="{CC6BC333-D74B-45B8-A644-480AC69B1F38}"/>
    <cellStyle name="Normal 5 2 3 2 7 2 4" xfId="21248" xr:uid="{38CC33DB-604C-428F-B14D-97A0AC0191BE}"/>
    <cellStyle name="Normal 5 2 3 2 7 2 5" xfId="38106" xr:uid="{E32569A1-EB1A-4B51-876E-C77602CF45A8}"/>
    <cellStyle name="Normal 5 2 3 2 7 2 6" xfId="12813" xr:uid="{4E1412E2-11E8-4A86-9FB4-583CF105C59C}"/>
    <cellStyle name="Normal 5 2 3 2 7 3" xfId="6451" xr:uid="{00000000-0005-0000-0000-000080180000}"/>
    <cellStyle name="Normal 5 2 3 2 7 3 2" xfId="31750" xr:uid="{CFA30C26-0B51-473D-9AF8-9F0D6537CF8F}"/>
    <cellStyle name="Normal 5 2 3 2 7 3 3" xfId="23321" xr:uid="{B9F64827-90DF-489B-BCAB-1152F29AB899}"/>
    <cellStyle name="Normal 5 2 3 2 7 3 4" xfId="40178" xr:uid="{43438A7F-7E68-45E0-9783-34BA618F5814}"/>
    <cellStyle name="Normal 5 2 3 2 7 3 5" xfId="14886" xr:uid="{A129BF0F-3C8C-4E95-A0A1-422B7F46E729}"/>
    <cellStyle name="Normal 5 2 3 2 7 4" xfId="27532" xr:uid="{05BA9969-7868-44E4-94E7-2C0765D007EF}"/>
    <cellStyle name="Normal 5 2 3 2 7 5" xfId="19103" xr:uid="{4D1553A1-0C80-49F0-9464-F2B1AB28142F}"/>
    <cellStyle name="Normal 5 2 3 2 7 6" xfId="35961" xr:uid="{0C0CA598-D6BF-445B-9D49-E108895CD7BD}"/>
    <cellStyle name="Normal 5 2 3 2 7 7" xfId="10668" xr:uid="{2D963341-CA2E-4F50-846B-428C52BD5DC8}"/>
    <cellStyle name="Normal 5 2 3 2 8" xfId="2580" xr:uid="{00000000-0005-0000-0000-000081180000}"/>
    <cellStyle name="Normal 5 2 3 2 8 2" xfId="6864" xr:uid="{00000000-0005-0000-0000-000082180000}"/>
    <cellStyle name="Normal 5 2 3 2 8 2 2" xfId="32163" xr:uid="{4E283F67-DD37-4AB4-9C80-823D1E0CFB97}"/>
    <cellStyle name="Normal 5 2 3 2 8 2 3" xfId="23734" xr:uid="{B445F778-CEC5-49A4-92E5-29A411B50E70}"/>
    <cellStyle name="Normal 5 2 3 2 8 2 4" xfId="40591" xr:uid="{348BFC42-291D-44DE-951E-A1A675DF533D}"/>
    <cellStyle name="Normal 5 2 3 2 8 2 5" xfId="15299" xr:uid="{B95AB8A0-AAAB-4AC2-B767-CCAE24AE056F}"/>
    <cellStyle name="Normal 5 2 3 2 8 3" xfId="27945" xr:uid="{C1AED13C-7C6D-44AE-A22B-33A830F2E5B7}"/>
    <cellStyle name="Normal 5 2 3 2 8 4" xfId="19516" xr:uid="{4FB6229F-CDC3-484A-B880-3F5D61408839}"/>
    <cellStyle name="Normal 5 2 3 2 8 5" xfId="36374" xr:uid="{71E95F6D-4E6B-42D7-BCE4-9744E1F189C6}"/>
    <cellStyle name="Normal 5 2 3 2 8 6" xfId="11081" xr:uid="{7C3F36BE-0A68-4713-9DB0-75A011B4D67B}"/>
    <cellStyle name="Normal 5 2 3 2 9" xfId="4799" xr:uid="{00000000-0005-0000-0000-000083180000}"/>
    <cellStyle name="Normal 5 2 3 2 9 2" xfId="30098" xr:uid="{025EFD8E-5AC5-46E0-8756-1C1EADC29953}"/>
    <cellStyle name="Normal 5 2 3 2 9 3" xfId="21669" xr:uid="{BBED3D95-8582-4D11-8245-FA49E67B78B1}"/>
    <cellStyle name="Normal 5 2 3 2 9 4" xfId="38526" xr:uid="{79F2A786-8230-4D5D-B890-31421948CD72}"/>
    <cellStyle name="Normal 5 2 3 2 9 5" xfId="13234" xr:uid="{46397739-0435-48DF-A68A-EA7C20FEECAD}"/>
    <cellStyle name="Normal 5 2 3 3" xfId="429" xr:uid="{00000000-0005-0000-0000-000084180000}"/>
    <cellStyle name="Normal 5 2 3 3 10" xfId="17455" xr:uid="{FDEE64A9-E4A0-486E-B0AE-552C458BA2C6}"/>
    <cellStyle name="Normal 5 2 3 3 11" xfId="34313" xr:uid="{34CB0E14-F81D-4CC7-879F-EF99D7219446}"/>
    <cellStyle name="Normal 5 2 3 3 12" xfId="9020" xr:uid="{65EA25A4-DA92-465F-AC4B-1ADC2EE39DC0}"/>
    <cellStyle name="Normal 5 2 3 3 2" xfId="430" xr:uid="{00000000-0005-0000-0000-000085180000}"/>
    <cellStyle name="Normal 5 2 3 3 2 10" xfId="34314" xr:uid="{F06D5E45-AA2A-41CE-B12E-F9B96E897980}"/>
    <cellStyle name="Normal 5 2 3 3 2 11" xfId="9021" xr:uid="{52A018C3-1EA5-424B-ADC8-8193D223BD09}"/>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32661" xr:uid="{736672C4-FFEF-4560-A4F7-1D0FC5BC167E}"/>
    <cellStyle name="Normal 5 2 3 3 2 2 2 2 3" xfId="24232" xr:uid="{66285BE5-CECB-4E26-B45F-823215D8D55F}"/>
    <cellStyle name="Normal 5 2 3 3 2 2 2 2 4" xfId="41089" xr:uid="{196941A4-9F81-4872-A187-A3E8D14C9AF2}"/>
    <cellStyle name="Normal 5 2 3 3 2 2 2 2 5" xfId="15797" xr:uid="{04DA989A-036B-405E-A5FD-FF38032E1D76}"/>
    <cellStyle name="Normal 5 2 3 3 2 2 2 3" xfId="28443" xr:uid="{C5AD4CFC-DBA7-461F-B7F1-0162D50B9B81}"/>
    <cellStyle name="Normal 5 2 3 3 2 2 2 4" xfId="20014" xr:uid="{DA185AF7-A0BE-44F5-AA99-DDA38C40CD72}"/>
    <cellStyle name="Normal 5 2 3 3 2 2 2 5" xfId="36872" xr:uid="{3943DD4B-8A13-49C5-94D7-34EC5172E501}"/>
    <cellStyle name="Normal 5 2 3 3 2 2 2 6" xfId="11579" xr:uid="{985FFB54-05BA-4E5C-A88E-E1067F71AB32}"/>
    <cellStyle name="Normal 5 2 3 3 2 2 3" xfId="5217" xr:uid="{00000000-0005-0000-0000-000089180000}"/>
    <cellStyle name="Normal 5 2 3 3 2 2 3 2" xfId="30516" xr:uid="{9BCE4F20-3B59-48CF-92A0-C69C74D8739E}"/>
    <cellStyle name="Normal 5 2 3 3 2 2 3 3" xfId="22087" xr:uid="{D6D26D71-4D29-4FF6-86DD-19F57F0B3206}"/>
    <cellStyle name="Normal 5 2 3 3 2 2 3 4" xfId="38944" xr:uid="{527D5C77-F22F-4159-8612-603BB721CE4B}"/>
    <cellStyle name="Normal 5 2 3 3 2 2 3 5" xfId="13652" xr:uid="{59060965-028B-4838-92FC-6FA3931B3682}"/>
    <cellStyle name="Normal 5 2 3 3 2 2 4" xfId="26298" xr:uid="{1234BC2C-96C4-484B-A9C3-2F55285D0A12}"/>
    <cellStyle name="Normal 5 2 3 3 2 2 5" xfId="17869" xr:uid="{23E2ED5E-1ED5-45CE-B758-69E72B051914}"/>
    <cellStyle name="Normal 5 2 3 3 2 2 6" xfId="34727" xr:uid="{FDB1C3E9-7001-4D10-8A70-528F02E9F5C6}"/>
    <cellStyle name="Normal 5 2 3 3 2 2 7" xfId="9434" xr:uid="{5D3A9748-B22D-475D-94E1-59853D9CCAA6}"/>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33074" xr:uid="{BF848EA4-A51A-4399-A87D-9068955440CA}"/>
    <cellStyle name="Normal 5 2 3 3 2 3 2 2 3" xfId="24645" xr:uid="{96F1B5F0-9ACE-4EC3-9A79-19F8F2DE7393}"/>
    <cellStyle name="Normal 5 2 3 3 2 3 2 2 4" xfId="41502" xr:uid="{FE2DC621-67E1-4E8B-BDD5-8437ADCB5319}"/>
    <cellStyle name="Normal 5 2 3 3 2 3 2 2 5" xfId="16210" xr:uid="{C61A9676-52AA-4751-82B1-A034ADD53734}"/>
    <cellStyle name="Normal 5 2 3 3 2 3 2 3" xfId="28856" xr:uid="{A0492DE7-3F17-41B0-BE54-07B50B871022}"/>
    <cellStyle name="Normal 5 2 3 3 2 3 2 4" xfId="20427" xr:uid="{C0396512-D368-4809-A323-7D87DFD611BC}"/>
    <cellStyle name="Normal 5 2 3 3 2 3 2 5" xfId="37285" xr:uid="{82690BCA-CE82-46EF-96DA-C404217AFB51}"/>
    <cellStyle name="Normal 5 2 3 3 2 3 2 6" xfId="11992" xr:uid="{77815D5B-3CC5-4670-A9D7-45C883BDFDD9}"/>
    <cellStyle name="Normal 5 2 3 3 2 3 3" xfId="5630" xr:uid="{00000000-0005-0000-0000-00008D180000}"/>
    <cellStyle name="Normal 5 2 3 3 2 3 3 2" xfId="30929" xr:uid="{0DCE65B7-D79A-4055-AB2C-FC802CDD5C4C}"/>
    <cellStyle name="Normal 5 2 3 3 2 3 3 3" xfId="22500" xr:uid="{93675B80-A13E-4468-9A29-1C694E597769}"/>
    <cellStyle name="Normal 5 2 3 3 2 3 3 4" xfId="39357" xr:uid="{3E4EDFCE-2AF1-4650-8751-C75879F54349}"/>
    <cellStyle name="Normal 5 2 3 3 2 3 3 5" xfId="14065" xr:uid="{EA14D5A1-448C-4002-B4DD-9385A5CEDFE4}"/>
    <cellStyle name="Normal 5 2 3 3 2 3 4" xfId="26711" xr:uid="{D004054D-EB37-411B-B517-8757B2611052}"/>
    <cellStyle name="Normal 5 2 3 3 2 3 5" xfId="18282" xr:uid="{97AEE317-6B2F-4ED4-9261-1B854E845CBE}"/>
    <cellStyle name="Normal 5 2 3 3 2 3 6" xfId="35140" xr:uid="{34AC160C-8D10-4DB1-9226-6FFF4C5865F7}"/>
    <cellStyle name="Normal 5 2 3 3 2 3 7" xfId="9847" xr:uid="{65F1B740-8DB1-4A4B-ABF2-29C1D9B4520A}"/>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33487" xr:uid="{79A8B11C-02FB-4C8B-9E69-FD28E8129064}"/>
    <cellStyle name="Normal 5 2 3 3 2 4 2 2 3" xfId="25058" xr:uid="{EF8C51DE-AB0C-4536-B658-2937D6F44918}"/>
    <cellStyle name="Normal 5 2 3 3 2 4 2 2 4" xfId="41915" xr:uid="{5C524D5A-D809-4B50-A181-AF7F1EDBF887}"/>
    <cellStyle name="Normal 5 2 3 3 2 4 2 2 5" xfId="16623" xr:uid="{98DA66B8-2364-422C-90C3-205C6576F6B7}"/>
    <cellStyle name="Normal 5 2 3 3 2 4 2 3" xfId="29269" xr:uid="{B63B857A-847A-41BE-9B19-ED98ECE5202F}"/>
    <cellStyle name="Normal 5 2 3 3 2 4 2 4" xfId="20840" xr:uid="{0920D1C6-E061-4D0B-88C2-9DC7EED7FFDA}"/>
    <cellStyle name="Normal 5 2 3 3 2 4 2 5" xfId="37698" xr:uid="{1713C2C5-B28F-4CC3-9F45-C95A71B21344}"/>
    <cellStyle name="Normal 5 2 3 3 2 4 2 6" xfId="12405" xr:uid="{8AA9B085-4530-48B1-84A1-3E632478826C}"/>
    <cellStyle name="Normal 5 2 3 3 2 4 3" xfId="6043" xr:uid="{00000000-0005-0000-0000-000091180000}"/>
    <cellStyle name="Normal 5 2 3 3 2 4 3 2" xfId="31342" xr:uid="{A7587ED4-EF3C-4699-927F-74C57D2C3C20}"/>
    <cellStyle name="Normal 5 2 3 3 2 4 3 3" xfId="22913" xr:uid="{80AD7797-E6F8-4A05-A78F-C936487629EC}"/>
    <cellStyle name="Normal 5 2 3 3 2 4 3 4" xfId="39770" xr:uid="{18DE2614-ED9C-44F2-BEE4-D3D4D3E54E50}"/>
    <cellStyle name="Normal 5 2 3 3 2 4 3 5" xfId="14478" xr:uid="{4FCCDD6B-0C2A-47FB-AD0A-095DFAAA9292}"/>
    <cellStyle name="Normal 5 2 3 3 2 4 4" xfId="27124" xr:uid="{F76FA34B-3067-43AD-8D42-3B1AB70C8701}"/>
    <cellStyle name="Normal 5 2 3 3 2 4 5" xfId="18695" xr:uid="{6CCBAA98-3EC6-4657-9297-C7BA8A068403}"/>
    <cellStyle name="Normal 5 2 3 3 2 4 6" xfId="35553" xr:uid="{B539A3A0-452F-4DC3-AD45-A80EFEB9687D}"/>
    <cellStyle name="Normal 5 2 3 3 2 4 7" xfId="10260" xr:uid="{CEB3D465-42A4-44B5-B3C1-4762C68E28D6}"/>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33900" xr:uid="{173D76FC-2BF1-4BC8-B911-A95311F1BCA6}"/>
    <cellStyle name="Normal 5 2 3 3 2 5 2 2 3" xfId="25471" xr:uid="{16085B67-D7EA-480E-8575-939F6780E1BA}"/>
    <cellStyle name="Normal 5 2 3 3 2 5 2 2 4" xfId="42328" xr:uid="{93F64D02-CC4D-405C-A7E7-1C472E6B3931}"/>
    <cellStyle name="Normal 5 2 3 3 2 5 2 2 5" xfId="17036" xr:uid="{A0B81DD1-4221-4F10-8502-550303890690}"/>
    <cellStyle name="Normal 5 2 3 3 2 5 2 3" xfId="29682" xr:uid="{4FB1168E-0C85-4C7F-879A-483BCE67D9E0}"/>
    <cellStyle name="Normal 5 2 3 3 2 5 2 4" xfId="21253" xr:uid="{1BB31D62-38F5-4B29-ADBF-87634AF96978}"/>
    <cellStyle name="Normal 5 2 3 3 2 5 2 5" xfId="38111" xr:uid="{3688CF7F-A9FB-407D-AB33-EE16A62DA4B9}"/>
    <cellStyle name="Normal 5 2 3 3 2 5 2 6" xfId="12818" xr:uid="{700F3FEC-73CD-4083-8BA9-CB7617C89471}"/>
    <cellStyle name="Normal 5 2 3 3 2 5 3" xfId="6456" xr:uid="{00000000-0005-0000-0000-000095180000}"/>
    <cellStyle name="Normal 5 2 3 3 2 5 3 2" xfId="31755" xr:uid="{D026AA83-64CC-40A4-AA53-A597E7C8213E}"/>
    <cellStyle name="Normal 5 2 3 3 2 5 3 3" xfId="23326" xr:uid="{64C63909-FC98-4056-8BB6-4EC572967802}"/>
    <cellStyle name="Normal 5 2 3 3 2 5 3 4" xfId="40183" xr:uid="{428F147C-66A9-4B69-B60D-47AA457BB4D7}"/>
    <cellStyle name="Normal 5 2 3 3 2 5 3 5" xfId="14891" xr:uid="{7566378A-A932-477E-932A-EA38E94CE13D}"/>
    <cellStyle name="Normal 5 2 3 3 2 5 4" xfId="27537" xr:uid="{E56AD2D7-E9BD-4601-B60E-B5FE41F6A7CB}"/>
    <cellStyle name="Normal 5 2 3 3 2 5 5" xfId="19108" xr:uid="{D3CDBEBC-247F-446D-B00D-31C00B5F96A4}"/>
    <cellStyle name="Normal 5 2 3 3 2 5 6" xfId="35966" xr:uid="{3E58CAED-7790-4F31-A758-FAB37D0F40D9}"/>
    <cellStyle name="Normal 5 2 3 3 2 5 7" xfId="10673" xr:uid="{293C76C9-D9F6-4D05-81A1-4B0A5F2EB78B}"/>
    <cellStyle name="Normal 5 2 3 3 2 6" xfId="2585" xr:uid="{00000000-0005-0000-0000-000096180000}"/>
    <cellStyle name="Normal 5 2 3 3 2 6 2" xfId="6869" xr:uid="{00000000-0005-0000-0000-000097180000}"/>
    <cellStyle name="Normal 5 2 3 3 2 6 2 2" xfId="32168" xr:uid="{3479C416-F948-479C-8492-AE77017EAC3D}"/>
    <cellStyle name="Normal 5 2 3 3 2 6 2 3" xfId="23739" xr:uid="{90E01C10-1730-4C7A-B326-F808B6AE4768}"/>
    <cellStyle name="Normal 5 2 3 3 2 6 2 4" xfId="40596" xr:uid="{3E5D5B3E-D0E0-4B06-A466-209F54E647FC}"/>
    <cellStyle name="Normal 5 2 3 3 2 6 2 5" xfId="15304" xr:uid="{061F9EDA-D58E-4D34-8FAA-44B55CE1B7AF}"/>
    <cellStyle name="Normal 5 2 3 3 2 6 3" xfId="27950" xr:uid="{718B93B7-8DB9-4D0A-91BF-343191AD4FAB}"/>
    <cellStyle name="Normal 5 2 3 3 2 6 4" xfId="19521" xr:uid="{FD8B2629-4360-4AC4-ADE4-1E7CB135F4AE}"/>
    <cellStyle name="Normal 5 2 3 3 2 6 5" xfId="36379" xr:uid="{F3D4A402-5373-45DE-A4C8-841BB5557E4C}"/>
    <cellStyle name="Normal 5 2 3 3 2 6 6" xfId="11086" xr:uid="{60796A95-3CEF-42B2-97D8-8D774FCA33B5}"/>
    <cellStyle name="Normal 5 2 3 3 2 7" xfId="4804" xr:uid="{00000000-0005-0000-0000-000098180000}"/>
    <cellStyle name="Normal 5 2 3 3 2 7 2" xfId="30103" xr:uid="{4CA7CDB2-9820-4C39-86BD-78B8DA9996A2}"/>
    <cellStyle name="Normal 5 2 3 3 2 7 3" xfId="21674" xr:uid="{3CEE7708-78F1-4058-ACB6-F4B854F9A7AE}"/>
    <cellStyle name="Normal 5 2 3 3 2 7 4" xfId="38531" xr:uid="{6FBC1132-1F17-4470-9C44-BCC71B6B38D6}"/>
    <cellStyle name="Normal 5 2 3 3 2 7 5" xfId="13239" xr:uid="{AA1AB6FB-6E37-4B9D-BCE3-D97CBAF3F4CE}"/>
    <cellStyle name="Normal 5 2 3 3 2 8" xfId="25885" xr:uid="{CCE71C86-4403-448A-8820-524DC9A1DD5A}"/>
    <cellStyle name="Normal 5 2 3 3 2 9" xfId="17456" xr:uid="{7106E42C-87CC-481A-A05C-23DC83DDAA0D}"/>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32660" xr:uid="{34DD445D-065D-4FF6-9819-3A05E095202D}"/>
    <cellStyle name="Normal 5 2 3 3 3 2 2 3" xfId="24231" xr:uid="{7B242426-E2DD-49A2-B96A-5348B91D3193}"/>
    <cellStyle name="Normal 5 2 3 3 3 2 2 4" xfId="41088" xr:uid="{8BEAC395-01CF-43DE-A025-23DD92E04ECD}"/>
    <cellStyle name="Normal 5 2 3 3 3 2 2 5" xfId="15796" xr:uid="{063A9FB6-50A1-4CDF-983B-A48F4158C4AC}"/>
    <cellStyle name="Normal 5 2 3 3 3 2 3" xfId="28442" xr:uid="{621EF6A1-FFAC-4E3A-854E-9B5C63FAF91A}"/>
    <cellStyle name="Normal 5 2 3 3 3 2 4" xfId="20013" xr:uid="{E81DBAFE-6B1B-41C2-B1A5-017BE6D754A8}"/>
    <cellStyle name="Normal 5 2 3 3 3 2 5" xfId="36871" xr:uid="{0ACE1C82-92F2-430E-BC2F-C83C81743D08}"/>
    <cellStyle name="Normal 5 2 3 3 3 2 6" xfId="11578" xr:uid="{B4341A60-77CE-4F26-9107-FD2531C35B79}"/>
    <cellStyle name="Normal 5 2 3 3 3 3" xfId="5216" xr:uid="{00000000-0005-0000-0000-00009C180000}"/>
    <cellStyle name="Normal 5 2 3 3 3 3 2" xfId="30515" xr:uid="{60A025C1-A70D-405F-916B-8AE356FB03D1}"/>
    <cellStyle name="Normal 5 2 3 3 3 3 3" xfId="22086" xr:uid="{A7A2844D-1731-4863-A09B-79F629F59F73}"/>
    <cellStyle name="Normal 5 2 3 3 3 3 4" xfId="38943" xr:uid="{39020651-FE2E-4D4C-9166-8472475FA5DF}"/>
    <cellStyle name="Normal 5 2 3 3 3 3 5" xfId="13651" xr:uid="{1D4A91B6-829D-4057-98A4-535E200F12F2}"/>
    <cellStyle name="Normal 5 2 3 3 3 4" xfId="26297" xr:uid="{82E00A99-C484-45D7-9EFB-0F9995CF03D1}"/>
    <cellStyle name="Normal 5 2 3 3 3 5" xfId="17868" xr:uid="{C9F1085B-E04C-448F-88F5-DCCF4C678CF9}"/>
    <cellStyle name="Normal 5 2 3 3 3 6" xfId="34726" xr:uid="{DC913BC7-18E9-40AB-A379-CAFB82CC532A}"/>
    <cellStyle name="Normal 5 2 3 3 3 7" xfId="9433" xr:uid="{A668EA65-7398-4311-B904-147560E24D5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33073" xr:uid="{B1EDBFE9-6D86-41AA-9160-E655B4FE3DBB}"/>
    <cellStyle name="Normal 5 2 3 3 4 2 2 3" xfId="24644" xr:uid="{A3F72D0D-D3EC-4C5C-8FC3-C420C11B0719}"/>
    <cellStyle name="Normal 5 2 3 3 4 2 2 4" xfId="41501" xr:uid="{4AB11992-12F9-43FC-BA81-132A1FAC68B1}"/>
    <cellStyle name="Normal 5 2 3 3 4 2 2 5" xfId="16209" xr:uid="{DF904A4E-1129-41CE-9FAA-140D20B1CA97}"/>
    <cellStyle name="Normal 5 2 3 3 4 2 3" xfId="28855" xr:uid="{13CFDEC7-845F-4F88-9377-FF72F6F8330A}"/>
    <cellStyle name="Normal 5 2 3 3 4 2 4" xfId="20426" xr:uid="{CEF396E2-2193-4E8F-BE05-EFB47C2AD321}"/>
    <cellStyle name="Normal 5 2 3 3 4 2 5" xfId="37284" xr:uid="{8BEB5BF3-B9DC-46E7-9B53-41FF6058FC1D}"/>
    <cellStyle name="Normal 5 2 3 3 4 2 6" xfId="11991" xr:uid="{ED5E69CD-B245-4CCA-B7F6-33A11734E214}"/>
    <cellStyle name="Normal 5 2 3 3 4 3" xfId="5629" xr:uid="{00000000-0005-0000-0000-0000A0180000}"/>
    <cellStyle name="Normal 5 2 3 3 4 3 2" xfId="30928" xr:uid="{F3CD3BA7-F4FD-43EB-B40A-49B71A720260}"/>
    <cellStyle name="Normal 5 2 3 3 4 3 3" xfId="22499" xr:uid="{02838E5E-4670-4C4B-817F-4BA935EC0FCC}"/>
    <cellStyle name="Normal 5 2 3 3 4 3 4" xfId="39356" xr:uid="{9ABA4915-279E-4D2B-8D5F-6B4B5ACFB645}"/>
    <cellStyle name="Normal 5 2 3 3 4 3 5" xfId="14064" xr:uid="{1AE24851-C68F-4575-AAA4-9592685D91AC}"/>
    <cellStyle name="Normal 5 2 3 3 4 4" xfId="26710" xr:uid="{0C864DBC-55B5-4077-933B-D1CC50590F34}"/>
    <cellStyle name="Normal 5 2 3 3 4 5" xfId="18281" xr:uid="{5D8D02F7-8D49-401D-86AA-C03B87DD6A58}"/>
    <cellStyle name="Normal 5 2 3 3 4 6" xfId="35139" xr:uid="{7771AB21-6D75-4953-AEB3-35C1A1BD627C}"/>
    <cellStyle name="Normal 5 2 3 3 4 7" xfId="9846" xr:uid="{1627F4A8-5DE2-4186-BC25-39DDFBD7655F}"/>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33486" xr:uid="{362F6BA4-B664-42DD-9DD6-473CD18FDC6A}"/>
    <cellStyle name="Normal 5 2 3 3 5 2 2 3" xfId="25057" xr:uid="{71F895AA-EF49-49BA-987F-C2F9F91F36C8}"/>
    <cellStyle name="Normal 5 2 3 3 5 2 2 4" xfId="41914" xr:uid="{52BA178E-5460-4E8E-B2F6-5358B4950958}"/>
    <cellStyle name="Normal 5 2 3 3 5 2 2 5" xfId="16622" xr:uid="{78DF99A2-80D2-4324-B0EC-FCC17844F970}"/>
    <cellStyle name="Normal 5 2 3 3 5 2 3" xfId="29268" xr:uid="{7E34F6F7-5F53-46E8-9DAB-183E5A01830A}"/>
    <cellStyle name="Normal 5 2 3 3 5 2 4" xfId="20839" xr:uid="{B29234AA-4BB8-411C-9857-775FAC53EE7C}"/>
    <cellStyle name="Normal 5 2 3 3 5 2 5" xfId="37697" xr:uid="{811828B0-7823-4698-B8A2-F16FBCCB8BE7}"/>
    <cellStyle name="Normal 5 2 3 3 5 2 6" xfId="12404" xr:uid="{4F99C858-61AD-43BC-ABA7-92EA19BE113E}"/>
    <cellStyle name="Normal 5 2 3 3 5 3" xfId="6042" xr:uid="{00000000-0005-0000-0000-0000A4180000}"/>
    <cellStyle name="Normal 5 2 3 3 5 3 2" xfId="31341" xr:uid="{694CFA0D-E7A0-4BFD-AB19-17DF48F2154C}"/>
    <cellStyle name="Normal 5 2 3 3 5 3 3" xfId="22912" xr:uid="{AC4D7E4F-A13A-4AC7-A97F-587FDAB100AF}"/>
    <cellStyle name="Normal 5 2 3 3 5 3 4" xfId="39769" xr:uid="{68361F17-06A0-421B-9CA6-7C06A5FF226E}"/>
    <cellStyle name="Normal 5 2 3 3 5 3 5" xfId="14477" xr:uid="{2441E1D5-6D76-4E47-9C37-A758A44B4E74}"/>
    <cellStyle name="Normal 5 2 3 3 5 4" xfId="27123" xr:uid="{EE182848-670D-43DD-9DD9-724B33CC5B06}"/>
    <cellStyle name="Normal 5 2 3 3 5 5" xfId="18694" xr:uid="{CEF9642E-90DF-43FB-9223-44A64A2D2A7B}"/>
    <cellStyle name="Normal 5 2 3 3 5 6" xfId="35552" xr:uid="{ABEA4EA5-CDB8-4363-AEEB-BD02FFE65C19}"/>
    <cellStyle name="Normal 5 2 3 3 5 7" xfId="10259" xr:uid="{EB2F4376-E2E8-4C38-B9D6-981F102E4F2C}"/>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33899" xr:uid="{C430DE15-0A11-4A65-840D-E078B64479A6}"/>
    <cellStyle name="Normal 5 2 3 3 6 2 2 3" xfId="25470" xr:uid="{694D826D-8785-413F-871E-3F8A51B8D6D3}"/>
    <cellStyle name="Normal 5 2 3 3 6 2 2 4" xfId="42327" xr:uid="{206C8F9A-4C35-4B70-947A-9EAC2A7AD091}"/>
    <cellStyle name="Normal 5 2 3 3 6 2 2 5" xfId="17035" xr:uid="{D64DFD9F-9DC1-45A1-9CFC-5E204B5F1C6C}"/>
    <cellStyle name="Normal 5 2 3 3 6 2 3" xfId="29681" xr:uid="{C37DE338-9C86-4781-99F6-545BC34D0DD0}"/>
    <cellStyle name="Normal 5 2 3 3 6 2 4" xfId="21252" xr:uid="{F7CEB554-4F8B-48C5-B5A4-63FBFC150897}"/>
    <cellStyle name="Normal 5 2 3 3 6 2 5" xfId="38110" xr:uid="{6D1B84EB-DA44-43BF-B0EA-4553E3BA85D1}"/>
    <cellStyle name="Normal 5 2 3 3 6 2 6" xfId="12817" xr:uid="{FB4246AA-E397-4951-B37F-31185F1216ED}"/>
    <cellStyle name="Normal 5 2 3 3 6 3" xfId="6455" xr:uid="{00000000-0005-0000-0000-0000A8180000}"/>
    <cellStyle name="Normal 5 2 3 3 6 3 2" xfId="31754" xr:uid="{D0A3B5C0-9463-44BC-9406-AE03031825B2}"/>
    <cellStyle name="Normal 5 2 3 3 6 3 3" xfId="23325" xr:uid="{63F96E17-8742-4103-8F8B-9DDEC3487464}"/>
    <cellStyle name="Normal 5 2 3 3 6 3 4" xfId="40182" xr:uid="{B42A4397-CB27-4C41-95EE-3B775394EA89}"/>
    <cellStyle name="Normal 5 2 3 3 6 3 5" xfId="14890" xr:uid="{186CC801-CD21-4FC8-812E-28702B6F4D78}"/>
    <cellStyle name="Normal 5 2 3 3 6 4" xfId="27536" xr:uid="{30CBA563-9FD9-4387-B347-7A60DB33634B}"/>
    <cellStyle name="Normal 5 2 3 3 6 5" xfId="19107" xr:uid="{316E055C-F92F-4ED3-BA46-7F571C5C5768}"/>
    <cellStyle name="Normal 5 2 3 3 6 6" xfId="35965" xr:uid="{14A05522-DFC2-40D9-977E-2C72227D91EB}"/>
    <cellStyle name="Normal 5 2 3 3 6 7" xfId="10672" xr:uid="{DBC83B0E-108E-4375-8F5E-D6A827E4CF88}"/>
    <cellStyle name="Normal 5 2 3 3 7" xfId="2584" xr:uid="{00000000-0005-0000-0000-0000A9180000}"/>
    <cellStyle name="Normal 5 2 3 3 7 2" xfId="6868" xr:uid="{00000000-0005-0000-0000-0000AA180000}"/>
    <cellStyle name="Normal 5 2 3 3 7 2 2" xfId="32167" xr:uid="{9B6F05EC-ED68-4B82-BABE-D94214597749}"/>
    <cellStyle name="Normal 5 2 3 3 7 2 3" xfId="23738" xr:uid="{CE48F0D5-CA2B-48D1-9767-2FEA08CE2FB7}"/>
    <cellStyle name="Normal 5 2 3 3 7 2 4" xfId="40595" xr:uid="{F74C0518-AD90-4A3C-9D58-1824E544A72A}"/>
    <cellStyle name="Normal 5 2 3 3 7 2 5" xfId="15303" xr:uid="{6D4FF670-9D82-4DEF-924C-8C6DCAFDF753}"/>
    <cellStyle name="Normal 5 2 3 3 7 3" xfId="27949" xr:uid="{C047F2EB-8B6A-472D-B58B-3D125CD49457}"/>
    <cellStyle name="Normal 5 2 3 3 7 4" xfId="19520" xr:uid="{7E6A0759-CC3D-41FD-AB2A-8C0238360974}"/>
    <cellStyle name="Normal 5 2 3 3 7 5" xfId="36378" xr:uid="{9BC6104E-E160-4ACA-8D29-A02D3BC56AD0}"/>
    <cellStyle name="Normal 5 2 3 3 7 6" xfId="11085" xr:uid="{B4CBEB30-ECF2-49ED-8097-AC981B59F57C}"/>
    <cellStyle name="Normal 5 2 3 3 8" xfId="4803" xr:uid="{00000000-0005-0000-0000-0000AB180000}"/>
    <cellStyle name="Normal 5 2 3 3 8 2" xfId="30102" xr:uid="{5798C08B-FAAF-4CFB-93B6-73FC5A5C0E1F}"/>
    <cellStyle name="Normal 5 2 3 3 8 3" xfId="21673" xr:uid="{B5BAD3D0-7EDF-437A-A8D9-D54E63F90F0B}"/>
    <cellStyle name="Normal 5 2 3 3 8 4" xfId="38530" xr:uid="{F5055C59-B770-4E12-8589-F9B86B155879}"/>
    <cellStyle name="Normal 5 2 3 3 8 5" xfId="13238" xr:uid="{129C0C59-559B-4659-9D9F-B0A6868C7454}"/>
    <cellStyle name="Normal 5 2 3 3 9" xfId="25884" xr:uid="{C0D085FA-13A3-49D3-93B4-350B4AC7BE93}"/>
    <cellStyle name="Normal 5 2 3 4" xfId="431" xr:uid="{00000000-0005-0000-0000-0000AC180000}"/>
    <cellStyle name="Normal 5 2 3 4 10" xfId="34315" xr:uid="{604EC451-EB5C-469E-A8A1-F163B9E0D89E}"/>
    <cellStyle name="Normal 5 2 3 4 11" xfId="9022" xr:uid="{DBE9D279-F2DE-4FE3-801D-1AFC1219BA8B}"/>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32662" xr:uid="{0191B76F-C636-40D5-B77A-5909773DC77A}"/>
    <cellStyle name="Normal 5 2 3 4 2 2 2 3" xfId="24233" xr:uid="{E8E58E6C-1A35-4DD0-AC17-9B2F2385D46F}"/>
    <cellStyle name="Normal 5 2 3 4 2 2 2 4" xfId="41090" xr:uid="{CB9088DF-4B2E-419C-BD8B-3CEB58BBF7AB}"/>
    <cellStyle name="Normal 5 2 3 4 2 2 2 5" xfId="15798" xr:uid="{EFA3836E-08C0-4347-BA59-A2C45CE9616A}"/>
    <cellStyle name="Normal 5 2 3 4 2 2 3" xfId="28444" xr:uid="{ED67211C-763F-4F64-8343-1552C34393E7}"/>
    <cellStyle name="Normal 5 2 3 4 2 2 4" xfId="20015" xr:uid="{BB5B955F-FF18-4476-9CFC-9C5980EE52B4}"/>
    <cellStyle name="Normal 5 2 3 4 2 2 5" xfId="36873" xr:uid="{7329C39A-C8A4-40E8-897D-8CAC9A8DAC5A}"/>
    <cellStyle name="Normal 5 2 3 4 2 2 6" xfId="11580" xr:uid="{0DEE4771-C9BD-4061-A161-7CF7F00571CE}"/>
    <cellStyle name="Normal 5 2 3 4 2 3" xfId="5218" xr:uid="{00000000-0005-0000-0000-0000B0180000}"/>
    <cellStyle name="Normal 5 2 3 4 2 3 2" xfId="30517" xr:uid="{1218E003-45F5-434B-BC05-6E7B2EEDEE53}"/>
    <cellStyle name="Normal 5 2 3 4 2 3 3" xfId="22088" xr:uid="{ADCC28EF-F13D-4500-AADB-D5D3FA83C85B}"/>
    <cellStyle name="Normal 5 2 3 4 2 3 4" xfId="38945" xr:uid="{97561EE1-D045-48AC-AE3D-E84CEADC1E93}"/>
    <cellStyle name="Normal 5 2 3 4 2 3 5" xfId="13653" xr:uid="{D1363271-B4E2-4A88-AA6C-1637205C1E5D}"/>
    <cellStyle name="Normal 5 2 3 4 2 4" xfId="26299" xr:uid="{889F6F87-6003-46F5-B2C0-09C1DAB3BF63}"/>
    <cellStyle name="Normal 5 2 3 4 2 5" xfId="17870" xr:uid="{563B0F6E-28F8-44C2-A8E8-7D1BD6D33232}"/>
    <cellStyle name="Normal 5 2 3 4 2 6" xfId="34728" xr:uid="{DF43EBA6-BBC9-43C2-85EA-D5BFA0DC25F6}"/>
    <cellStyle name="Normal 5 2 3 4 2 7" xfId="9435" xr:uid="{3C0F55F0-E186-412C-A1A4-A15B67F6D127}"/>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33075" xr:uid="{22FC462E-028D-4688-97B9-4FB71084E2F7}"/>
    <cellStyle name="Normal 5 2 3 4 3 2 2 3" xfId="24646" xr:uid="{7E40306B-A92F-4F7D-BD06-815AF5EBE75C}"/>
    <cellStyle name="Normal 5 2 3 4 3 2 2 4" xfId="41503" xr:uid="{2F9647B9-FE9D-4BA3-A889-83C057EEC619}"/>
    <cellStyle name="Normal 5 2 3 4 3 2 2 5" xfId="16211" xr:uid="{75C9CD14-96C8-403E-A25F-A4B4E87D0301}"/>
    <cellStyle name="Normal 5 2 3 4 3 2 3" xfId="28857" xr:uid="{9B4BF6C1-5263-415A-82C4-4361FDCDC43A}"/>
    <cellStyle name="Normal 5 2 3 4 3 2 4" xfId="20428" xr:uid="{E14F606A-4598-4175-9FA7-02AAC51A61E0}"/>
    <cellStyle name="Normal 5 2 3 4 3 2 5" xfId="37286" xr:uid="{7A96DD94-FDE7-4D66-8845-E51753A94E13}"/>
    <cellStyle name="Normal 5 2 3 4 3 2 6" xfId="11993" xr:uid="{D0F2CFB2-6FC4-468E-B1E0-5445ED26F48F}"/>
    <cellStyle name="Normal 5 2 3 4 3 3" xfId="5631" xr:uid="{00000000-0005-0000-0000-0000B4180000}"/>
    <cellStyle name="Normal 5 2 3 4 3 3 2" xfId="30930" xr:uid="{3B751B79-E01B-4DAE-8253-06FF726AA0D6}"/>
    <cellStyle name="Normal 5 2 3 4 3 3 3" xfId="22501" xr:uid="{85ED852D-B34D-4869-814F-780E6E932CA6}"/>
    <cellStyle name="Normal 5 2 3 4 3 3 4" xfId="39358" xr:uid="{CFE09096-53B9-438B-8F34-7D2C5D388FF3}"/>
    <cellStyle name="Normal 5 2 3 4 3 3 5" xfId="14066" xr:uid="{32C5BA1B-2069-4CC6-873A-F5BF2272C474}"/>
    <cellStyle name="Normal 5 2 3 4 3 4" xfId="26712" xr:uid="{42957424-04D7-4D8E-AB89-F6188752733B}"/>
    <cellStyle name="Normal 5 2 3 4 3 5" xfId="18283" xr:uid="{C90FAC06-5039-4AE3-87A7-43D2BA42D9D0}"/>
    <cellStyle name="Normal 5 2 3 4 3 6" xfId="35141" xr:uid="{92243CBF-B3A4-46FE-96BE-B9D07F08795A}"/>
    <cellStyle name="Normal 5 2 3 4 3 7" xfId="9848" xr:uid="{72992E75-3D24-40EF-9EB7-E25AB506443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33488" xr:uid="{9942C1C5-C4BE-4222-B126-553B2430F431}"/>
    <cellStyle name="Normal 5 2 3 4 4 2 2 3" xfId="25059" xr:uid="{9DA6D8FE-583A-46E2-8E3E-91DB79A31FBA}"/>
    <cellStyle name="Normal 5 2 3 4 4 2 2 4" xfId="41916" xr:uid="{C0A44F2C-7D24-40A2-AA1E-9A2855E90AA7}"/>
    <cellStyle name="Normal 5 2 3 4 4 2 2 5" xfId="16624" xr:uid="{4ED549EA-6DBC-4B05-9B38-45F3883640FD}"/>
    <cellStyle name="Normal 5 2 3 4 4 2 3" xfId="29270" xr:uid="{A846DB33-D971-474D-8E6C-65AD8D38266D}"/>
    <cellStyle name="Normal 5 2 3 4 4 2 4" xfId="20841" xr:uid="{9475FA09-6B2F-4397-84C7-EFA1E5AC6643}"/>
    <cellStyle name="Normal 5 2 3 4 4 2 5" xfId="37699" xr:uid="{9975EA9C-8999-4284-91B9-39D48096CF1E}"/>
    <cellStyle name="Normal 5 2 3 4 4 2 6" xfId="12406" xr:uid="{3CEDB6B3-40DA-44ED-ABB0-4E9C5B951A38}"/>
    <cellStyle name="Normal 5 2 3 4 4 3" xfId="6044" xr:uid="{00000000-0005-0000-0000-0000B8180000}"/>
    <cellStyle name="Normal 5 2 3 4 4 3 2" xfId="31343" xr:uid="{9758DC81-EE1E-4842-A64A-F8AFC6908934}"/>
    <cellStyle name="Normal 5 2 3 4 4 3 3" xfId="22914" xr:uid="{4AC733FE-D37E-4593-BF41-9637BD218757}"/>
    <cellStyle name="Normal 5 2 3 4 4 3 4" xfId="39771" xr:uid="{35CC632E-BF17-40B8-ADB3-3D1EC829BCCD}"/>
    <cellStyle name="Normal 5 2 3 4 4 3 5" xfId="14479" xr:uid="{4054768F-5786-469D-885E-8D543C1E14C7}"/>
    <cellStyle name="Normal 5 2 3 4 4 4" xfId="27125" xr:uid="{2F06B565-448A-40AF-8F93-B0CCC1C8A654}"/>
    <cellStyle name="Normal 5 2 3 4 4 5" xfId="18696" xr:uid="{7D670A2F-54A7-4540-81A7-390F72B66782}"/>
    <cellStyle name="Normal 5 2 3 4 4 6" xfId="35554" xr:uid="{BDF4F44A-77C2-49A7-9AF5-3EBF4A61D902}"/>
    <cellStyle name="Normal 5 2 3 4 4 7" xfId="10261" xr:uid="{6207460E-37EC-47C9-8062-985921D2C931}"/>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33901" xr:uid="{CE355D5B-A988-4BC3-AA50-0BAB6807A35E}"/>
    <cellStyle name="Normal 5 2 3 4 5 2 2 3" xfId="25472" xr:uid="{DF8F6A82-A51F-4570-A440-4A329D5B6D9E}"/>
    <cellStyle name="Normal 5 2 3 4 5 2 2 4" xfId="42329" xr:uid="{358DE2A0-1E82-444C-BDB2-815885BFB7AE}"/>
    <cellStyle name="Normal 5 2 3 4 5 2 2 5" xfId="17037" xr:uid="{98AA076F-0DD6-4E6A-BEE6-C7685350078D}"/>
    <cellStyle name="Normal 5 2 3 4 5 2 3" xfId="29683" xr:uid="{D269CBBE-BC4D-4587-AA3F-85E7DB981AA8}"/>
    <cellStyle name="Normal 5 2 3 4 5 2 4" xfId="21254" xr:uid="{7E70B170-A604-420F-91FB-55036EB7B114}"/>
    <cellStyle name="Normal 5 2 3 4 5 2 5" xfId="38112" xr:uid="{42C65B0B-DA24-4E02-9A5A-E608B5AE61A9}"/>
    <cellStyle name="Normal 5 2 3 4 5 2 6" xfId="12819" xr:uid="{17C2E4A7-873F-4D7B-B345-6F4416D02AB0}"/>
    <cellStyle name="Normal 5 2 3 4 5 3" xfId="6457" xr:uid="{00000000-0005-0000-0000-0000BC180000}"/>
    <cellStyle name="Normal 5 2 3 4 5 3 2" xfId="31756" xr:uid="{7EBBC4A1-C0AE-49F4-99D4-77DDEDCB308D}"/>
    <cellStyle name="Normal 5 2 3 4 5 3 3" xfId="23327" xr:uid="{E21E55D2-E9A3-41E6-A032-9599BBF1538B}"/>
    <cellStyle name="Normal 5 2 3 4 5 3 4" xfId="40184" xr:uid="{9CF8703E-D865-4187-BEC7-BF88D8953EC9}"/>
    <cellStyle name="Normal 5 2 3 4 5 3 5" xfId="14892" xr:uid="{C2160949-1598-444D-B387-1266E939DCB6}"/>
    <cellStyle name="Normal 5 2 3 4 5 4" xfId="27538" xr:uid="{74F23DC6-9C37-431B-9979-24A79250DF8F}"/>
    <cellStyle name="Normal 5 2 3 4 5 5" xfId="19109" xr:uid="{C6CA4888-6192-4241-88CC-18DA75202EDE}"/>
    <cellStyle name="Normal 5 2 3 4 5 6" xfId="35967" xr:uid="{146ED875-C331-42F7-875B-7F542E3E0C6C}"/>
    <cellStyle name="Normal 5 2 3 4 5 7" xfId="10674" xr:uid="{262BACCA-5427-4691-994F-DCBF2A6CD941}"/>
    <cellStyle name="Normal 5 2 3 4 6" xfId="2586" xr:uid="{00000000-0005-0000-0000-0000BD180000}"/>
    <cellStyle name="Normal 5 2 3 4 6 2" xfId="6870" xr:uid="{00000000-0005-0000-0000-0000BE180000}"/>
    <cellStyle name="Normal 5 2 3 4 6 2 2" xfId="32169" xr:uid="{13887DA4-0CF9-4B03-8726-D11AD0E6F14D}"/>
    <cellStyle name="Normal 5 2 3 4 6 2 3" xfId="23740" xr:uid="{0ED409EA-881D-44F2-9B53-49B6577A3DA8}"/>
    <cellStyle name="Normal 5 2 3 4 6 2 4" xfId="40597" xr:uid="{B81D8FDB-7801-401E-A945-7A2EE522737A}"/>
    <cellStyle name="Normal 5 2 3 4 6 2 5" xfId="15305" xr:uid="{A930ADB8-23D0-46FB-897D-86EEF1998EBF}"/>
    <cellStyle name="Normal 5 2 3 4 6 3" xfId="27951" xr:uid="{B81D7DAF-E91F-4C9B-8046-4A8E9666543A}"/>
    <cellStyle name="Normal 5 2 3 4 6 4" xfId="19522" xr:uid="{24D21574-47C8-4486-9171-0FF2766F2146}"/>
    <cellStyle name="Normal 5 2 3 4 6 5" xfId="36380" xr:uid="{981CFD5A-007E-4FCC-9FC3-50FBACF617EA}"/>
    <cellStyle name="Normal 5 2 3 4 6 6" xfId="11087" xr:uid="{650B1395-D49F-439A-B9EE-F5A682E17A4E}"/>
    <cellStyle name="Normal 5 2 3 4 7" xfId="4805" xr:uid="{00000000-0005-0000-0000-0000BF180000}"/>
    <cellStyle name="Normal 5 2 3 4 7 2" xfId="30104" xr:uid="{9E13C5CD-3020-4059-8812-01F46771D978}"/>
    <cellStyle name="Normal 5 2 3 4 7 3" xfId="21675" xr:uid="{83F3458B-E400-4E2E-B3B7-47EAC72EEAA0}"/>
    <cellStyle name="Normal 5 2 3 4 7 4" xfId="38532" xr:uid="{4BB63917-641C-4E38-AB97-D8975B69F8BD}"/>
    <cellStyle name="Normal 5 2 3 4 7 5" xfId="13240" xr:uid="{0E170471-3D9F-4982-856B-17C489D004B8}"/>
    <cellStyle name="Normal 5 2 3 4 8" xfId="25886" xr:uid="{6F7F0627-D65F-4CD6-9419-DC0EF0C1C7F5}"/>
    <cellStyle name="Normal 5 2 3 4 9" xfId="17457" xr:uid="{8055E509-7BD2-4800-9B5C-8DA82BB0E612}"/>
    <cellStyle name="Normal 5 2 3 5" xfId="898" xr:uid="{00000000-0005-0000-0000-0000C0180000}"/>
    <cellStyle name="Normal 5 2 3 5 2" xfId="3133" xr:uid="{00000000-0005-0000-0000-0000C1180000}"/>
    <cellStyle name="Normal 5 2 3 5 2 2" xfId="7356" xr:uid="{00000000-0005-0000-0000-0000C2180000}"/>
    <cellStyle name="Normal 5 2 3 5 2 2 2" xfId="32655" xr:uid="{F3545A99-588A-44A1-90D4-3EE219EE1034}"/>
    <cellStyle name="Normal 5 2 3 5 2 2 3" xfId="24226" xr:uid="{95AAAC10-4D00-428C-93C4-582B4CDDD63E}"/>
    <cellStyle name="Normal 5 2 3 5 2 2 4" xfId="41083" xr:uid="{06800020-8615-4C24-A389-3A352BAE5DB2}"/>
    <cellStyle name="Normal 5 2 3 5 2 2 5" xfId="15791" xr:uid="{4635DA8F-5AA3-4508-B3E4-A7EE8482B02B}"/>
    <cellStyle name="Normal 5 2 3 5 2 3" xfId="28437" xr:uid="{7A51F533-CAC2-4AF0-87A8-436E804FB69C}"/>
    <cellStyle name="Normal 5 2 3 5 2 4" xfId="20008" xr:uid="{42BE18E2-5AC3-45EF-A6C2-6F78AACA04D9}"/>
    <cellStyle name="Normal 5 2 3 5 2 5" xfId="36866" xr:uid="{DCFD09BB-0EEB-411D-8CD3-B6B634F78A1C}"/>
    <cellStyle name="Normal 5 2 3 5 2 6" xfId="11573" xr:uid="{61EFB43D-BFF6-43FC-B32F-B28384187CC6}"/>
    <cellStyle name="Normal 5 2 3 5 3" xfId="5211" xr:uid="{00000000-0005-0000-0000-0000C3180000}"/>
    <cellStyle name="Normal 5 2 3 5 3 2" xfId="30510" xr:uid="{74162864-C580-4A77-9DB6-6F5C657AA67F}"/>
    <cellStyle name="Normal 5 2 3 5 3 3" xfId="22081" xr:uid="{5FB1A0A1-69F6-47BF-9E72-39197BC2D478}"/>
    <cellStyle name="Normal 5 2 3 5 3 4" xfId="38938" xr:uid="{D21EFD48-8E04-4ACE-A946-30670FB4A5DC}"/>
    <cellStyle name="Normal 5 2 3 5 3 5" xfId="13646" xr:uid="{F10987F6-677A-432A-8616-901F6CAEBF74}"/>
    <cellStyle name="Normal 5 2 3 5 4" xfId="26292" xr:uid="{7169073C-7B21-4CF8-91F4-5A674540F8F4}"/>
    <cellStyle name="Normal 5 2 3 5 5" xfId="17863" xr:uid="{E010D440-F419-4B77-B712-DAA67350FDFB}"/>
    <cellStyle name="Normal 5 2 3 5 6" xfId="34721" xr:uid="{FC82EF06-7D49-4A52-928F-78486B591D92}"/>
    <cellStyle name="Normal 5 2 3 5 7" xfId="9428" xr:uid="{B7A836FA-F7B8-482A-A8F1-4D9675EABC88}"/>
    <cellStyle name="Normal 5 2 3 6" xfId="1316" xr:uid="{00000000-0005-0000-0000-0000C4180000}"/>
    <cellStyle name="Normal 5 2 3 6 2" xfId="3546" xr:uid="{00000000-0005-0000-0000-0000C5180000}"/>
    <cellStyle name="Normal 5 2 3 6 2 2" xfId="7769" xr:uid="{00000000-0005-0000-0000-0000C6180000}"/>
    <cellStyle name="Normal 5 2 3 6 2 2 2" xfId="33068" xr:uid="{7FCC54E4-8A2F-4F76-8E1D-D07BCAA33C36}"/>
    <cellStyle name="Normal 5 2 3 6 2 2 3" xfId="24639" xr:uid="{18AE1A0F-47BB-4D40-919C-8B7630049B7C}"/>
    <cellStyle name="Normal 5 2 3 6 2 2 4" xfId="41496" xr:uid="{1EE821A1-6E6B-4044-B49C-9BCAF115A0B4}"/>
    <cellStyle name="Normal 5 2 3 6 2 2 5" xfId="16204" xr:uid="{368D6AD2-49E2-4F11-B81F-87DEB8FDF9F8}"/>
    <cellStyle name="Normal 5 2 3 6 2 3" xfId="28850" xr:uid="{600C1F05-3255-4A80-A69E-BD50FFF8622C}"/>
    <cellStyle name="Normal 5 2 3 6 2 4" xfId="20421" xr:uid="{6E8B3EE3-170A-4682-92F6-05C4CFA1004C}"/>
    <cellStyle name="Normal 5 2 3 6 2 5" xfId="37279" xr:uid="{FC068120-33FF-452D-9D65-6206386C46EE}"/>
    <cellStyle name="Normal 5 2 3 6 2 6" xfId="11986" xr:uid="{AD5B3DC5-5D8A-49CF-95E9-ABD808026BC2}"/>
    <cellStyle name="Normal 5 2 3 6 3" xfId="5624" xr:uid="{00000000-0005-0000-0000-0000C7180000}"/>
    <cellStyle name="Normal 5 2 3 6 3 2" xfId="30923" xr:uid="{86181FA2-1364-4FFA-A1F7-F0A556A7DBC1}"/>
    <cellStyle name="Normal 5 2 3 6 3 3" xfId="22494" xr:uid="{C7DACE52-03C4-47C2-82B6-641EA6BA9A56}"/>
    <cellStyle name="Normal 5 2 3 6 3 4" xfId="39351" xr:uid="{0542A28A-9105-4539-8F42-21D94D4E7768}"/>
    <cellStyle name="Normal 5 2 3 6 3 5" xfId="14059" xr:uid="{1E29A43B-6A78-4E73-A2C7-419989DCF4CA}"/>
    <cellStyle name="Normal 5 2 3 6 4" xfId="26705" xr:uid="{CCDBD634-7C70-464F-A8E5-58E29FA6D489}"/>
    <cellStyle name="Normal 5 2 3 6 5" xfId="18276" xr:uid="{2F9C2B2F-7C7B-41E2-99C7-F697AC214C88}"/>
    <cellStyle name="Normal 5 2 3 6 6" xfId="35134" xr:uid="{30D795DC-B753-4545-BE84-DD78A54A01D3}"/>
    <cellStyle name="Normal 5 2 3 6 7" xfId="9841" xr:uid="{07279A01-78BE-46F6-9FE7-1E56F63460D9}"/>
    <cellStyle name="Normal 5 2 3 7" xfId="1729" xr:uid="{00000000-0005-0000-0000-0000C8180000}"/>
    <cellStyle name="Normal 5 2 3 7 2" xfId="3959" xr:uid="{00000000-0005-0000-0000-0000C9180000}"/>
    <cellStyle name="Normal 5 2 3 7 2 2" xfId="8182" xr:uid="{00000000-0005-0000-0000-0000CA180000}"/>
    <cellStyle name="Normal 5 2 3 7 2 2 2" xfId="33481" xr:uid="{13039633-C10D-4A52-AA61-F5F3740E8908}"/>
    <cellStyle name="Normal 5 2 3 7 2 2 3" xfId="25052" xr:uid="{863C61F2-7D65-46D8-9A01-A27F1CFEE4D7}"/>
    <cellStyle name="Normal 5 2 3 7 2 2 4" xfId="41909" xr:uid="{6D5E381D-0E02-42F9-894E-157AEFC12477}"/>
    <cellStyle name="Normal 5 2 3 7 2 2 5" xfId="16617" xr:uid="{9645FBD6-7B7C-4AE9-AB15-99CDB1940534}"/>
    <cellStyle name="Normal 5 2 3 7 2 3" xfId="29263" xr:uid="{920679BD-5558-4762-A5F3-8227A67DEBAB}"/>
    <cellStyle name="Normal 5 2 3 7 2 4" xfId="20834" xr:uid="{83802896-60FE-4269-9DD7-20C5C473FB87}"/>
    <cellStyle name="Normal 5 2 3 7 2 5" xfId="37692" xr:uid="{CA889FB9-16FC-40A2-9DB7-F0909716B427}"/>
    <cellStyle name="Normal 5 2 3 7 2 6" xfId="12399" xr:uid="{AF50A281-9DFF-4056-8C10-9D097CA01368}"/>
    <cellStyle name="Normal 5 2 3 7 3" xfId="6037" xr:uid="{00000000-0005-0000-0000-0000CB180000}"/>
    <cellStyle name="Normal 5 2 3 7 3 2" xfId="31336" xr:uid="{CFE1AF39-9D73-4890-BF3E-64629EDFD8B2}"/>
    <cellStyle name="Normal 5 2 3 7 3 3" xfId="22907" xr:uid="{756236D3-0C70-40C3-8E1A-0F480D60D575}"/>
    <cellStyle name="Normal 5 2 3 7 3 4" xfId="39764" xr:uid="{83A5EABD-D470-4458-8DC7-63C1895E8B71}"/>
    <cellStyle name="Normal 5 2 3 7 3 5" xfId="14472" xr:uid="{3A780811-F035-4A1A-A0A7-A80CE90A5677}"/>
    <cellStyle name="Normal 5 2 3 7 4" xfId="27118" xr:uid="{4D4A9152-0F83-4B5B-9E77-1F73F433D412}"/>
    <cellStyle name="Normal 5 2 3 7 5" xfId="18689" xr:uid="{B47CE816-8ABA-4103-962D-39E2DBB0D902}"/>
    <cellStyle name="Normal 5 2 3 7 6" xfId="35547" xr:uid="{53E007F2-925E-4160-947F-61D0C2E18123}"/>
    <cellStyle name="Normal 5 2 3 7 7" xfId="10254" xr:uid="{AE6597A8-537E-4247-B372-4EF2E6107BF7}"/>
    <cellStyle name="Normal 5 2 3 8" xfId="2143" xr:uid="{00000000-0005-0000-0000-0000CC180000}"/>
    <cellStyle name="Normal 5 2 3 8 2" xfId="4372" xr:uid="{00000000-0005-0000-0000-0000CD180000}"/>
    <cellStyle name="Normal 5 2 3 8 2 2" xfId="8595" xr:uid="{00000000-0005-0000-0000-0000CE180000}"/>
    <cellStyle name="Normal 5 2 3 8 2 2 2" xfId="33894" xr:uid="{C51B6F58-D382-41C2-B488-C10C31DD4279}"/>
    <cellStyle name="Normal 5 2 3 8 2 2 3" xfId="25465" xr:uid="{FCF8D333-CAD2-4C92-84C7-9F0CA91D5E85}"/>
    <cellStyle name="Normal 5 2 3 8 2 2 4" xfId="42322" xr:uid="{5816EAC7-CC2D-4640-B928-FEEB72078ED7}"/>
    <cellStyle name="Normal 5 2 3 8 2 2 5" xfId="17030" xr:uid="{10A5B856-CDB4-449A-A238-8B75D4032C94}"/>
    <cellStyle name="Normal 5 2 3 8 2 3" xfId="29676" xr:uid="{D6AC10B1-0B7E-407B-B367-7D9586A5B85C}"/>
    <cellStyle name="Normal 5 2 3 8 2 4" xfId="21247" xr:uid="{AEDD9611-F33E-4933-A8FE-D49D0826346D}"/>
    <cellStyle name="Normal 5 2 3 8 2 5" xfId="38105" xr:uid="{E2F5DC6E-B997-432E-B891-22AEA0802EAB}"/>
    <cellStyle name="Normal 5 2 3 8 2 6" xfId="12812" xr:uid="{C01776A7-0B0A-4B84-903B-277715BB66FF}"/>
    <cellStyle name="Normal 5 2 3 8 3" xfId="6450" xr:uid="{00000000-0005-0000-0000-0000CF180000}"/>
    <cellStyle name="Normal 5 2 3 8 3 2" xfId="31749" xr:uid="{C78AFF72-7EB7-419B-9CDA-1B3CDBD38E72}"/>
    <cellStyle name="Normal 5 2 3 8 3 3" xfId="23320" xr:uid="{0C46BFE1-592C-4725-B5D3-25C677647D30}"/>
    <cellStyle name="Normal 5 2 3 8 3 4" xfId="40177" xr:uid="{5AAD9E1D-0C10-40AA-852E-244DF96B2B54}"/>
    <cellStyle name="Normal 5 2 3 8 3 5" xfId="14885" xr:uid="{C647548D-8F9B-41CB-AB5F-C772DEDB3EE1}"/>
    <cellStyle name="Normal 5 2 3 8 4" xfId="27531" xr:uid="{62C8BB23-CBFF-4A1A-A5C2-7ACA1EE1400B}"/>
    <cellStyle name="Normal 5 2 3 8 5" xfId="19102" xr:uid="{9B26F1EB-9C26-496A-BFF4-5F5EC0C767CF}"/>
    <cellStyle name="Normal 5 2 3 8 6" xfId="35960" xr:uid="{70819F24-6BBC-4573-899C-6C9E216AEFC7}"/>
    <cellStyle name="Normal 5 2 3 8 7" xfId="10667" xr:uid="{C0BED48E-7538-4E5C-91B4-0576A72C7C9E}"/>
    <cellStyle name="Normal 5 2 3 9" xfId="2579" xr:uid="{00000000-0005-0000-0000-0000D0180000}"/>
    <cellStyle name="Normal 5 2 3 9 2" xfId="6863" xr:uid="{00000000-0005-0000-0000-0000D1180000}"/>
    <cellStyle name="Normal 5 2 3 9 2 2" xfId="32162" xr:uid="{C411285A-5F1C-48B9-990E-376DBCA0B50D}"/>
    <cellStyle name="Normal 5 2 3 9 2 3" xfId="23733" xr:uid="{0409AB1E-0536-494C-8164-213041CEF5CE}"/>
    <cellStyle name="Normal 5 2 3 9 2 4" xfId="40590" xr:uid="{ED56CDC2-C258-4336-B62E-14EFF6CAE2F2}"/>
    <cellStyle name="Normal 5 2 3 9 2 5" xfId="15298" xr:uid="{BBEAE7F3-C032-4CC0-BCB6-EC8C248CAEAD}"/>
    <cellStyle name="Normal 5 2 3 9 3" xfId="27944" xr:uid="{3086FB3C-BA51-4576-B721-51233985F981}"/>
    <cellStyle name="Normal 5 2 3 9 4" xfId="19515" xr:uid="{F20D2ACD-F3EE-40FE-BA21-A5F96628B232}"/>
    <cellStyle name="Normal 5 2 3 9 5" xfId="36373" xr:uid="{35CF83BC-0A96-44F8-9319-B19E40C44F9D}"/>
    <cellStyle name="Normal 5 2 3 9 6" xfId="11080" xr:uid="{A4C2E6AC-EB67-447E-8B0F-41C8F5060A04}"/>
    <cellStyle name="Normal 5 2 4" xfId="432" xr:uid="{00000000-0005-0000-0000-0000D2180000}"/>
    <cellStyle name="Normal 5 2 4 10" xfId="25887" xr:uid="{FBC4A29D-F455-4944-B22C-14E73AEA49E7}"/>
    <cellStyle name="Normal 5 2 4 11" xfId="17458" xr:uid="{31C25756-9557-4FA3-A15B-5A0F3552BEF3}"/>
    <cellStyle name="Normal 5 2 4 12" xfId="34316" xr:uid="{323DF15E-9666-4AD6-A0E6-20AB99786E34}"/>
    <cellStyle name="Normal 5 2 4 13" xfId="9023" xr:uid="{E9D4288B-AF0F-41F0-B8DB-E63EC8029803}"/>
    <cellStyle name="Normal 5 2 4 2" xfId="433" xr:uid="{00000000-0005-0000-0000-0000D3180000}"/>
    <cellStyle name="Normal 5 2 4 2 10" xfId="17459" xr:uid="{9E0A94BF-7DCE-4F6A-814B-2C76F90598AE}"/>
    <cellStyle name="Normal 5 2 4 2 11" xfId="34317" xr:uid="{1A1819E6-CA27-4FA1-B443-5363402D048F}"/>
    <cellStyle name="Normal 5 2 4 2 12" xfId="9024" xr:uid="{4F721640-C581-4DD9-8932-1E40169DC791}"/>
    <cellStyle name="Normal 5 2 4 2 2" xfId="434" xr:uid="{00000000-0005-0000-0000-0000D4180000}"/>
    <cellStyle name="Normal 5 2 4 2 2 10" xfId="34318" xr:uid="{9702504B-A11F-4E4B-9F19-A7C0D2EE2E9D}"/>
    <cellStyle name="Normal 5 2 4 2 2 11" xfId="9025" xr:uid="{113EDF79-ADC7-4F40-BE4C-69634559DDE8}"/>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32665" xr:uid="{5521EFB3-10E1-48EA-89E7-E2621CAC6B0E}"/>
    <cellStyle name="Normal 5 2 4 2 2 2 2 2 3" xfId="24236" xr:uid="{33EE0011-F29A-4108-9755-5ABC022D2AFB}"/>
    <cellStyle name="Normal 5 2 4 2 2 2 2 2 4" xfId="41093" xr:uid="{C8C5A94E-029D-4CD5-9B3E-3D252B864F14}"/>
    <cellStyle name="Normal 5 2 4 2 2 2 2 2 5" xfId="15801" xr:uid="{9E15F46C-2A84-40FD-95DF-48E8ECA3F5B1}"/>
    <cellStyle name="Normal 5 2 4 2 2 2 2 3" xfId="28447" xr:uid="{AF6C0F07-3A6F-4662-9EB4-E8A7C890AF65}"/>
    <cellStyle name="Normal 5 2 4 2 2 2 2 4" xfId="20018" xr:uid="{3796D259-9ABC-4917-B2A9-BF42A2C1BCD1}"/>
    <cellStyle name="Normal 5 2 4 2 2 2 2 5" xfId="36876" xr:uid="{497DC5C9-08E0-49E5-931A-3D2C251E2DFF}"/>
    <cellStyle name="Normal 5 2 4 2 2 2 2 6" xfId="11583" xr:uid="{115C914B-806E-4D63-ABE5-BA8D26007A6C}"/>
    <cellStyle name="Normal 5 2 4 2 2 2 3" xfId="5221" xr:uid="{00000000-0005-0000-0000-0000D8180000}"/>
    <cellStyle name="Normal 5 2 4 2 2 2 3 2" xfId="30520" xr:uid="{1BBA8CAF-FEED-4DA0-BFC9-F3F87BB647D5}"/>
    <cellStyle name="Normal 5 2 4 2 2 2 3 3" xfId="22091" xr:uid="{34BE683A-600C-4050-B8EE-E2031378C3C9}"/>
    <cellStyle name="Normal 5 2 4 2 2 2 3 4" xfId="38948" xr:uid="{8EB8431F-34DC-4571-B728-EF0110AA4A1A}"/>
    <cellStyle name="Normal 5 2 4 2 2 2 3 5" xfId="13656" xr:uid="{33932221-9E83-48FE-95F3-689748CBBCEE}"/>
    <cellStyle name="Normal 5 2 4 2 2 2 4" xfId="26302" xr:uid="{7762658A-AA62-4653-AE0C-1C65A3F37556}"/>
    <cellStyle name="Normal 5 2 4 2 2 2 5" xfId="17873" xr:uid="{52221164-EDF7-4844-8D21-84DCF04961AF}"/>
    <cellStyle name="Normal 5 2 4 2 2 2 6" xfId="34731" xr:uid="{B02C2F19-9FCA-4E9A-8F50-99EF71D578F0}"/>
    <cellStyle name="Normal 5 2 4 2 2 2 7" xfId="9438" xr:uid="{FEFDDAA4-A6AD-4AE2-B85A-45492B17F77B}"/>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33078" xr:uid="{B4696126-F1BF-4679-B86C-BF33C48327F3}"/>
    <cellStyle name="Normal 5 2 4 2 2 3 2 2 3" xfId="24649" xr:uid="{E9E4D108-3ABF-4FB3-B7B1-ECD1DF7D7574}"/>
    <cellStyle name="Normal 5 2 4 2 2 3 2 2 4" xfId="41506" xr:uid="{BFD44C8D-96B2-42F2-AB27-B3B7A30EB354}"/>
    <cellStyle name="Normal 5 2 4 2 2 3 2 2 5" xfId="16214" xr:uid="{9C9A6EC4-8469-461B-8C97-9DE49A6845E5}"/>
    <cellStyle name="Normal 5 2 4 2 2 3 2 3" xfId="28860" xr:uid="{AE718B82-A618-4DEE-929F-3A41AA85F985}"/>
    <cellStyle name="Normal 5 2 4 2 2 3 2 4" xfId="20431" xr:uid="{056DD7E0-3570-4ADF-879B-90B6F6410D85}"/>
    <cellStyle name="Normal 5 2 4 2 2 3 2 5" xfId="37289" xr:uid="{8C6DF35D-DF03-40F5-B1DE-E6690358DCF8}"/>
    <cellStyle name="Normal 5 2 4 2 2 3 2 6" xfId="11996" xr:uid="{8A8022AC-EFF9-4491-97B4-1A89B7CAD5DA}"/>
    <cellStyle name="Normal 5 2 4 2 2 3 3" xfId="5634" xr:uid="{00000000-0005-0000-0000-0000DC180000}"/>
    <cellStyle name="Normal 5 2 4 2 2 3 3 2" xfId="30933" xr:uid="{2FBC122B-C086-4B30-9659-A7CEC3C12503}"/>
    <cellStyle name="Normal 5 2 4 2 2 3 3 3" xfId="22504" xr:uid="{CBF736F5-47D4-4DB2-BB86-231C26AB7456}"/>
    <cellStyle name="Normal 5 2 4 2 2 3 3 4" xfId="39361" xr:uid="{6C8BDC43-013D-4210-B573-241C13271FD9}"/>
    <cellStyle name="Normal 5 2 4 2 2 3 3 5" xfId="14069" xr:uid="{031CC346-D5BF-4F94-9FA1-7142C74B63BC}"/>
    <cellStyle name="Normal 5 2 4 2 2 3 4" xfId="26715" xr:uid="{D5C67F9B-E7CA-4B7D-B2AF-E2472BB32A58}"/>
    <cellStyle name="Normal 5 2 4 2 2 3 5" xfId="18286" xr:uid="{E380BE8F-D41A-4302-8A62-0FBE9805D3D4}"/>
    <cellStyle name="Normal 5 2 4 2 2 3 6" xfId="35144" xr:uid="{7A4202A6-5FD1-45C1-B2B0-DE0A95BEBAC2}"/>
    <cellStyle name="Normal 5 2 4 2 2 3 7" xfId="9851" xr:uid="{F59430C6-D9E9-4342-863E-53DBE5910DD4}"/>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33491" xr:uid="{833CB4B4-F1C2-4B70-91AB-57075A3945A9}"/>
    <cellStyle name="Normal 5 2 4 2 2 4 2 2 3" xfId="25062" xr:uid="{2E313A51-DC98-438C-A94F-8A9FBFD4AB92}"/>
    <cellStyle name="Normal 5 2 4 2 2 4 2 2 4" xfId="41919" xr:uid="{326BFF47-F00F-4B25-87EB-891C81679878}"/>
    <cellStyle name="Normal 5 2 4 2 2 4 2 2 5" xfId="16627" xr:uid="{1EDD7520-EA5B-42F8-92FE-F90BE7F06EBD}"/>
    <cellStyle name="Normal 5 2 4 2 2 4 2 3" xfId="29273" xr:uid="{3C76B047-A541-4D58-A1FC-3E7677858A68}"/>
    <cellStyle name="Normal 5 2 4 2 2 4 2 4" xfId="20844" xr:uid="{261976EB-6FB3-4916-83DF-9ECBC81D1393}"/>
    <cellStyle name="Normal 5 2 4 2 2 4 2 5" xfId="37702" xr:uid="{9B6C900E-970F-4629-84AB-59F847F2AD41}"/>
    <cellStyle name="Normal 5 2 4 2 2 4 2 6" xfId="12409" xr:uid="{B41A1B9E-38EE-462A-A784-E12F8D4EE24B}"/>
    <cellStyle name="Normal 5 2 4 2 2 4 3" xfId="6047" xr:uid="{00000000-0005-0000-0000-0000E0180000}"/>
    <cellStyle name="Normal 5 2 4 2 2 4 3 2" xfId="31346" xr:uid="{3289A3B4-87EF-4322-8215-A66265AF34B8}"/>
    <cellStyle name="Normal 5 2 4 2 2 4 3 3" xfId="22917" xr:uid="{A9297567-E8AA-4C5E-A12F-392DF2D86D58}"/>
    <cellStyle name="Normal 5 2 4 2 2 4 3 4" xfId="39774" xr:uid="{8AEB8B91-CF85-4B06-A630-7A6DBDC20D83}"/>
    <cellStyle name="Normal 5 2 4 2 2 4 3 5" xfId="14482" xr:uid="{318818EA-E829-429E-9EA4-FC9CA011BC34}"/>
    <cellStyle name="Normal 5 2 4 2 2 4 4" xfId="27128" xr:uid="{475239CF-2C21-4265-82EC-4A86E755F1CD}"/>
    <cellStyle name="Normal 5 2 4 2 2 4 5" xfId="18699" xr:uid="{A2EF2603-3428-4638-9C41-F38AB63D2253}"/>
    <cellStyle name="Normal 5 2 4 2 2 4 6" xfId="35557" xr:uid="{5AECC28C-7202-4373-A371-B1B3DAC69DA1}"/>
    <cellStyle name="Normal 5 2 4 2 2 4 7" xfId="10264" xr:uid="{6E4D3F92-B48B-4174-B343-FD9137F814B8}"/>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33904" xr:uid="{70661848-C430-409F-AD52-BF5655509757}"/>
    <cellStyle name="Normal 5 2 4 2 2 5 2 2 3" xfId="25475" xr:uid="{4B98CF72-F0A6-422C-8B6F-F333F9C50E29}"/>
    <cellStyle name="Normal 5 2 4 2 2 5 2 2 4" xfId="42332" xr:uid="{CB745477-BA59-4277-B4B6-60600400CB65}"/>
    <cellStyle name="Normal 5 2 4 2 2 5 2 2 5" xfId="17040" xr:uid="{97DD704A-94DF-424D-8627-F2F61284AD72}"/>
    <cellStyle name="Normal 5 2 4 2 2 5 2 3" xfId="29686" xr:uid="{E7BFEE2B-02A7-402F-8028-BFD563734A47}"/>
    <cellStyle name="Normal 5 2 4 2 2 5 2 4" xfId="21257" xr:uid="{FAB1E79A-4F7C-4A4C-9C50-FEF239D6BE6E}"/>
    <cellStyle name="Normal 5 2 4 2 2 5 2 5" xfId="38115" xr:uid="{F63A3C76-1DDA-4598-8951-B09631975CCB}"/>
    <cellStyle name="Normal 5 2 4 2 2 5 2 6" xfId="12822" xr:uid="{C018CADD-C135-443A-95F8-543B9257F5AF}"/>
    <cellStyle name="Normal 5 2 4 2 2 5 3" xfId="6460" xr:uid="{00000000-0005-0000-0000-0000E4180000}"/>
    <cellStyle name="Normal 5 2 4 2 2 5 3 2" xfId="31759" xr:uid="{ED11121D-1DAF-4E03-B4F0-A42A3B2BDE62}"/>
    <cellStyle name="Normal 5 2 4 2 2 5 3 3" xfId="23330" xr:uid="{ADB09D45-E5DF-4A4C-B033-9AE4C01F343E}"/>
    <cellStyle name="Normal 5 2 4 2 2 5 3 4" xfId="40187" xr:uid="{E7D528D7-83D4-4BA7-A5CD-B7F652F74F3E}"/>
    <cellStyle name="Normal 5 2 4 2 2 5 3 5" xfId="14895" xr:uid="{F0F6B1EF-BB5C-4E59-B42E-A60C153BF975}"/>
    <cellStyle name="Normal 5 2 4 2 2 5 4" xfId="27541" xr:uid="{783F9872-7A8C-4882-9305-4102A5CEF7A4}"/>
    <cellStyle name="Normal 5 2 4 2 2 5 5" xfId="19112" xr:uid="{76E1D02B-FD48-47A5-A080-DDC3FEA47F5C}"/>
    <cellStyle name="Normal 5 2 4 2 2 5 6" xfId="35970" xr:uid="{2B34F8DB-1CF2-47FA-8EEF-DC559F764385}"/>
    <cellStyle name="Normal 5 2 4 2 2 5 7" xfId="10677" xr:uid="{2708C327-D5E4-48FC-BC60-3DD919AC19DE}"/>
    <cellStyle name="Normal 5 2 4 2 2 6" xfId="2589" xr:uid="{00000000-0005-0000-0000-0000E5180000}"/>
    <cellStyle name="Normal 5 2 4 2 2 6 2" xfId="6873" xr:uid="{00000000-0005-0000-0000-0000E6180000}"/>
    <cellStyle name="Normal 5 2 4 2 2 6 2 2" xfId="32172" xr:uid="{18DE91F4-A1C9-47F8-B3DE-CCB3AA00B00F}"/>
    <cellStyle name="Normal 5 2 4 2 2 6 2 3" xfId="23743" xr:uid="{65C80399-11ED-4423-85D1-3E496A5439E9}"/>
    <cellStyle name="Normal 5 2 4 2 2 6 2 4" xfId="40600" xr:uid="{D4D00AED-19E0-4725-ADD5-959510A8585E}"/>
    <cellStyle name="Normal 5 2 4 2 2 6 2 5" xfId="15308" xr:uid="{D3B269AE-F98C-400F-A0BB-214E26A80F60}"/>
    <cellStyle name="Normal 5 2 4 2 2 6 3" xfId="27954" xr:uid="{99B24701-78CC-401D-8052-85CC54EE578A}"/>
    <cellStyle name="Normal 5 2 4 2 2 6 4" xfId="19525" xr:uid="{F74C7640-EBEE-4CAD-B783-1F8FD542060D}"/>
    <cellStyle name="Normal 5 2 4 2 2 6 5" xfId="36383" xr:uid="{95C4793E-19F7-4D4C-B4F7-0209D72D270D}"/>
    <cellStyle name="Normal 5 2 4 2 2 6 6" xfId="11090" xr:uid="{5695B83B-265F-4612-BEA5-6BFF25E23287}"/>
    <cellStyle name="Normal 5 2 4 2 2 7" xfId="4808" xr:uid="{00000000-0005-0000-0000-0000E7180000}"/>
    <cellStyle name="Normal 5 2 4 2 2 7 2" xfId="30107" xr:uid="{91425C9F-922A-4273-8311-25E80A85D24F}"/>
    <cellStyle name="Normal 5 2 4 2 2 7 3" xfId="21678" xr:uid="{2BF8ED0A-1D9C-4E79-A541-605E52148ABB}"/>
    <cellStyle name="Normal 5 2 4 2 2 7 4" xfId="38535" xr:uid="{0A6440A6-FF9E-4ED4-A121-15F6B0C641AD}"/>
    <cellStyle name="Normal 5 2 4 2 2 7 5" xfId="13243" xr:uid="{04218C58-158A-4171-A2E5-D1C6C0B78BFE}"/>
    <cellStyle name="Normal 5 2 4 2 2 8" xfId="25889" xr:uid="{7664F3FB-9246-43D4-BD6D-17E9DC922F95}"/>
    <cellStyle name="Normal 5 2 4 2 2 9" xfId="17460" xr:uid="{B39B2AF9-4A84-41E6-9220-7B80BED0498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32664" xr:uid="{A806A2F7-2EA8-4DE4-BB8F-51A24408BCEA}"/>
    <cellStyle name="Normal 5 2 4 2 3 2 2 3" xfId="24235" xr:uid="{BE09EAD1-5700-484E-B8AB-DD93332BE81D}"/>
    <cellStyle name="Normal 5 2 4 2 3 2 2 4" xfId="41092" xr:uid="{14B558BD-7DD8-4229-9C8B-37D3A015AE44}"/>
    <cellStyle name="Normal 5 2 4 2 3 2 2 5" xfId="15800" xr:uid="{D71994F3-DE3B-464E-8858-EACCF77E48DA}"/>
    <cellStyle name="Normal 5 2 4 2 3 2 3" xfId="28446" xr:uid="{4F579404-D564-4611-89CD-7B99A3ECCA50}"/>
    <cellStyle name="Normal 5 2 4 2 3 2 4" xfId="20017" xr:uid="{C35C1408-92FD-4280-B80B-10C0A0529012}"/>
    <cellStyle name="Normal 5 2 4 2 3 2 5" xfId="36875" xr:uid="{9E113141-C9C9-498B-ABEF-3648D2CE9F96}"/>
    <cellStyle name="Normal 5 2 4 2 3 2 6" xfId="11582" xr:uid="{A8676F8E-7ABC-42F0-A68D-41BEA63D60EF}"/>
    <cellStyle name="Normal 5 2 4 2 3 3" xfId="5220" xr:uid="{00000000-0005-0000-0000-0000EB180000}"/>
    <cellStyle name="Normal 5 2 4 2 3 3 2" xfId="30519" xr:uid="{D1C5DC6B-DD99-490A-BD82-0247B66FEECB}"/>
    <cellStyle name="Normal 5 2 4 2 3 3 3" xfId="22090" xr:uid="{3E815BEC-DB7D-4550-B5BF-44BC331F92E5}"/>
    <cellStyle name="Normal 5 2 4 2 3 3 4" xfId="38947" xr:uid="{ADC09085-0C7E-44F5-B90E-BD91789B3CF1}"/>
    <cellStyle name="Normal 5 2 4 2 3 3 5" xfId="13655" xr:uid="{EDFA4FCE-E074-4B05-8539-BCA7EF71C811}"/>
    <cellStyle name="Normal 5 2 4 2 3 4" xfId="26301" xr:uid="{5FB79B0A-274D-4C69-9181-5DA9B7C2A1C8}"/>
    <cellStyle name="Normal 5 2 4 2 3 5" xfId="17872" xr:uid="{4DB1DD73-9C04-4E2F-9DAD-328D5D033F2C}"/>
    <cellStyle name="Normal 5 2 4 2 3 6" xfId="34730" xr:uid="{70B04458-FC31-42BF-BFDF-194AFB99FBE8}"/>
    <cellStyle name="Normal 5 2 4 2 3 7" xfId="9437" xr:uid="{C0391F08-CF7B-49AA-A930-DB61F88D94B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33077" xr:uid="{15303E45-905F-4D61-9261-558502C2F45C}"/>
    <cellStyle name="Normal 5 2 4 2 4 2 2 3" xfId="24648" xr:uid="{F65267FC-DC1B-4937-897B-0B251046F5BC}"/>
    <cellStyle name="Normal 5 2 4 2 4 2 2 4" xfId="41505" xr:uid="{651FD9AA-FE3F-490B-A670-80FE9F038E19}"/>
    <cellStyle name="Normal 5 2 4 2 4 2 2 5" xfId="16213" xr:uid="{7166C4B3-56A3-4A0A-8DF2-2278189488EA}"/>
    <cellStyle name="Normal 5 2 4 2 4 2 3" xfId="28859" xr:uid="{51071718-7285-4452-84DB-338A54422AA0}"/>
    <cellStyle name="Normal 5 2 4 2 4 2 4" xfId="20430" xr:uid="{051C872C-2BD9-495A-A6AE-A0FE72191E56}"/>
    <cellStyle name="Normal 5 2 4 2 4 2 5" xfId="37288" xr:uid="{07E6261F-75A8-4024-BF8E-1FF2182C49DA}"/>
    <cellStyle name="Normal 5 2 4 2 4 2 6" xfId="11995" xr:uid="{3DC9610E-DB48-4F32-B533-8954B87F8978}"/>
    <cellStyle name="Normal 5 2 4 2 4 3" xfId="5633" xr:uid="{00000000-0005-0000-0000-0000EF180000}"/>
    <cellStyle name="Normal 5 2 4 2 4 3 2" xfId="30932" xr:uid="{AF40AAC1-072C-45C8-8676-228123263A9A}"/>
    <cellStyle name="Normal 5 2 4 2 4 3 3" xfId="22503" xr:uid="{2C0228E1-58F4-4F05-B992-1AFF4FD44F8E}"/>
    <cellStyle name="Normal 5 2 4 2 4 3 4" xfId="39360" xr:uid="{FB49DC84-ED98-4D28-81E1-31B2CC13750B}"/>
    <cellStyle name="Normal 5 2 4 2 4 3 5" xfId="14068" xr:uid="{7100FF35-B84B-44F8-8E8F-FB7EEBB4985D}"/>
    <cellStyle name="Normal 5 2 4 2 4 4" xfId="26714" xr:uid="{BA6BE1E7-F12B-4DC0-999A-835933CC4855}"/>
    <cellStyle name="Normal 5 2 4 2 4 5" xfId="18285" xr:uid="{9412DAAB-F172-4AC5-8D85-B5D5F25A89F4}"/>
    <cellStyle name="Normal 5 2 4 2 4 6" xfId="35143" xr:uid="{078FB3D4-D054-45EB-A890-77F1691908D5}"/>
    <cellStyle name="Normal 5 2 4 2 4 7" xfId="9850" xr:uid="{35354218-6CAC-4D41-8239-8BA71DB3E239}"/>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33490" xr:uid="{184AD8E3-D7A2-449E-822C-8B947E75EE72}"/>
    <cellStyle name="Normal 5 2 4 2 5 2 2 3" xfId="25061" xr:uid="{7FBB2D9A-A06D-4430-9188-F37173E1DDF8}"/>
    <cellStyle name="Normal 5 2 4 2 5 2 2 4" xfId="41918" xr:uid="{A37E6DDD-1C6D-4EB0-A6F4-BF0FF9553AC1}"/>
    <cellStyle name="Normal 5 2 4 2 5 2 2 5" xfId="16626" xr:uid="{6CAF69B9-6CFF-4AB5-81B7-ED68B5EC2764}"/>
    <cellStyle name="Normal 5 2 4 2 5 2 3" xfId="29272" xr:uid="{29DC6133-0297-4F53-8B2A-40BA212A8587}"/>
    <cellStyle name="Normal 5 2 4 2 5 2 4" xfId="20843" xr:uid="{2EB71B26-5D07-4E55-AF79-61ED9B71221B}"/>
    <cellStyle name="Normal 5 2 4 2 5 2 5" xfId="37701" xr:uid="{7CAB962C-05B9-47FA-9D7E-B7603A1383B5}"/>
    <cellStyle name="Normal 5 2 4 2 5 2 6" xfId="12408" xr:uid="{E2D8CE3C-145D-4DBB-A22A-44483F0EB217}"/>
    <cellStyle name="Normal 5 2 4 2 5 3" xfId="6046" xr:uid="{00000000-0005-0000-0000-0000F3180000}"/>
    <cellStyle name="Normal 5 2 4 2 5 3 2" xfId="31345" xr:uid="{0CD39670-A3B0-4BA1-997C-324A9D539610}"/>
    <cellStyle name="Normal 5 2 4 2 5 3 3" xfId="22916" xr:uid="{8E1C7838-9BA9-48BB-96E7-5058E9EF867E}"/>
    <cellStyle name="Normal 5 2 4 2 5 3 4" xfId="39773" xr:uid="{E3B2DE53-E661-4AFE-85ED-455C0F165538}"/>
    <cellStyle name="Normal 5 2 4 2 5 3 5" xfId="14481" xr:uid="{34B49FEB-4762-45EA-90BA-8BCBBC39F90A}"/>
    <cellStyle name="Normal 5 2 4 2 5 4" xfId="27127" xr:uid="{FB8D1AD7-1756-4647-B274-99CA4067CD8D}"/>
    <cellStyle name="Normal 5 2 4 2 5 5" xfId="18698" xr:uid="{AF924861-C36F-4DDB-9626-4221B1C578E0}"/>
    <cellStyle name="Normal 5 2 4 2 5 6" xfId="35556" xr:uid="{6B063810-AD03-4250-BAB3-8D1D029096A0}"/>
    <cellStyle name="Normal 5 2 4 2 5 7" xfId="10263" xr:uid="{7BE1B4D3-EBD1-4BD4-9218-F3E8646BB67D}"/>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33903" xr:uid="{72398F25-16FF-47D4-BF56-49ED66E21C05}"/>
    <cellStyle name="Normal 5 2 4 2 6 2 2 3" xfId="25474" xr:uid="{AAE168F8-0731-4B7F-96F0-4F88B12CCD80}"/>
    <cellStyle name="Normal 5 2 4 2 6 2 2 4" xfId="42331" xr:uid="{C1B8F35E-98B7-4329-9794-14A149D812C7}"/>
    <cellStyle name="Normal 5 2 4 2 6 2 2 5" xfId="17039" xr:uid="{5D23F1B3-7657-4FCC-9839-FD75FCFBA93A}"/>
    <cellStyle name="Normal 5 2 4 2 6 2 3" xfId="29685" xr:uid="{F3A20E3D-13A4-4456-83BF-7F1320442396}"/>
    <cellStyle name="Normal 5 2 4 2 6 2 4" xfId="21256" xr:uid="{99A1D7E3-89DC-4471-A382-5B305BD5C0A1}"/>
    <cellStyle name="Normal 5 2 4 2 6 2 5" xfId="38114" xr:uid="{40934C3E-DF91-4505-8851-13F84A35ADA7}"/>
    <cellStyle name="Normal 5 2 4 2 6 2 6" xfId="12821" xr:uid="{94D01222-F5B3-42D2-B88D-EA0084B661E8}"/>
    <cellStyle name="Normal 5 2 4 2 6 3" xfId="6459" xr:uid="{00000000-0005-0000-0000-0000F7180000}"/>
    <cellStyle name="Normal 5 2 4 2 6 3 2" xfId="31758" xr:uid="{55F97D90-A804-4792-B4CD-07758CEB26D3}"/>
    <cellStyle name="Normal 5 2 4 2 6 3 3" xfId="23329" xr:uid="{890E53A4-036E-4069-AE2C-ED839F957982}"/>
    <cellStyle name="Normal 5 2 4 2 6 3 4" xfId="40186" xr:uid="{D2372331-DAB5-43BF-851E-0461CD6CDA58}"/>
    <cellStyle name="Normal 5 2 4 2 6 3 5" xfId="14894" xr:uid="{54254E29-DEF2-4505-9365-CED2FDF2A8D8}"/>
    <cellStyle name="Normal 5 2 4 2 6 4" xfId="27540" xr:uid="{3FEB3E12-5359-448B-B1F1-27ABFD93AB86}"/>
    <cellStyle name="Normal 5 2 4 2 6 5" xfId="19111" xr:uid="{5507765A-FA42-45A0-A75F-7E722B4208B1}"/>
    <cellStyle name="Normal 5 2 4 2 6 6" xfId="35969" xr:uid="{2BC4DABF-251E-4F0A-ABAF-8A8788F84590}"/>
    <cellStyle name="Normal 5 2 4 2 6 7" xfId="10676" xr:uid="{252FF63D-9838-4B58-B2BC-E961A0BAE03E}"/>
    <cellStyle name="Normal 5 2 4 2 7" xfId="2588" xr:uid="{00000000-0005-0000-0000-0000F8180000}"/>
    <cellStyle name="Normal 5 2 4 2 7 2" xfId="6872" xr:uid="{00000000-0005-0000-0000-0000F9180000}"/>
    <cellStyle name="Normal 5 2 4 2 7 2 2" xfId="32171" xr:uid="{F5AF6EC8-39A3-46C6-A2DF-B31C48002121}"/>
    <cellStyle name="Normal 5 2 4 2 7 2 3" xfId="23742" xr:uid="{57B1C308-4A4B-4F90-853E-EE5C3752D21A}"/>
    <cellStyle name="Normal 5 2 4 2 7 2 4" xfId="40599" xr:uid="{06C97FE2-765F-4A64-849B-C79EBC9A2B48}"/>
    <cellStyle name="Normal 5 2 4 2 7 2 5" xfId="15307" xr:uid="{3F402AB7-8586-4F95-820A-BEE0BF2E1D1B}"/>
    <cellStyle name="Normal 5 2 4 2 7 3" xfId="27953" xr:uid="{C8A678D8-DC77-4018-AE87-440EE712B39A}"/>
    <cellStyle name="Normal 5 2 4 2 7 4" xfId="19524" xr:uid="{5B8B8FAA-9745-44BC-8330-23A33F5A3831}"/>
    <cellStyle name="Normal 5 2 4 2 7 5" xfId="36382" xr:uid="{CF4625E4-CEE0-4DEA-89CE-2C0B8FFE4797}"/>
    <cellStyle name="Normal 5 2 4 2 7 6" xfId="11089" xr:uid="{AB41F1AD-01E4-4DEB-A9BA-0A8504CDA3FC}"/>
    <cellStyle name="Normal 5 2 4 2 8" xfId="4807" xr:uid="{00000000-0005-0000-0000-0000FA180000}"/>
    <cellStyle name="Normal 5 2 4 2 8 2" xfId="30106" xr:uid="{98C994B0-35D2-4B35-BE3E-1F33DEE5C4BF}"/>
    <cellStyle name="Normal 5 2 4 2 8 3" xfId="21677" xr:uid="{864481A1-CBE2-4B3C-B7FD-C816BC669F74}"/>
    <cellStyle name="Normal 5 2 4 2 8 4" xfId="38534" xr:uid="{C4FE203F-EABF-4BFF-B5F7-919506F86D99}"/>
    <cellStyle name="Normal 5 2 4 2 8 5" xfId="13242" xr:uid="{D2CB922B-39E8-45BE-A54C-4AB3FB74A935}"/>
    <cellStyle name="Normal 5 2 4 2 9" xfId="25888" xr:uid="{9AD82D0B-C582-4C05-A3C7-E8B609D00823}"/>
    <cellStyle name="Normal 5 2 4 3" xfId="435" xr:uid="{00000000-0005-0000-0000-0000FB180000}"/>
    <cellStyle name="Normal 5 2 4 3 10" xfId="34319" xr:uid="{906AE49E-59E5-4B14-99D6-48D5A782DDB4}"/>
    <cellStyle name="Normal 5 2 4 3 11" xfId="9026" xr:uid="{385055C8-818B-40BB-B234-7899A3E8AAEB}"/>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32666" xr:uid="{B24D629B-EBF6-4AEC-ACE0-67038EB93065}"/>
    <cellStyle name="Normal 5 2 4 3 2 2 2 3" xfId="24237" xr:uid="{057F3886-B677-4E13-9074-162EDE26FD8E}"/>
    <cellStyle name="Normal 5 2 4 3 2 2 2 4" xfId="41094" xr:uid="{FC91015A-1EB7-4C7F-8670-CA326175A3A0}"/>
    <cellStyle name="Normal 5 2 4 3 2 2 2 5" xfId="15802" xr:uid="{BFE55CBF-BF0E-4EF1-ABC5-8388D64F9B9B}"/>
    <cellStyle name="Normal 5 2 4 3 2 2 3" xfId="28448" xr:uid="{A6400E16-84CB-4E87-BB51-BBED16B8A42F}"/>
    <cellStyle name="Normal 5 2 4 3 2 2 4" xfId="20019" xr:uid="{1E455C25-B3B1-45DF-BA29-4B75B093CE45}"/>
    <cellStyle name="Normal 5 2 4 3 2 2 5" xfId="36877" xr:uid="{E7D20E6E-B5E7-47FF-BB92-8F394DA77D11}"/>
    <cellStyle name="Normal 5 2 4 3 2 2 6" xfId="11584" xr:uid="{E7F39BBE-8922-4F78-A2C2-3A1F6D6A8064}"/>
    <cellStyle name="Normal 5 2 4 3 2 3" xfId="5222" xr:uid="{00000000-0005-0000-0000-0000FF180000}"/>
    <cellStyle name="Normal 5 2 4 3 2 3 2" xfId="30521" xr:uid="{AACA58D0-E584-4856-9A6A-CD10D3E49D3C}"/>
    <cellStyle name="Normal 5 2 4 3 2 3 3" xfId="22092" xr:uid="{CB7A78C2-BD18-4CFE-A0F1-A8F6F352B992}"/>
    <cellStyle name="Normal 5 2 4 3 2 3 4" xfId="38949" xr:uid="{19B92A3E-13FB-47E9-A62C-10A861167167}"/>
    <cellStyle name="Normal 5 2 4 3 2 3 5" xfId="13657" xr:uid="{0577FDBA-6A93-42E6-873D-6637FDBBA7B9}"/>
    <cellStyle name="Normal 5 2 4 3 2 4" xfId="26303" xr:uid="{DDED8FCC-8309-49AC-94BC-00E9E42B27E0}"/>
    <cellStyle name="Normal 5 2 4 3 2 5" xfId="17874" xr:uid="{36999865-F5EA-4185-83A9-907FFC38CED2}"/>
    <cellStyle name="Normal 5 2 4 3 2 6" xfId="34732" xr:uid="{7605390B-C259-4720-A060-21F6EC7AAF3B}"/>
    <cellStyle name="Normal 5 2 4 3 2 7" xfId="9439" xr:uid="{B2C939EE-DBD6-4160-9A10-8B58DDEC874A}"/>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33079" xr:uid="{E02219D2-A084-4047-9315-C0E267A03FA8}"/>
    <cellStyle name="Normal 5 2 4 3 3 2 2 3" xfId="24650" xr:uid="{3AD34AAB-859A-4FA8-9FA2-C289237FBAD7}"/>
    <cellStyle name="Normal 5 2 4 3 3 2 2 4" xfId="41507" xr:uid="{C3C6E99C-33A8-4B1F-B161-79BFC89593C1}"/>
    <cellStyle name="Normal 5 2 4 3 3 2 2 5" xfId="16215" xr:uid="{2F0305CC-69A4-4E22-AC1E-C5178EF380AE}"/>
    <cellStyle name="Normal 5 2 4 3 3 2 3" xfId="28861" xr:uid="{D2079A1C-C035-4C11-8906-84067F08D3AE}"/>
    <cellStyle name="Normal 5 2 4 3 3 2 4" xfId="20432" xr:uid="{DEE26B1B-356D-4ECF-9BC8-DD887B4D5FF4}"/>
    <cellStyle name="Normal 5 2 4 3 3 2 5" xfId="37290" xr:uid="{2B98F500-C6F0-439F-80B1-0DA0727159C3}"/>
    <cellStyle name="Normal 5 2 4 3 3 2 6" xfId="11997" xr:uid="{53BEF0CF-91EE-4647-89AC-DD0830DF3326}"/>
    <cellStyle name="Normal 5 2 4 3 3 3" xfId="5635" xr:uid="{00000000-0005-0000-0000-000003190000}"/>
    <cellStyle name="Normal 5 2 4 3 3 3 2" xfId="30934" xr:uid="{7AF0D718-3879-465E-9217-7C4E8FA4EF49}"/>
    <cellStyle name="Normal 5 2 4 3 3 3 3" xfId="22505" xr:uid="{14A20D45-722B-4BC4-99FE-DBCF38D6FC93}"/>
    <cellStyle name="Normal 5 2 4 3 3 3 4" xfId="39362" xr:uid="{11B60092-AF10-47DB-AE2C-16C9AA80EA43}"/>
    <cellStyle name="Normal 5 2 4 3 3 3 5" xfId="14070" xr:uid="{B69B49F4-1B3B-49C1-B87A-BABB3718DF27}"/>
    <cellStyle name="Normal 5 2 4 3 3 4" xfId="26716" xr:uid="{811B6510-0EA5-433B-BEFD-FAD6D863AB9B}"/>
    <cellStyle name="Normal 5 2 4 3 3 5" xfId="18287" xr:uid="{207F4F8B-137E-4769-8713-C87FA70A6BB3}"/>
    <cellStyle name="Normal 5 2 4 3 3 6" xfId="35145" xr:uid="{CEB06D5F-88EF-4657-AB32-7AE52575C7A8}"/>
    <cellStyle name="Normal 5 2 4 3 3 7" xfId="9852" xr:uid="{38F3979C-E43F-419D-B8E5-14218F7242B6}"/>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33492" xr:uid="{1109684A-5F2E-4F02-BB8E-C5CDA268459B}"/>
    <cellStyle name="Normal 5 2 4 3 4 2 2 3" xfId="25063" xr:uid="{F7747D84-F6A3-43E7-83BA-B3E5506733D4}"/>
    <cellStyle name="Normal 5 2 4 3 4 2 2 4" xfId="41920" xr:uid="{59C0BB07-815C-4D94-A259-DBEAF9CD727C}"/>
    <cellStyle name="Normal 5 2 4 3 4 2 2 5" xfId="16628" xr:uid="{B96FCC61-EF88-4D91-B078-D210F5C20C23}"/>
    <cellStyle name="Normal 5 2 4 3 4 2 3" xfId="29274" xr:uid="{5D58FAC7-61A7-4F6D-A9A0-566F50C26D76}"/>
    <cellStyle name="Normal 5 2 4 3 4 2 4" xfId="20845" xr:uid="{A7C3FE13-2115-40A4-818F-42DB05CF4E06}"/>
    <cellStyle name="Normal 5 2 4 3 4 2 5" xfId="37703" xr:uid="{63810B62-1F52-4F9F-896A-49968ED50692}"/>
    <cellStyle name="Normal 5 2 4 3 4 2 6" xfId="12410" xr:uid="{AAE2CD7D-481F-41A3-97D7-F29B246F4396}"/>
    <cellStyle name="Normal 5 2 4 3 4 3" xfId="6048" xr:uid="{00000000-0005-0000-0000-000007190000}"/>
    <cellStyle name="Normal 5 2 4 3 4 3 2" xfId="31347" xr:uid="{E7A02817-99ED-4B04-B84E-3D77D76B5904}"/>
    <cellStyle name="Normal 5 2 4 3 4 3 3" xfId="22918" xr:uid="{EAA8EA0E-A8C5-4A3D-BA02-59033604F09E}"/>
    <cellStyle name="Normal 5 2 4 3 4 3 4" xfId="39775" xr:uid="{D9FAC58C-52CE-43F3-8FFB-7B28228210DE}"/>
    <cellStyle name="Normal 5 2 4 3 4 3 5" xfId="14483" xr:uid="{3A340005-2388-4ADC-ABCA-FA9CCF451A5B}"/>
    <cellStyle name="Normal 5 2 4 3 4 4" xfId="27129" xr:uid="{CFF7211D-5576-4074-8FDF-1917E656FDA8}"/>
    <cellStyle name="Normal 5 2 4 3 4 5" xfId="18700" xr:uid="{72340E5A-5191-4E52-A5AB-56CD3E0279C7}"/>
    <cellStyle name="Normal 5 2 4 3 4 6" xfId="35558" xr:uid="{3B312F74-D974-4843-9229-67C90C8AA379}"/>
    <cellStyle name="Normal 5 2 4 3 4 7" xfId="10265" xr:uid="{8B799158-538A-4878-AF37-F3C4510C75AE}"/>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33905" xr:uid="{2D8C28BE-0CED-45F1-B33D-E41D789B456F}"/>
    <cellStyle name="Normal 5 2 4 3 5 2 2 3" xfId="25476" xr:uid="{0B5D3AF4-A45A-4CEC-9D04-9EA56FBE5981}"/>
    <cellStyle name="Normal 5 2 4 3 5 2 2 4" xfId="42333" xr:uid="{11736814-AFC0-4D86-BC48-798D814F35D1}"/>
    <cellStyle name="Normal 5 2 4 3 5 2 2 5" xfId="17041" xr:uid="{DD096290-0AFA-4410-BB50-86482BC254BB}"/>
    <cellStyle name="Normal 5 2 4 3 5 2 3" xfId="29687" xr:uid="{EB7243D7-3302-42DD-B68D-F39E8CA5D6B5}"/>
    <cellStyle name="Normal 5 2 4 3 5 2 4" xfId="21258" xr:uid="{415D795C-6FBC-4A0A-AEF4-760A8155EDFB}"/>
    <cellStyle name="Normal 5 2 4 3 5 2 5" xfId="38116" xr:uid="{2B85C38E-54B5-4715-B9C1-4142F7510B7C}"/>
    <cellStyle name="Normal 5 2 4 3 5 2 6" xfId="12823" xr:uid="{030A84C6-B109-4E13-BE66-9DB799D1C7A9}"/>
    <cellStyle name="Normal 5 2 4 3 5 3" xfId="6461" xr:uid="{00000000-0005-0000-0000-00000B190000}"/>
    <cellStyle name="Normal 5 2 4 3 5 3 2" xfId="31760" xr:uid="{ADCFD0E5-6CC5-4A66-990B-883B1BDAF254}"/>
    <cellStyle name="Normal 5 2 4 3 5 3 3" xfId="23331" xr:uid="{EFFE7809-2426-49F9-B9CF-34DEBDE66E30}"/>
    <cellStyle name="Normal 5 2 4 3 5 3 4" xfId="40188" xr:uid="{D7A4D7F8-6756-45FD-B98C-711FEB513254}"/>
    <cellStyle name="Normal 5 2 4 3 5 3 5" xfId="14896" xr:uid="{3750DF7B-2751-4C6B-97B8-1352F729EA17}"/>
    <cellStyle name="Normal 5 2 4 3 5 4" xfId="27542" xr:uid="{647AE407-F242-4F51-9AC1-B95C698A99E8}"/>
    <cellStyle name="Normal 5 2 4 3 5 5" xfId="19113" xr:uid="{30E5E828-59F7-413C-A9AA-0B1DF1B994F8}"/>
    <cellStyle name="Normal 5 2 4 3 5 6" xfId="35971" xr:uid="{C9651D2E-D697-49BC-A408-F5A3046A2F53}"/>
    <cellStyle name="Normal 5 2 4 3 5 7" xfId="10678" xr:uid="{8220302E-C3D9-46FC-A410-18FE4FB3F580}"/>
    <cellStyle name="Normal 5 2 4 3 6" xfId="2590" xr:uid="{00000000-0005-0000-0000-00000C190000}"/>
    <cellStyle name="Normal 5 2 4 3 6 2" xfId="6874" xr:uid="{00000000-0005-0000-0000-00000D190000}"/>
    <cellStyle name="Normal 5 2 4 3 6 2 2" xfId="32173" xr:uid="{5B6B1D09-BDA9-4C5E-B7A1-C8DC80A81BA4}"/>
    <cellStyle name="Normal 5 2 4 3 6 2 3" xfId="23744" xr:uid="{FB1AD8F1-4533-4F7E-95AD-E47452A74E7F}"/>
    <cellStyle name="Normal 5 2 4 3 6 2 4" xfId="40601" xr:uid="{6C2FB2DA-C988-41C6-8686-137AB8F37824}"/>
    <cellStyle name="Normal 5 2 4 3 6 2 5" xfId="15309" xr:uid="{9D71C023-CBB6-4EFB-8706-F69AE026AD7B}"/>
    <cellStyle name="Normal 5 2 4 3 6 3" xfId="27955" xr:uid="{35574763-BABB-49A9-AB79-EE12A828E1E5}"/>
    <cellStyle name="Normal 5 2 4 3 6 4" xfId="19526" xr:uid="{D88EDEAD-8322-4891-BC4E-539BC02C41B4}"/>
    <cellStyle name="Normal 5 2 4 3 6 5" xfId="36384" xr:uid="{3EF4BE91-54FB-4D31-8D1C-6742D7A07654}"/>
    <cellStyle name="Normal 5 2 4 3 6 6" xfId="11091" xr:uid="{D1B2FA90-32B1-4958-9D2C-16028FFCA947}"/>
    <cellStyle name="Normal 5 2 4 3 7" xfId="4809" xr:uid="{00000000-0005-0000-0000-00000E190000}"/>
    <cellStyle name="Normal 5 2 4 3 7 2" xfId="30108" xr:uid="{A87B7A90-73E1-4A37-9E35-2EAA82A302C5}"/>
    <cellStyle name="Normal 5 2 4 3 7 3" xfId="21679" xr:uid="{82900FA2-2E72-4003-ACB5-D6CDA8D6FC23}"/>
    <cellStyle name="Normal 5 2 4 3 7 4" xfId="38536" xr:uid="{E9D5ADF4-13D2-4045-A7CF-55B00B27ABF9}"/>
    <cellStyle name="Normal 5 2 4 3 7 5" xfId="13244" xr:uid="{E84B38C4-347B-435C-91F2-3EED88926ED6}"/>
    <cellStyle name="Normal 5 2 4 3 8" xfId="25890" xr:uid="{48829C0B-C451-4D1D-A407-B9C6DC0591C5}"/>
    <cellStyle name="Normal 5 2 4 3 9" xfId="17461" xr:uid="{D50119C3-D484-480F-9E56-1DD03A6DCFDE}"/>
    <cellStyle name="Normal 5 2 4 4" xfId="906" xr:uid="{00000000-0005-0000-0000-00000F190000}"/>
    <cellStyle name="Normal 5 2 4 4 2" xfId="3141" xr:uid="{00000000-0005-0000-0000-000010190000}"/>
    <cellStyle name="Normal 5 2 4 4 2 2" xfId="7364" xr:uid="{00000000-0005-0000-0000-000011190000}"/>
    <cellStyle name="Normal 5 2 4 4 2 2 2" xfId="32663" xr:uid="{FD918628-9071-4117-B7F7-AC76F744B67B}"/>
    <cellStyle name="Normal 5 2 4 4 2 2 3" xfId="24234" xr:uid="{0AC9B7EE-F3A8-4417-8625-46D68398101A}"/>
    <cellStyle name="Normal 5 2 4 4 2 2 4" xfId="41091" xr:uid="{F9DF2BBD-5FE8-4794-AEC8-DA2AF495E934}"/>
    <cellStyle name="Normal 5 2 4 4 2 2 5" xfId="15799" xr:uid="{D65CF0FE-20DD-4CEB-AD63-D73E234C1D54}"/>
    <cellStyle name="Normal 5 2 4 4 2 3" xfId="28445" xr:uid="{0B0F98AE-9660-4589-B90B-29C81140B305}"/>
    <cellStyle name="Normal 5 2 4 4 2 4" xfId="20016" xr:uid="{D575469D-B37F-4768-89F3-425EE4C30E43}"/>
    <cellStyle name="Normal 5 2 4 4 2 5" xfId="36874" xr:uid="{0E4DD7E2-01FF-461C-BB1D-06C008FC1D4A}"/>
    <cellStyle name="Normal 5 2 4 4 2 6" xfId="11581" xr:uid="{1CEA9638-E12B-4DCF-AA70-1CE02E296944}"/>
    <cellStyle name="Normal 5 2 4 4 3" xfId="5219" xr:uid="{00000000-0005-0000-0000-000012190000}"/>
    <cellStyle name="Normal 5 2 4 4 3 2" xfId="30518" xr:uid="{F5E46AE0-97EF-4A99-A26A-AFF0573C50E8}"/>
    <cellStyle name="Normal 5 2 4 4 3 3" xfId="22089" xr:uid="{E0521A4E-5253-417D-B761-E198E72F91BC}"/>
    <cellStyle name="Normal 5 2 4 4 3 4" xfId="38946" xr:uid="{FD599A20-23D6-41C9-9B13-F52D75AF1AFB}"/>
    <cellStyle name="Normal 5 2 4 4 3 5" xfId="13654" xr:uid="{A59F440B-BC8C-4B8A-8351-9942E63E32AF}"/>
    <cellStyle name="Normal 5 2 4 4 4" xfId="26300" xr:uid="{0CAAF2AD-FDA9-4F38-ADB1-78E3DAC990CA}"/>
    <cellStyle name="Normal 5 2 4 4 5" xfId="17871" xr:uid="{0FB0FABB-EA97-48EF-80D2-3546023A9110}"/>
    <cellStyle name="Normal 5 2 4 4 6" xfId="34729" xr:uid="{D5377CFB-37A5-4FAF-BFAA-7D12AB1228D0}"/>
    <cellStyle name="Normal 5 2 4 4 7" xfId="9436" xr:uid="{09DA108E-998A-4122-B58F-B1EE495BADC4}"/>
    <cellStyle name="Normal 5 2 4 5" xfId="1324" xr:uid="{00000000-0005-0000-0000-000013190000}"/>
    <cellStyle name="Normal 5 2 4 5 2" xfId="3554" xr:uid="{00000000-0005-0000-0000-000014190000}"/>
    <cellStyle name="Normal 5 2 4 5 2 2" xfId="7777" xr:uid="{00000000-0005-0000-0000-000015190000}"/>
    <cellStyle name="Normal 5 2 4 5 2 2 2" xfId="33076" xr:uid="{255205DF-95BD-4C78-A200-8E03F6219C45}"/>
    <cellStyle name="Normal 5 2 4 5 2 2 3" xfId="24647" xr:uid="{DA914091-75EB-4205-84D0-8467C4277F00}"/>
    <cellStyle name="Normal 5 2 4 5 2 2 4" xfId="41504" xr:uid="{BE43EBCF-7F2C-428D-8167-5516F41CA0EF}"/>
    <cellStyle name="Normal 5 2 4 5 2 2 5" xfId="16212" xr:uid="{588EEA84-B44B-402F-95B3-B1EA6FFF686E}"/>
    <cellStyle name="Normal 5 2 4 5 2 3" xfId="28858" xr:uid="{11A44968-4578-42DB-8C03-BCAD040435C0}"/>
    <cellStyle name="Normal 5 2 4 5 2 4" xfId="20429" xr:uid="{C62D508B-27B1-4872-8D7E-F643CEDB7523}"/>
    <cellStyle name="Normal 5 2 4 5 2 5" xfId="37287" xr:uid="{4F38ABBE-8F82-4EB1-9FB5-406107740000}"/>
    <cellStyle name="Normal 5 2 4 5 2 6" xfId="11994" xr:uid="{E789E52D-F554-4C60-9DD5-B60FB93C379F}"/>
    <cellStyle name="Normal 5 2 4 5 3" xfId="5632" xr:uid="{00000000-0005-0000-0000-000016190000}"/>
    <cellStyle name="Normal 5 2 4 5 3 2" xfId="30931" xr:uid="{B66120C9-9310-4A3C-B30F-806ADD6ECF12}"/>
    <cellStyle name="Normal 5 2 4 5 3 3" xfId="22502" xr:uid="{5248F023-CCC7-4632-8D15-7C384C3ADB36}"/>
    <cellStyle name="Normal 5 2 4 5 3 4" xfId="39359" xr:uid="{F172DB02-39BB-4CC7-A37D-BEE7C22BB2A7}"/>
    <cellStyle name="Normal 5 2 4 5 3 5" xfId="14067" xr:uid="{C01C19AD-CD15-47E2-B33A-9449199BC3DF}"/>
    <cellStyle name="Normal 5 2 4 5 4" xfId="26713" xr:uid="{76C9A0CD-6AB7-4BA0-9621-265A46018849}"/>
    <cellStyle name="Normal 5 2 4 5 5" xfId="18284" xr:uid="{9FC3C1D3-CBC8-489C-8CED-406415F349D0}"/>
    <cellStyle name="Normal 5 2 4 5 6" xfId="35142" xr:uid="{8972A1FF-F7A9-40B9-AB9F-8AB3A6BBB088}"/>
    <cellStyle name="Normal 5 2 4 5 7" xfId="9849" xr:uid="{1CEDD342-7FD4-44D9-A07D-FE3661F6841F}"/>
    <cellStyle name="Normal 5 2 4 6" xfId="1737" xr:uid="{00000000-0005-0000-0000-000017190000}"/>
    <cellStyle name="Normal 5 2 4 6 2" xfId="3967" xr:uid="{00000000-0005-0000-0000-000018190000}"/>
    <cellStyle name="Normal 5 2 4 6 2 2" xfId="8190" xr:uid="{00000000-0005-0000-0000-000019190000}"/>
    <cellStyle name="Normal 5 2 4 6 2 2 2" xfId="33489" xr:uid="{7FF385A9-C8ED-4B14-84C1-C0B8C0E91474}"/>
    <cellStyle name="Normal 5 2 4 6 2 2 3" xfId="25060" xr:uid="{1A2D76D2-F71E-4E66-B940-C7A53D21EC85}"/>
    <cellStyle name="Normal 5 2 4 6 2 2 4" xfId="41917" xr:uid="{0E3AB995-ABAF-4713-A879-69C63E1B4147}"/>
    <cellStyle name="Normal 5 2 4 6 2 2 5" xfId="16625" xr:uid="{DCBBA9F1-5184-4549-85F2-7EA37FB09752}"/>
    <cellStyle name="Normal 5 2 4 6 2 3" xfId="29271" xr:uid="{D578D0D2-AFFA-4A55-AF6D-36CE55942C88}"/>
    <cellStyle name="Normal 5 2 4 6 2 4" xfId="20842" xr:uid="{7B17E710-E903-4742-A95F-05D0E60F14C0}"/>
    <cellStyle name="Normal 5 2 4 6 2 5" xfId="37700" xr:uid="{E58A3765-559E-4CBC-AA91-D3B0C45FD126}"/>
    <cellStyle name="Normal 5 2 4 6 2 6" xfId="12407" xr:uid="{7B9D7127-A21E-49F1-AF08-F0D5B7CE62CF}"/>
    <cellStyle name="Normal 5 2 4 6 3" xfId="6045" xr:uid="{00000000-0005-0000-0000-00001A190000}"/>
    <cellStyle name="Normal 5 2 4 6 3 2" xfId="31344" xr:uid="{4F8D4E3F-C1F5-4FA4-9522-85EE80882BB2}"/>
    <cellStyle name="Normal 5 2 4 6 3 3" xfId="22915" xr:uid="{EF33CE51-664F-4E6C-AC3A-A7F0989E02D2}"/>
    <cellStyle name="Normal 5 2 4 6 3 4" xfId="39772" xr:uid="{F3E9CAAA-08DF-4EEB-9E2D-936DC8098035}"/>
    <cellStyle name="Normal 5 2 4 6 3 5" xfId="14480" xr:uid="{702F9798-0C26-4520-B0FC-3C2272F1F1DF}"/>
    <cellStyle name="Normal 5 2 4 6 4" xfId="27126" xr:uid="{BC42CF91-3A62-4D6B-897F-044AB49BE91F}"/>
    <cellStyle name="Normal 5 2 4 6 5" xfId="18697" xr:uid="{3A960567-4327-44AE-9AB1-ABDFDB782030}"/>
    <cellStyle name="Normal 5 2 4 6 6" xfId="35555" xr:uid="{FDED11C6-FFD4-4028-8E95-0637B5F56FB3}"/>
    <cellStyle name="Normal 5 2 4 6 7" xfId="10262" xr:uid="{AE5CE4B0-8387-455C-9594-95AEC6067369}"/>
    <cellStyle name="Normal 5 2 4 7" xfId="2151" xr:uid="{00000000-0005-0000-0000-00001B190000}"/>
    <cellStyle name="Normal 5 2 4 7 2" xfId="4380" xr:uid="{00000000-0005-0000-0000-00001C190000}"/>
    <cellStyle name="Normal 5 2 4 7 2 2" xfId="8603" xr:uid="{00000000-0005-0000-0000-00001D190000}"/>
    <cellStyle name="Normal 5 2 4 7 2 2 2" xfId="33902" xr:uid="{11B849B7-E96C-4D50-9401-6E4BB53892DF}"/>
    <cellStyle name="Normal 5 2 4 7 2 2 3" xfId="25473" xr:uid="{6602543B-0331-419F-BB53-0DCAEAAB0D28}"/>
    <cellStyle name="Normal 5 2 4 7 2 2 4" xfId="42330" xr:uid="{5FAE717E-8BD9-49D4-B466-BC3CB083B0A8}"/>
    <cellStyle name="Normal 5 2 4 7 2 2 5" xfId="17038" xr:uid="{6DF9CD0B-2786-4C53-82AA-003FF03174EC}"/>
    <cellStyle name="Normal 5 2 4 7 2 3" xfId="29684" xr:uid="{7776DCA9-4D4D-4AAD-81CB-BE2A1975E576}"/>
    <cellStyle name="Normal 5 2 4 7 2 4" xfId="21255" xr:uid="{B05D18AD-0256-43DE-B2ED-41A746DB06EC}"/>
    <cellStyle name="Normal 5 2 4 7 2 5" xfId="38113" xr:uid="{70A279C1-6FD3-4F3C-8819-3BBD503AC088}"/>
    <cellStyle name="Normal 5 2 4 7 2 6" xfId="12820" xr:uid="{14CA696C-2577-447F-8D8F-8596114C3357}"/>
    <cellStyle name="Normal 5 2 4 7 3" xfId="6458" xr:uid="{00000000-0005-0000-0000-00001E190000}"/>
    <cellStyle name="Normal 5 2 4 7 3 2" xfId="31757" xr:uid="{646E394A-5E94-446B-9D72-A47B6D265DB6}"/>
    <cellStyle name="Normal 5 2 4 7 3 3" xfId="23328" xr:uid="{6FF86B71-551F-45AE-ADB9-132DC4941C8C}"/>
    <cellStyle name="Normal 5 2 4 7 3 4" xfId="40185" xr:uid="{05F225C1-5D87-4362-8A49-4DD408113D9B}"/>
    <cellStyle name="Normal 5 2 4 7 3 5" xfId="14893" xr:uid="{103D95ED-F0AD-4D94-830A-ED19BFD427BB}"/>
    <cellStyle name="Normal 5 2 4 7 4" xfId="27539" xr:uid="{6DDF5FA1-59D3-44F0-AC73-FD637DDF2B78}"/>
    <cellStyle name="Normal 5 2 4 7 5" xfId="19110" xr:uid="{22FEFA89-EC63-431B-AC01-B1D03EE3FCB1}"/>
    <cellStyle name="Normal 5 2 4 7 6" xfId="35968" xr:uid="{550B5745-F168-4C64-BC52-03A5F6CF0101}"/>
    <cellStyle name="Normal 5 2 4 7 7" xfId="10675" xr:uid="{150F8DB6-63BA-42B6-868E-5D573741A606}"/>
    <cellStyle name="Normal 5 2 4 8" xfId="2587" xr:uid="{00000000-0005-0000-0000-00001F190000}"/>
    <cellStyle name="Normal 5 2 4 8 2" xfId="6871" xr:uid="{00000000-0005-0000-0000-000020190000}"/>
    <cellStyle name="Normal 5 2 4 8 2 2" xfId="32170" xr:uid="{A77223EE-A969-4AD9-81A9-CE4DEB7AD3DB}"/>
    <cellStyle name="Normal 5 2 4 8 2 3" xfId="23741" xr:uid="{4C0EF3A1-0223-45AA-B3B3-C55BA5CF493A}"/>
    <cellStyle name="Normal 5 2 4 8 2 4" xfId="40598" xr:uid="{A5FA815E-029B-4746-9DB5-31F6AFEA3516}"/>
    <cellStyle name="Normal 5 2 4 8 2 5" xfId="15306" xr:uid="{B2A2B0C7-A636-494F-A2D3-9CBDDFC24B34}"/>
    <cellStyle name="Normal 5 2 4 8 3" xfId="27952" xr:uid="{0A5C39B8-26BA-42B9-B9E1-E937379FB0BE}"/>
    <cellStyle name="Normal 5 2 4 8 4" xfId="19523" xr:uid="{48A979D3-AA51-423D-BC5E-C5F4514D699E}"/>
    <cellStyle name="Normal 5 2 4 8 5" xfId="36381" xr:uid="{283BA364-3F5E-406C-8A71-F1FCC37AC652}"/>
    <cellStyle name="Normal 5 2 4 8 6" xfId="11088" xr:uid="{7FA84AAC-253C-4C70-A167-EDBD9CA121F5}"/>
    <cellStyle name="Normal 5 2 4 9" xfId="4806" xr:uid="{00000000-0005-0000-0000-000021190000}"/>
    <cellStyle name="Normal 5 2 4 9 2" xfId="30105" xr:uid="{732E7660-3B67-4F63-9A19-05740A5AAB44}"/>
    <cellStyle name="Normal 5 2 4 9 3" xfId="21676" xr:uid="{02BE062D-01D3-48ED-AF4D-14F4443DA241}"/>
    <cellStyle name="Normal 5 2 4 9 4" xfId="38533" xr:uid="{BC9EF0C1-2DE0-4498-ABA9-65CB6ACFD1C8}"/>
    <cellStyle name="Normal 5 2 4 9 5" xfId="13241" xr:uid="{E0F939E9-25EB-4016-90D1-457776D5437F}"/>
    <cellStyle name="Normal 5 2 5" xfId="436" xr:uid="{00000000-0005-0000-0000-000022190000}"/>
    <cellStyle name="Normal 5 2 5 10" xfId="17462" xr:uid="{5E0C3612-5DA6-497A-B3D4-E274B44C393D}"/>
    <cellStyle name="Normal 5 2 5 11" xfId="34320" xr:uid="{20982155-1CB9-4B67-B342-D7392ADC4284}"/>
    <cellStyle name="Normal 5 2 5 12" xfId="9027" xr:uid="{BCD1646F-ECDB-486D-8FD8-8DC3B89C37F9}"/>
    <cellStyle name="Normal 5 2 5 2" xfId="437" xr:uid="{00000000-0005-0000-0000-000023190000}"/>
    <cellStyle name="Normal 5 2 5 2 10" xfId="34321" xr:uid="{B147D765-CA7C-4D62-92AF-9A2296BB35A9}"/>
    <cellStyle name="Normal 5 2 5 2 11" xfId="9028" xr:uid="{CFE44230-E038-47BB-9B79-476027393F2A}"/>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32668" xr:uid="{49920FF7-CF90-41B8-B6C2-7D4A175D3B0A}"/>
    <cellStyle name="Normal 5 2 5 2 2 2 2 3" xfId="24239" xr:uid="{76795B00-32BD-4B68-8C38-3B6F8CBB7C41}"/>
    <cellStyle name="Normal 5 2 5 2 2 2 2 4" xfId="41096" xr:uid="{E699A71E-97DA-4498-AE6F-A79F7B5B1D8C}"/>
    <cellStyle name="Normal 5 2 5 2 2 2 2 5" xfId="15804" xr:uid="{A1C5B398-C3AF-432B-B05F-E49C2A99D7BD}"/>
    <cellStyle name="Normal 5 2 5 2 2 2 3" xfId="28450" xr:uid="{92CEA052-C9CE-4D61-BC1A-9A6360D534B1}"/>
    <cellStyle name="Normal 5 2 5 2 2 2 4" xfId="20021" xr:uid="{80E28E6E-C1A0-4441-BAE3-D19DE2D2B230}"/>
    <cellStyle name="Normal 5 2 5 2 2 2 5" xfId="36879" xr:uid="{9B2B1D47-9EE5-4842-9B39-6DA54EAB2BD6}"/>
    <cellStyle name="Normal 5 2 5 2 2 2 6" xfId="11586" xr:uid="{B25FC239-5896-46A9-87F9-BA1725E41CE6}"/>
    <cellStyle name="Normal 5 2 5 2 2 3" xfId="5224" xr:uid="{00000000-0005-0000-0000-000027190000}"/>
    <cellStyle name="Normal 5 2 5 2 2 3 2" xfId="30523" xr:uid="{186902CE-9F18-4175-AA95-0C249D12C079}"/>
    <cellStyle name="Normal 5 2 5 2 2 3 3" xfId="22094" xr:uid="{C98336B6-3980-4FE1-86F0-6BB4B9E73AF8}"/>
    <cellStyle name="Normal 5 2 5 2 2 3 4" xfId="38951" xr:uid="{5AA48CC7-BE80-4F92-B08D-9E4831A1071D}"/>
    <cellStyle name="Normal 5 2 5 2 2 3 5" xfId="13659" xr:uid="{9AC10D27-B1FC-4346-8883-127A9AA9DB3C}"/>
    <cellStyle name="Normal 5 2 5 2 2 4" xfId="26305" xr:uid="{2DFC8208-D85F-4592-9E9E-58D7A14190D6}"/>
    <cellStyle name="Normal 5 2 5 2 2 5" xfId="17876" xr:uid="{77F29E3B-8851-4CF0-927C-6098BB3AE141}"/>
    <cellStyle name="Normal 5 2 5 2 2 6" xfId="34734" xr:uid="{0BCF1C54-DAE0-4B1B-9E7A-5A5425370F3C}"/>
    <cellStyle name="Normal 5 2 5 2 2 7" xfId="9441" xr:uid="{39A764F7-7FCA-4F89-8BD3-42E301E0075F}"/>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33081" xr:uid="{392DF714-9BE2-43ED-B3C4-F9E46B6D7EB5}"/>
    <cellStyle name="Normal 5 2 5 2 3 2 2 3" xfId="24652" xr:uid="{9597DCCE-7301-4332-9810-0B7C5B42081A}"/>
    <cellStyle name="Normal 5 2 5 2 3 2 2 4" xfId="41509" xr:uid="{9EEEDC4F-8BD5-40EA-8379-87A81534D0B0}"/>
    <cellStyle name="Normal 5 2 5 2 3 2 2 5" xfId="16217" xr:uid="{339519ED-A9AF-400E-B42D-8F3EC913EAA2}"/>
    <cellStyle name="Normal 5 2 5 2 3 2 3" xfId="28863" xr:uid="{1E0BD9E7-4A63-4243-8F28-B6B5237A30DA}"/>
    <cellStyle name="Normal 5 2 5 2 3 2 4" xfId="20434" xr:uid="{F4221B5D-4C8A-42A2-9A15-9AD228526524}"/>
    <cellStyle name="Normal 5 2 5 2 3 2 5" xfId="37292" xr:uid="{F43F9DF4-5312-4760-83E1-C39BE4ECDECB}"/>
    <cellStyle name="Normal 5 2 5 2 3 2 6" xfId="11999" xr:uid="{14A02F9C-87C0-4571-A585-43852FB29B14}"/>
    <cellStyle name="Normal 5 2 5 2 3 3" xfId="5637" xr:uid="{00000000-0005-0000-0000-00002B190000}"/>
    <cellStyle name="Normal 5 2 5 2 3 3 2" xfId="30936" xr:uid="{0528DF07-DEA8-4A7B-AF02-BF670AE3288F}"/>
    <cellStyle name="Normal 5 2 5 2 3 3 3" xfId="22507" xr:uid="{E67A2C4A-18A2-48AC-9AAC-75FF22EAE605}"/>
    <cellStyle name="Normal 5 2 5 2 3 3 4" xfId="39364" xr:uid="{8EAC64E9-27CF-4A5D-B611-792DC9A8EEA2}"/>
    <cellStyle name="Normal 5 2 5 2 3 3 5" xfId="14072" xr:uid="{7EFC405D-FF33-44B5-82A4-A8E9E040D5AD}"/>
    <cellStyle name="Normal 5 2 5 2 3 4" xfId="26718" xr:uid="{8F31B098-00CF-4C8E-BE45-79F1B87315C1}"/>
    <cellStyle name="Normal 5 2 5 2 3 5" xfId="18289" xr:uid="{4CFAA31A-053C-4E9F-A40F-939A6AC28A63}"/>
    <cellStyle name="Normal 5 2 5 2 3 6" xfId="35147" xr:uid="{6F5E3539-210B-48B3-AC83-3624C9901B73}"/>
    <cellStyle name="Normal 5 2 5 2 3 7" xfId="9854" xr:uid="{1AB7B414-1036-410A-9452-5A48FAE8F655}"/>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33494" xr:uid="{A8B249A8-E399-4B55-B06D-E7D1C51A9622}"/>
    <cellStyle name="Normal 5 2 5 2 4 2 2 3" xfId="25065" xr:uid="{A8C01485-7FD4-430A-A967-8D1CF1CDE574}"/>
    <cellStyle name="Normal 5 2 5 2 4 2 2 4" xfId="41922" xr:uid="{B0C51EF5-18CC-4460-84B4-831A1BF2024F}"/>
    <cellStyle name="Normal 5 2 5 2 4 2 2 5" xfId="16630" xr:uid="{FBB514C1-2F6B-4981-B7F3-13F40A09F6E1}"/>
    <cellStyle name="Normal 5 2 5 2 4 2 3" xfId="29276" xr:uid="{B5028F40-D061-4CAC-BC94-147AAED95423}"/>
    <cellStyle name="Normal 5 2 5 2 4 2 4" xfId="20847" xr:uid="{97E1365D-53E8-4740-8338-3F78D4E6AED5}"/>
    <cellStyle name="Normal 5 2 5 2 4 2 5" xfId="37705" xr:uid="{A8CE0E28-997B-46E3-8263-BED0AEAF07AD}"/>
    <cellStyle name="Normal 5 2 5 2 4 2 6" xfId="12412" xr:uid="{4DF8F997-4C04-4742-BDFF-0E698B3038D9}"/>
    <cellStyle name="Normal 5 2 5 2 4 3" xfId="6050" xr:uid="{00000000-0005-0000-0000-00002F190000}"/>
    <cellStyle name="Normal 5 2 5 2 4 3 2" xfId="31349" xr:uid="{EB585A6E-5F16-4819-9CCD-48299E0FDECF}"/>
    <cellStyle name="Normal 5 2 5 2 4 3 3" xfId="22920" xr:uid="{CB0AD67D-2BFE-4B74-87C9-9A3EE1E3D66E}"/>
    <cellStyle name="Normal 5 2 5 2 4 3 4" xfId="39777" xr:uid="{B9DF74A1-04D0-40B2-9F90-841C8A644FF5}"/>
    <cellStyle name="Normal 5 2 5 2 4 3 5" xfId="14485" xr:uid="{56CDE83C-953B-4C98-B4B2-00E71DB039D7}"/>
    <cellStyle name="Normal 5 2 5 2 4 4" xfId="27131" xr:uid="{BDF2B7D8-D61C-4FC4-8DC7-3ED495C9560E}"/>
    <cellStyle name="Normal 5 2 5 2 4 5" xfId="18702" xr:uid="{ED8DA973-2935-4186-97B4-36134A3DD6D9}"/>
    <cellStyle name="Normal 5 2 5 2 4 6" xfId="35560" xr:uid="{B31D7AF5-43D3-4EC3-B9B2-A06CCB94553F}"/>
    <cellStyle name="Normal 5 2 5 2 4 7" xfId="10267" xr:uid="{FA678519-08AA-4F37-9BA5-832CEEE213A1}"/>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33907" xr:uid="{977C6984-2344-48D0-A634-A68C0E21C87F}"/>
    <cellStyle name="Normal 5 2 5 2 5 2 2 3" xfId="25478" xr:uid="{5429B9E5-B6C3-4D93-A8C2-F4E178792B67}"/>
    <cellStyle name="Normal 5 2 5 2 5 2 2 4" xfId="42335" xr:uid="{6DC6CD48-37FB-49FD-9384-9D6E2367926B}"/>
    <cellStyle name="Normal 5 2 5 2 5 2 2 5" xfId="17043" xr:uid="{5DA24A6D-E6DE-4997-987A-8D720C785572}"/>
    <cellStyle name="Normal 5 2 5 2 5 2 3" xfId="29689" xr:uid="{4CED3616-05BA-48AF-B70D-D2B13021951E}"/>
    <cellStyle name="Normal 5 2 5 2 5 2 4" xfId="21260" xr:uid="{828AA2F4-6EFC-4C57-AB94-116A3592B06E}"/>
    <cellStyle name="Normal 5 2 5 2 5 2 5" xfId="38118" xr:uid="{250E0D76-5AA7-4F55-BAC3-F7B107982D7C}"/>
    <cellStyle name="Normal 5 2 5 2 5 2 6" xfId="12825" xr:uid="{7B91433B-B6F0-43DE-A52E-75DC8EFA2BE2}"/>
    <cellStyle name="Normal 5 2 5 2 5 3" xfId="6463" xr:uid="{00000000-0005-0000-0000-000033190000}"/>
    <cellStyle name="Normal 5 2 5 2 5 3 2" xfId="31762" xr:uid="{9343B767-D148-462C-81D5-D0DAB93E5654}"/>
    <cellStyle name="Normal 5 2 5 2 5 3 3" xfId="23333" xr:uid="{45247815-C7BC-4717-B8BB-E1B2FF6075C7}"/>
    <cellStyle name="Normal 5 2 5 2 5 3 4" xfId="40190" xr:uid="{BB90685B-E7E4-4F82-9EC4-8AFA8337DB15}"/>
    <cellStyle name="Normal 5 2 5 2 5 3 5" xfId="14898" xr:uid="{539ED41C-7A60-463E-8A69-17AD7B5569D2}"/>
    <cellStyle name="Normal 5 2 5 2 5 4" xfId="27544" xr:uid="{0D1DFD12-196C-49F4-A33A-FC8D4C2C3EC7}"/>
    <cellStyle name="Normal 5 2 5 2 5 5" xfId="19115" xr:uid="{A0757785-92B0-4E7A-8FF8-BBD328A7D45E}"/>
    <cellStyle name="Normal 5 2 5 2 5 6" xfId="35973" xr:uid="{2E113C41-EDD7-4B45-93E7-124961A37128}"/>
    <cellStyle name="Normal 5 2 5 2 5 7" xfId="10680" xr:uid="{C63CB403-33A5-4805-AACC-8424551DCE9B}"/>
    <cellStyle name="Normal 5 2 5 2 6" xfId="2592" xr:uid="{00000000-0005-0000-0000-000034190000}"/>
    <cellStyle name="Normal 5 2 5 2 6 2" xfId="6876" xr:uid="{00000000-0005-0000-0000-000035190000}"/>
    <cellStyle name="Normal 5 2 5 2 6 2 2" xfId="32175" xr:uid="{CCEE8BD3-B1E8-474F-83B7-68EFEF9AADE9}"/>
    <cellStyle name="Normal 5 2 5 2 6 2 3" xfId="23746" xr:uid="{48193E5A-635C-4888-BF7F-8D740E0B6588}"/>
    <cellStyle name="Normal 5 2 5 2 6 2 4" xfId="40603" xr:uid="{5A2ECD37-CDFC-4773-BD2E-56B118C635A9}"/>
    <cellStyle name="Normal 5 2 5 2 6 2 5" xfId="15311" xr:uid="{23C8CCC4-486B-4BD6-ACDF-D2EAAC454899}"/>
    <cellStyle name="Normal 5 2 5 2 6 3" xfId="27957" xr:uid="{1A491476-F58B-45E4-8FC3-3C58EE746091}"/>
    <cellStyle name="Normal 5 2 5 2 6 4" xfId="19528" xr:uid="{734C78CC-CF2A-4E86-89C7-60C6345FD41B}"/>
    <cellStyle name="Normal 5 2 5 2 6 5" xfId="36386" xr:uid="{A6FF4979-0873-4C00-B746-9F2A6A3227CF}"/>
    <cellStyle name="Normal 5 2 5 2 6 6" xfId="11093" xr:uid="{B3F0BB35-439E-4B3C-809E-74659F71A957}"/>
    <cellStyle name="Normal 5 2 5 2 7" xfId="4811" xr:uid="{00000000-0005-0000-0000-000036190000}"/>
    <cellStyle name="Normal 5 2 5 2 7 2" xfId="30110" xr:uid="{27158C66-D334-4816-9D87-72854FE33D9E}"/>
    <cellStyle name="Normal 5 2 5 2 7 3" xfId="21681" xr:uid="{B286D349-9AFB-4110-B87A-7105D9AB2354}"/>
    <cellStyle name="Normal 5 2 5 2 7 4" xfId="38538" xr:uid="{700B6629-E879-424D-86E5-27CDE02EB023}"/>
    <cellStyle name="Normal 5 2 5 2 7 5" xfId="13246" xr:uid="{6B9D457B-9919-4C1F-9573-4447AB140586}"/>
    <cellStyle name="Normal 5 2 5 2 8" xfId="25892" xr:uid="{DD56D0D9-0868-46B6-95EC-0457B64A60C5}"/>
    <cellStyle name="Normal 5 2 5 2 9" xfId="17463" xr:uid="{CA8CCE68-BDF6-4CA6-9665-6DFC67F45F0A}"/>
    <cellStyle name="Normal 5 2 5 3" xfId="910" xr:uid="{00000000-0005-0000-0000-000037190000}"/>
    <cellStyle name="Normal 5 2 5 3 2" xfId="3145" xr:uid="{00000000-0005-0000-0000-000038190000}"/>
    <cellStyle name="Normal 5 2 5 3 2 2" xfId="7368" xr:uid="{00000000-0005-0000-0000-000039190000}"/>
    <cellStyle name="Normal 5 2 5 3 2 2 2" xfId="32667" xr:uid="{2EB910AA-4218-4299-B4BD-CF743313A18C}"/>
    <cellStyle name="Normal 5 2 5 3 2 2 3" xfId="24238" xr:uid="{039038FF-00CC-43F2-BBF8-B96AF7E812E5}"/>
    <cellStyle name="Normal 5 2 5 3 2 2 4" xfId="41095" xr:uid="{3443D982-2B03-4D25-B0A0-7345142022C5}"/>
    <cellStyle name="Normal 5 2 5 3 2 2 5" xfId="15803" xr:uid="{A4E118E8-3506-4748-BB68-2454FB66CE83}"/>
    <cellStyle name="Normal 5 2 5 3 2 3" xfId="28449" xr:uid="{7396430C-5491-4757-9E21-C34B0A3A3708}"/>
    <cellStyle name="Normal 5 2 5 3 2 4" xfId="20020" xr:uid="{DCB07C52-323B-4C08-950C-DE90FDCC2CC9}"/>
    <cellStyle name="Normal 5 2 5 3 2 5" xfId="36878" xr:uid="{5272F9BA-AA8B-495D-86EE-9FB6F317E55F}"/>
    <cellStyle name="Normal 5 2 5 3 2 6" xfId="11585" xr:uid="{D1F151E8-6FA1-4EC7-AB1B-E1533565933C}"/>
    <cellStyle name="Normal 5 2 5 3 3" xfId="5223" xr:uid="{00000000-0005-0000-0000-00003A190000}"/>
    <cellStyle name="Normal 5 2 5 3 3 2" xfId="30522" xr:uid="{E7A614B7-CDAC-48FD-BE20-75CD375C9737}"/>
    <cellStyle name="Normal 5 2 5 3 3 3" xfId="22093" xr:uid="{437607F7-9FD8-495A-980C-CC23DE9A3232}"/>
    <cellStyle name="Normal 5 2 5 3 3 4" xfId="38950" xr:uid="{593CA317-F9A2-4DB5-B9BD-DE9F46BF9508}"/>
    <cellStyle name="Normal 5 2 5 3 3 5" xfId="13658" xr:uid="{7EC9B28A-8BE3-4C88-9AAA-EF4C59063027}"/>
    <cellStyle name="Normal 5 2 5 3 4" xfId="26304" xr:uid="{390852A7-B7FE-4EA3-950A-ADFA6AC44E5C}"/>
    <cellStyle name="Normal 5 2 5 3 5" xfId="17875" xr:uid="{AC56E9A2-EAB2-4003-AB82-8052BB858622}"/>
    <cellStyle name="Normal 5 2 5 3 6" xfId="34733" xr:uid="{0A33A4A4-7CDC-49FA-BFAF-0BDC4384790A}"/>
    <cellStyle name="Normal 5 2 5 3 7" xfId="9440" xr:uid="{AF653AF3-3DC9-4612-8A2F-0CD3375DDFD7}"/>
    <cellStyle name="Normal 5 2 5 4" xfId="1328" xr:uid="{00000000-0005-0000-0000-00003B190000}"/>
    <cellStyle name="Normal 5 2 5 4 2" xfId="3558" xr:uid="{00000000-0005-0000-0000-00003C190000}"/>
    <cellStyle name="Normal 5 2 5 4 2 2" xfId="7781" xr:uid="{00000000-0005-0000-0000-00003D190000}"/>
    <cellStyle name="Normal 5 2 5 4 2 2 2" xfId="33080" xr:uid="{8FB9BACC-9F5B-4CA3-A39F-A20E144B0ECB}"/>
    <cellStyle name="Normal 5 2 5 4 2 2 3" xfId="24651" xr:uid="{1CDA5935-B92B-4AD7-BC5D-A92DB753ABD5}"/>
    <cellStyle name="Normal 5 2 5 4 2 2 4" xfId="41508" xr:uid="{2ECA7F38-BC7A-465D-B649-1BDBF6CFEAC3}"/>
    <cellStyle name="Normal 5 2 5 4 2 2 5" xfId="16216" xr:uid="{A05A805D-DC7C-4676-9837-B080ECBBDE9A}"/>
    <cellStyle name="Normal 5 2 5 4 2 3" xfId="28862" xr:uid="{98C4AA98-65DD-4E92-B723-D8259DAE26B8}"/>
    <cellStyle name="Normal 5 2 5 4 2 4" xfId="20433" xr:uid="{056C4A6B-BCDE-4176-8CC3-B57748A8AF58}"/>
    <cellStyle name="Normal 5 2 5 4 2 5" xfId="37291" xr:uid="{A6D4EFFB-C067-4357-9807-F04E5E5FC1FD}"/>
    <cellStyle name="Normal 5 2 5 4 2 6" xfId="11998" xr:uid="{043F5941-9323-4B81-A4F1-2836488AC461}"/>
    <cellStyle name="Normal 5 2 5 4 3" xfId="5636" xr:uid="{00000000-0005-0000-0000-00003E190000}"/>
    <cellStyle name="Normal 5 2 5 4 3 2" xfId="30935" xr:uid="{91394A76-DB4A-4665-A4A3-7FF36A45D547}"/>
    <cellStyle name="Normal 5 2 5 4 3 3" xfId="22506" xr:uid="{2432C235-3422-42AF-AA9C-A8BD5E35C504}"/>
    <cellStyle name="Normal 5 2 5 4 3 4" xfId="39363" xr:uid="{B364B7F1-1DD2-4F18-A6B1-F3514958AADD}"/>
    <cellStyle name="Normal 5 2 5 4 3 5" xfId="14071" xr:uid="{3DAE4445-9225-4F42-AA8C-593E6A2615CF}"/>
    <cellStyle name="Normal 5 2 5 4 4" xfId="26717" xr:uid="{BC3B417A-BB5F-45FE-92AF-2EAE06B1392F}"/>
    <cellStyle name="Normal 5 2 5 4 5" xfId="18288" xr:uid="{3F60CA40-44FD-4AB2-BB98-C3685D89DBD4}"/>
    <cellStyle name="Normal 5 2 5 4 6" xfId="35146" xr:uid="{A976DA26-6D11-4B47-80A3-9CE40D711517}"/>
    <cellStyle name="Normal 5 2 5 4 7" xfId="9853" xr:uid="{4A2877E1-0B49-48A7-A371-DCAC5484924A}"/>
    <cellStyle name="Normal 5 2 5 5" xfId="1741" xr:uid="{00000000-0005-0000-0000-00003F190000}"/>
    <cellStyle name="Normal 5 2 5 5 2" xfId="3971" xr:uid="{00000000-0005-0000-0000-000040190000}"/>
    <cellStyle name="Normal 5 2 5 5 2 2" xfId="8194" xr:uid="{00000000-0005-0000-0000-000041190000}"/>
    <cellStyle name="Normal 5 2 5 5 2 2 2" xfId="33493" xr:uid="{AF3D6AF1-E326-4A90-9BB5-636FE23E5784}"/>
    <cellStyle name="Normal 5 2 5 5 2 2 3" xfId="25064" xr:uid="{2CA189CD-7C37-4C76-8AF0-CAA15EC8F0B5}"/>
    <cellStyle name="Normal 5 2 5 5 2 2 4" xfId="41921" xr:uid="{3074356B-4973-4647-95D4-578919A857C9}"/>
    <cellStyle name="Normal 5 2 5 5 2 2 5" xfId="16629" xr:uid="{9E60D485-FBA1-4B24-A2EC-6A09AD0C890B}"/>
    <cellStyle name="Normal 5 2 5 5 2 3" xfId="29275" xr:uid="{1571E5A6-4211-4B14-96A6-0A1029D18D94}"/>
    <cellStyle name="Normal 5 2 5 5 2 4" xfId="20846" xr:uid="{B8FEAC19-AD6A-474C-AEFE-2174A37CB429}"/>
    <cellStyle name="Normal 5 2 5 5 2 5" xfId="37704" xr:uid="{D8F68177-03A3-47CE-AFB1-FB6E90C155AF}"/>
    <cellStyle name="Normal 5 2 5 5 2 6" xfId="12411" xr:uid="{51CED651-8065-4277-B923-E56B3CD81A75}"/>
    <cellStyle name="Normal 5 2 5 5 3" xfId="6049" xr:uid="{00000000-0005-0000-0000-000042190000}"/>
    <cellStyle name="Normal 5 2 5 5 3 2" xfId="31348" xr:uid="{A45C8667-0725-4874-BB37-7ABEBE5AA32F}"/>
    <cellStyle name="Normal 5 2 5 5 3 3" xfId="22919" xr:uid="{13E692FA-912F-4152-AF5A-596DE8C2184A}"/>
    <cellStyle name="Normal 5 2 5 5 3 4" xfId="39776" xr:uid="{775034CA-1EAA-47E8-877B-C10082DDD0C3}"/>
    <cellStyle name="Normal 5 2 5 5 3 5" xfId="14484" xr:uid="{803AF2B0-927A-4241-BF86-C5CFF6EEA57F}"/>
    <cellStyle name="Normal 5 2 5 5 4" xfId="27130" xr:uid="{AA2078A9-AE5F-4D25-B498-84D57B64C630}"/>
    <cellStyle name="Normal 5 2 5 5 5" xfId="18701" xr:uid="{97C8D680-0CD4-4AF9-9420-66A7CD3CFFE4}"/>
    <cellStyle name="Normal 5 2 5 5 6" xfId="35559" xr:uid="{553A06CD-12F2-4D6F-BB59-FDCCEC920431}"/>
    <cellStyle name="Normal 5 2 5 5 7" xfId="10266" xr:uid="{7C5E5713-9C2F-4FDB-8FCD-D74C38114732}"/>
    <cellStyle name="Normal 5 2 5 6" xfId="2155" xr:uid="{00000000-0005-0000-0000-000043190000}"/>
    <cellStyle name="Normal 5 2 5 6 2" xfId="4384" xr:uid="{00000000-0005-0000-0000-000044190000}"/>
    <cellStyle name="Normal 5 2 5 6 2 2" xfId="8607" xr:uid="{00000000-0005-0000-0000-000045190000}"/>
    <cellStyle name="Normal 5 2 5 6 2 2 2" xfId="33906" xr:uid="{D0321765-5EF8-4E61-A95E-BB0FE582EB42}"/>
    <cellStyle name="Normal 5 2 5 6 2 2 3" xfId="25477" xr:uid="{086A1B35-A1C2-42B4-95E8-D9489A7BFB85}"/>
    <cellStyle name="Normal 5 2 5 6 2 2 4" xfId="42334" xr:uid="{EE9BC037-A921-4F7E-9E9B-E79607640C81}"/>
    <cellStyle name="Normal 5 2 5 6 2 2 5" xfId="17042" xr:uid="{49CBB21B-1212-44B4-BE46-4E0A4304FCF7}"/>
    <cellStyle name="Normal 5 2 5 6 2 3" xfId="29688" xr:uid="{95B411C6-E8EE-475E-94B1-B8FE94781161}"/>
    <cellStyle name="Normal 5 2 5 6 2 4" xfId="21259" xr:uid="{CC36457C-86AC-405B-9BC6-2BFA1918FA78}"/>
    <cellStyle name="Normal 5 2 5 6 2 5" xfId="38117" xr:uid="{89B80782-F6A3-4F90-9C9E-4A6F568A6DF1}"/>
    <cellStyle name="Normal 5 2 5 6 2 6" xfId="12824" xr:uid="{AD35E607-C0E4-4051-AB78-DDDF91885DC7}"/>
    <cellStyle name="Normal 5 2 5 6 3" xfId="6462" xr:uid="{00000000-0005-0000-0000-000046190000}"/>
    <cellStyle name="Normal 5 2 5 6 3 2" xfId="31761" xr:uid="{0A4ADE0B-3CCA-400F-A299-8EB034028483}"/>
    <cellStyle name="Normal 5 2 5 6 3 3" xfId="23332" xr:uid="{FA084F40-79E7-40CF-99A2-2B797400793A}"/>
    <cellStyle name="Normal 5 2 5 6 3 4" xfId="40189" xr:uid="{0D7819BC-E107-433B-B251-93D807C00FA0}"/>
    <cellStyle name="Normal 5 2 5 6 3 5" xfId="14897" xr:uid="{7F23B848-3932-48F9-987C-7945FC27FB40}"/>
    <cellStyle name="Normal 5 2 5 6 4" xfId="27543" xr:uid="{CF5C930E-A96A-4A4F-A991-02AA42AF045D}"/>
    <cellStyle name="Normal 5 2 5 6 5" xfId="19114" xr:uid="{BD61A574-7412-4258-8B3B-B2FF4513622E}"/>
    <cellStyle name="Normal 5 2 5 6 6" xfId="35972" xr:uid="{D0E0646C-07DA-4F04-8CFD-1A1BF1EA89E6}"/>
    <cellStyle name="Normal 5 2 5 6 7" xfId="10679" xr:uid="{7DA2AAC0-D105-4F42-A7D8-89A4820C62F7}"/>
    <cellStyle name="Normal 5 2 5 7" xfId="2591" xr:uid="{00000000-0005-0000-0000-000047190000}"/>
    <cellStyle name="Normal 5 2 5 7 2" xfId="6875" xr:uid="{00000000-0005-0000-0000-000048190000}"/>
    <cellStyle name="Normal 5 2 5 7 2 2" xfId="32174" xr:uid="{9FE9C5BB-BBE8-479E-BA6C-D468F3C57231}"/>
    <cellStyle name="Normal 5 2 5 7 2 3" xfId="23745" xr:uid="{C6C2FC6F-694C-4CD4-9427-6D20BA83C667}"/>
    <cellStyle name="Normal 5 2 5 7 2 4" xfId="40602" xr:uid="{E674ED07-57A6-4836-8EEB-275120CEEE8A}"/>
    <cellStyle name="Normal 5 2 5 7 2 5" xfId="15310" xr:uid="{E55C8A64-6D61-444C-9D30-8D879579AC77}"/>
    <cellStyle name="Normal 5 2 5 7 3" xfId="27956" xr:uid="{48356593-5EB0-4961-9ADE-8C13830838D4}"/>
    <cellStyle name="Normal 5 2 5 7 4" xfId="19527" xr:uid="{160221E6-069D-49E3-9B4E-B4F09F76637A}"/>
    <cellStyle name="Normal 5 2 5 7 5" xfId="36385" xr:uid="{307EE92F-52AA-4858-BB0B-46F65F0AE611}"/>
    <cellStyle name="Normal 5 2 5 7 6" xfId="11092" xr:uid="{80B6A0A0-5BCC-46C1-82A3-1C0E69E88672}"/>
    <cellStyle name="Normal 5 2 5 8" xfId="4810" xr:uid="{00000000-0005-0000-0000-000049190000}"/>
    <cellStyle name="Normal 5 2 5 8 2" xfId="30109" xr:uid="{9304636E-DA91-465F-83EF-0CA376971346}"/>
    <cellStyle name="Normal 5 2 5 8 3" xfId="21680" xr:uid="{8A4C8314-E1D1-4A88-BAE3-605271CB2406}"/>
    <cellStyle name="Normal 5 2 5 8 4" xfId="38537" xr:uid="{2366D562-2CDD-4336-A02E-0F8523F89952}"/>
    <cellStyle name="Normal 5 2 5 8 5" xfId="13245" xr:uid="{86DF9BBB-DD4A-4A9E-A01D-AC6B68FA3F33}"/>
    <cellStyle name="Normal 5 2 5 9" xfId="25891" xr:uid="{08B49840-7014-4998-A7F8-68ED367FBDB9}"/>
    <cellStyle name="Normal 5 2 6" xfId="438" xr:uid="{00000000-0005-0000-0000-00004A190000}"/>
    <cellStyle name="Normal 5 2 6 10" xfId="34322" xr:uid="{F314A415-D8D5-4A03-A5CE-1E6BC5C86562}"/>
    <cellStyle name="Normal 5 2 6 11" xfId="9029" xr:uid="{7910B924-4950-4F8E-9AC8-30A6BB86610A}"/>
    <cellStyle name="Normal 5 2 6 2" xfId="912" xr:uid="{00000000-0005-0000-0000-00004B190000}"/>
    <cellStyle name="Normal 5 2 6 2 2" xfId="3147" xr:uid="{00000000-0005-0000-0000-00004C190000}"/>
    <cellStyle name="Normal 5 2 6 2 2 2" xfId="7370" xr:uid="{00000000-0005-0000-0000-00004D190000}"/>
    <cellStyle name="Normal 5 2 6 2 2 2 2" xfId="32669" xr:uid="{94941C58-5C6D-4595-BA0D-796D487E1F88}"/>
    <cellStyle name="Normal 5 2 6 2 2 2 3" xfId="24240" xr:uid="{30784974-486D-4B96-A799-B96236977409}"/>
    <cellStyle name="Normal 5 2 6 2 2 2 4" xfId="41097" xr:uid="{B5563B4A-18E7-4351-BC86-6034BED74F17}"/>
    <cellStyle name="Normal 5 2 6 2 2 2 5" xfId="15805" xr:uid="{B1386990-A267-443A-B2DC-E23AFAFCEA66}"/>
    <cellStyle name="Normal 5 2 6 2 2 3" xfId="28451" xr:uid="{8C8BA182-7496-44F0-8178-8DCD454C4654}"/>
    <cellStyle name="Normal 5 2 6 2 2 4" xfId="20022" xr:uid="{95ED42DE-B74D-4426-8CCD-AD654B6D6C15}"/>
    <cellStyle name="Normal 5 2 6 2 2 5" xfId="36880" xr:uid="{C716CFE4-4A7F-46F5-8207-13A008D7678F}"/>
    <cellStyle name="Normal 5 2 6 2 2 6" xfId="11587" xr:uid="{BF95F00A-180B-467F-BF5B-46523CA5A693}"/>
    <cellStyle name="Normal 5 2 6 2 3" xfId="5225" xr:uid="{00000000-0005-0000-0000-00004E190000}"/>
    <cellStyle name="Normal 5 2 6 2 3 2" xfId="30524" xr:uid="{D24E34A2-64AB-4D6C-9EBE-89A019FF669D}"/>
    <cellStyle name="Normal 5 2 6 2 3 3" xfId="22095" xr:uid="{C60375F4-0BBB-4F3B-8419-DBD77CE33EED}"/>
    <cellStyle name="Normal 5 2 6 2 3 4" xfId="38952" xr:uid="{AE315214-2163-421F-8900-82EBB3B4BB7B}"/>
    <cellStyle name="Normal 5 2 6 2 3 5" xfId="13660" xr:uid="{C613E8D2-8312-40AE-8FF4-DDE01B8BCD44}"/>
    <cellStyle name="Normal 5 2 6 2 4" xfId="26306" xr:uid="{6FA284B7-00A7-40A2-B046-4030A7A4E0F7}"/>
    <cellStyle name="Normal 5 2 6 2 5" xfId="17877" xr:uid="{209060DD-197A-4E5C-BF5E-B451EFA26818}"/>
    <cellStyle name="Normal 5 2 6 2 6" xfId="34735" xr:uid="{5AA424B7-287A-4E39-8F3B-627AF1044485}"/>
    <cellStyle name="Normal 5 2 6 2 7" xfId="9442" xr:uid="{A70D34D4-459D-4E93-BB62-0625CAEE6131}"/>
    <cellStyle name="Normal 5 2 6 3" xfId="1330" xr:uid="{00000000-0005-0000-0000-00004F190000}"/>
    <cellStyle name="Normal 5 2 6 3 2" xfId="3560" xr:uid="{00000000-0005-0000-0000-000050190000}"/>
    <cellStyle name="Normal 5 2 6 3 2 2" xfId="7783" xr:uid="{00000000-0005-0000-0000-000051190000}"/>
    <cellStyle name="Normal 5 2 6 3 2 2 2" xfId="33082" xr:uid="{B9654A2A-380A-428A-8B9C-136E3DDB1FE2}"/>
    <cellStyle name="Normal 5 2 6 3 2 2 3" xfId="24653" xr:uid="{C0850BB8-FBED-4108-9B80-CBC61B30B802}"/>
    <cellStyle name="Normal 5 2 6 3 2 2 4" xfId="41510" xr:uid="{6A1D3C82-F01E-4501-A7D4-82E266211C06}"/>
    <cellStyle name="Normal 5 2 6 3 2 2 5" xfId="16218" xr:uid="{EB73A1CC-A1B4-4893-94D6-90040FE2F137}"/>
    <cellStyle name="Normal 5 2 6 3 2 3" xfId="28864" xr:uid="{8CF40B7B-AFAD-4D79-BD5E-E8DD99D0B83D}"/>
    <cellStyle name="Normal 5 2 6 3 2 4" xfId="20435" xr:uid="{A17BFB44-7A89-4D8F-8558-1E15E13BF7E6}"/>
    <cellStyle name="Normal 5 2 6 3 2 5" xfId="37293" xr:uid="{636C0E80-6548-4659-81F1-D2945EB3270B}"/>
    <cellStyle name="Normal 5 2 6 3 2 6" xfId="12000" xr:uid="{4EEE5608-FA18-445C-B933-134673452DE7}"/>
    <cellStyle name="Normal 5 2 6 3 3" xfId="5638" xr:uid="{00000000-0005-0000-0000-000052190000}"/>
    <cellStyle name="Normal 5 2 6 3 3 2" xfId="30937" xr:uid="{D3FEF0FA-68F6-404C-A2A0-4AF8C2E321DD}"/>
    <cellStyle name="Normal 5 2 6 3 3 3" xfId="22508" xr:uid="{0599E5C8-A9C7-4164-8FCA-C904837E6EA8}"/>
    <cellStyle name="Normal 5 2 6 3 3 4" xfId="39365" xr:uid="{AEF37F1C-03C3-4A6F-A4C6-21BD93F74D4B}"/>
    <cellStyle name="Normal 5 2 6 3 3 5" xfId="14073" xr:uid="{2475EC75-B11E-480E-B8C0-759B1F6B404E}"/>
    <cellStyle name="Normal 5 2 6 3 4" xfId="26719" xr:uid="{40EC4672-531C-463E-BEA8-67713DA9FEE2}"/>
    <cellStyle name="Normal 5 2 6 3 5" xfId="18290" xr:uid="{8E64729E-258C-425C-BC19-3FC2ED0966E1}"/>
    <cellStyle name="Normal 5 2 6 3 6" xfId="35148" xr:uid="{CA2D3153-E8BE-42CA-9C77-19D1934EF320}"/>
    <cellStyle name="Normal 5 2 6 3 7" xfId="9855" xr:uid="{1C03A808-6577-413B-9F9D-C28B2A021D09}"/>
    <cellStyle name="Normal 5 2 6 4" xfId="1743" xr:uid="{00000000-0005-0000-0000-000053190000}"/>
    <cellStyle name="Normal 5 2 6 4 2" xfId="3973" xr:uid="{00000000-0005-0000-0000-000054190000}"/>
    <cellStyle name="Normal 5 2 6 4 2 2" xfId="8196" xr:uid="{00000000-0005-0000-0000-000055190000}"/>
    <cellStyle name="Normal 5 2 6 4 2 2 2" xfId="33495" xr:uid="{90014DB6-FA08-4D54-907A-CD8A3E01A582}"/>
    <cellStyle name="Normal 5 2 6 4 2 2 3" xfId="25066" xr:uid="{78063526-21E5-43FC-AD53-B5DD25E40D39}"/>
    <cellStyle name="Normal 5 2 6 4 2 2 4" xfId="41923" xr:uid="{D55AC2CA-AA0C-45D1-8C41-77242B458841}"/>
    <cellStyle name="Normal 5 2 6 4 2 2 5" xfId="16631" xr:uid="{B245B0B6-FEB0-46F9-8212-9B97847DDCA8}"/>
    <cellStyle name="Normal 5 2 6 4 2 3" xfId="29277" xr:uid="{FF1EB7E1-0141-49AE-8DC4-3BF1F5930522}"/>
    <cellStyle name="Normal 5 2 6 4 2 4" xfId="20848" xr:uid="{09C679B4-FC80-45D3-99A8-4E9C8398C0D7}"/>
    <cellStyle name="Normal 5 2 6 4 2 5" xfId="37706" xr:uid="{5F3B19DA-1083-4205-BBC9-8C419050B441}"/>
    <cellStyle name="Normal 5 2 6 4 2 6" xfId="12413" xr:uid="{F47BD1F4-439D-43D8-B576-8B3D2B40C881}"/>
    <cellStyle name="Normal 5 2 6 4 3" xfId="6051" xr:uid="{00000000-0005-0000-0000-000056190000}"/>
    <cellStyle name="Normal 5 2 6 4 3 2" xfId="31350" xr:uid="{51F762AD-A6C4-442E-899A-B420FD392BF8}"/>
    <cellStyle name="Normal 5 2 6 4 3 3" xfId="22921" xr:uid="{357464E2-C61C-4DB1-926F-E5459BED3E49}"/>
    <cellStyle name="Normal 5 2 6 4 3 4" xfId="39778" xr:uid="{B745304C-2DB1-48B9-9535-42DBB6A175D1}"/>
    <cellStyle name="Normal 5 2 6 4 3 5" xfId="14486" xr:uid="{6773B2FC-CD18-4C98-BD16-A95227F4B26C}"/>
    <cellStyle name="Normal 5 2 6 4 4" xfId="27132" xr:uid="{7647F7BF-F15B-4124-85F8-BFB3974C156D}"/>
    <cellStyle name="Normal 5 2 6 4 5" xfId="18703" xr:uid="{671B9ADA-F16D-4DC2-B3F6-3461FC06A10B}"/>
    <cellStyle name="Normal 5 2 6 4 6" xfId="35561" xr:uid="{EDE625DB-41B5-4317-A2C3-1DFB326E4629}"/>
    <cellStyle name="Normal 5 2 6 4 7" xfId="10268" xr:uid="{FC157B7E-6B5D-46E6-886A-A5D5DB57189E}"/>
    <cellStyle name="Normal 5 2 6 5" xfId="2157" xr:uid="{00000000-0005-0000-0000-000057190000}"/>
    <cellStyle name="Normal 5 2 6 5 2" xfId="4386" xr:uid="{00000000-0005-0000-0000-000058190000}"/>
    <cellStyle name="Normal 5 2 6 5 2 2" xfId="8609" xr:uid="{00000000-0005-0000-0000-000059190000}"/>
    <cellStyle name="Normal 5 2 6 5 2 2 2" xfId="33908" xr:uid="{7A8827D8-892D-410B-8DE4-9E028162CE9E}"/>
    <cellStyle name="Normal 5 2 6 5 2 2 3" xfId="25479" xr:uid="{CA54859C-A6E5-445D-BC8A-54F2F24B28B9}"/>
    <cellStyle name="Normal 5 2 6 5 2 2 4" xfId="42336" xr:uid="{38BF53CD-928E-48EB-A4F4-77C5722990C0}"/>
    <cellStyle name="Normal 5 2 6 5 2 2 5" xfId="17044" xr:uid="{E11B1C37-FFE4-4773-A502-3AC531332667}"/>
    <cellStyle name="Normal 5 2 6 5 2 3" xfId="29690" xr:uid="{5E83EB90-F988-49FB-B38E-FCF998660FF7}"/>
    <cellStyle name="Normal 5 2 6 5 2 4" xfId="21261" xr:uid="{A2199A05-6392-4E32-A1E4-CA31307510BA}"/>
    <cellStyle name="Normal 5 2 6 5 2 5" xfId="38119" xr:uid="{402A1C12-17D5-4A3B-8120-06B8EDB0F9F7}"/>
    <cellStyle name="Normal 5 2 6 5 2 6" xfId="12826" xr:uid="{A73D7585-91C1-435D-AACB-188731AC5546}"/>
    <cellStyle name="Normal 5 2 6 5 3" xfId="6464" xr:uid="{00000000-0005-0000-0000-00005A190000}"/>
    <cellStyle name="Normal 5 2 6 5 3 2" xfId="31763" xr:uid="{E69419D4-17EB-4C5F-9B6A-DB82C662E24B}"/>
    <cellStyle name="Normal 5 2 6 5 3 3" xfId="23334" xr:uid="{9EC6E11D-ED92-4996-B905-E97A43740940}"/>
    <cellStyle name="Normal 5 2 6 5 3 4" xfId="40191" xr:uid="{FD7F6E63-6D2E-4574-A7C1-888285F031D7}"/>
    <cellStyle name="Normal 5 2 6 5 3 5" xfId="14899" xr:uid="{E2D82F3A-7E93-4C27-8B38-A0B593CAABFF}"/>
    <cellStyle name="Normal 5 2 6 5 4" xfId="27545" xr:uid="{3337B280-499D-4680-991D-A2A15A03DF8D}"/>
    <cellStyle name="Normal 5 2 6 5 5" xfId="19116" xr:uid="{3D443DC6-0920-4A15-AA06-C4DD8364715B}"/>
    <cellStyle name="Normal 5 2 6 5 6" xfId="35974" xr:uid="{40E1CDC4-B5CA-4573-973B-D6B24EAD70D4}"/>
    <cellStyle name="Normal 5 2 6 5 7" xfId="10681" xr:uid="{828A9EC8-9865-4A37-A265-71FA8F7A19EF}"/>
    <cellStyle name="Normal 5 2 6 6" xfId="2593" xr:uid="{00000000-0005-0000-0000-00005B190000}"/>
    <cellStyle name="Normal 5 2 6 6 2" xfId="6877" xr:uid="{00000000-0005-0000-0000-00005C190000}"/>
    <cellStyle name="Normal 5 2 6 6 2 2" xfId="32176" xr:uid="{24835276-192B-4A4E-8175-C1649C35135D}"/>
    <cellStyle name="Normal 5 2 6 6 2 3" xfId="23747" xr:uid="{12BC6F13-D971-4F44-ABC4-43F534E48D43}"/>
    <cellStyle name="Normal 5 2 6 6 2 4" xfId="40604" xr:uid="{FB72BC30-FC98-472B-A022-AFE5FF9F02EB}"/>
    <cellStyle name="Normal 5 2 6 6 2 5" xfId="15312" xr:uid="{D4D456BB-E59E-4DF7-A03F-41CEA906539A}"/>
    <cellStyle name="Normal 5 2 6 6 3" xfId="27958" xr:uid="{C632DA27-1396-4EF6-93F4-32A57FAC0DDB}"/>
    <cellStyle name="Normal 5 2 6 6 4" xfId="19529" xr:uid="{AC863F46-E34B-4BDE-886D-D95BAB0B3623}"/>
    <cellStyle name="Normal 5 2 6 6 5" xfId="36387" xr:uid="{F61D3B07-AA80-47C3-9DB4-3821BEF5FA5E}"/>
    <cellStyle name="Normal 5 2 6 6 6" xfId="11094" xr:uid="{32CA4BD9-F2B8-48A5-A910-E72EDCAB08E5}"/>
    <cellStyle name="Normal 5 2 6 7" xfId="4812" xr:uid="{00000000-0005-0000-0000-00005D190000}"/>
    <cellStyle name="Normal 5 2 6 7 2" xfId="30111" xr:uid="{44755F61-A5AB-487C-BDB2-14AFCC8CB307}"/>
    <cellStyle name="Normal 5 2 6 7 3" xfId="21682" xr:uid="{90D2871C-A357-434B-8A67-D8FB67B49BDA}"/>
    <cellStyle name="Normal 5 2 6 7 4" xfId="38539" xr:uid="{7F056544-5AC8-48F9-9FA8-3DDB2CBBAE9D}"/>
    <cellStyle name="Normal 5 2 6 7 5" xfId="13247" xr:uid="{4187ABDA-A2FA-4F03-87E6-FEC172E98709}"/>
    <cellStyle name="Normal 5 2 6 8" xfId="25893" xr:uid="{9437EF65-7AB9-4099-BFC5-1718A80B8DCB}"/>
    <cellStyle name="Normal 5 2 6 9" xfId="17464" xr:uid="{E3B67979-EC3D-41C2-938C-B6ADF411904E}"/>
    <cellStyle name="Normal 5 2 7" xfId="881" xr:uid="{00000000-0005-0000-0000-00005E190000}"/>
    <cellStyle name="Normal 5 2 7 2" xfId="3116" xr:uid="{00000000-0005-0000-0000-00005F190000}"/>
    <cellStyle name="Normal 5 2 7 2 2" xfId="7339" xr:uid="{00000000-0005-0000-0000-000060190000}"/>
    <cellStyle name="Normal 5 2 7 2 2 2" xfId="32638" xr:uid="{EDAD5E5A-1E1D-4D22-AF9F-BA2EACE834EB}"/>
    <cellStyle name="Normal 5 2 7 2 2 3" xfId="24209" xr:uid="{BA2127C8-362B-4144-935A-B11BB53FF80E}"/>
    <cellStyle name="Normal 5 2 7 2 2 4" xfId="41066" xr:uid="{FB645FF9-20C0-406F-8800-982AD94222B2}"/>
    <cellStyle name="Normal 5 2 7 2 2 5" xfId="15774" xr:uid="{C7DA2A40-9B03-44D8-B01B-98261EF4B0A5}"/>
    <cellStyle name="Normal 5 2 7 2 3" xfId="28420" xr:uid="{A97E5798-2489-4914-AE04-D1BCE20CA29D}"/>
    <cellStyle name="Normal 5 2 7 2 4" xfId="19991" xr:uid="{65C60FF6-6374-4A89-862B-DDE1F74BCE78}"/>
    <cellStyle name="Normal 5 2 7 2 5" xfId="36849" xr:uid="{211133E1-15F0-4E89-84B8-5E6AF3284634}"/>
    <cellStyle name="Normal 5 2 7 2 6" xfId="11556" xr:uid="{1A8A2512-F53C-43C4-82C1-3A8EEA6775BB}"/>
    <cellStyle name="Normal 5 2 7 3" xfId="5194" xr:uid="{00000000-0005-0000-0000-000061190000}"/>
    <cellStyle name="Normal 5 2 7 3 2" xfId="30493" xr:uid="{E413D6BE-8DD7-40A5-9709-5794BA4F910C}"/>
    <cellStyle name="Normal 5 2 7 3 3" xfId="22064" xr:uid="{F508D8AC-4518-4AC7-9A13-E72FA73F9CDF}"/>
    <cellStyle name="Normal 5 2 7 3 4" xfId="38921" xr:uid="{2F20A850-061C-4A5F-BD92-0137D373FF64}"/>
    <cellStyle name="Normal 5 2 7 3 5" xfId="13629" xr:uid="{ECF61F5D-3EDA-4BF8-9DC3-B64723730A5F}"/>
    <cellStyle name="Normal 5 2 7 4" xfId="26275" xr:uid="{E15596FF-E280-4C58-B297-52723F12797F}"/>
    <cellStyle name="Normal 5 2 7 5" xfId="17846" xr:uid="{DFE104ED-4C5B-4836-BF3F-328CAB65E3D6}"/>
    <cellStyle name="Normal 5 2 7 6" xfId="34704" xr:uid="{0C24CDC3-B8DF-44B0-9C5B-F6504AF5D145}"/>
    <cellStyle name="Normal 5 2 7 7" xfId="9411" xr:uid="{9363EE25-B0E3-4824-BF8B-46A89DFBD98F}"/>
    <cellStyle name="Normal 5 2 8" xfId="1299" xr:uid="{00000000-0005-0000-0000-000062190000}"/>
    <cellStyle name="Normal 5 2 8 2" xfId="3529" xr:uid="{00000000-0005-0000-0000-000063190000}"/>
    <cellStyle name="Normal 5 2 8 2 2" xfId="7752" xr:uid="{00000000-0005-0000-0000-000064190000}"/>
    <cellStyle name="Normal 5 2 8 2 2 2" xfId="33051" xr:uid="{B1FDA01F-72A0-4136-A7F6-0A6F1ADC51D8}"/>
    <cellStyle name="Normal 5 2 8 2 2 3" xfId="24622" xr:uid="{8DC2BD2A-4CAB-4DA9-BE53-0275B4DB249E}"/>
    <cellStyle name="Normal 5 2 8 2 2 4" xfId="41479" xr:uid="{82FD4EF1-47FE-4ABC-9B04-42ED06425755}"/>
    <cellStyle name="Normal 5 2 8 2 2 5" xfId="16187" xr:uid="{BDF04389-2BB0-44D5-A32C-4F808565E61F}"/>
    <cellStyle name="Normal 5 2 8 2 3" xfId="28833" xr:uid="{C0F7851A-C5A2-4B6A-939E-D820674E256B}"/>
    <cellStyle name="Normal 5 2 8 2 4" xfId="20404" xr:uid="{44793C82-AF8F-4AC6-B4B6-D27FBCB54792}"/>
    <cellStyle name="Normal 5 2 8 2 5" xfId="37262" xr:uid="{78E89E7E-6FC0-44F1-A695-BA5322ED928C}"/>
    <cellStyle name="Normal 5 2 8 2 6" xfId="11969" xr:uid="{85F318AC-F1F2-4477-9CC0-E595AD84B42C}"/>
    <cellStyle name="Normal 5 2 8 3" xfId="5607" xr:uid="{00000000-0005-0000-0000-000065190000}"/>
    <cellStyle name="Normal 5 2 8 3 2" xfId="30906" xr:uid="{84190A03-EAD1-45E1-A965-EDC516A7D820}"/>
    <cellStyle name="Normal 5 2 8 3 3" xfId="22477" xr:uid="{63578CE9-D875-4541-899A-B0CAA4E5AC75}"/>
    <cellStyle name="Normal 5 2 8 3 4" xfId="39334" xr:uid="{0642EBF6-B416-4FF0-ACB9-5659582DE05E}"/>
    <cellStyle name="Normal 5 2 8 3 5" xfId="14042" xr:uid="{E8E96A21-5174-4A84-8479-907497DBF344}"/>
    <cellStyle name="Normal 5 2 8 4" xfId="26688" xr:uid="{2830A1C6-25C6-4EE3-BFC3-CA564C1B8A7E}"/>
    <cellStyle name="Normal 5 2 8 5" xfId="18259" xr:uid="{C423A130-C283-4430-8D10-382D32CE46F5}"/>
    <cellStyle name="Normal 5 2 8 6" xfId="35117" xr:uid="{36A5E29E-B3E7-46A2-B199-DF296CAAFCED}"/>
    <cellStyle name="Normal 5 2 8 7" xfId="9824" xr:uid="{6BB904C9-6058-4FB4-A4C2-A4EF9A175FD6}"/>
    <cellStyle name="Normal 5 2 9" xfId="1712" xr:uid="{00000000-0005-0000-0000-000066190000}"/>
    <cellStyle name="Normal 5 2 9 2" xfId="3942" xr:uid="{00000000-0005-0000-0000-000067190000}"/>
    <cellStyle name="Normal 5 2 9 2 2" xfId="8165" xr:uid="{00000000-0005-0000-0000-000068190000}"/>
    <cellStyle name="Normal 5 2 9 2 2 2" xfId="33464" xr:uid="{8140A975-B40A-4492-8B13-22B35FFEAB1A}"/>
    <cellStyle name="Normal 5 2 9 2 2 3" xfId="25035" xr:uid="{832A6604-8809-4965-9A37-CFE92BFC7179}"/>
    <cellStyle name="Normal 5 2 9 2 2 4" xfId="41892" xr:uid="{BFF0613D-382F-4B0F-90A5-B7FB301BB984}"/>
    <cellStyle name="Normal 5 2 9 2 2 5" xfId="16600" xr:uid="{D7ACFA01-160F-4A19-998F-C525D72D94D2}"/>
    <cellStyle name="Normal 5 2 9 2 3" xfId="29246" xr:uid="{BB0CAB81-3685-42D6-A4E3-DA2E65D666E5}"/>
    <cellStyle name="Normal 5 2 9 2 4" xfId="20817" xr:uid="{1E58D53A-210B-4208-B85A-19959B225BB0}"/>
    <cellStyle name="Normal 5 2 9 2 5" xfId="37675" xr:uid="{83DC58E9-029C-4429-BE90-2905B88C5A7D}"/>
    <cellStyle name="Normal 5 2 9 2 6" xfId="12382" xr:uid="{53918145-879E-4927-BB3E-2378AFFC07D6}"/>
    <cellStyle name="Normal 5 2 9 3" xfId="6020" xr:uid="{00000000-0005-0000-0000-000069190000}"/>
    <cellStyle name="Normal 5 2 9 3 2" xfId="31319" xr:uid="{4A252803-F931-4F9B-ABA3-D75871A9ADCE}"/>
    <cellStyle name="Normal 5 2 9 3 3" xfId="22890" xr:uid="{7296690D-15D9-49E7-A0AB-CC8439DCA08C}"/>
    <cellStyle name="Normal 5 2 9 3 4" xfId="39747" xr:uid="{2F68CD4E-9D45-4634-B5B4-8F173BFA36E2}"/>
    <cellStyle name="Normal 5 2 9 3 5" xfId="14455" xr:uid="{6B23AA2B-0982-4C73-BF59-E9D3BD0B8704}"/>
    <cellStyle name="Normal 5 2 9 4" xfId="27101" xr:uid="{16FB051A-980E-4AA8-9F53-F2EF7B27FF4F}"/>
    <cellStyle name="Normal 5 2 9 5" xfId="18672" xr:uid="{B2B9EB93-ADA2-4D9B-927F-72A44DABDD74}"/>
    <cellStyle name="Normal 5 2 9 6" xfId="35530" xr:uid="{8263278E-9591-4039-8568-001728C59FFA}"/>
    <cellStyle name="Normal 5 2 9 7" xfId="10237" xr:uid="{9C80AA3C-7349-4128-98A5-D939C5355C1E}"/>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33909" xr:uid="{973F41A4-1FE4-445C-8047-4D8F0BF37406}"/>
    <cellStyle name="Normal 5 3 10 2 2 3" xfId="25480" xr:uid="{373760EA-1D47-4F30-B032-4547F4158DB4}"/>
    <cellStyle name="Normal 5 3 10 2 2 4" xfId="42337" xr:uid="{682EAADF-BB99-476C-BAA3-23D7759E8338}"/>
    <cellStyle name="Normal 5 3 10 2 2 5" xfId="17045" xr:uid="{2AE63D07-C76A-4C36-9925-FF363220A7ED}"/>
    <cellStyle name="Normal 5 3 10 2 3" xfId="29691" xr:uid="{8396555A-B68F-4C83-9EBF-538DDBD33DD4}"/>
    <cellStyle name="Normal 5 3 10 2 4" xfId="21262" xr:uid="{0E2F7DDB-BCC8-4127-A997-8D17D6F0E7B9}"/>
    <cellStyle name="Normal 5 3 10 2 5" xfId="38120" xr:uid="{4A2D9FBD-8A75-4E10-925E-8DB17ADF8A36}"/>
    <cellStyle name="Normal 5 3 10 2 6" xfId="12827" xr:uid="{E3DC37AF-2BA8-48DD-ADE6-1C4BD7B966BC}"/>
    <cellStyle name="Normal 5 3 10 3" xfId="6465" xr:uid="{00000000-0005-0000-0000-00006E190000}"/>
    <cellStyle name="Normal 5 3 10 3 2" xfId="31764" xr:uid="{40311D71-4EBA-4FFD-B950-3AA34C5D69F7}"/>
    <cellStyle name="Normal 5 3 10 3 3" xfId="23335" xr:uid="{46D0D85B-FC27-4970-8582-E2921D0D3B91}"/>
    <cellStyle name="Normal 5 3 10 3 4" xfId="40192" xr:uid="{1D556598-3F7A-4733-A70A-ECD35C302138}"/>
    <cellStyle name="Normal 5 3 10 3 5" xfId="14900" xr:uid="{08B0C841-ABCF-4B04-A727-5FEE20F9E337}"/>
    <cellStyle name="Normal 5 3 10 4" xfId="27546" xr:uid="{85396CD2-5EA7-48F2-BC7A-22787AE5B5F1}"/>
    <cellStyle name="Normal 5 3 10 5" xfId="19117" xr:uid="{D092B24D-96AC-43BE-84FF-60DBF4C77A37}"/>
    <cellStyle name="Normal 5 3 10 6" xfId="35975" xr:uid="{41F61224-AAD6-4B1B-A47E-B02724945045}"/>
    <cellStyle name="Normal 5 3 10 7" xfId="10682" xr:uid="{8435E57E-64D1-4EA3-9E6B-455E056BD430}"/>
    <cellStyle name="Normal 5 3 11" xfId="2594" xr:uid="{00000000-0005-0000-0000-00006F190000}"/>
    <cellStyle name="Normal 5 3 11 2" xfId="6878" xr:uid="{00000000-0005-0000-0000-000070190000}"/>
    <cellStyle name="Normal 5 3 11 2 2" xfId="32177" xr:uid="{9E194426-B0C1-4AEF-A468-81CEC295F5CE}"/>
    <cellStyle name="Normal 5 3 11 2 3" xfId="23748" xr:uid="{5FAF6427-32B4-419C-BDEB-80FF5D8EAF39}"/>
    <cellStyle name="Normal 5 3 11 2 4" xfId="40605" xr:uid="{7C11ADA5-3298-4C53-8C6D-35A4FCB73548}"/>
    <cellStyle name="Normal 5 3 11 2 5" xfId="15313" xr:uid="{4E724FB0-CD5C-4A50-BB66-26F11BEBD854}"/>
    <cellStyle name="Normal 5 3 11 3" xfId="27959" xr:uid="{61BF0A22-677F-4113-8A1D-8E843229B0B0}"/>
    <cellStyle name="Normal 5 3 11 4" xfId="19530" xr:uid="{95279F8C-B89B-44E9-8CA7-5F72CA607414}"/>
    <cellStyle name="Normal 5 3 11 5" xfId="36388" xr:uid="{52187C5C-018F-473D-9F2D-FF453E6EF524}"/>
    <cellStyle name="Normal 5 3 11 6" xfId="11095" xr:uid="{3F7A8687-B20E-482B-84C9-CD3F79A98B4A}"/>
    <cellStyle name="Normal 5 3 12" xfId="4813" xr:uid="{00000000-0005-0000-0000-000071190000}"/>
    <cellStyle name="Normal 5 3 12 2" xfId="30112" xr:uid="{86A620C4-50AD-42F8-9CF5-8F90D12B6ECF}"/>
    <cellStyle name="Normal 5 3 12 3" xfId="21683" xr:uid="{30C32CEE-38CC-46D8-8429-D45702BB09F3}"/>
    <cellStyle name="Normal 5 3 12 4" xfId="38540" xr:uid="{5CABF48E-0C40-4F9E-8F94-D4110D36FA64}"/>
    <cellStyle name="Normal 5 3 12 5" xfId="13248" xr:uid="{72C60AF2-824A-44A1-835B-99EBEBCE3354}"/>
    <cellStyle name="Normal 5 3 13" xfId="25894" xr:uid="{E5A20F3D-79A5-4A15-95F8-DECBFBBC8544}"/>
    <cellStyle name="Normal 5 3 14" xfId="17465" xr:uid="{B65355EF-13D9-4295-9314-04F4F0B2C9FA}"/>
    <cellStyle name="Normal 5 3 15" xfId="34323" xr:uid="{AFFB3152-74A8-41F9-AD7B-53C62E2C8314}"/>
    <cellStyle name="Normal 5 3 16" xfId="9030" xr:uid="{9037DB17-226D-4F09-972C-A6EBB087B52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30113" xr:uid="{C43B90F1-5C16-44A4-8618-63CF8F65BBF6}"/>
    <cellStyle name="Normal 5 3 3 10 3" xfId="21684" xr:uid="{336DF285-FE1E-493A-B641-7D4F7F23F1D9}"/>
    <cellStyle name="Normal 5 3 3 10 4" xfId="38541" xr:uid="{8FFC9C2E-B61B-4758-98DD-67A9A3822B69}"/>
    <cellStyle name="Normal 5 3 3 10 5" xfId="13249" xr:uid="{0698BDBD-39B7-4C60-950A-9D4291F01C96}"/>
    <cellStyle name="Normal 5 3 3 11" xfId="25895" xr:uid="{5DD44BBA-C531-4C5C-99F4-D8B2CB778ECD}"/>
    <cellStyle name="Normal 5 3 3 12" xfId="17466" xr:uid="{F1FB9B43-2778-4F22-AFC5-A31BE1B9D003}"/>
    <cellStyle name="Normal 5 3 3 13" xfId="34324" xr:uid="{7A4BCF97-2134-45BA-9DAD-1F0EEE3FC58C}"/>
    <cellStyle name="Normal 5 3 3 14" xfId="9031" xr:uid="{03E2DBE6-9E36-4586-9AED-3ED528C54991}"/>
    <cellStyle name="Normal 5 3 3 2" xfId="442" xr:uid="{00000000-0005-0000-0000-000076190000}"/>
    <cellStyle name="Normal 5 3 3 2 10" xfId="25896" xr:uid="{033F409F-EEA0-4300-9398-3C2A6B9AD730}"/>
    <cellStyle name="Normal 5 3 3 2 11" xfId="17467" xr:uid="{EB8DA913-BA63-4B64-AC48-F836E70B949D}"/>
    <cellStyle name="Normal 5 3 3 2 12" xfId="34325" xr:uid="{BF80058E-8382-4167-921E-F0C6D42A2198}"/>
    <cellStyle name="Normal 5 3 3 2 13" xfId="9032" xr:uid="{E28E4746-6F8C-48F2-85E5-49C04B848C97}"/>
    <cellStyle name="Normal 5 3 3 2 2" xfId="443" xr:uid="{00000000-0005-0000-0000-000077190000}"/>
    <cellStyle name="Normal 5 3 3 2 2 10" xfId="17468" xr:uid="{7D7446A2-8911-46A4-85DF-F1E7598C9D20}"/>
    <cellStyle name="Normal 5 3 3 2 2 11" xfId="34326" xr:uid="{72017200-00A6-44E0-863F-CCE1E4DBED95}"/>
    <cellStyle name="Normal 5 3 3 2 2 12" xfId="9033" xr:uid="{A6BA6B11-745A-4512-BD71-31DBD49D579E}"/>
    <cellStyle name="Normal 5 3 3 2 2 2" xfId="444" xr:uid="{00000000-0005-0000-0000-000078190000}"/>
    <cellStyle name="Normal 5 3 3 2 2 2 10" xfId="34327" xr:uid="{3D7E03F8-A24D-4188-9E4E-3EC14598095D}"/>
    <cellStyle name="Normal 5 3 3 2 2 2 11" xfId="9034" xr:uid="{E609675B-117A-47DB-8929-41AE0F56249E}"/>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32674" xr:uid="{FC2235CA-FD67-413D-8A64-7482470F6276}"/>
    <cellStyle name="Normal 5 3 3 2 2 2 2 2 2 3" xfId="24245" xr:uid="{EAE7C667-0541-4731-80A8-C40BCFDFD1B2}"/>
    <cellStyle name="Normal 5 3 3 2 2 2 2 2 2 4" xfId="41102" xr:uid="{2B24D359-2F95-4ECF-BDBB-2E65713CF8F5}"/>
    <cellStyle name="Normal 5 3 3 2 2 2 2 2 2 5" xfId="15810" xr:uid="{F19326B8-1213-4D3E-8CDE-47C9DB1E7DC1}"/>
    <cellStyle name="Normal 5 3 3 2 2 2 2 2 3" xfId="28456" xr:uid="{6BA51EB9-E60E-4DBC-AA4E-CE01A461A32E}"/>
    <cellStyle name="Normal 5 3 3 2 2 2 2 2 4" xfId="20027" xr:uid="{4249EF11-0DFB-4936-A284-7B84EE0260E0}"/>
    <cellStyle name="Normal 5 3 3 2 2 2 2 2 5" xfId="36885" xr:uid="{73506A88-5E9A-46E5-86B7-AEF44DC6314C}"/>
    <cellStyle name="Normal 5 3 3 2 2 2 2 2 6" xfId="11592" xr:uid="{099427BA-F448-45E9-A404-716EC558E9C1}"/>
    <cellStyle name="Normal 5 3 3 2 2 2 2 3" xfId="5230" xr:uid="{00000000-0005-0000-0000-00007C190000}"/>
    <cellStyle name="Normal 5 3 3 2 2 2 2 3 2" xfId="30529" xr:uid="{466983DE-1416-437F-9848-5E440C692683}"/>
    <cellStyle name="Normal 5 3 3 2 2 2 2 3 3" xfId="22100" xr:uid="{CA429CA0-320A-4BCE-BA0D-F360152A1E7B}"/>
    <cellStyle name="Normal 5 3 3 2 2 2 2 3 4" xfId="38957" xr:uid="{EE843471-541A-41C7-AB7A-042FD0124CEE}"/>
    <cellStyle name="Normal 5 3 3 2 2 2 2 3 5" xfId="13665" xr:uid="{24EC3696-CB4C-4883-8110-E2049686D9F7}"/>
    <cellStyle name="Normal 5 3 3 2 2 2 2 4" xfId="26311" xr:uid="{F349FA55-9500-4366-A197-B98FCB624A5E}"/>
    <cellStyle name="Normal 5 3 3 2 2 2 2 5" xfId="17882" xr:uid="{9DA3C2DD-8784-461C-BE8F-0050607FF601}"/>
    <cellStyle name="Normal 5 3 3 2 2 2 2 6" xfId="34740" xr:uid="{E9EAC711-DCB4-4599-8DA6-564EC754D297}"/>
    <cellStyle name="Normal 5 3 3 2 2 2 2 7" xfId="9447" xr:uid="{F59C7870-62A3-4EB3-B273-9EFF2D526FDA}"/>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33087" xr:uid="{770911F5-F0B8-4884-A249-BE7E67453EE2}"/>
    <cellStyle name="Normal 5 3 3 2 2 2 3 2 2 3" xfId="24658" xr:uid="{5A912681-2B7F-4F34-A422-2107AAA04E4E}"/>
    <cellStyle name="Normal 5 3 3 2 2 2 3 2 2 4" xfId="41515" xr:uid="{A18F9A4E-950E-4945-BB13-BA0FA43F34AF}"/>
    <cellStyle name="Normal 5 3 3 2 2 2 3 2 2 5" xfId="16223" xr:uid="{E6E8931C-959E-4C73-AD0E-842FCAB4A5AD}"/>
    <cellStyle name="Normal 5 3 3 2 2 2 3 2 3" xfId="28869" xr:uid="{4BC8F366-2964-4379-9CEC-B75FEA69DB37}"/>
    <cellStyle name="Normal 5 3 3 2 2 2 3 2 4" xfId="20440" xr:uid="{1402E3D3-596C-489C-9BA7-6030B46CF7BC}"/>
    <cellStyle name="Normal 5 3 3 2 2 2 3 2 5" xfId="37298" xr:uid="{31AEACEF-36D4-459B-B76C-E063348AC9BB}"/>
    <cellStyle name="Normal 5 3 3 2 2 2 3 2 6" xfId="12005" xr:uid="{F7104D2A-4236-4F3B-A60B-2D5B8E1851F0}"/>
    <cellStyle name="Normal 5 3 3 2 2 2 3 3" xfId="5643" xr:uid="{00000000-0005-0000-0000-000080190000}"/>
    <cellStyle name="Normal 5 3 3 2 2 2 3 3 2" xfId="30942" xr:uid="{D9A2619E-DD4E-4B54-8D9A-9202440A864D}"/>
    <cellStyle name="Normal 5 3 3 2 2 2 3 3 3" xfId="22513" xr:uid="{7541881A-BF36-4155-BF8D-15E0461B9F79}"/>
    <cellStyle name="Normal 5 3 3 2 2 2 3 3 4" xfId="39370" xr:uid="{7730BBC1-A00B-4F37-9E6A-F791D22B08D7}"/>
    <cellStyle name="Normal 5 3 3 2 2 2 3 3 5" xfId="14078" xr:uid="{5E2A2CF9-D997-4424-9DF1-DE97C44F34B9}"/>
    <cellStyle name="Normal 5 3 3 2 2 2 3 4" xfId="26724" xr:uid="{092A64C2-8503-4D4E-AABD-6DCFF42A2422}"/>
    <cellStyle name="Normal 5 3 3 2 2 2 3 5" xfId="18295" xr:uid="{5230CAA3-939F-4BAD-8A80-3F70AD7496F2}"/>
    <cellStyle name="Normal 5 3 3 2 2 2 3 6" xfId="35153" xr:uid="{FE69B2F7-4AD9-4AFF-8BC2-7FF1111B5584}"/>
    <cellStyle name="Normal 5 3 3 2 2 2 3 7" xfId="9860" xr:uid="{1DEC1B77-50EE-42D7-A51A-DBA64B7ABDF3}"/>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33500" xr:uid="{10875293-FFFF-4BEB-8749-B896CF0599EF}"/>
    <cellStyle name="Normal 5 3 3 2 2 2 4 2 2 3" xfId="25071" xr:uid="{17B14452-1DE5-40BA-BC7D-60226B489BE1}"/>
    <cellStyle name="Normal 5 3 3 2 2 2 4 2 2 4" xfId="41928" xr:uid="{C36F8D99-1ABB-48C2-ABE1-F78EDBD5237E}"/>
    <cellStyle name="Normal 5 3 3 2 2 2 4 2 2 5" xfId="16636" xr:uid="{56BDDA9B-6644-4102-8F12-68FF32DE5FA1}"/>
    <cellStyle name="Normal 5 3 3 2 2 2 4 2 3" xfId="29282" xr:uid="{BDB4AFB7-5B4E-4E3B-9A6E-DFAA41C11583}"/>
    <cellStyle name="Normal 5 3 3 2 2 2 4 2 4" xfId="20853" xr:uid="{E43C7E27-25E4-4760-A54D-B81F0462C017}"/>
    <cellStyle name="Normal 5 3 3 2 2 2 4 2 5" xfId="37711" xr:uid="{1FE96FB9-99F7-4BD1-BC03-20BFC148B042}"/>
    <cellStyle name="Normal 5 3 3 2 2 2 4 2 6" xfId="12418" xr:uid="{9FA302FC-7C95-48D2-8FAD-933D6266EA1D}"/>
    <cellStyle name="Normal 5 3 3 2 2 2 4 3" xfId="6056" xr:uid="{00000000-0005-0000-0000-000084190000}"/>
    <cellStyle name="Normal 5 3 3 2 2 2 4 3 2" xfId="31355" xr:uid="{14EF62C4-09AC-476A-B6DB-BBBD430E3F82}"/>
    <cellStyle name="Normal 5 3 3 2 2 2 4 3 3" xfId="22926" xr:uid="{A01DD565-7178-4AE7-AC53-AF67C061094D}"/>
    <cellStyle name="Normal 5 3 3 2 2 2 4 3 4" xfId="39783" xr:uid="{888C695A-07D1-41DA-B669-F5F9E30D36FA}"/>
    <cellStyle name="Normal 5 3 3 2 2 2 4 3 5" xfId="14491" xr:uid="{1AB1A47B-8570-42AC-B558-921A67EE7B7A}"/>
    <cellStyle name="Normal 5 3 3 2 2 2 4 4" xfId="27137" xr:uid="{17A5D12D-200F-414A-8BAB-6B34155547BA}"/>
    <cellStyle name="Normal 5 3 3 2 2 2 4 5" xfId="18708" xr:uid="{A56FAAC9-9036-4A28-BD68-1B51DCE1B46F}"/>
    <cellStyle name="Normal 5 3 3 2 2 2 4 6" xfId="35566" xr:uid="{C486FBBE-A949-4078-8A92-D7D270E9B28F}"/>
    <cellStyle name="Normal 5 3 3 2 2 2 4 7" xfId="10273" xr:uid="{9C7E2481-A458-4E3C-912D-BD8B6BE3D116}"/>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33913" xr:uid="{7D72095D-E718-4C7D-A75F-44C530568597}"/>
    <cellStyle name="Normal 5 3 3 2 2 2 5 2 2 3" xfId="25484" xr:uid="{D98C9813-857F-41D2-921D-ABEF1996A45F}"/>
    <cellStyle name="Normal 5 3 3 2 2 2 5 2 2 4" xfId="42341" xr:uid="{28A0F489-C860-4410-AC3B-71730D284084}"/>
    <cellStyle name="Normal 5 3 3 2 2 2 5 2 2 5" xfId="17049" xr:uid="{B859A278-3D99-4E07-AED8-1ABE51215402}"/>
    <cellStyle name="Normal 5 3 3 2 2 2 5 2 3" xfId="29695" xr:uid="{3F13E389-BFDF-4F2B-8A86-854071A62638}"/>
    <cellStyle name="Normal 5 3 3 2 2 2 5 2 4" xfId="21266" xr:uid="{72EA19B6-100B-475D-9EDF-BA157AC0D705}"/>
    <cellStyle name="Normal 5 3 3 2 2 2 5 2 5" xfId="38124" xr:uid="{AE28856C-9B4E-43FB-8F20-B92F3646DA05}"/>
    <cellStyle name="Normal 5 3 3 2 2 2 5 2 6" xfId="12831" xr:uid="{0FBF833F-2F5A-4F6D-8AFA-9F528C93A91C}"/>
    <cellStyle name="Normal 5 3 3 2 2 2 5 3" xfId="6469" xr:uid="{00000000-0005-0000-0000-000088190000}"/>
    <cellStyle name="Normal 5 3 3 2 2 2 5 3 2" xfId="31768" xr:uid="{9347F48F-8198-4C17-B63C-79DB254057AE}"/>
    <cellStyle name="Normal 5 3 3 2 2 2 5 3 3" xfId="23339" xr:uid="{B5F54529-A5F6-45C4-BC01-D68C8A49038E}"/>
    <cellStyle name="Normal 5 3 3 2 2 2 5 3 4" xfId="40196" xr:uid="{96E4B919-3D49-46CA-A12A-D3C0D213A3EB}"/>
    <cellStyle name="Normal 5 3 3 2 2 2 5 3 5" xfId="14904" xr:uid="{E8D03B40-2685-4722-8B09-15A7B37EA71C}"/>
    <cellStyle name="Normal 5 3 3 2 2 2 5 4" xfId="27550" xr:uid="{616DAA13-B61F-4EBF-B100-CA4CC86DDD2A}"/>
    <cellStyle name="Normal 5 3 3 2 2 2 5 5" xfId="19121" xr:uid="{489ECD7F-9AA3-4302-A1C7-B41670A2B9DF}"/>
    <cellStyle name="Normal 5 3 3 2 2 2 5 6" xfId="35979" xr:uid="{3E6F8CDE-0FC4-443A-B6E5-8F0C27F55C8B}"/>
    <cellStyle name="Normal 5 3 3 2 2 2 5 7" xfId="10686" xr:uid="{813B37E2-EB79-46D2-9B17-9E0D170EC624}"/>
    <cellStyle name="Normal 5 3 3 2 2 2 6" xfId="2598" xr:uid="{00000000-0005-0000-0000-000089190000}"/>
    <cellStyle name="Normal 5 3 3 2 2 2 6 2" xfId="6882" xr:uid="{00000000-0005-0000-0000-00008A190000}"/>
    <cellStyle name="Normal 5 3 3 2 2 2 6 2 2" xfId="32181" xr:uid="{6A37A320-98F2-4ECE-A6BA-21692C0C4F16}"/>
    <cellStyle name="Normal 5 3 3 2 2 2 6 2 3" xfId="23752" xr:uid="{D2CC94E0-2AB1-4DD9-82F2-4FF635D06C8D}"/>
    <cellStyle name="Normal 5 3 3 2 2 2 6 2 4" xfId="40609" xr:uid="{D03C57DF-2636-48B3-B45F-07FFBA63D800}"/>
    <cellStyle name="Normal 5 3 3 2 2 2 6 2 5" xfId="15317" xr:uid="{26C72AC0-575A-4192-9F35-2E25DBC6EAA7}"/>
    <cellStyle name="Normal 5 3 3 2 2 2 6 3" xfId="27963" xr:uid="{F79227B0-DD8D-468C-B9DD-80E6FEC2EC10}"/>
    <cellStyle name="Normal 5 3 3 2 2 2 6 4" xfId="19534" xr:uid="{BBD203B8-8226-4CFE-8AF6-9A80279A6139}"/>
    <cellStyle name="Normal 5 3 3 2 2 2 6 5" xfId="36392" xr:uid="{8BF3BD9F-3C7D-4162-AF2B-77A754FA1E16}"/>
    <cellStyle name="Normal 5 3 3 2 2 2 6 6" xfId="11099" xr:uid="{577E4004-F821-4B3F-A93B-2743295D5DFE}"/>
    <cellStyle name="Normal 5 3 3 2 2 2 7" xfId="4817" xr:uid="{00000000-0005-0000-0000-00008B190000}"/>
    <cellStyle name="Normal 5 3 3 2 2 2 7 2" xfId="30116" xr:uid="{CEAAFA7B-B072-49A2-BC36-30F29B388B39}"/>
    <cellStyle name="Normal 5 3 3 2 2 2 7 3" xfId="21687" xr:uid="{82659FC8-6B25-4BEA-BEEA-D2FE5D67272F}"/>
    <cellStyle name="Normal 5 3 3 2 2 2 7 4" xfId="38544" xr:uid="{DC601D5F-E257-4E19-AFA7-F56268EC090D}"/>
    <cellStyle name="Normal 5 3 3 2 2 2 7 5" xfId="13252" xr:uid="{CF91299B-D940-4B1B-8944-1D81BD6B4E08}"/>
    <cellStyle name="Normal 5 3 3 2 2 2 8" xfId="25898" xr:uid="{10E7B2C8-9412-42C0-BA36-D5A78F109A81}"/>
    <cellStyle name="Normal 5 3 3 2 2 2 9" xfId="17469" xr:uid="{67D480C0-A14C-4ACD-8A6A-017B5D80CAA4}"/>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32673" xr:uid="{89145D7D-A073-472D-A95D-01B0F13F94F2}"/>
    <cellStyle name="Normal 5 3 3 2 2 3 2 2 3" xfId="24244" xr:uid="{C0651FD2-0D53-4A0B-94B6-24FDC23B61E3}"/>
    <cellStyle name="Normal 5 3 3 2 2 3 2 2 4" xfId="41101" xr:uid="{04A33CD4-B4D2-492F-9451-EADCC117D0C1}"/>
    <cellStyle name="Normal 5 3 3 2 2 3 2 2 5" xfId="15809" xr:uid="{67BA25F8-352B-4D31-93E7-7AA053DABAFE}"/>
    <cellStyle name="Normal 5 3 3 2 2 3 2 3" xfId="28455" xr:uid="{BA72DAE8-A9BC-466A-85A2-6284BEAACBCC}"/>
    <cellStyle name="Normal 5 3 3 2 2 3 2 4" xfId="20026" xr:uid="{3FD3763F-7FAB-4544-966E-455DAF3BE61F}"/>
    <cellStyle name="Normal 5 3 3 2 2 3 2 5" xfId="36884" xr:uid="{FDCC67A7-7421-4413-808C-737BC2416A0F}"/>
    <cellStyle name="Normal 5 3 3 2 2 3 2 6" xfId="11591" xr:uid="{2D0353B5-DAEC-44E7-9DFA-A1E27B8E4D6E}"/>
    <cellStyle name="Normal 5 3 3 2 2 3 3" xfId="5229" xr:uid="{00000000-0005-0000-0000-00008F190000}"/>
    <cellStyle name="Normal 5 3 3 2 2 3 3 2" xfId="30528" xr:uid="{1EAC588E-65C2-431E-80C7-2A608D47A258}"/>
    <cellStyle name="Normal 5 3 3 2 2 3 3 3" xfId="22099" xr:uid="{D6A49D7E-5E77-4501-878F-DA4A2512F01C}"/>
    <cellStyle name="Normal 5 3 3 2 2 3 3 4" xfId="38956" xr:uid="{86E6C99E-1145-4B51-B6F1-52B75033C5B0}"/>
    <cellStyle name="Normal 5 3 3 2 2 3 3 5" xfId="13664" xr:uid="{2C1113B7-58BA-4519-B1C9-7F33BA32B2F9}"/>
    <cellStyle name="Normal 5 3 3 2 2 3 4" xfId="26310" xr:uid="{B6C43883-0B16-4039-867D-2B694E4E01D7}"/>
    <cellStyle name="Normal 5 3 3 2 2 3 5" xfId="17881" xr:uid="{EF7340A9-21DC-4F7D-AF59-7E8682B6DD8D}"/>
    <cellStyle name="Normal 5 3 3 2 2 3 6" xfId="34739" xr:uid="{CE4EC6D7-1646-480D-97F8-021A0D8AA265}"/>
    <cellStyle name="Normal 5 3 3 2 2 3 7" xfId="9446" xr:uid="{AB693BA8-A500-4270-8962-F8DD1BB77F2A}"/>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33086" xr:uid="{0A648E9D-199F-4861-AC56-32C0D735804D}"/>
    <cellStyle name="Normal 5 3 3 2 2 4 2 2 3" xfId="24657" xr:uid="{E6ABB7BF-3BF9-4902-9D3F-9708B8682F66}"/>
    <cellStyle name="Normal 5 3 3 2 2 4 2 2 4" xfId="41514" xr:uid="{A6C24694-A35B-45BD-B501-F75F02095983}"/>
    <cellStyle name="Normal 5 3 3 2 2 4 2 2 5" xfId="16222" xr:uid="{08397E39-19BE-441D-A7E5-52157F608B69}"/>
    <cellStyle name="Normal 5 3 3 2 2 4 2 3" xfId="28868" xr:uid="{039557B5-DE80-4642-B9DA-8D5C03578EED}"/>
    <cellStyle name="Normal 5 3 3 2 2 4 2 4" xfId="20439" xr:uid="{83C154A0-3502-4791-A105-95480A6AE575}"/>
    <cellStyle name="Normal 5 3 3 2 2 4 2 5" xfId="37297" xr:uid="{CFF38F6E-A50E-4128-886D-894C9B7F7EF6}"/>
    <cellStyle name="Normal 5 3 3 2 2 4 2 6" xfId="12004" xr:uid="{73D533C7-268C-4F46-8FD5-25588C358F1B}"/>
    <cellStyle name="Normal 5 3 3 2 2 4 3" xfId="5642" xr:uid="{00000000-0005-0000-0000-000093190000}"/>
    <cellStyle name="Normal 5 3 3 2 2 4 3 2" xfId="30941" xr:uid="{3AA12729-74AB-4A5F-80CE-BA6AF14F8505}"/>
    <cellStyle name="Normal 5 3 3 2 2 4 3 3" xfId="22512" xr:uid="{D496A26F-CC9D-4B78-A67D-B76F27F55781}"/>
    <cellStyle name="Normal 5 3 3 2 2 4 3 4" xfId="39369" xr:uid="{CA81C2FD-DB28-4020-AC40-B213D6A02C03}"/>
    <cellStyle name="Normal 5 3 3 2 2 4 3 5" xfId="14077" xr:uid="{92B8670C-B989-4553-A0AD-3EEA9A065ED1}"/>
    <cellStyle name="Normal 5 3 3 2 2 4 4" xfId="26723" xr:uid="{7C2BE7DC-A5A9-4095-AF5C-AF45C8BE5EA6}"/>
    <cellStyle name="Normal 5 3 3 2 2 4 5" xfId="18294" xr:uid="{C62CFB02-06A8-4FA3-A9E6-51643DDA8A0A}"/>
    <cellStyle name="Normal 5 3 3 2 2 4 6" xfId="35152" xr:uid="{235CE40A-93CD-4394-BA3E-5EC72DD14512}"/>
    <cellStyle name="Normal 5 3 3 2 2 4 7" xfId="9859" xr:uid="{3B164A96-3BC7-4E15-84A2-36ACC517B385}"/>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33499" xr:uid="{AB909589-4690-4B56-831A-76A7DB02F81D}"/>
    <cellStyle name="Normal 5 3 3 2 2 5 2 2 3" xfId="25070" xr:uid="{683A398F-6276-44A7-A71B-2FE56BC5C289}"/>
    <cellStyle name="Normal 5 3 3 2 2 5 2 2 4" xfId="41927" xr:uid="{D3B1AAD0-C8C6-47DD-A5B0-0246C9F95DDB}"/>
    <cellStyle name="Normal 5 3 3 2 2 5 2 2 5" xfId="16635" xr:uid="{6974AE9E-48F5-45F5-9BD8-2D30D0E68C16}"/>
    <cellStyle name="Normal 5 3 3 2 2 5 2 3" xfId="29281" xr:uid="{7D497A82-7CED-4D28-A85E-1A20EC676105}"/>
    <cellStyle name="Normal 5 3 3 2 2 5 2 4" xfId="20852" xr:uid="{1838D92C-E5D7-44DE-A723-ADAEA83BA90F}"/>
    <cellStyle name="Normal 5 3 3 2 2 5 2 5" xfId="37710" xr:uid="{B5899E71-0231-4C4B-8C3B-779CE6A04B01}"/>
    <cellStyle name="Normal 5 3 3 2 2 5 2 6" xfId="12417" xr:uid="{4B411D3F-E2F8-461F-B52D-47F7F99A0950}"/>
    <cellStyle name="Normal 5 3 3 2 2 5 3" xfId="6055" xr:uid="{00000000-0005-0000-0000-000097190000}"/>
    <cellStyle name="Normal 5 3 3 2 2 5 3 2" xfId="31354" xr:uid="{48AA11AB-0567-46B0-9540-905E3A9C2417}"/>
    <cellStyle name="Normal 5 3 3 2 2 5 3 3" xfId="22925" xr:uid="{58B01430-42EC-4C31-B9D6-5FFF7FFF7AF5}"/>
    <cellStyle name="Normal 5 3 3 2 2 5 3 4" xfId="39782" xr:uid="{827153D8-4B3A-4377-A736-B31BE3B6BDEF}"/>
    <cellStyle name="Normal 5 3 3 2 2 5 3 5" xfId="14490" xr:uid="{83574156-9F88-43A0-951B-A79807D4BFA3}"/>
    <cellStyle name="Normal 5 3 3 2 2 5 4" xfId="27136" xr:uid="{5B496F39-29CD-434F-AED3-A86A7C5BB817}"/>
    <cellStyle name="Normal 5 3 3 2 2 5 5" xfId="18707" xr:uid="{91878383-4AD6-4575-B458-A94CC782A051}"/>
    <cellStyle name="Normal 5 3 3 2 2 5 6" xfId="35565" xr:uid="{27B70130-0AB2-4BF0-96D0-24F2ACBA914A}"/>
    <cellStyle name="Normal 5 3 3 2 2 5 7" xfId="10272" xr:uid="{CA2E2D2F-0C50-4F9D-8EB4-D97861987D43}"/>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33912" xr:uid="{3B4F41E1-6116-4678-A930-3DC6636D8469}"/>
    <cellStyle name="Normal 5 3 3 2 2 6 2 2 3" xfId="25483" xr:uid="{7EDEACBE-F323-42C8-B0FF-BB6EB9BA0DE0}"/>
    <cellStyle name="Normal 5 3 3 2 2 6 2 2 4" xfId="42340" xr:uid="{234FD17B-C3BF-47F0-88CE-5DB8E6B17597}"/>
    <cellStyle name="Normal 5 3 3 2 2 6 2 2 5" xfId="17048" xr:uid="{8BEB4195-B4C0-4966-83AE-1AD2D2EC1E2C}"/>
    <cellStyle name="Normal 5 3 3 2 2 6 2 3" xfId="29694" xr:uid="{916FA479-69C9-4A69-B7F0-C711473A3F26}"/>
    <cellStyle name="Normal 5 3 3 2 2 6 2 4" xfId="21265" xr:uid="{37338C5C-7314-4490-BED4-FBE4B63FFE05}"/>
    <cellStyle name="Normal 5 3 3 2 2 6 2 5" xfId="38123" xr:uid="{5C187E35-8B9A-464D-A303-2D45AE0755E3}"/>
    <cellStyle name="Normal 5 3 3 2 2 6 2 6" xfId="12830" xr:uid="{C607D32B-D075-43EF-8674-0316BA295562}"/>
    <cellStyle name="Normal 5 3 3 2 2 6 3" xfId="6468" xr:uid="{00000000-0005-0000-0000-00009B190000}"/>
    <cellStyle name="Normal 5 3 3 2 2 6 3 2" xfId="31767" xr:uid="{50C20FF0-C752-4D8D-994C-5013393D1718}"/>
    <cellStyle name="Normal 5 3 3 2 2 6 3 3" xfId="23338" xr:uid="{B7DCB9FD-481A-4DF0-B418-EC3B2FEB84E6}"/>
    <cellStyle name="Normal 5 3 3 2 2 6 3 4" xfId="40195" xr:uid="{FD500034-731E-4230-83EF-B06794FF0F40}"/>
    <cellStyle name="Normal 5 3 3 2 2 6 3 5" xfId="14903" xr:uid="{2B7825F2-EDFB-43BF-BAA8-18C6E628539C}"/>
    <cellStyle name="Normal 5 3 3 2 2 6 4" xfId="27549" xr:uid="{0977A400-5E9F-40C4-BF94-305ED183BB6A}"/>
    <cellStyle name="Normal 5 3 3 2 2 6 5" xfId="19120" xr:uid="{B915C8E5-C4E4-4B72-89D2-24ACC5480DF5}"/>
    <cellStyle name="Normal 5 3 3 2 2 6 6" xfId="35978" xr:uid="{6ECCC717-5C6F-403A-8F03-6098BAF2C176}"/>
    <cellStyle name="Normal 5 3 3 2 2 6 7" xfId="10685" xr:uid="{30590E20-426A-405B-8484-8BC904A7A980}"/>
    <cellStyle name="Normal 5 3 3 2 2 7" xfId="2597" xr:uid="{00000000-0005-0000-0000-00009C190000}"/>
    <cellStyle name="Normal 5 3 3 2 2 7 2" xfId="6881" xr:uid="{00000000-0005-0000-0000-00009D190000}"/>
    <cellStyle name="Normal 5 3 3 2 2 7 2 2" xfId="32180" xr:uid="{1B4CE999-D104-4EEF-A8C1-AC5D78751332}"/>
    <cellStyle name="Normal 5 3 3 2 2 7 2 3" xfId="23751" xr:uid="{7B64B21F-9465-4804-BA2F-CC9E040DFDAE}"/>
    <cellStyle name="Normal 5 3 3 2 2 7 2 4" xfId="40608" xr:uid="{CBAACB86-E552-4D8B-A14B-00C5C53C8783}"/>
    <cellStyle name="Normal 5 3 3 2 2 7 2 5" xfId="15316" xr:uid="{1F97FDFA-49C7-4701-9874-0296E93449DE}"/>
    <cellStyle name="Normal 5 3 3 2 2 7 3" xfId="27962" xr:uid="{2B30FF63-C160-49CF-9EBE-A0780A546315}"/>
    <cellStyle name="Normal 5 3 3 2 2 7 4" xfId="19533" xr:uid="{A9C844A0-8FBA-42AA-A721-71B4B523F40A}"/>
    <cellStyle name="Normal 5 3 3 2 2 7 5" xfId="36391" xr:uid="{9030E187-C20A-4BCA-B171-2B46F1BAFBB4}"/>
    <cellStyle name="Normal 5 3 3 2 2 7 6" xfId="11098" xr:uid="{E334BEF6-F3D6-44BF-9F50-4E2CCFD7E86D}"/>
    <cellStyle name="Normal 5 3 3 2 2 8" xfId="4816" xr:uid="{00000000-0005-0000-0000-00009E190000}"/>
    <cellStyle name="Normal 5 3 3 2 2 8 2" xfId="30115" xr:uid="{3C05FB08-3F94-4ADC-9342-2670848FEFD0}"/>
    <cellStyle name="Normal 5 3 3 2 2 8 3" xfId="21686" xr:uid="{CDB01B95-0E15-4E6F-BE9C-E5C0BDEBE5F9}"/>
    <cellStyle name="Normal 5 3 3 2 2 8 4" xfId="38543" xr:uid="{8BCA16B2-5A33-4373-8D21-5FCFBD217350}"/>
    <cellStyle name="Normal 5 3 3 2 2 8 5" xfId="13251" xr:uid="{2BBF02D6-A448-4D1D-9735-1DEE5B9E1911}"/>
    <cellStyle name="Normal 5 3 3 2 2 9" xfId="25897" xr:uid="{0B385B60-97F2-469A-B401-97363D9AD95F}"/>
    <cellStyle name="Normal 5 3 3 2 3" xfId="445" xr:uid="{00000000-0005-0000-0000-00009F190000}"/>
    <cellStyle name="Normal 5 3 3 2 3 10" xfId="34328" xr:uid="{6ED83EC4-84D2-477B-BC82-8116932BF71C}"/>
    <cellStyle name="Normal 5 3 3 2 3 11" xfId="9035" xr:uid="{C6A19657-7FC2-400A-879D-10F2CBA3E745}"/>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32675" xr:uid="{53DD2A3D-150A-4D7B-ADE9-AD271315AB3B}"/>
    <cellStyle name="Normal 5 3 3 2 3 2 2 2 3" xfId="24246" xr:uid="{03A7C1F2-543F-405F-B2A3-F742017CACB0}"/>
    <cellStyle name="Normal 5 3 3 2 3 2 2 2 4" xfId="41103" xr:uid="{14965883-6021-4B79-8D05-1D2563055185}"/>
    <cellStyle name="Normal 5 3 3 2 3 2 2 2 5" xfId="15811" xr:uid="{72C2481A-ED8F-4A8F-AEC9-5B78F4D9ECD5}"/>
    <cellStyle name="Normal 5 3 3 2 3 2 2 3" xfId="28457" xr:uid="{D8843425-3FED-4EE6-A298-359EF539B7C4}"/>
    <cellStyle name="Normal 5 3 3 2 3 2 2 4" xfId="20028" xr:uid="{059BF44B-81A4-48D0-9D9B-4EC6F7B837B3}"/>
    <cellStyle name="Normal 5 3 3 2 3 2 2 5" xfId="36886" xr:uid="{ADE39DAA-1493-45EB-8375-EB9EE6B11EFD}"/>
    <cellStyle name="Normal 5 3 3 2 3 2 2 6" xfId="11593" xr:uid="{6E5DEFB6-1212-4EF4-B18E-841AE6B00CBA}"/>
    <cellStyle name="Normal 5 3 3 2 3 2 3" xfId="5231" xr:uid="{00000000-0005-0000-0000-0000A3190000}"/>
    <cellStyle name="Normal 5 3 3 2 3 2 3 2" xfId="30530" xr:uid="{3F16537E-1FC7-4A4C-B8A8-5943C39F2A98}"/>
    <cellStyle name="Normal 5 3 3 2 3 2 3 3" xfId="22101" xr:uid="{36863703-8358-4070-B800-CF0AC672D7B4}"/>
    <cellStyle name="Normal 5 3 3 2 3 2 3 4" xfId="38958" xr:uid="{00D20F65-EA7F-4970-947F-E112839FAE4D}"/>
    <cellStyle name="Normal 5 3 3 2 3 2 3 5" xfId="13666" xr:uid="{FC3A5B44-3326-4B2E-9A2E-CA0ABB3798B4}"/>
    <cellStyle name="Normal 5 3 3 2 3 2 4" xfId="26312" xr:uid="{1AE81FCF-775E-4CEC-8E9B-0A992D5B2D78}"/>
    <cellStyle name="Normal 5 3 3 2 3 2 5" xfId="17883" xr:uid="{C6C5306A-43B1-4862-A146-38C623FE636D}"/>
    <cellStyle name="Normal 5 3 3 2 3 2 6" xfId="34741" xr:uid="{1ED8B338-84A4-424F-81F3-969BC7B2F9CA}"/>
    <cellStyle name="Normal 5 3 3 2 3 2 7" xfId="9448" xr:uid="{E05E96AB-0797-48B5-A940-0D8473EC5FC2}"/>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33088" xr:uid="{21902319-F1E6-436D-849A-8ABEBE51E850}"/>
    <cellStyle name="Normal 5 3 3 2 3 3 2 2 3" xfId="24659" xr:uid="{6D995AFD-D565-4AB1-95AE-519AF56866F5}"/>
    <cellStyle name="Normal 5 3 3 2 3 3 2 2 4" xfId="41516" xr:uid="{D4FD7107-6954-41D7-863F-450C9B2E75CB}"/>
    <cellStyle name="Normal 5 3 3 2 3 3 2 2 5" xfId="16224" xr:uid="{D064072A-2FE3-4B89-8044-CF31A08691AE}"/>
    <cellStyle name="Normal 5 3 3 2 3 3 2 3" xfId="28870" xr:uid="{5E51733E-9A14-441E-96F6-66D52A122AD7}"/>
    <cellStyle name="Normal 5 3 3 2 3 3 2 4" xfId="20441" xr:uid="{7897319B-6ADB-4279-992D-365663ABC638}"/>
    <cellStyle name="Normal 5 3 3 2 3 3 2 5" xfId="37299" xr:uid="{1D570F45-C8EE-4DE3-9D41-01C2434C43A8}"/>
    <cellStyle name="Normal 5 3 3 2 3 3 2 6" xfId="12006" xr:uid="{76C9144C-87B9-4E60-B6A0-FC3BA5DCF2C8}"/>
    <cellStyle name="Normal 5 3 3 2 3 3 3" xfId="5644" xr:uid="{00000000-0005-0000-0000-0000A7190000}"/>
    <cellStyle name="Normal 5 3 3 2 3 3 3 2" xfId="30943" xr:uid="{39197866-62D2-4F9D-B17C-5DFEC15DE932}"/>
    <cellStyle name="Normal 5 3 3 2 3 3 3 3" xfId="22514" xr:uid="{B25FB5A2-8CB2-4C1F-AC45-555B78C17919}"/>
    <cellStyle name="Normal 5 3 3 2 3 3 3 4" xfId="39371" xr:uid="{DD438B9A-F511-4B4A-8060-619D7E60D3FE}"/>
    <cellStyle name="Normal 5 3 3 2 3 3 3 5" xfId="14079" xr:uid="{9891F185-61F5-400E-880F-DFC942A34FE4}"/>
    <cellStyle name="Normal 5 3 3 2 3 3 4" xfId="26725" xr:uid="{D26C3813-8C93-4641-B786-1C7A35DFF662}"/>
    <cellStyle name="Normal 5 3 3 2 3 3 5" xfId="18296" xr:uid="{C8E6A4F3-6057-4C8E-8952-C6A5E5205123}"/>
    <cellStyle name="Normal 5 3 3 2 3 3 6" xfId="35154" xr:uid="{9F8937BC-C17E-4750-B64A-5DA6D22E32B0}"/>
    <cellStyle name="Normal 5 3 3 2 3 3 7" xfId="9861" xr:uid="{05627C24-3616-493B-84E8-6019B3765A12}"/>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33501" xr:uid="{C3C82D63-4F99-4E30-8E35-2439FF1F02FF}"/>
    <cellStyle name="Normal 5 3 3 2 3 4 2 2 3" xfId="25072" xr:uid="{AC3E106F-9BA6-42A8-98E6-EAED925DFB72}"/>
    <cellStyle name="Normal 5 3 3 2 3 4 2 2 4" xfId="41929" xr:uid="{FE685FAC-5FA3-4EC1-99A9-B4A2915D9056}"/>
    <cellStyle name="Normal 5 3 3 2 3 4 2 2 5" xfId="16637" xr:uid="{8E3DE5BF-C0F4-450E-B6BE-2C5CCD49F6B7}"/>
    <cellStyle name="Normal 5 3 3 2 3 4 2 3" xfId="29283" xr:uid="{D358FA2A-5168-40AF-941F-2733D0CB4A92}"/>
    <cellStyle name="Normal 5 3 3 2 3 4 2 4" xfId="20854" xr:uid="{7508A8B5-B0AE-40CE-A3BE-46945D17B9D6}"/>
    <cellStyle name="Normal 5 3 3 2 3 4 2 5" xfId="37712" xr:uid="{8BDD3C1C-E066-4EFD-BF20-8A32E7B20E81}"/>
    <cellStyle name="Normal 5 3 3 2 3 4 2 6" xfId="12419" xr:uid="{B850ED86-5B05-45CA-B2C0-868CAA882750}"/>
    <cellStyle name="Normal 5 3 3 2 3 4 3" xfId="6057" xr:uid="{00000000-0005-0000-0000-0000AB190000}"/>
    <cellStyle name="Normal 5 3 3 2 3 4 3 2" xfId="31356" xr:uid="{3287FD8C-72BF-4C34-8D72-6970B07F34A6}"/>
    <cellStyle name="Normal 5 3 3 2 3 4 3 3" xfId="22927" xr:uid="{650A51CC-EA2C-459B-8668-EE4C67D419CB}"/>
    <cellStyle name="Normal 5 3 3 2 3 4 3 4" xfId="39784" xr:uid="{5D731BE3-4C73-47CA-BBB0-0D2062393277}"/>
    <cellStyle name="Normal 5 3 3 2 3 4 3 5" xfId="14492" xr:uid="{695DC0C3-C3EE-4AF0-912A-CDCE33854D37}"/>
    <cellStyle name="Normal 5 3 3 2 3 4 4" xfId="27138" xr:uid="{454A49D9-8A9D-46FA-9B10-8B04F28614E4}"/>
    <cellStyle name="Normal 5 3 3 2 3 4 5" xfId="18709" xr:uid="{E9AC2080-5C59-45AA-8ABD-CC430AE65840}"/>
    <cellStyle name="Normal 5 3 3 2 3 4 6" xfId="35567" xr:uid="{95868594-789C-429D-ACCA-CFB91518165F}"/>
    <cellStyle name="Normal 5 3 3 2 3 4 7" xfId="10274" xr:uid="{07DBA664-911E-4ECD-B3F1-F1789257C021}"/>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33914" xr:uid="{13BEBCCE-28D6-4D74-948C-D81F4D6B3651}"/>
    <cellStyle name="Normal 5 3 3 2 3 5 2 2 3" xfId="25485" xr:uid="{60AE144C-441C-4F04-9470-08E8DADFA817}"/>
    <cellStyle name="Normal 5 3 3 2 3 5 2 2 4" xfId="42342" xr:uid="{BBC6120E-C2E4-4775-9705-E163B0AD3307}"/>
    <cellStyle name="Normal 5 3 3 2 3 5 2 2 5" xfId="17050" xr:uid="{D6E5D46F-1C8C-4525-8609-AA44209088B9}"/>
    <cellStyle name="Normal 5 3 3 2 3 5 2 3" xfId="29696" xr:uid="{4F589AC5-9331-4385-A337-49F5303B674F}"/>
    <cellStyle name="Normal 5 3 3 2 3 5 2 4" xfId="21267" xr:uid="{2F03DE56-0474-48F5-AC02-179A6C24CB19}"/>
    <cellStyle name="Normal 5 3 3 2 3 5 2 5" xfId="38125" xr:uid="{E863378A-2C58-447E-9342-920473D41773}"/>
    <cellStyle name="Normal 5 3 3 2 3 5 2 6" xfId="12832" xr:uid="{B85074D3-CEFE-464C-AFB4-67F7F5C4E119}"/>
    <cellStyle name="Normal 5 3 3 2 3 5 3" xfId="6470" xr:uid="{00000000-0005-0000-0000-0000AF190000}"/>
    <cellStyle name="Normal 5 3 3 2 3 5 3 2" xfId="31769" xr:uid="{9157BF33-6C25-497E-9258-3508396E12DB}"/>
    <cellStyle name="Normal 5 3 3 2 3 5 3 3" xfId="23340" xr:uid="{CD6B13F4-E6A7-40A6-9ABB-21DD4DFEFF7F}"/>
    <cellStyle name="Normal 5 3 3 2 3 5 3 4" xfId="40197" xr:uid="{14CFE9F9-D651-4D89-9EAD-00CD8C81972D}"/>
    <cellStyle name="Normal 5 3 3 2 3 5 3 5" xfId="14905" xr:uid="{BA6B2B3F-CF1D-421B-B95C-0C54E549F606}"/>
    <cellStyle name="Normal 5 3 3 2 3 5 4" xfId="27551" xr:uid="{9CAEBE20-375D-4450-8155-2B39E5C06100}"/>
    <cellStyle name="Normal 5 3 3 2 3 5 5" xfId="19122" xr:uid="{07F78077-575C-4879-8D3F-FAFB53CB450B}"/>
    <cellStyle name="Normal 5 3 3 2 3 5 6" xfId="35980" xr:uid="{72B24255-0515-440F-9124-C121B56F8AB2}"/>
    <cellStyle name="Normal 5 3 3 2 3 5 7" xfId="10687" xr:uid="{ADD2B220-4B7A-431E-B921-C858A9E11BC8}"/>
    <cellStyle name="Normal 5 3 3 2 3 6" xfId="2599" xr:uid="{00000000-0005-0000-0000-0000B0190000}"/>
    <cellStyle name="Normal 5 3 3 2 3 6 2" xfId="6883" xr:uid="{00000000-0005-0000-0000-0000B1190000}"/>
    <cellStyle name="Normal 5 3 3 2 3 6 2 2" xfId="32182" xr:uid="{0D8BA736-6B94-4F68-BC74-7B5BB498393A}"/>
    <cellStyle name="Normal 5 3 3 2 3 6 2 3" xfId="23753" xr:uid="{668C78C8-720A-4F6F-A833-F2E4F839C343}"/>
    <cellStyle name="Normal 5 3 3 2 3 6 2 4" xfId="40610" xr:uid="{55D8D167-0519-4885-B271-CE5C29AD460E}"/>
    <cellStyle name="Normal 5 3 3 2 3 6 2 5" xfId="15318" xr:uid="{FC53F778-2B76-4B23-AC8E-06E7B5B9BDEB}"/>
    <cellStyle name="Normal 5 3 3 2 3 6 3" xfId="27964" xr:uid="{5A0AF0B0-97D4-403F-8E1D-16CBA98B467E}"/>
    <cellStyle name="Normal 5 3 3 2 3 6 4" xfId="19535" xr:uid="{D8B43195-2C16-4FBD-BDF0-5BC77BC3B83F}"/>
    <cellStyle name="Normal 5 3 3 2 3 6 5" xfId="36393" xr:uid="{51F38338-113D-4F6B-92DA-5AC32DA87627}"/>
    <cellStyle name="Normal 5 3 3 2 3 6 6" xfId="11100" xr:uid="{ABE73A91-A54A-457C-ACE1-4E665FEF73C9}"/>
    <cellStyle name="Normal 5 3 3 2 3 7" xfId="4818" xr:uid="{00000000-0005-0000-0000-0000B2190000}"/>
    <cellStyle name="Normal 5 3 3 2 3 7 2" xfId="30117" xr:uid="{4B872022-5978-40F6-9F15-973D2A273553}"/>
    <cellStyle name="Normal 5 3 3 2 3 7 3" xfId="21688" xr:uid="{2F257076-723C-4820-9978-59571FD5AC8E}"/>
    <cellStyle name="Normal 5 3 3 2 3 7 4" xfId="38545" xr:uid="{7E155DF7-70C7-4AD7-A2A1-398EED8E579F}"/>
    <cellStyle name="Normal 5 3 3 2 3 7 5" xfId="13253" xr:uid="{C582C9F5-F35A-4C63-859F-153800167CB1}"/>
    <cellStyle name="Normal 5 3 3 2 3 8" xfId="25899" xr:uid="{8AB67CBB-190C-4C37-87AF-9250D4EEFE9B}"/>
    <cellStyle name="Normal 5 3 3 2 3 9" xfId="17470" xr:uid="{36D18DB2-994A-4E59-B585-2C2F499CDD0A}"/>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32672" xr:uid="{4FF5521E-D50D-4F8D-AE1C-937702DC4E8E}"/>
    <cellStyle name="Normal 5 3 3 2 4 2 2 3" xfId="24243" xr:uid="{F3467060-0E46-42E6-9BE1-264EF84B47D3}"/>
    <cellStyle name="Normal 5 3 3 2 4 2 2 4" xfId="41100" xr:uid="{206A8638-345A-4E71-A8A5-5181F23D6E05}"/>
    <cellStyle name="Normal 5 3 3 2 4 2 2 5" xfId="15808" xr:uid="{0662A8E6-ED5E-4D2C-977A-4098FA54FCD1}"/>
    <cellStyle name="Normal 5 3 3 2 4 2 3" xfId="28454" xr:uid="{131520C3-F4A3-49AD-841C-9812F7A730C1}"/>
    <cellStyle name="Normal 5 3 3 2 4 2 4" xfId="20025" xr:uid="{0089984E-18E3-47EA-96F8-5E3583602DAF}"/>
    <cellStyle name="Normal 5 3 3 2 4 2 5" xfId="36883" xr:uid="{67B9F927-2B8B-4921-8FB0-614D0097E282}"/>
    <cellStyle name="Normal 5 3 3 2 4 2 6" xfId="11590" xr:uid="{8A5BDB63-C044-4CFC-8F05-A52482A712B4}"/>
    <cellStyle name="Normal 5 3 3 2 4 3" xfId="5228" xr:uid="{00000000-0005-0000-0000-0000B6190000}"/>
    <cellStyle name="Normal 5 3 3 2 4 3 2" xfId="30527" xr:uid="{7D8BDD77-3CD7-4BCE-ABF9-96B1A94B88CC}"/>
    <cellStyle name="Normal 5 3 3 2 4 3 3" xfId="22098" xr:uid="{6F3DE89E-C79F-4FD6-935A-73ACE5A10AE3}"/>
    <cellStyle name="Normal 5 3 3 2 4 3 4" xfId="38955" xr:uid="{84D8083C-5900-456C-B4CC-C599B97D6688}"/>
    <cellStyle name="Normal 5 3 3 2 4 3 5" xfId="13663" xr:uid="{A0CA0656-50B1-4381-BFE2-89127E8D7A84}"/>
    <cellStyle name="Normal 5 3 3 2 4 4" xfId="26309" xr:uid="{E68952D3-5A8D-4A62-B372-E013DEBD5C97}"/>
    <cellStyle name="Normal 5 3 3 2 4 5" xfId="17880" xr:uid="{40D5A092-87E2-4849-8288-B23B3C2FBB39}"/>
    <cellStyle name="Normal 5 3 3 2 4 6" xfId="34738" xr:uid="{D3D843BD-65EB-479D-965A-95D7637B7D33}"/>
    <cellStyle name="Normal 5 3 3 2 4 7" xfId="9445" xr:uid="{6994CEF3-7306-4D98-948E-EB78FB9238E8}"/>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33085" xr:uid="{7E886799-60ED-4306-9721-7FF70F2FAD59}"/>
    <cellStyle name="Normal 5 3 3 2 5 2 2 3" xfId="24656" xr:uid="{060DAAE3-26F4-4ECC-9979-72CEAFA7C155}"/>
    <cellStyle name="Normal 5 3 3 2 5 2 2 4" xfId="41513" xr:uid="{144DD068-69AA-47C5-B1BB-0F7A26B10D34}"/>
    <cellStyle name="Normal 5 3 3 2 5 2 2 5" xfId="16221" xr:uid="{7D37D15D-AFE8-4F05-85ED-5397C6415AFE}"/>
    <cellStyle name="Normal 5 3 3 2 5 2 3" xfId="28867" xr:uid="{75611DC7-4A72-4339-91C1-9BCE21C51FB2}"/>
    <cellStyle name="Normal 5 3 3 2 5 2 4" xfId="20438" xr:uid="{171100FD-9A97-4B60-8444-83788E5D9690}"/>
    <cellStyle name="Normal 5 3 3 2 5 2 5" xfId="37296" xr:uid="{1E3CB079-3C9D-4217-A91E-46E4E461CDFC}"/>
    <cellStyle name="Normal 5 3 3 2 5 2 6" xfId="12003" xr:uid="{86C82DAB-741B-4DED-9B2F-4A9F1E9053FE}"/>
    <cellStyle name="Normal 5 3 3 2 5 3" xfId="5641" xr:uid="{00000000-0005-0000-0000-0000BA190000}"/>
    <cellStyle name="Normal 5 3 3 2 5 3 2" xfId="30940" xr:uid="{D902991E-5BF9-4705-9D94-28817E718A0A}"/>
    <cellStyle name="Normal 5 3 3 2 5 3 3" xfId="22511" xr:uid="{249A8617-6D0E-4C8A-960D-169843591E09}"/>
    <cellStyle name="Normal 5 3 3 2 5 3 4" xfId="39368" xr:uid="{902B1390-2C70-4A48-BD41-E2A5FD7BF254}"/>
    <cellStyle name="Normal 5 3 3 2 5 3 5" xfId="14076" xr:uid="{658FED34-0FAA-49C9-BCBE-DBA90BD23AF0}"/>
    <cellStyle name="Normal 5 3 3 2 5 4" xfId="26722" xr:uid="{CB4A171F-6CA9-4F03-839F-26060F4E5E8F}"/>
    <cellStyle name="Normal 5 3 3 2 5 5" xfId="18293" xr:uid="{A9A16074-5520-4564-BF8F-569C07851743}"/>
    <cellStyle name="Normal 5 3 3 2 5 6" xfId="35151" xr:uid="{99FC5D9D-6EFE-4C24-87E2-F347AECA8255}"/>
    <cellStyle name="Normal 5 3 3 2 5 7" xfId="9858" xr:uid="{89F7F1EB-0D27-4023-BBDE-181333EA0957}"/>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33498" xr:uid="{31DDF7A2-3ADC-493D-B831-88ABA3424A1A}"/>
    <cellStyle name="Normal 5 3 3 2 6 2 2 3" xfId="25069" xr:uid="{6FB5C68E-7E50-423F-964E-956B9E3C1E22}"/>
    <cellStyle name="Normal 5 3 3 2 6 2 2 4" xfId="41926" xr:uid="{130A09F6-660B-431B-A563-F09CE08F04C0}"/>
    <cellStyle name="Normal 5 3 3 2 6 2 2 5" xfId="16634" xr:uid="{4EBB5041-962F-41F8-BED0-D8326EF67311}"/>
    <cellStyle name="Normal 5 3 3 2 6 2 3" xfId="29280" xr:uid="{192ACF33-60AC-4ECC-8B69-AAF4D47D7D02}"/>
    <cellStyle name="Normal 5 3 3 2 6 2 4" xfId="20851" xr:uid="{6AB87588-B917-45BD-872F-FFFC124905FD}"/>
    <cellStyle name="Normal 5 3 3 2 6 2 5" xfId="37709" xr:uid="{EA0A5723-7591-45E6-9676-9D7E59A87B54}"/>
    <cellStyle name="Normal 5 3 3 2 6 2 6" xfId="12416" xr:uid="{ED93D9F4-0897-428E-9DD0-E2DEF59708FF}"/>
    <cellStyle name="Normal 5 3 3 2 6 3" xfId="6054" xr:uid="{00000000-0005-0000-0000-0000BE190000}"/>
    <cellStyle name="Normal 5 3 3 2 6 3 2" xfId="31353" xr:uid="{CD67957A-3D32-4991-9EC5-BF48A92F9696}"/>
    <cellStyle name="Normal 5 3 3 2 6 3 3" xfId="22924" xr:uid="{9FA0E0CD-3FF2-495F-9504-5B15ABE28357}"/>
    <cellStyle name="Normal 5 3 3 2 6 3 4" xfId="39781" xr:uid="{53C7B37F-7C17-45AD-B7AF-4837A7EA3BB2}"/>
    <cellStyle name="Normal 5 3 3 2 6 3 5" xfId="14489" xr:uid="{E7B45817-3684-40EC-8153-F849F7EE7420}"/>
    <cellStyle name="Normal 5 3 3 2 6 4" xfId="27135" xr:uid="{3C8E3B9A-FFA3-4F53-9D76-A2FB747C7B45}"/>
    <cellStyle name="Normal 5 3 3 2 6 5" xfId="18706" xr:uid="{7117E887-F2BB-4B6C-B977-339B05C80EBE}"/>
    <cellStyle name="Normal 5 3 3 2 6 6" xfId="35564" xr:uid="{FFA67C32-DBCF-4B4A-9163-F7E73DE003B6}"/>
    <cellStyle name="Normal 5 3 3 2 6 7" xfId="10271" xr:uid="{BEA7BD0C-456B-46B4-BE77-8868C00843EA}"/>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33911" xr:uid="{CF83B50C-F030-4093-85DC-39D4B7F8ADAA}"/>
    <cellStyle name="Normal 5 3 3 2 7 2 2 3" xfId="25482" xr:uid="{6949CD99-3D3F-4F83-B751-DA44F176D0F1}"/>
    <cellStyle name="Normal 5 3 3 2 7 2 2 4" xfId="42339" xr:uid="{A58D7E02-E2A4-42B8-9C8F-324FC023D59C}"/>
    <cellStyle name="Normal 5 3 3 2 7 2 2 5" xfId="17047" xr:uid="{F6DC6271-C6BD-4D04-BA6B-24F63C51C59E}"/>
    <cellStyle name="Normal 5 3 3 2 7 2 3" xfId="29693" xr:uid="{6FFE5436-2378-4DC0-875E-988913892481}"/>
    <cellStyle name="Normal 5 3 3 2 7 2 4" xfId="21264" xr:uid="{8BF898B1-7C0C-466B-95B9-64CF9B23C89D}"/>
    <cellStyle name="Normal 5 3 3 2 7 2 5" xfId="38122" xr:uid="{D089BEC2-DE30-43E9-9CD0-4F5B045B17D0}"/>
    <cellStyle name="Normal 5 3 3 2 7 2 6" xfId="12829" xr:uid="{356AAE69-A2EE-4AAF-8606-DAF460358475}"/>
    <cellStyle name="Normal 5 3 3 2 7 3" xfId="6467" xr:uid="{00000000-0005-0000-0000-0000C2190000}"/>
    <cellStyle name="Normal 5 3 3 2 7 3 2" xfId="31766" xr:uid="{F6CAA054-D720-4958-B163-D906F53093B4}"/>
    <cellStyle name="Normal 5 3 3 2 7 3 3" xfId="23337" xr:uid="{1CAF8F9F-9669-4034-99AE-6B43BF7525DA}"/>
    <cellStyle name="Normal 5 3 3 2 7 3 4" xfId="40194" xr:uid="{9446331C-D42E-46A7-BBEE-7B7416E2B7F9}"/>
    <cellStyle name="Normal 5 3 3 2 7 3 5" xfId="14902" xr:uid="{61A83211-9452-4B97-87EE-3A50AC8952BC}"/>
    <cellStyle name="Normal 5 3 3 2 7 4" xfId="27548" xr:uid="{17210636-B14D-4717-BA5D-2398B179783E}"/>
    <cellStyle name="Normal 5 3 3 2 7 5" xfId="19119" xr:uid="{4CA50DB5-4FB2-4436-8138-9ACA3EB14215}"/>
    <cellStyle name="Normal 5 3 3 2 7 6" xfId="35977" xr:uid="{E55159B8-7F83-4202-9D6C-31B6FA8DAA6D}"/>
    <cellStyle name="Normal 5 3 3 2 7 7" xfId="10684" xr:uid="{4896904C-D22E-4532-A1C8-D39A2EFD0BBF}"/>
    <cellStyle name="Normal 5 3 3 2 8" xfId="2596" xr:uid="{00000000-0005-0000-0000-0000C3190000}"/>
    <cellStyle name="Normal 5 3 3 2 8 2" xfId="6880" xr:uid="{00000000-0005-0000-0000-0000C4190000}"/>
    <cellStyle name="Normal 5 3 3 2 8 2 2" xfId="32179" xr:uid="{97ED1FCC-B093-4158-B576-1A11B2EA473D}"/>
    <cellStyle name="Normal 5 3 3 2 8 2 3" xfId="23750" xr:uid="{5C656A41-8A4B-42FF-8300-3881344CB6A9}"/>
    <cellStyle name="Normal 5 3 3 2 8 2 4" xfId="40607" xr:uid="{1767F011-2ED9-4F6C-AC5F-A891AC749BBA}"/>
    <cellStyle name="Normal 5 3 3 2 8 2 5" xfId="15315" xr:uid="{60016605-5724-44A3-9242-43EE4A0E2A0C}"/>
    <cellStyle name="Normal 5 3 3 2 8 3" xfId="27961" xr:uid="{E9D43D71-62C2-41D0-8231-FD0B176AAB0E}"/>
    <cellStyle name="Normal 5 3 3 2 8 4" xfId="19532" xr:uid="{7B432D20-1660-46A2-823B-8A7AC1139684}"/>
    <cellStyle name="Normal 5 3 3 2 8 5" xfId="36390" xr:uid="{B344A1BC-CB04-4769-A75C-6F7B9011AE80}"/>
    <cellStyle name="Normal 5 3 3 2 8 6" xfId="11097" xr:uid="{F8438C14-CB65-4B73-A98C-6D18005F296A}"/>
    <cellStyle name="Normal 5 3 3 2 9" xfId="4815" xr:uid="{00000000-0005-0000-0000-0000C5190000}"/>
    <cellStyle name="Normal 5 3 3 2 9 2" xfId="30114" xr:uid="{A0BD2FA8-CE5D-4C3A-A06D-401399D2ECF7}"/>
    <cellStyle name="Normal 5 3 3 2 9 3" xfId="21685" xr:uid="{814C7CFD-421C-44CF-ACB8-4EF1092714BB}"/>
    <cellStyle name="Normal 5 3 3 2 9 4" xfId="38542" xr:uid="{C5C97DD7-628D-4A23-8CA0-EA9A0B96F939}"/>
    <cellStyle name="Normal 5 3 3 2 9 5" xfId="13250" xr:uid="{4D5D49C5-98C0-4501-A0F8-BC760F265592}"/>
    <cellStyle name="Normal 5 3 3 3" xfId="446" xr:uid="{00000000-0005-0000-0000-0000C6190000}"/>
    <cellStyle name="Normal 5 3 3 3 10" xfId="17471" xr:uid="{20E8B0F5-7782-46C2-A094-8331752EFAA1}"/>
    <cellStyle name="Normal 5 3 3 3 11" xfId="34329" xr:uid="{FEFEA9EF-BF91-4D50-A7FF-02D053B200E9}"/>
    <cellStyle name="Normal 5 3 3 3 12" xfId="9036" xr:uid="{0C145CCD-FB2B-4918-851F-E143555F39FC}"/>
    <cellStyle name="Normal 5 3 3 3 2" xfId="447" xr:uid="{00000000-0005-0000-0000-0000C7190000}"/>
    <cellStyle name="Normal 5 3 3 3 2 10" xfId="34330" xr:uid="{F750B01D-3AFD-4FAB-95AA-AC3A714B1430}"/>
    <cellStyle name="Normal 5 3 3 3 2 11" xfId="9037" xr:uid="{493165EB-3BB5-4536-BC29-D6EF8126ADBE}"/>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32677" xr:uid="{93259514-9049-4DAE-AAB4-4404307895A3}"/>
    <cellStyle name="Normal 5 3 3 3 2 2 2 2 3" xfId="24248" xr:uid="{392D73A7-DEC5-46FB-9B10-9AD767F12DE5}"/>
    <cellStyle name="Normal 5 3 3 3 2 2 2 2 4" xfId="41105" xr:uid="{40349B38-2298-438A-86BA-A3DA63BA3AAF}"/>
    <cellStyle name="Normal 5 3 3 3 2 2 2 2 5" xfId="15813" xr:uid="{E4CDF1B8-A3AD-4858-8F78-3B8E5CD5E716}"/>
    <cellStyle name="Normal 5 3 3 3 2 2 2 3" xfId="28459" xr:uid="{EFBDCE9D-2006-4467-BB02-0F0B87C714B4}"/>
    <cellStyle name="Normal 5 3 3 3 2 2 2 4" xfId="20030" xr:uid="{0009E92E-260C-47C7-9179-86D7E82DFB57}"/>
    <cellStyle name="Normal 5 3 3 3 2 2 2 5" xfId="36888" xr:uid="{B42ED194-B3E5-464D-A2F5-229C1ED27EB7}"/>
    <cellStyle name="Normal 5 3 3 3 2 2 2 6" xfId="11595" xr:uid="{D02D2A75-2CBA-4843-BF17-651EC30F4027}"/>
    <cellStyle name="Normal 5 3 3 3 2 2 3" xfId="5233" xr:uid="{00000000-0005-0000-0000-0000CB190000}"/>
    <cellStyle name="Normal 5 3 3 3 2 2 3 2" xfId="30532" xr:uid="{6A1910B8-95D0-409D-AB34-FB814FEDE44B}"/>
    <cellStyle name="Normal 5 3 3 3 2 2 3 3" xfId="22103" xr:uid="{D57A58F2-4F9F-4DCF-B1EF-44CCA44597F2}"/>
    <cellStyle name="Normal 5 3 3 3 2 2 3 4" xfId="38960" xr:uid="{BB19B5C2-4A17-4E73-ACAE-FBFCBA3CC76E}"/>
    <cellStyle name="Normal 5 3 3 3 2 2 3 5" xfId="13668" xr:uid="{9CDDD948-799C-4A96-A2CD-5F0E8D8C2431}"/>
    <cellStyle name="Normal 5 3 3 3 2 2 4" xfId="26314" xr:uid="{7BF8165C-74AC-44EA-8C5E-BCF4605D9362}"/>
    <cellStyle name="Normal 5 3 3 3 2 2 5" xfId="17885" xr:uid="{B326CB4B-671F-47D2-9EB7-5A1324F5C68D}"/>
    <cellStyle name="Normal 5 3 3 3 2 2 6" xfId="34743" xr:uid="{13663825-8B4E-4248-9C58-318AF69C9017}"/>
    <cellStyle name="Normal 5 3 3 3 2 2 7" xfId="9450" xr:uid="{DD0AF6DF-8C40-499A-9BE6-B4DC7FAA209D}"/>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33090" xr:uid="{FB9B597B-109B-448C-A151-1C4CC1B3FBA3}"/>
    <cellStyle name="Normal 5 3 3 3 2 3 2 2 3" xfId="24661" xr:uid="{B498C9A1-0AED-40FA-9D90-D86B1F97455F}"/>
    <cellStyle name="Normal 5 3 3 3 2 3 2 2 4" xfId="41518" xr:uid="{C77E8E21-6C1B-4CC9-8275-054D30BE871A}"/>
    <cellStyle name="Normal 5 3 3 3 2 3 2 2 5" xfId="16226" xr:uid="{A15EFF45-8F47-45AC-8B9E-2720F32C55DC}"/>
    <cellStyle name="Normal 5 3 3 3 2 3 2 3" xfId="28872" xr:uid="{1BA0BEA2-C560-4833-A948-74BE081D1E7B}"/>
    <cellStyle name="Normal 5 3 3 3 2 3 2 4" xfId="20443" xr:uid="{5CC879A6-27ED-48EB-8D60-9F7FA549FCFF}"/>
    <cellStyle name="Normal 5 3 3 3 2 3 2 5" xfId="37301" xr:uid="{85CA6230-5ABC-4FFA-A083-153BFEBCFCE9}"/>
    <cellStyle name="Normal 5 3 3 3 2 3 2 6" xfId="12008" xr:uid="{00156B18-F0C1-4E18-82E0-FA8CD826F2A4}"/>
    <cellStyle name="Normal 5 3 3 3 2 3 3" xfId="5646" xr:uid="{00000000-0005-0000-0000-0000CF190000}"/>
    <cellStyle name="Normal 5 3 3 3 2 3 3 2" xfId="30945" xr:uid="{0CF94742-C466-44B9-9F57-78E58DC2DEC5}"/>
    <cellStyle name="Normal 5 3 3 3 2 3 3 3" xfId="22516" xr:uid="{FAFA6B82-1ADE-4A3A-AC9D-60261FE0F80F}"/>
    <cellStyle name="Normal 5 3 3 3 2 3 3 4" xfId="39373" xr:uid="{CFF5D3A8-B09F-4E09-A4C1-539CF4E51494}"/>
    <cellStyle name="Normal 5 3 3 3 2 3 3 5" xfId="14081" xr:uid="{0A5A3288-E9BE-4F1B-A79F-07B5F121C52E}"/>
    <cellStyle name="Normal 5 3 3 3 2 3 4" xfId="26727" xr:uid="{781BF7AE-2093-4DFF-B371-AA649CBD8D3C}"/>
    <cellStyle name="Normal 5 3 3 3 2 3 5" xfId="18298" xr:uid="{480E801C-0248-4FB0-A0AB-2DC2EFFF5CE3}"/>
    <cellStyle name="Normal 5 3 3 3 2 3 6" xfId="35156" xr:uid="{FED51B57-1876-4028-894E-D581DA7635C3}"/>
    <cellStyle name="Normal 5 3 3 3 2 3 7" xfId="9863" xr:uid="{6F41F28D-158F-48FB-8816-0EC1C42EAA34}"/>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33503" xr:uid="{D370C4C6-A917-4D2D-832E-7F6470BE5642}"/>
    <cellStyle name="Normal 5 3 3 3 2 4 2 2 3" xfId="25074" xr:uid="{ABFB8BB2-42D3-4440-8190-84C657C765AA}"/>
    <cellStyle name="Normal 5 3 3 3 2 4 2 2 4" xfId="41931" xr:uid="{BAC826E8-79D1-48AC-840C-2E64193FEBF2}"/>
    <cellStyle name="Normal 5 3 3 3 2 4 2 2 5" xfId="16639" xr:uid="{17E6A816-B52A-4109-924A-EF9EB73689D9}"/>
    <cellStyle name="Normal 5 3 3 3 2 4 2 3" xfId="29285" xr:uid="{2DEDEADE-940E-4FB5-A60B-C6D6266DEC91}"/>
    <cellStyle name="Normal 5 3 3 3 2 4 2 4" xfId="20856" xr:uid="{E938484A-83EF-4B4D-BCD2-29014734FC8F}"/>
    <cellStyle name="Normal 5 3 3 3 2 4 2 5" xfId="37714" xr:uid="{846ED93E-EE3D-446A-BC40-3803F4D864B6}"/>
    <cellStyle name="Normal 5 3 3 3 2 4 2 6" xfId="12421" xr:uid="{28331341-6EAC-4A47-AEB8-DA55A7E25D39}"/>
    <cellStyle name="Normal 5 3 3 3 2 4 3" xfId="6059" xr:uid="{00000000-0005-0000-0000-0000D3190000}"/>
    <cellStyle name="Normal 5 3 3 3 2 4 3 2" xfId="31358" xr:uid="{E089EE35-7C0D-4762-8BF9-C7DDF41B44F0}"/>
    <cellStyle name="Normal 5 3 3 3 2 4 3 3" xfId="22929" xr:uid="{CB0DB99F-A4A3-4CC6-8F98-8D5A604B5CB3}"/>
    <cellStyle name="Normal 5 3 3 3 2 4 3 4" xfId="39786" xr:uid="{FA32406A-3CB0-49D1-AE31-71660053D819}"/>
    <cellStyle name="Normal 5 3 3 3 2 4 3 5" xfId="14494" xr:uid="{ED5893FC-670F-4A74-9991-E13F1E0D7B8E}"/>
    <cellStyle name="Normal 5 3 3 3 2 4 4" xfId="27140" xr:uid="{1B77189B-BBEE-47A2-891F-6471DF13F8C4}"/>
    <cellStyle name="Normal 5 3 3 3 2 4 5" xfId="18711" xr:uid="{45241499-3073-45AC-938E-FD80E7E67C97}"/>
    <cellStyle name="Normal 5 3 3 3 2 4 6" xfId="35569" xr:uid="{0827C21E-9C31-459F-B92A-F1D7D7EC19D9}"/>
    <cellStyle name="Normal 5 3 3 3 2 4 7" xfId="10276" xr:uid="{C8C293CF-FA85-44C3-BEEE-B3E7FB804495}"/>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33916" xr:uid="{D0D1C9BB-23D4-4F87-A2D9-B17F8E975B8B}"/>
    <cellStyle name="Normal 5 3 3 3 2 5 2 2 3" xfId="25487" xr:uid="{FA81744E-BFD3-4188-9656-65B8F27AC5C3}"/>
    <cellStyle name="Normal 5 3 3 3 2 5 2 2 4" xfId="42344" xr:uid="{D52B6235-792B-40C2-AEE9-94D259F1AAA5}"/>
    <cellStyle name="Normal 5 3 3 3 2 5 2 2 5" xfId="17052" xr:uid="{3CE82470-EDB9-4FDF-9FD5-63814B27E0CE}"/>
    <cellStyle name="Normal 5 3 3 3 2 5 2 3" xfId="29698" xr:uid="{DC4CC344-7FE2-43F7-837B-89175B493F03}"/>
    <cellStyle name="Normal 5 3 3 3 2 5 2 4" xfId="21269" xr:uid="{3EB169A2-1D77-43AA-97D2-811EA4E925BD}"/>
    <cellStyle name="Normal 5 3 3 3 2 5 2 5" xfId="38127" xr:uid="{0320157B-A713-4AFA-B12C-AC8A33C039A2}"/>
    <cellStyle name="Normal 5 3 3 3 2 5 2 6" xfId="12834" xr:uid="{A32123CC-878E-48B3-8466-227A549E8396}"/>
    <cellStyle name="Normal 5 3 3 3 2 5 3" xfId="6472" xr:uid="{00000000-0005-0000-0000-0000D7190000}"/>
    <cellStyle name="Normal 5 3 3 3 2 5 3 2" xfId="31771" xr:uid="{268AAD05-D271-45F2-BE7A-1651B15B5DC0}"/>
    <cellStyle name="Normal 5 3 3 3 2 5 3 3" xfId="23342" xr:uid="{EFFBA4F5-020B-4CDA-9F6E-B40F3C63C417}"/>
    <cellStyle name="Normal 5 3 3 3 2 5 3 4" xfId="40199" xr:uid="{06B53C79-5F7D-4966-8525-EDA7A710786E}"/>
    <cellStyle name="Normal 5 3 3 3 2 5 3 5" xfId="14907" xr:uid="{5CD303B8-600C-47DC-B9D2-E3D4EA72B11B}"/>
    <cellStyle name="Normal 5 3 3 3 2 5 4" xfId="27553" xr:uid="{C24E37A6-41C4-45A9-AB96-F5749B23AEAB}"/>
    <cellStyle name="Normal 5 3 3 3 2 5 5" xfId="19124" xr:uid="{BBA4BB11-A317-4300-8075-E9E363BBDBF4}"/>
    <cellStyle name="Normal 5 3 3 3 2 5 6" xfId="35982" xr:uid="{0186B697-B65F-4A22-A935-38505A79C995}"/>
    <cellStyle name="Normal 5 3 3 3 2 5 7" xfId="10689" xr:uid="{B5A57605-E6C9-4485-A176-59D23009A947}"/>
    <cellStyle name="Normal 5 3 3 3 2 6" xfId="2601" xr:uid="{00000000-0005-0000-0000-0000D8190000}"/>
    <cellStyle name="Normal 5 3 3 3 2 6 2" xfId="6885" xr:uid="{00000000-0005-0000-0000-0000D9190000}"/>
    <cellStyle name="Normal 5 3 3 3 2 6 2 2" xfId="32184" xr:uid="{8FC0FF33-9B56-4E63-8CDB-7268DEC9471B}"/>
    <cellStyle name="Normal 5 3 3 3 2 6 2 3" xfId="23755" xr:uid="{3B6B1679-9563-4D2F-9F9C-F6CE3A63D641}"/>
    <cellStyle name="Normal 5 3 3 3 2 6 2 4" xfId="40612" xr:uid="{64EF76C3-9F68-40ED-BCCF-869206BFB07B}"/>
    <cellStyle name="Normal 5 3 3 3 2 6 2 5" xfId="15320" xr:uid="{74CB18F9-D8EA-48A4-9DBE-0E2A6B51F62B}"/>
    <cellStyle name="Normal 5 3 3 3 2 6 3" xfId="27966" xr:uid="{DB9C6E6B-183B-4FB5-8DBF-1E0009387459}"/>
    <cellStyle name="Normal 5 3 3 3 2 6 4" xfId="19537" xr:uid="{E5338794-8CDB-4153-87DE-4FB48121A7D4}"/>
    <cellStyle name="Normal 5 3 3 3 2 6 5" xfId="36395" xr:uid="{FE22376D-4D05-42A2-A2E3-C09B4A45CC1F}"/>
    <cellStyle name="Normal 5 3 3 3 2 6 6" xfId="11102" xr:uid="{A807FB4E-BF59-47F0-B89D-89142992ED9A}"/>
    <cellStyle name="Normal 5 3 3 3 2 7" xfId="4820" xr:uid="{00000000-0005-0000-0000-0000DA190000}"/>
    <cellStyle name="Normal 5 3 3 3 2 7 2" xfId="30119" xr:uid="{0AC0335E-587C-4088-8D3F-72010A2B204D}"/>
    <cellStyle name="Normal 5 3 3 3 2 7 3" xfId="21690" xr:uid="{A7FAF7BA-D30B-4979-A025-B55DD15EF70C}"/>
    <cellStyle name="Normal 5 3 3 3 2 7 4" xfId="38547" xr:uid="{CEB599D3-30A1-4E27-8EC0-99292D74452A}"/>
    <cellStyle name="Normal 5 3 3 3 2 7 5" xfId="13255" xr:uid="{E691F981-012E-4199-BD8B-99182EC2D8A0}"/>
    <cellStyle name="Normal 5 3 3 3 2 8" xfId="25901" xr:uid="{25E828B7-3C44-4CFD-8B86-4EF671AB703A}"/>
    <cellStyle name="Normal 5 3 3 3 2 9" xfId="17472" xr:uid="{814092BE-4999-44B3-B124-4EA67082FB2B}"/>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32676" xr:uid="{D25EECE5-C053-4168-A126-5635E840917B}"/>
    <cellStyle name="Normal 5 3 3 3 3 2 2 3" xfId="24247" xr:uid="{ADC263E1-B400-4DCD-A246-444A4E8ACD7D}"/>
    <cellStyle name="Normal 5 3 3 3 3 2 2 4" xfId="41104" xr:uid="{F5A620D7-F4B9-4A10-92E9-821B36C58466}"/>
    <cellStyle name="Normal 5 3 3 3 3 2 2 5" xfId="15812" xr:uid="{5D689EEB-1641-4555-9559-91BADDE77BDE}"/>
    <cellStyle name="Normal 5 3 3 3 3 2 3" xfId="28458" xr:uid="{FB87D1B6-919A-4E6E-942C-2B0AAE9FCB07}"/>
    <cellStyle name="Normal 5 3 3 3 3 2 4" xfId="20029" xr:uid="{9EC7EAA0-B32C-4B31-BF81-2B09A9473E1B}"/>
    <cellStyle name="Normal 5 3 3 3 3 2 5" xfId="36887" xr:uid="{F17D3486-F0C8-4691-A9F7-BFB3EB39CC7C}"/>
    <cellStyle name="Normal 5 3 3 3 3 2 6" xfId="11594" xr:uid="{34146FA9-23EA-49C6-B4B3-E03FA39C2D5A}"/>
    <cellStyle name="Normal 5 3 3 3 3 3" xfId="5232" xr:uid="{00000000-0005-0000-0000-0000DE190000}"/>
    <cellStyle name="Normal 5 3 3 3 3 3 2" xfId="30531" xr:uid="{B33BE30A-CF65-440C-A0C4-EBB0BC74773E}"/>
    <cellStyle name="Normal 5 3 3 3 3 3 3" xfId="22102" xr:uid="{18B954B1-A016-4922-817E-0D23C5520713}"/>
    <cellStyle name="Normal 5 3 3 3 3 3 4" xfId="38959" xr:uid="{9A5D2963-EA83-4143-B0AE-294C93E293FD}"/>
    <cellStyle name="Normal 5 3 3 3 3 3 5" xfId="13667" xr:uid="{59504A27-FF86-4866-A85D-3E823AE58817}"/>
    <cellStyle name="Normal 5 3 3 3 3 4" xfId="26313" xr:uid="{825E1F84-DA98-451D-B778-7B60524672EA}"/>
    <cellStyle name="Normal 5 3 3 3 3 5" xfId="17884" xr:uid="{58AC4ED2-F631-4927-B8BD-8263AEBE9956}"/>
    <cellStyle name="Normal 5 3 3 3 3 6" xfId="34742" xr:uid="{B61D56ED-C784-44F4-AF5E-D160AE4A7CB9}"/>
    <cellStyle name="Normal 5 3 3 3 3 7" xfId="9449" xr:uid="{4A8A9AD9-26C7-4D04-BE24-BDC09327EBE7}"/>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33089" xr:uid="{61ABD5E4-E84F-4125-BDBF-88DB910955DC}"/>
    <cellStyle name="Normal 5 3 3 3 4 2 2 3" xfId="24660" xr:uid="{90B292F2-3132-400F-9621-226EC0F83763}"/>
    <cellStyle name="Normal 5 3 3 3 4 2 2 4" xfId="41517" xr:uid="{FE34C018-AD42-44DA-B0A1-C733B26E4FBF}"/>
    <cellStyle name="Normal 5 3 3 3 4 2 2 5" xfId="16225" xr:uid="{5A568716-162B-4A74-B5DA-D5012F83BBB3}"/>
    <cellStyle name="Normal 5 3 3 3 4 2 3" xfId="28871" xr:uid="{FD530F15-862E-4336-93DF-06DFC41BCF1C}"/>
    <cellStyle name="Normal 5 3 3 3 4 2 4" xfId="20442" xr:uid="{57CCE806-513B-4B78-8BF9-880DD7C92FAD}"/>
    <cellStyle name="Normal 5 3 3 3 4 2 5" xfId="37300" xr:uid="{A2E8BD4F-0816-4534-839A-D90BDBA512ED}"/>
    <cellStyle name="Normal 5 3 3 3 4 2 6" xfId="12007" xr:uid="{A073DF5F-2383-4BB6-8AC5-6E81789434E9}"/>
    <cellStyle name="Normal 5 3 3 3 4 3" xfId="5645" xr:uid="{00000000-0005-0000-0000-0000E2190000}"/>
    <cellStyle name="Normal 5 3 3 3 4 3 2" xfId="30944" xr:uid="{6521F765-4613-4F71-84DE-BBE3DBA3973E}"/>
    <cellStyle name="Normal 5 3 3 3 4 3 3" xfId="22515" xr:uid="{28979FC1-4B7B-4AC0-AD33-58066D7CF4AD}"/>
    <cellStyle name="Normal 5 3 3 3 4 3 4" xfId="39372" xr:uid="{82FE9E07-998D-4340-ACB1-222D305A0634}"/>
    <cellStyle name="Normal 5 3 3 3 4 3 5" xfId="14080" xr:uid="{7B4B7E3C-3479-4409-BDDB-5ECC397FF3AC}"/>
    <cellStyle name="Normal 5 3 3 3 4 4" xfId="26726" xr:uid="{AB21E70C-1486-43E7-A1B4-5A6A9248A080}"/>
    <cellStyle name="Normal 5 3 3 3 4 5" xfId="18297" xr:uid="{58185C43-1F65-440B-B8A4-DF2138DC5244}"/>
    <cellStyle name="Normal 5 3 3 3 4 6" xfId="35155" xr:uid="{7DF69C1B-6685-49A7-B073-70032498E614}"/>
    <cellStyle name="Normal 5 3 3 3 4 7" xfId="9862" xr:uid="{B94702B7-8341-430B-8CB4-DDF20EDA4EA5}"/>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33502" xr:uid="{2242645A-CDAB-4929-B7A7-74F2306160AE}"/>
    <cellStyle name="Normal 5 3 3 3 5 2 2 3" xfId="25073" xr:uid="{4FC5892C-6A74-4270-9587-78911FB38970}"/>
    <cellStyle name="Normal 5 3 3 3 5 2 2 4" xfId="41930" xr:uid="{6D2BB95B-F105-4218-B752-4A0A1B8C53AC}"/>
    <cellStyle name="Normal 5 3 3 3 5 2 2 5" xfId="16638" xr:uid="{20CC9774-3777-46A0-9737-82EAEA126C56}"/>
    <cellStyle name="Normal 5 3 3 3 5 2 3" xfId="29284" xr:uid="{93FFE05E-5F0E-4E52-8759-8F5EC3497AFD}"/>
    <cellStyle name="Normal 5 3 3 3 5 2 4" xfId="20855" xr:uid="{850E0198-D484-42B3-9B39-24652D1A7576}"/>
    <cellStyle name="Normal 5 3 3 3 5 2 5" xfId="37713" xr:uid="{62C30DF7-1B2D-4FA6-8762-3D8A9394ABF5}"/>
    <cellStyle name="Normal 5 3 3 3 5 2 6" xfId="12420" xr:uid="{8D8EC584-4E7B-4A40-A2BF-F70FBA3E94E5}"/>
    <cellStyle name="Normal 5 3 3 3 5 3" xfId="6058" xr:uid="{00000000-0005-0000-0000-0000E6190000}"/>
    <cellStyle name="Normal 5 3 3 3 5 3 2" xfId="31357" xr:uid="{8877914D-8AED-4C09-AAB8-92D1B08ADE84}"/>
    <cellStyle name="Normal 5 3 3 3 5 3 3" xfId="22928" xr:uid="{CF32E627-5A08-48C2-83D4-735BE336FF1D}"/>
    <cellStyle name="Normal 5 3 3 3 5 3 4" xfId="39785" xr:uid="{1C2E6A75-703F-4B04-8D6D-4822DD44DFE8}"/>
    <cellStyle name="Normal 5 3 3 3 5 3 5" xfId="14493" xr:uid="{8CA88EE8-7462-402A-B864-FF04EF3A4347}"/>
    <cellStyle name="Normal 5 3 3 3 5 4" xfId="27139" xr:uid="{ECB68731-8C93-4BF7-A870-8EECBAFE8262}"/>
    <cellStyle name="Normal 5 3 3 3 5 5" xfId="18710" xr:uid="{E0F0B045-5BCE-45A8-8741-ADBDE0F3E5BB}"/>
    <cellStyle name="Normal 5 3 3 3 5 6" xfId="35568" xr:uid="{826FB3DE-2D24-4CC6-A0C1-386358DB8E9D}"/>
    <cellStyle name="Normal 5 3 3 3 5 7" xfId="10275" xr:uid="{E72E8A6C-FE8A-401E-AB5C-ECC7FF825203}"/>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33915" xr:uid="{DAE60DE8-DD41-4ADF-B639-04B6E1D0A8D1}"/>
    <cellStyle name="Normal 5 3 3 3 6 2 2 3" xfId="25486" xr:uid="{B9256216-57B8-48CF-B0F3-7D26BA127BED}"/>
    <cellStyle name="Normal 5 3 3 3 6 2 2 4" xfId="42343" xr:uid="{41B917A3-9A3F-4319-A56C-22978167AA33}"/>
    <cellStyle name="Normal 5 3 3 3 6 2 2 5" xfId="17051" xr:uid="{7E9A8E9C-2F69-4803-9EC5-485FC9AF6217}"/>
    <cellStyle name="Normal 5 3 3 3 6 2 3" xfId="29697" xr:uid="{60D6BA52-35B8-4DE6-AF4B-DE369CE79D72}"/>
    <cellStyle name="Normal 5 3 3 3 6 2 4" xfId="21268" xr:uid="{053DCB00-E998-4B13-8261-92B6E81D3ABC}"/>
    <cellStyle name="Normal 5 3 3 3 6 2 5" xfId="38126" xr:uid="{27E35D4B-B916-4B65-BE38-57A88E741D7B}"/>
    <cellStyle name="Normal 5 3 3 3 6 2 6" xfId="12833" xr:uid="{5425F22D-0371-4862-AE4A-495895DD2C46}"/>
    <cellStyle name="Normal 5 3 3 3 6 3" xfId="6471" xr:uid="{00000000-0005-0000-0000-0000EA190000}"/>
    <cellStyle name="Normal 5 3 3 3 6 3 2" xfId="31770" xr:uid="{560E0518-112C-48F7-858F-02AB8400BF12}"/>
    <cellStyle name="Normal 5 3 3 3 6 3 3" xfId="23341" xr:uid="{9B460746-0D91-4DE2-9713-F2820628E1BA}"/>
    <cellStyle name="Normal 5 3 3 3 6 3 4" xfId="40198" xr:uid="{D537731A-6EF5-41D0-A9B6-7386D5887A85}"/>
    <cellStyle name="Normal 5 3 3 3 6 3 5" xfId="14906" xr:uid="{6904D794-B8E0-4436-BAB7-A279EB8E8F58}"/>
    <cellStyle name="Normal 5 3 3 3 6 4" xfId="27552" xr:uid="{1E656921-048D-47AC-8905-E323BCB96A2B}"/>
    <cellStyle name="Normal 5 3 3 3 6 5" xfId="19123" xr:uid="{F67733B9-2138-4ED5-87DB-A27169FAFDAF}"/>
    <cellStyle name="Normal 5 3 3 3 6 6" xfId="35981" xr:uid="{52E7FA74-1ABD-48CD-B5B3-0F05D06093E5}"/>
    <cellStyle name="Normal 5 3 3 3 6 7" xfId="10688" xr:uid="{2F8C91D1-8347-426F-9462-75DE122AC014}"/>
    <cellStyle name="Normal 5 3 3 3 7" xfId="2600" xr:uid="{00000000-0005-0000-0000-0000EB190000}"/>
    <cellStyle name="Normal 5 3 3 3 7 2" xfId="6884" xr:uid="{00000000-0005-0000-0000-0000EC190000}"/>
    <cellStyle name="Normal 5 3 3 3 7 2 2" xfId="32183" xr:uid="{28C890A9-F5B7-4E4C-85BB-06B8B1A76FC9}"/>
    <cellStyle name="Normal 5 3 3 3 7 2 3" xfId="23754" xr:uid="{E0526EC8-F600-4926-B498-96C4CF08E9C2}"/>
    <cellStyle name="Normal 5 3 3 3 7 2 4" xfId="40611" xr:uid="{C710193A-B0C8-47B3-B4D0-0ABEA1947188}"/>
    <cellStyle name="Normal 5 3 3 3 7 2 5" xfId="15319" xr:uid="{0EA30E24-6A82-4CAC-BB78-AA79CA7EFEA4}"/>
    <cellStyle name="Normal 5 3 3 3 7 3" xfId="27965" xr:uid="{096A25CD-F55D-4808-9B52-CE56F6495759}"/>
    <cellStyle name="Normal 5 3 3 3 7 4" xfId="19536" xr:uid="{3F8AE7D9-B07A-4B06-960E-0D75A04E4CD8}"/>
    <cellStyle name="Normal 5 3 3 3 7 5" xfId="36394" xr:uid="{A95629FF-45F0-42E5-AD1C-1AFA269B9D6C}"/>
    <cellStyle name="Normal 5 3 3 3 7 6" xfId="11101" xr:uid="{E3BD1B6F-0E7F-4586-A4C1-1732EF64606A}"/>
    <cellStyle name="Normal 5 3 3 3 8" xfId="4819" xr:uid="{00000000-0005-0000-0000-0000ED190000}"/>
    <cellStyle name="Normal 5 3 3 3 8 2" xfId="30118" xr:uid="{C8030776-5EB4-42E8-9F91-12B67B12A382}"/>
    <cellStyle name="Normal 5 3 3 3 8 3" xfId="21689" xr:uid="{CAAC9DA2-99B3-48A5-8631-428870727D4E}"/>
    <cellStyle name="Normal 5 3 3 3 8 4" xfId="38546" xr:uid="{29E690D6-DBCF-4E69-A1CB-2527C8A3D615}"/>
    <cellStyle name="Normal 5 3 3 3 8 5" xfId="13254" xr:uid="{6E41ED29-AD48-4B99-83D1-0BE1BFF09AEC}"/>
    <cellStyle name="Normal 5 3 3 3 9" xfId="25900" xr:uid="{EDB22B92-0864-4C9E-A4EB-4E06ECD6CF6F}"/>
    <cellStyle name="Normal 5 3 3 4" xfId="448" xr:uid="{00000000-0005-0000-0000-0000EE190000}"/>
    <cellStyle name="Normal 5 3 3 4 10" xfId="34331" xr:uid="{D9FC354E-CBED-455F-A6B9-CFF42C1850EF}"/>
    <cellStyle name="Normal 5 3 3 4 11" xfId="9038" xr:uid="{60DC455B-4758-40F1-8636-9B9E4B11E1E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32678" xr:uid="{6AD5672D-7FC9-4772-BB36-A2811ED1A942}"/>
    <cellStyle name="Normal 5 3 3 4 2 2 2 3" xfId="24249" xr:uid="{92904DB0-F625-4440-9EF9-2A19B3EB677C}"/>
    <cellStyle name="Normal 5 3 3 4 2 2 2 4" xfId="41106" xr:uid="{DB91B214-499F-4C6B-9CF4-095B931CDBD8}"/>
    <cellStyle name="Normal 5 3 3 4 2 2 2 5" xfId="15814" xr:uid="{32BA205F-3FC6-4B74-9126-7E616C517AF5}"/>
    <cellStyle name="Normal 5 3 3 4 2 2 3" xfId="28460" xr:uid="{B87DEC18-5BAD-4414-9611-ABA2411CC5F8}"/>
    <cellStyle name="Normal 5 3 3 4 2 2 4" xfId="20031" xr:uid="{6AB936D5-AA27-470A-BDA8-2365B0B7D5B6}"/>
    <cellStyle name="Normal 5 3 3 4 2 2 5" xfId="36889" xr:uid="{3A66728D-F289-4C6C-9F64-A980299CB1C7}"/>
    <cellStyle name="Normal 5 3 3 4 2 2 6" xfId="11596" xr:uid="{68C912FE-2360-4D01-9234-8273801E8757}"/>
    <cellStyle name="Normal 5 3 3 4 2 3" xfId="5234" xr:uid="{00000000-0005-0000-0000-0000F2190000}"/>
    <cellStyle name="Normal 5 3 3 4 2 3 2" xfId="30533" xr:uid="{B9167DEC-E1A6-44B5-B844-8443D7B04125}"/>
    <cellStyle name="Normal 5 3 3 4 2 3 3" xfId="22104" xr:uid="{0D261F1B-57EE-4831-9E41-330447D49A2B}"/>
    <cellStyle name="Normal 5 3 3 4 2 3 4" xfId="38961" xr:uid="{13532851-DAB5-42B3-B59E-2B01EC2A953D}"/>
    <cellStyle name="Normal 5 3 3 4 2 3 5" xfId="13669" xr:uid="{53B557BE-E2A8-4306-ABD4-7F7AF3A6F328}"/>
    <cellStyle name="Normal 5 3 3 4 2 4" xfId="26315" xr:uid="{3CD47371-BC84-42E9-87A1-DBCBE2A42651}"/>
    <cellStyle name="Normal 5 3 3 4 2 5" xfId="17886" xr:uid="{E97C3E83-813C-4483-821F-4B719B1D42BB}"/>
    <cellStyle name="Normal 5 3 3 4 2 6" xfId="34744" xr:uid="{EDA85F16-E513-4B96-9C0B-AE3D831CFBEB}"/>
    <cellStyle name="Normal 5 3 3 4 2 7" xfId="9451" xr:uid="{33D44198-377A-482E-A2D0-A51CDBD8A6A0}"/>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33091" xr:uid="{89EEC912-151E-492F-BEE7-36015B667892}"/>
    <cellStyle name="Normal 5 3 3 4 3 2 2 3" xfId="24662" xr:uid="{8EB7FD86-ECB6-4EDC-84AC-64A3CE1087EE}"/>
    <cellStyle name="Normal 5 3 3 4 3 2 2 4" xfId="41519" xr:uid="{7E69E9B5-BC60-4E95-8A19-21099E579400}"/>
    <cellStyle name="Normal 5 3 3 4 3 2 2 5" xfId="16227" xr:uid="{52AC8EE6-D4B9-4F95-B9DF-6E901E3C7EB5}"/>
    <cellStyle name="Normal 5 3 3 4 3 2 3" xfId="28873" xr:uid="{627DB7D1-ED8E-4F8F-9959-732F8B373ADB}"/>
    <cellStyle name="Normal 5 3 3 4 3 2 4" xfId="20444" xr:uid="{AE8E891F-84A3-4F9F-A3C7-D424D789F572}"/>
    <cellStyle name="Normal 5 3 3 4 3 2 5" xfId="37302" xr:uid="{5C02A2F0-A32F-4D87-962B-47090756029A}"/>
    <cellStyle name="Normal 5 3 3 4 3 2 6" xfId="12009" xr:uid="{6E596964-E46E-4216-80AD-9E99857D0019}"/>
    <cellStyle name="Normal 5 3 3 4 3 3" xfId="5647" xr:uid="{00000000-0005-0000-0000-0000F6190000}"/>
    <cellStyle name="Normal 5 3 3 4 3 3 2" xfId="30946" xr:uid="{202B8B8E-8262-4FE4-8BBF-BB9A6870AFF0}"/>
    <cellStyle name="Normal 5 3 3 4 3 3 3" xfId="22517" xr:uid="{DD8220A5-99A3-4DC8-9ABA-B3EED55B81CF}"/>
    <cellStyle name="Normal 5 3 3 4 3 3 4" xfId="39374" xr:uid="{F217887F-44BD-48D0-9906-BB312B63A418}"/>
    <cellStyle name="Normal 5 3 3 4 3 3 5" xfId="14082" xr:uid="{BAA3D06D-2533-426F-BE75-7B1AB64A01E3}"/>
    <cellStyle name="Normal 5 3 3 4 3 4" xfId="26728" xr:uid="{8D199007-E3BA-4268-B2D4-2D8775CC5FCD}"/>
    <cellStyle name="Normal 5 3 3 4 3 5" xfId="18299" xr:uid="{65BAEDEF-BA7E-485B-A67E-ED503300ED1B}"/>
    <cellStyle name="Normal 5 3 3 4 3 6" xfId="35157" xr:uid="{64CF6400-8B25-4D46-86D5-024892F56906}"/>
    <cellStyle name="Normal 5 3 3 4 3 7" xfId="9864" xr:uid="{DD218354-4F9E-4DC1-A8BD-5BBD0E60F934}"/>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33504" xr:uid="{26EB0A6A-AAF4-40F8-841E-D7F8F411DAD1}"/>
    <cellStyle name="Normal 5 3 3 4 4 2 2 3" xfId="25075" xr:uid="{EECAD48E-9F45-4194-8A46-DF11E317DBEF}"/>
    <cellStyle name="Normal 5 3 3 4 4 2 2 4" xfId="41932" xr:uid="{13805696-6501-4BFE-ADAF-E535014C6076}"/>
    <cellStyle name="Normal 5 3 3 4 4 2 2 5" xfId="16640" xr:uid="{8635B9DD-B983-4A4E-BD05-0500AE73B143}"/>
    <cellStyle name="Normal 5 3 3 4 4 2 3" xfId="29286" xr:uid="{700B44C7-8298-48C5-8CB8-1333BBF1EDCC}"/>
    <cellStyle name="Normal 5 3 3 4 4 2 4" xfId="20857" xr:uid="{FF3DD952-2252-4612-A028-0BF0BF320689}"/>
    <cellStyle name="Normal 5 3 3 4 4 2 5" xfId="37715" xr:uid="{CB555D0C-CADF-4EEB-BFE2-98812A948052}"/>
    <cellStyle name="Normal 5 3 3 4 4 2 6" xfId="12422" xr:uid="{A13080FA-D1D1-4950-9213-0D1D780C0048}"/>
    <cellStyle name="Normal 5 3 3 4 4 3" xfId="6060" xr:uid="{00000000-0005-0000-0000-0000FA190000}"/>
    <cellStyle name="Normal 5 3 3 4 4 3 2" xfId="31359" xr:uid="{D8336D92-1B0C-4815-B293-415904200443}"/>
    <cellStyle name="Normal 5 3 3 4 4 3 3" xfId="22930" xr:uid="{EA6476C7-32A8-44B8-B9B5-DEF8DFC164F0}"/>
    <cellStyle name="Normal 5 3 3 4 4 3 4" xfId="39787" xr:uid="{4FA22F61-856B-4481-8523-74640C68C299}"/>
    <cellStyle name="Normal 5 3 3 4 4 3 5" xfId="14495" xr:uid="{6F8E6F5D-4851-43B8-94D2-8ED0494BA840}"/>
    <cellStyle name="Normal 5 3 3 4 4 4" xfId="27141" xr:uid="{84C4B926-96CB-45C0-AE1E-0D482C9400C5}"/>
    <cellStyle name="Normal 5 3 3 4 4 5" xfId="18712" xr:uid="{23911210-AC91-41D8-A6A3-4E1F5D5F30A4}"/>
    <cellStyle name="Normal 5 3 3 4 4 6" xfId="35570" xr:uid="{6A08BAEA-BDA5-40D9-AA1D-1717B0A3EECF}"/>
    <cellStyle name="Normal 5 3 3 4 4 7" xfId="10277" xr:uid="{87EA1EA3-0CA1-4DE0-97CA-3FD90080AF9C}"/>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33917" xr:uid="{F2613968-93F5-4782-81FA-6F56E875E974}"/>
    <cellStyle name="Normal 5 3 3 4 5 2 2 3" xfId="25488" xr:uid="{0DD92AE6-DBC3-4466-B100-880129FA3BCB}"/>
    <cellStyle name="Normal 5 3 3 4 5 2 2 4" xfId="42345" xr:uid="{CAAF6A44-0763-406E-A87E-F45C2859B580}"/>
    <cellStyle name="Normal 5 3 3 4 5 2 2 5" xfId="17053" xr:uid="{D90E64F0-9C58-4BBB-8F4E-21618C5D0233}"/>
    <cellStyle name="Normal 5 3 3 4 5 2 3" xfId="29699" xr:uid="{BC2EF4F9-21A3-4FE7-9D3D-7F6BE545747B}"/>
    <cellStyle name="Normal 5 3 3 4 5 2 4" xfId="21270" xr:uid="{3EB083F8-D6CF-4DCD-ACE1-154415F9A42E}"/>
    <cellStyle name="Normal 5 3 3 4 5 2 5" xfId="38128" xr:uid="{E0356941-24D2-4B65-BA44-7348D2CF5592}"/>
    <cellStyle name="Normal 5 3 3 4 5 2 6" xfId="12835" xr:uid="{212B38A4-2A31-4B3C-9BA1-0FC4BB4575C3}"/>
    <cellStyle name="Normal 5 3 3 4 5 3" xfId="6473" xr:uid="{00000000-0005-0000-0000-0000FE190000}"/>
    <cellStyle name="Normal 5 3 3 4 5 3 2" xfId="31772" xr:uid="{BC52396A-1293-4F97-A24B-B9BB2F7BC360}"/>
    <cellStyle name="Normal 5 3 3 4 5 3 3" xfId="23343" xr:uid="{7AE39A2C-27EA-44B0-823E-7A895CE41C6C}"/>
    <cellStyle name="Normal 5 3 3 4 5 3 4" xfId="40200" xr:uid="{32075318-23F0-46BD-8859-4535D84BAE40}"/>
    <cellStyle name="Normal 5 3 3 4 5 3 5" xfId="14908" xr:uid="{F802B9EF-42FF-481A-82E4-DBE2A86F7D89}"/>
    <cellStyle name="Normal 5 3 3 4 5 4" xfId="27554" xr:uid="{4010D81D-C507-47DA-8225-D076495B49CE}"/>
    <cellStyle name="Normal 5 3 3 4 5 5" xfId="19125" xr:uid="{E2B7441B-B0FE-4D8C-878E-4988D12A3270}"/>
    <cellStyle name="Normal 5 3 3 4 5 6" xfId="35983" xr:uid="{305977A9-9C94-4F9E-808F-7FBCC47AFB6C}"/>
    <cellStyle name="Normal 5 3 3 4 5 7" xfId="10690" xr:uid="{5EDDD143-B293-4A8C-93E3-57166610501C}"/>
    <cellStyle name="Normal 5 3 3 4 6" xfId="2602" xr:uid="{00000000-0005-0000-0000-0000FF190000}"/>
    <cellStyle name="Normal 5 3 3 4 6 2" xfId="6886" xr:uid="{00000000-0005-0000-0000-0000001A0000}"/>
    <cellStyle name="Normal 5 3 3 4 6 2 2" xfId="32185" xr:uid="{8A835AD8-BF5B-4655-B7C5-9504A4BC43C3}"/>
    <cellStyle name="Normal 5 3 3 4 6 2 3" xfId="23756" xr:uid="{23FD2E93-D385-4FB4-BAD4-26E9274A694A}"/>
    <cellStyle name="Normal 5 3 3 4 6 2 4" xfId="40613" xr:uid="{1EE42EA3-3432-48D4-91E4-A6CF233BCA98}"/>
    <cellStyle name="Normal 5 3 3 4 6 2 5" xfId="15321" xr:uid="{F7AC695F-9B7F-436B-AE06-1CE1D66CD62A}"/>
    <cellStyle name="Normal 5 3 3 4 6 3" xfId="27967" xr:uid="{3EE4B597-4492-4079-8899-B02A22C09CF7}"/>
    <cellStyle name="Normal 5 3 3 4 6 4" xfId="19538" xr:uid="{01189A9B-D31B-48BE-BA9C-5E48A3AEA7D6}"/>
    <cellStyle name="Normal 5 3 3 4 6 5" xfId="36396" xr:uid="{2382EFD4-FBF6-47F8-B02A-F2B4FDF9D3DF}"/>
    <cellStyle name="Normal 5 3 3 4 6 6" xfId="11103" xr:uid="{82CA6176-F2F6-4EE6-B1E4-9E1BE289EEDD}"/>
    <cellStyle name="Normal 5 3 3 4 7" xfId="4821" xr:uid="{00000000-0005-0000-0000-0000011A0000}"/>
    <cellStyle name="Normal 5 3 3 4 7 2" xfId="30120" xr:uid="{069A04B2-CC8B-472A-A6E3-4CC448DAD465}"/>
    <cellStyle name="Normal 5 3 3 4 7 3" xfId="21691" xr:uid="{33EBB1F2-CAB6-4D45-9622-EF88A2B46847}"/>
    <cellStyle name="Normal 5 3 3 4 7 4" xfId="38548" xr:uid="{2ED63438-2258-4643-9D14-EF399B55C2A6}"/>
    <cellStyle name="Normal 5 3 3 4 7 5" xfId="13256" xr:uid="{79DA9E7F-59B6-486D-9ADF-B84C8BF9037C}"/>
    <cellStyle name="Normal 5 3 3 4 8" xfId="25902" xr:uid="{EAEED990-8D23-42D2-8B19-4FF15FF094F1}"/>
    <cellStyle name="Normal 5 3 3 4 9" xfId="17473" xr:uid="{0ACEA29C-354A-462C-9C9D-666D455CA4B3}"/>
    <cellStyle name="Normal 5 3 3 5" xfId="915" xr:uid="{00000000-0005-0000-0000-0000021A0000}"/>
    <cellStyle name="Normal 5 3 3 5 2" xfId="3149" xr:uid="{00000000-0005-0000-0000-0000031A0000}"/>
    <cellStyle name="Normal 5 3 3 5 2 2" xfId="7372" xr:uid="{00000000-0005-0000-0000-0000041A0000}"/>
    <cellStyle name="Normal 5 3 3 5 2 2 2" xfId="32671" xr:uid="{7F260158-795A-4AC4-A877-592C5D371257}"/>
    <cellStyle name="Normal 5 3 3 5 2 2 3" xfId="24242" xr:uid="{6675D16E-1210-448B-B437-02B4C9DBCBBF}"/>
    <cellStyle name="Normal 5 3 3 5 2 2 4" xfId="41099" xr:uid="{1498B716-79CD-4FDA-9FA9-10B09AFC3617}"/>
    <cellStyle name="Normal 5 3 3 5 2 2 5" xfId="15807" xr:uid="{FEF2BCE5-7D82-4C68-A958-C29BF22C153B}"/>
    <cellStyle name="Normal 5 3 3 5 2 3" xfId="28453" xr:uid="{695A6887-45EC-4BF7-9A8E-DE9CAA8D4968}"/>
    <cellStyle name="Normal 5 3 3 5 2 4" xfId="20024" xr:uid="{24586E05-631B-4C08-A9BB-3CFD85E5CCB2}"/>
    <cellStyle name="Normal 5 3 3 5 2 5" xfId="36882" xr:uid="{2916AC94-8BED-4469-8868-2886C0765720}"/>
    <cellStyle name="Normal 5 3 3 5 2 6" xfId="11589" xr:uid="{9D22AD8C-7658-4911-9A8A-0941ACF00F16}"/>
    <cellStyle name="Normal 5 3 3 5 3" xfId="5227" xr:uid="{00000000-0005-0000-0000-0000051A0000}"/>
    <cellStyle name="Normal 5 3 3 5 3 2" xfId="30526" xr:uid="{57F070ED-6BFE-4F12-B45C-080D34E0B916}"/>
    <cellStyle name="Normal 5 3 3 5 3 3" xfId="22097" xr:uid="{E9FAB5E9-9C69-4AEC-9789-335AA6301432}"/>
    <cellStyle name="Normal 5 3 3 5 3 4" xfId="38954" xr:uid="{9EE4C9A0-2F9E-47FC-9457-FCD95CD95284}"/>
    <cellStyle name="Normal 5 3 3 5 3 5" xfId="13662" xr:uid="{E34E4E99-5F7A-4A96-9805-BC3E59D4D3A4}"/>
    <cellStyle name="Normal 5 3 3 5 4" xfId="26308" xr:uid="{729D2F7F-467D-44A6-81E7-41A6667506DC}"/>
    <cellStyle name="Normal 5 3 3 5 5" xfId="17879" xr:uid="{F88EDCF9-73EC-44EC-AD00-63708219B5D2}"/>
    <cellStyle name="Normal 5 3 3 5 6" xfId="34737" xr:uid="{DD51B20D-FE34-4B58-81C3-7B967D5647B4}"/>
    <cellStyle name="Normal 5 3 3 5 7" xfId="9444" xr:uid="{5DD222D9-4A52-4D8B-974A-E77F899CB5B0}"/>
    <cellStyle name="Normal 5 3 3 6" xfId="1332" xr:uid="{00000000-0005-0000-0000-0000061A0000}"/>
    <cellStyle name="Normal 5 3 3 6 2" xfId="3562" xr:uid="{00000000-0005-0000-0000-0000071A0000}"/>
    <cellStyle name="Normal 5 3 3 6 2 2" xfId="7785" xr:uid="{00000000-0005-0000-0000-0000081A0000}"/>
    <cellStyle name="Normal 5 3 3 6 2 2 2" xfId="33084" xr:uid="{2B20C6DF-C943-4C49-BCA4-518BCCCDA743}"/>
    <cellStyle name="Normal 5 3 3 6 2 2 3" xfId="24655" xr:uid="{DDD0741D-7A9E-462F-BBB5-75026D38A31B}"/>
    <cellStyle name="Normal 5 3 3 6 2 2 4" xfId="41512" xr:uid="{73A92048-2B2D-4783-A296-50BBE650A4A3}"/>
    <cellStyle name="Normal 5 3 3 6 2 2 5" xfId="16220" xr:uid="{37D43A38-1B65-46F9-B4DE-E273F864B47C}"/>
    <cellStyle name="Normal 5 3 3 6 2 3" xfId="28866" xr:uid="{CC151963-646E-4C6C-8C91-D82108E4C70D}"/>
    <cellStyle name="Normal 5 3 3 6 2 4" xfId="20437" xr:uid="{5B72D025-8AF9-40BD-AABB-91246F4E3E29}"/>
    <cellStyle name="Normal 5 3 3 6 2 5" xfId="37295" xr:uid="{18FC73B7-572A-4BA9-AEFD-CC84B3340E63}"/>
    <cellStyle name="Normal 5 3 3 6 2 6" xfId="12002" xr:uid="{E46497AD-261D-4AA8-83CA-39B2458341D2}"/>
    <cellStyle name="Normal 5 3 3 6 3" xfId="5640" xr:uid="{00000000-0005-0000-0000-0000091A0000}"/>
    <cellStyle name="Normal 5 3 3 6 3 2" xfId="30939" xr:uid="{2D213675-E412-4873-A8F4-7225A40B5F66}"/>
    <cellStyle name="Normal 5 3 3 6 3 3" xfId="22510" xr:uid="{5CB741C7-828E-44E2-A5D6-62085483ED86}"/>
    <cellStyle name="Normal 5 3 3 6 3 4" xfId="39367" xr:uid="{B3EFC891-5613-4EC6-83C6-6C96F91F06C7}"/>
    <cellStyle name="Normal 5 3 3 6 3 5" xfId="14075" xr:uid="{7AF79FDD-B2F0-4ED4-ABFF-2D2166A71CF1}"/>
    <cellStyle name="Normal 5 3 3 6 4" xfId="26721" xr:uid="{16D54889-7267-4C4A-8C5A-473EA6DC04BF}"/>
    <cellStyle name="Normal 5 3 3 6 5" xfId="18292" xr:uid="{0F8D97C6-3CDA-4C08-A3CE-BBD10D50A9D4}"/>
    <cellStyle name="Normal 5 3 3 6 6" xfId="35150" xr:uid="{58889333-6221-41E9-B290-0ED9BF55F61E}"/>
    <cellStyle name="Normal 5 3 3 6 7" xfId="9857" xr:uid="{64A2F061-6E56-4A7B-A720-883B451D5BF7}"/>
    <cellStyle name="Normal 5 3 3 7" xfId="1745" xr:uid="{00000000-0005-0000-0000-00000A1A0000}"/>
    <cellStyle name="Normal 5 3 3 7 2" xfId="3975" xr:uid="{00000000-0005-0000-0000-00000B1A0000}"/>
    <cellStyle name="Normal 5 3 3 7 2 2" xfId="8198" xr:uid="{00000000-0005-0000-0000-00000C1A0000}"/>
    <cellStyle name="Normal 5 3 3 7 2 2 2" xfId="33497" xr:uid="{D1601BB5-A687-4E24-A9F4-9482CE15F101}"/>
    <cellStyle name="Normal 5 3 3 7 2 2 3" xfId="25068" xr:uid="{E542F500-132B-4A9D-B5BE-175A2BF29BA1}"/>
    <cellStyle name="Normal 5 3 3 7 2 2 4" xfId="41925" xr:uid="{2B0E7382-F1A8-4CC7-AFD4-4CC030354B03}"/>
    <cellStyle name="Normal 5 3 3 7 2 2 5" xfId="16633" xr:uid="{11F1864B-1220-4709-AE43-B9B3A886B000}"/>
    <cellStyle name="Normal 5 3 3 7 2 3" xfId="29279" xr:uid="{F26E991C-F3B6-4A1C-8DDA-438A42CC111F}"/>
    <cellStyle name="Normal 5 3 3 7 2 4" xfId="20850" xr:uid="{D9584B7B-A10A-4C3B-9D8E-219D73B63017}"/>
    <cellStyle name="Normal 5 3 3 7 2 5" xfId="37708" xr:uid="{5F45672E-88EA-48CA-BFB9-E1D22E9299F6}"/>
    <cellStyle name="Normal 5 3 3 7 2 6" xfId="12415" xr:uid="{A5454C41-2A62-4474-8075-A449C66800E6}"/>
    <cellStyle name="Normal 5 3 3 7 3" xfId="6053" xr:uid="{00000000-0005-0000-0000-00000D1A0000}"/>
    <cellStyle name="Normal 5 3 3 7 3 2" xfId="31352" xr:uid="{8428EE29-03F2-4B3B-8E20-D6A5F4BCA37E}"/>
    <cellStyle name="Normal 5 3 3 7 3 3" xfId="22923" xr:uid="{2F33CD81-B816-4C3B-B289-B242B8484984}"/>
    <cellStyle name="Normal 5 3 3 7 3 4" xfId="39780" xr:uid="{C8861B0F-5141-4BEE-BB5F-21ECE4E44D3B}"/>
    <cellStyle name="Normal 5 3 3 7 3 5" xfId="14488" xr:uid="{FA5B50A6-7F4A-4EC1-9F96-82C9E69144B2}"/>
    <cellStyle name="Normal 5 3 3 7 4" xfId="27134" xr:uid="{F45AA703-B122-4CE8-B0BB-2A65F4850F60}"/>
    <cellStyle name="Normal 5 3 3 7 5" xfId="18705" xr:uid="{3A5F7A83-7C49-456F-B5EA-F4C111EBF60F}"/>
    <cellStyle name="Normal 5 3 3 7 6" xfId="35563" xr:uid="{5090694C-D829-4079-AC56-02142C831759}"/>
    <cellStyle name="Normal 5 3 3 7 7" xfId="10270" xr:uid="{AA7D8C5D-A1F0-4D15-8549-EF6ADDCAB079}"/>
    <cellStyle name="Normal 5 3 3 8" xfId="2159" xr:uid="{00000000-0005-0000-0000-00000E1A0000}"/>
    <cellStyle name="Normal 5 3 3 8 2" xfId="4388" xr:uid="{00000000-0005-0000-0000-00000F1A0000}"/>
    <cellStyle name="Normal 5 3 3 8 2 2" xfId="8611" xr:uid="{00000000-0005-0000-0000-0000101A0000}"/>
    <cellStyle name="Normal 5 3 3 8 2 2 2" xfId="33910" xr:uid="{CFE8F4E8-C983-466B-8255-DD52AD2D4360}"/>
    <cellStyle name="Normal 5 3 3 8 2 2 3" xfId="25481" xr:uid="{28182E85-0876-4AE7-A02D-17BA3798D704}"/>
    <cellStyle name="Normal 5 3 3 8 2 2 4" xfId="42338" xr:uid="{132B652C-495E-445D-9BAE-4994F8BDEBAA}"/>
    <cellStyle name="Normal 5 3 3 8 2 2 5" xfId="17046" xr:uid="{BA1FD914-9C93-493E-9DA1-EBCC6A557DE2}"/>
    <cellStyle name="Normal 5 3 3 8 2 3" xfId="29692" xr:uid="{0AC2A1C7-9829-45D7-A00E-12C763A88D48}"/>
    <cellStyle name="Normal 5 3 3 8 2 4" xfId="21263" xr:uid="{A0C1F9B3-2625-4120-83D1-149B4A8C6F8C}"/>
    <cellStyle name="Normal 5 3 3 8 2 5" xfId="38121" xr:uid="{B04E1BB0-E14D-444B-9B9B-53AA54E98AFA}"/>
    <cellStyle name="Normal 5 3 3 8 2 6" xfId="12828" xr:uid="{F60FC232-12B8-4596-B75C-89CED1B008E9}"/>
    <cellStyle name="Normal 5 3 3 8 3" xfId="6466" xr:uid="{00000000-0005-0000-0000-0000111A0000}"/>
    <cellStyle name="Normal 5 3 3 8 3 2" xfId="31765" xr:uid="{5FF39D7D-C4E8-45BD-B50A-986039B952B0}"/>
    <cellStyle name="Normal 5 3 3 8 3 3" xfId="23336" xr:uid="{983707CE-E3EA-4F39-AD28-A6EF0D27C5FB}"/>
    <cellStyle name="Normal 5 3 3 8 3 4" xfId="40193" xr:uid="{DD5C05CC-1B97-40CA-92D5-5F908EB75A3A}"/>
    <cellStyle name="Normal 5 3 3 8 3 5" xfId="14901" xr:uid="{3A3F13CA-8920-47B7-92B4-66A5CF05B4AD}"/>
    <cellStyle name="Normal 5 3 3 8 4" xfId="27547" xr:uid="{5EA60EFF-B335-49B0-A1A2-E87DB742E4E7}"/>
    <cellStyle name="Normal 5 3 3 8 5" xfId="19118" xr:uid="{721C91AB-5E6D-4B3D-BEC1-5906F152F00D}"/>
    <cellStyle name="Normal 5 3 3 8 6" xfId="35976" xr:uid="{BAFCEF81-025D-4875-9590-66493DF21EB6}"/>
    <cellStyle name="Normal 5 3 3 8 7" xfId="10683" xr:uid="{700B486D-4D27-4E8F-82E5-7DC673642C31}"/>
    <cellStyle name="Normal 5 3 3 9" xfId="2595" xr:uid="{00000000-0005-0000-0000-0000121A0000}"/>
    <cellStyle name="Normal 5 3 3 9 2" xfId="6879" xr:uid="{00000000-0005-0000-0000-0000131A0000}"/>
    <cellStyle name="Normal 5 3 3 9 2 2" xfId="32178" xr:uid="{A01D310E-5E48-4B71-8315-9C482580E2DB}"/>
    <cellStyle name="Normal 5 3 3 9 2 3" xfId="23749" xr:uid="{EBAF51AD-17C5-4C33-ACC2-ECFAD3F7ED76}"/>
    <cellStyle name="Normal 5 3 3 9 2 4" xfId="40606" xr:uid="{BDF8F17C-18E3-4160-9196-9AC0B8CA0BD6}"/>
    <cellStyle name="Normal 5 3 3 9 2 5" xfId="15314" xr:uid="{D6D4E3D6-7F2E-42DF-8BA1-14E32529B91A}"/>
    <cellStyle name="Normal 5 3 3 9 3" xfId="27960" xr:uid="{D5DEB4B3-9DD2-4689-8E40-AF33CD720D6F}"/>
    <cellStyle name="Normal 5 3 3 9 4" xfId="19531" xr:uid="{2D73EDF4-B91C-414E-AB94-84670C074E8B}"/>
    <cellStyle name="Normal 5 3 3 9 5" xfId="36389" xr:uid="{9CC66A4C-A623-439F-B7E3-6F0C90C524D4}"/>
    <cellStyle name="Normal 5 3 3 9 6" xfId="11096" xr:uid="{4C1E8FBE-5565-42A2-A5CC-498DA57D4AB3}"/>
    <cellStyle name="Normal 5 3 4" xfId="449" xr:uid="{00000000-0005-0000-0000-0000141A0000}"/>
    <cellStyle name="Normal 5 3 4 10" xfId="25903" xr:uid="{081E29DD-0CC7-4BDF-90F7-24C3FB14E880}"/>
    <cellStyle name="Normal 5 3 4 11" xfId="17474" xr:uid="{460CC807-F46C-4419-A7DB-39B4828DD084}"/>
    <cellStyle name="Normal 5 3 4 12" xfId="34332" xr:uid="{68CEBDA8-1368-435D-86F6-81147BE21B31}"/>
    <cellStyle name="Normal 5 3 4 13" xfId="9039" xr:uid="{6E0457C8-60F0-41C6-976B-F066EC18959F}"/>
    <cellStyle name="Normal 5 3 4 2" xfId="450" xr:uid="{00000000-0005-0000-0000-0000151A0000}"/>
    <cellStyle name="Normal 5 3 4 2 10" xfId="17475" xr:uid="{6A1C0351-6F64-4A12-A757-FF3762A7C931}"/>
    <cellStyle name="Normal 5 3 4 2 11" xfId="34333" xr:uid="{B419D74E-A2FB-43B1-BAB5-E18E847B9DFF}"/>
    <cellStyle name="Normal 5 3 4 2 12" xfId="9040" xr:uid="{D52FADE6-3A44-4500-ADFC-4B3017032BAB}"/>
    <cellStyle name="Normal 5 3 4 2 2" xfId="451" xr:uid="{00000000-0005-0000-0000-0000161A0000}"/>
    <cellStyle name="Normal 5 3 4 2 2 10" xfId="34334" xr:uid="{01FBE57A-42D3-4610-8092-8B3624DCE9A8}"/>
    <cellStyle name="Normal 5 3 4 2 2 11" xfId="9041" xr:uid="{C5908125-8AED-47FA-8D43-A5322752123A}"/>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32681" xr:uid="{B50498F8-69C5-47B5-AFE7-9A22950BD665}"/>
    <cellStyle name="Normal 5 3 4 2 2 2 2 2 3" xfId="24252" xr:uid="{027507DD-412F-440C-BDD9-2455FE49F2D1}"/>
    <cellStyle name="Normal 5 3 4 2 2 2 2 2 4" xfId="41109" xr:uid="{9535092F-F13F-4951-8D14-88F1E7749E6E}"/>
    <cellStyle name="Normal 5 3 4 2 2 2 2 2 5" xfId="15817" xr:uid="{65981F2F-2ABD-4AF2-9FFE-40A47578EBE1}"/>
    <cellStyle name="Normal 5 3 4 2 2 2 2 3" xfId="28463" xr:uid="{74D3EB89-E260-48B7-8964-4FCF7AC6F7CE}"/>
    <cellStyle name="Normal 5 3 4 2 2 2 2 4" xfId="20034" xr:uid="{BA418E0E-6AB8-4067-9DBF-5A4D10FE12F3}"/>
    <cellStyle name="Normal 5 3 4 2 2 2 2 5" xfId="36892" xr:uid="{199ED181-3FFA-4750-AEDF-9C62744CA1D3}"/>
    <cellStyle name="Normal 5 3 4 2 2 2 2 6" xfId="11599" xr:uid="{EE1D619D-DA95-465E-BD24-F1FB40C08B5D}"/>
    <cellStyle name="Normal 5 3 4 2 2 2 3" xfId="5237" xr:uid="{00000000-0005-0000-0000-00001A1A0000}"/>
    <cellStyle name="Normal 5 3 4 2 2 2 3 2" xfId="30536" xr:uid="{69D589CC-5D7A-43A0-9119-FFAB4F5CE2EA}"/>
    <cellStyle name="Normal 5 3 4 2 2 2 3 3" xfId="22107" xr:uid="{7960B8F5-E3E8-4505-B99D-B67986F152D2}"/>
    <cellStyle name="Normal 5 3 4 2 2 2 3 4" xfId="38964" xr:uid="{AFD8A06A-CE34-4D35-992F-3C85648A72B4}"/>
    <cellStyle name="Normal 5 3 4 2 2 2 3 5" xfId="13672" xr:uid="{CB67325F-B89D-4F7B-9BAC-B41B46EBFA47}"/>
    <cellStyle name="Normal 5 3 4 2 2 2 4" xfId="26318" xr:uid="{42720348-7869-408F-84BD-78540D706260}"/>
    <cellStyle name="Normal 5 3 4 2 2 2 5" xfId="17889" xr:uid="{B4FC6D6A-1DBC-49DE-B258-618346E3B4C8}"/>
    <cellStyle name="Normal 5 3 4 2 2 2 6" xfId="34747" xr:uid="{87186650-E229-4909-A0E8-5C41739C5D0F}"/>
    <cellStyle name="Normal 5 3 4 2 2 2 7" xfId="9454" xr:uid="{71F40B2D-3F17-4CBF-A8F4-45D5285C1E1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33094" xr:uid="{28240B8B-C34E-4E5A-9BBF-7BF629E0816B}"/>
    <cellStyle name="Normal 5 3 4 2 2 3 2 2 3" xfId="24665" xr:uid="{B1D51331-88A6-41E9-A5E2-9BE5FA839354}"/>
    <cellStyle name="Normal 5 3 4 2 2 3 2 2 4" xfId="41522" xr:uid="{43B7FBC8-EC3A-4176-94DF-F4ADE28B9EB9}"/>
    <cellStyle name="Normal 5 3 4 2 2 3 2 2 5" xfId="16230" xr:uid="{D8D8AE9C-0B02-44C6-A634-6CBDFB32AC67}"/>
    <cellStyle name="Normal 5 3 4 2 2 3 2 3" xfId="28876" xr:uid="{56265D45-B8C6-4768-BB91-6F79F3BAEC05}"/>
    <cellStyle name="Normal 5 3 4 2 2 3 2 4" xfId="20447" xr:uid="{28913B6E-636E-4961-BAF5-DE8DC72BE84D}"/>
    <cellStyle name="Normal 5 3 4 2 2 3 2 5" xfId="37305" xr:uid="{57A7B706-C161-49F0-953A-5E6B18C7070F}"/>
    <cellStyle name="Normal 5 3 4 2 2 3 2 6" xfId="12012" xr:uid="{9CA3BE8E-1CAD-463C-AADA-87679CFC635B}"/>
    <cellStyle name="Normal 5 3 4 2 2 3 3" xfId="5650" xr:uid="{00000000-0005-0000-0000-00001E1A0000}"/>
    <cellStyle name="Normal 5 3 4 2 2 3 3 2" xfId="30949" xr:uid="{B8720EB2-D9E8-436A-923A-E81C9E0A83F7}"/>
    <cellStyle name="Normal 5 3 4 2 2 3 3 3" xfId="22520" xr:uid="{94C01E07-BA08-4B52-98F4-4FB0C1A0BEAF}"/>
    <cellStyle name="Normal 5 3 4 2 2 3 3 4" xfId="39377" xr:uid="{31ADFF8E-D338-49A5-A2EF-DB52107302F0}"/>
    <cellStyle name="Normal 5 3 4 2 2 3 3 5" xfId="14085" xr:uid="{46F02ED4-D0E6-4A19-951B-72131907BE95}"/>
    <cellStyle name="Normal 5 3 4 2 2 3 4" xfId="26731" xr:uid="{434F249E-62CF-47E4-8F8F-4342C2C19956}"/>
    <cellStyle name="Normal 5 3 4 2 2 3 5" xfId="18302" xr:uid="{5D82F388-F55D-46D3-8973-3AFC332A267D}"/>
    <cellStyle name="Normal 5 3 4 2 2 3 6" xfId="35160" xr:uid="{F1E429B2-77C0-43F3-AC6A-4D938ED6E098}"/>
    <cellStyle name="Normal 5 3 4 2 2 3 7" xfId="9867" xr:uid="{7667D856-6104-4FEC-8B63-8CE730C06D42}"/>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33507" xr:uid="{2BD3D6C0-73A9-4314-BBCA-542B5F52C5C4}"/>
    <cellStyle name="Normal 5 3 4 2 2 4 2 2 3" xfId="25078" xr:uid="{BCE82F47-D102-44B0-9705-DA04AE283652}"/>
    <cellStyle name="Normal 5 3 4 2 2 4 2 2 4" xfId="41935" xr:uid="{A4033D06-15D8-4DEC-BFDF-17075E7F5DBB}"/>
    <cellStyle name="Normal 5 3 4 2 2 4 2 2 5" xfId="16643" xr:uid="{B802C384-3A9F-43AB-835F-D744DFD79175}"/>
    <cellStyle name="Normal 5 3 4 2 2 4 2 3" xfId="29289" xr:uid="{3E2E1B1B-EFE7-4B11-8682-0A425E666B9F}"/>
    <cellStyle name="Normal 5 3 4 2 2 4 2 4" xfId="20860" xr:uid="{2495B713-E5EC-4FBB-84E4-E9B329BB9A84}"/>
    <cellStyle name="Normal 5 3 4 2 2 4 2 5" xfId="37718" xr:uid="{63D60BBD-A29B-41B8-9BB9-8E270ADF63D1}"/>
    <cellStyle name="Normal 5 3 4 2 2 4 2 6" xfId="12425" xr:uid="{92F95D1E-A735-473F-92C1-F0C37B3DB8CE}"/>
    <cellStyle name="Normal 5 3 4 2 2 4 3" xfId="6063" xr:uid="{00000000-0005-0000-0000-0000221A0000}"/>
    <cellStyle name="Normal 5 3 4 2 2 4 3 2" xfId="31362" xr:uid="{7A006895-A7E6-4344-B631-640A579E7FF3}"/>
    <cellStyle name="Normal 5 3 4 2 2 4 3 3" xfId="22933" xr:uid="{DAD30547-004B-4CEB-A90F-B2DDFE74B8CA}"/>
    <cellStyle name="Normal 5 3 4 2 2 4 3 4" xfId="39790" xr:uid="{58719E52-884E-445B-99D3-00E37ACB1A30}"/>
    <cellStyle name="Normal 5 3 4 2 2 4 3 5" xfId="14498" xr:uid="{C162760E-90D7-47A8-8135-69F881F543E7}"/>
    <cellStyle name="Normal 5 3 4 2 2 4 4" xfId="27144" xr:uid="{DAF654EA-855E-47BE-B90D-CB9D18ADDCF1}"/>
    <cellStyle name="Normal 5 3 4 2 2 4 5" xfId="18715" xr:uid="{A2F85749-73C9-4D19-AA74-6CF95C7892A5}"/>
    <cellStyle name="Normal 5 3 4 2 2 4 6" xfId="35573" xr:uid="{DC80CE12-C830-4B60-A25B-F05EA35E1D3F}"/>
    <cellStyle name="Normal 5 3 4 2 2 4 7" xfId="10280" xr:uid="{6EEDBCCA-E949-4C45-856A-D7750E4A14C4}"/>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33920" xr:uid="{6C2F71AC-F83F-4696-BF9C-CC533B8F6FF9}"/>
    <cellStyle name="Normal 5 3 4 2 2 5 2 2 3" xfId="25491" xr:uid="{17873030-33B1-40B0-A740-36A88BC702F5}"/>
    <cellStyle name="Normal 5 3 4 2 2 5 2 2 4" xfId="42348" xr:uid="{BF194029-70F6-4E91-8BBB-5C3C1B56C1E1}"/>
    <cellStyle name="Normal 5 3 4 2 2 5 2 2 5" xfId="17056" xr:uid="{5CD04724-315C-4CC0-8960-A2150C8261E5}"/>
    <cellStyle name="Normal 5 3 4 2 2 5 2 3" xfId="29702" xr:uid="{DD8E88ED-6B6D-4CF9-85AA-1A343F2B33D7}"/>
    <cellStyle name="Normal 5 3 4 2 2 5 2 4" xfId="21273" xr:uid="{359F6E71-8C39-4819-B6BF-AA6727690679}"/>
    <cellStyle name="Normal 5 3 4 2 2 5 2 5" xfId="38131" xr:uid="{1B6111EF-BDC7-4E6B-B00E-348261A76ADE}"/>
    <cellStyle name="Normal 5 3 4 2 2 5 2 6" xfId="12838" xr:uid="{95218286-549F-4E2B-8A08-FBB10786BECB}"/>
    <cellStyle name="Normal 5 3 4 2 2 5 3" xfId="6476" xr:uid="{00000000-0005-0000-0000-0000261A0000}"/>
    <cellStyle name="Normal 5 3 4 2 2 5 3 2" xfId="31775" xr:uid="{5525ED7D-EE32-4B64-9A9F-0978DC130995}"/>
    <cellStyle name="Normal 5 3 4 2 2 5 3 3" xfId="23346" xr:uid="{AABF3D29-7507-42EF-96F5-1DF62A9CBD10}"/>
    <cellStyle name="Normal 5 3 4 2 2 5 3 4" xfId="40203" xr:uid="{2AC2D57C-3009-4E38-9F13-434E324EB466}"/>
    <cellStyle name="Normal 5 3 4 2 2 5 3 5" xfId="14911" xr:uid="{3302DDF9-73B8-406E-930E-50FBD57BE81D}"/>
    <cellStyle name="Normal 5 3 4 2 2 5 4" xfId="27557" xr:uid="{80199432-EA38-4098-AEF6-E1E6BC5449C6}"/>
    <cellStyle name="Normal 5 3 4 2 2 5 5" xfId="19128" xr:uid="{0116609F-320B-4306-8D75-B9D685DA4E8D}"/>
    <cellStyle name="Normal 5 3 4 2 2 5 6" xfId="35986" xr:uid="{0347F6E9-FBD1-444B-B5B1-75DA9D13212B}"/>
    <cellStyle name="Normal 5 3 4 2 2 5 7" xfId="10693" xr:uid="{DB53148E-57BF-4D98-B288-964669DC6E60}"/>
    <cellStyle name="Normal 5 3 4 2 2 6" xfId="2605" xr:uid="{00000000-0005-0000-0000-0000271A0000}"/>
    <cellStyle name="Normal 5 3 4 2 2 6 2" xfId="6889" xr:uid="{00000000-0005-0000-0000-0000281A0000}"/>
    <cellStyle name="Normal 5 3 4 2 2 6 2 2" xfId="32188" xr:uid="{F3A164D6-8D7E-493B-9852-19C1AAAFE079}"/>
    <cellStyle name="Normal 5 3 4 2 2 6 2 3" xfId="23759" xr:uid="{FB6928D3-F01E-4EE6-B803-CBC50372C27B}"/>
    <cellStyle name="Normal 5 3 4 2 2 6 2 4" xfId="40616" xr:uid="{91D81B02-E17C-4C92-A36D-D31317EA78DE}"/>
    <cellStyle name="Normal 5 3 4 2 2 6 2 5" xfId="15324" xr:uid="{043854EF-A3F9-4FE5-871E-118744796E14}"/>
    <cellStyle name="Normal 5 3 4 2 2 6 3" xfId="27970" xr:uid="{EEC3479D-B5D4-42C8-94F1-E50556DE255D}"/>
    <cellStyle name="Normal 5 3 4 2 2 6 4" xfId="19541" xr:uid="{A2454BC0-0261-40C2-8178-F3135F4C23CE}"/>
    <cellStyle name="Normal 5 3 4 2 2 6 5" xfId="36399" xr:uid="{506B5E01-C45C-4922-8A77-7047F3688439}"/>
    <cellStyle name="Normal 5 3 4 2 2 6 6" xfId="11106" xr:uid="{632CF63D-8B2A-4B00-9E76-159542B277BA}"/>
    <cellStyle name="Normal 5 3 4 2 2 7" xfId="4824" xr:uid="{00000000-0005-0000-0000-0000291A0000}"/>
    <cellStyle name="Normal 5 3 4 2 2 7 2" xfId="30123" xr:uid="{58BC658C-EE70-4EEF-BA87-3ED18DFF2B2D}"/>
    <cellStyle name="Normal 5 3 4 2 2 7 3" xfId="21694" xr:uid="{19943810-0E44-479E-A6FD-8EB07B2D9209}"/>
    <cellStyle name="Normal 5 3 4 2 2 7 4" xfId="38551" xr:uid="{4CC2D7C1-292B-40D8-B8E4-451F45BC526A}"/>
    <cellStyle name="Normal 5 3 4 2 2 7 5" xfId="13259" xr:uid="{2694962E-2F6C-430D-9D6A-4423FDB5921A}"/>
    <cellStyle name="Normal 5 3 4 2 2 8" xfId="25905" xr:uid="{4A477EFE-F2C7-4B8E-8C91-F3B1D71F425F}"/>
    <cellStyle name="Normal 5 3 4 2 2 9" xfId="17476" xr:uid="{286F16C0-5C6C-45AD-882A-09EC19B334FA}"/>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32680" xr:uid="{B3ED70E5-0257-4AA7-8309-6390C2823DEF}"/>
    <cellStyle name="Normal 5 3 4 2 3 2 2 3" xfId="24251" xr:uid="{CF1393F6-41E4-4ED6-A1F7-64C5A4CF9F14}"/>
    <cellStyle name="Normal 5 3 4 2 3 2 2 4" xfId="41108" xr:uid="{5984296D-86A2-4563-BEBC-1AE708C99621}"/>
    <cellStyle name="Normal 5 3 4 2 3 2 2 5" xfId="15816" xr:uid="{132EE02A-ADFA-4A6C-BB5F-2EAFCE90AAE7}"/>
    <cellStyle name="Normal 5 3 4 2 3 2 3" xfId="28462" xr:uid="{BF1D8A1C-AC45-4BE7-B9C7-4BD01984AAC9}"/>
    <cellStyle name="Normal 5 3 4 2 3 2 4" xfId="20033" xr:uid="{6029BA50-292D-4BC6-90CA-0C1B99710F13}"/>
    <cellStyle name="Normal 5 3 4 2 3 2 5" xfId="36891" xr:uid="{366C7BFB-0920-4B98-8AD3-8BA12BE4B96A}"/>
    <cellStyle name="Normal 5 3 4 2 3 2 6" xfId="11598" xr:uid="{446AF729-A89D-4380-9BCF-92C88542D694}"/>
    <cellStyle name="Normal 5 3 4 2 3 3" xfId="5236" xr:uid="{00000000-0005-0000-0000-00002D1A0000}"/>
    <cellStyle name="Normal 5 3 4 2 3 3 2" xfId="30535" xr:uid="{56C0F156-5AA0-4387-8B49-0C13FB8EE5C3}"/>
    <cellStyle name="Normal 5 3 4 2 3 3 3" xfId="22106" xr:uid="{BEC09AC3-721E-4CAE-B5B7-C288847E1A62}"/>
    <cellStyle name="Normal 5 3 4 2 3 3 4" xfId="38963" xr:uid="{A208F29E-FC71-4210-9606-05279DF9D021}"/>
    <cellStyle name="Normal 5 3 4 2 3 3 5" xfId="13671" xr:uid="{FB21F6A7-5D0A-43DE-AC49-DFF76D391BA2}"/>
    <cellStyle name="Normal 5 3 4 2 3 4" xfId="26317" xr:uid="{6F625D1D-4D8B-45E4-A122-569FB5074963}"/>
    <cellStyle name="Normal 5 3 4 2 3 5" xfId="17888" xr:uid="{08F701B7-5DF5-41A2-BC92-7BA5824A52B6}"/>
    <cellStyle name="Normal 5 3 4 2 3 6" xfId="34746" xr:uid="{5794767B-5845-49C6-A693-13CC6FD3BDAB}"/>
    <cellStyle name="Normal 5 3 4 2 3 7" xfId="9453" xr:uid="{4DC554D3-C23B-4C95-A9F9-DBDEDB3B7777}"/>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33093" xr:uid="{D076167E-D9B5-4CD9-AC7F-72BD5D5E9B5C}"/>
    <cellStyle name="Normal 5 3 4 2 4 2 2 3" xfId="24664" xr:uid="{DD78642A-556C-4FD4-B5B1-9315EA5E5744}"/>
    <cellStyle name="Normal 5 3 4 2 4 2 2 4" xfId="41521" xr:uid="{E87F892E-DFCF-45B4-ABCE-574C881857F9}"/>
    <cellStyle name="Normal 5 3 4 2 4 2 2 5" xfId="16229" xr:uid="{3F98FC31-47D7-46C9-8941-F5612544CFC6}"/>
    <cellStyle name="Normal 5 3 4 2 4 2 3" xfId="28875" xr:uid="{3CA4970A-4D36-49E9-89A9-27F25C210BBE}"/>
    <cellStyle name="Normal 5 3 4 2 4 2 4" xfId="20446" xr:uid="{6697782F-1F43-436C-967E-F4633A4A9688}"/>
    <cellStyle name="Normal 5 3 4 2 4 2 5" xfId="37304" xr:uid="{147B54A5-356B-44BD-9CD4-B1F83E257AF5}"/>
    <cellStyle name="Normal 5 3 4 2 4 2 6" xfId="12011" xr:uid="{8DDE52F6-84CB-4B9F-A3CC-B438428C6139}"/>
    <cellStyle name="Normal 5 3 4 2 4 3" xfId="5649" xr:uid="{00000000-0005-0000-0000-0000311A0000}"/>
    <cellStyle name="Normal 5 3 4 2 4 3 2" xfId="30948" xr:uid="{95A5486E-4A3D-48AD-A674-E42055A57B0E}"/>
    <cellStyle name="Normal 5 3 4 2 4 3 3" xfId="22519" xr:uid="{9409A58E-0B79-44DD-AA58-F49675B53B95}"/>
    <cellStyle name="Normal 5 3 4 2 4 3 4" xfId="39376" xr:uid="{AF399A27-D15D-41E3-9A30-7E0BA896A5D1}"/>
    <cellStyle name="Normal 5 3 4 2 4 3 5" xfId="14084" xr:uid="{8A929F17-ED37-4401-B463-E7E4CB0AD1F2}"/>
    <cellStyle name="Normal 5 3 4 2 4 4" xfId="26730" xr:uid="{624CF8D5-DBA4-4158-A146-07487C4AAE20}"/>
    <cellStyle name="Normal 5 3 4 2 4 5" xfId="18301" xr:uid="{06867D2D-1B3E-47EC-82DA-45F3499D8DC2}"/>
    <cellStyle name="Normal 5 3 4 2 4 6" xfId="35159" xr:uid="{1DE9CC33-A003-49D8-B9F1-963EEE9BA2E9}"/>
    <cellStyle name="Normal 5 3 4 2 4 7" xfId="9866" xr:uid="{36F54DDD-5CBB-4865-80A6-2480C02D8EFC}"/>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33506" xr:uid="{5AF9970A-4843-4B67-BA20-48A8B1A51015}"/>
    <cellStyle name="Normal 5 3 4 2 5 2 2 3" xfId="25077" xr:uid="{8E75D2ED-ECDE-49F1-8181-D896271BD0B0}"/>
    <cellStyle name="Normal 5 3 4 2 5 2 2 4" xfId="41934" xr:uid="{C2EA0033-E96D-4336-81AE-823311470960}"/>
    <cellStyle name="Normal 5 3 4 2 5 2 2 5" xfId="16642" xr:uid="{74A291A8-DF5B-4D01-98AF-245BD42A7CBA}"/>
    <cellStyle name="Normal 5 3 4 2 5 2 3" xfId="29288" xr:uid="{75B366A7-F6A0-4317-A6F2-DA88BAEEA7F4}"/>
    <cellStyle name="Normal 5 3 4 2 5 2 4" xfId="20859" xr:uid="{29EA8F20-9B2A-4032-9FE3-0909B2C5F8C2}"/>
    <cellStyle name="Normal 5 3 4 2 5 2 5" xfId="37717" xr:uid="{CA63C51F-26EC-45A5-8BCD-1CF5B718EFCF}"/>
    <cellStyle name="Normal 5 3 4 2 5 2 6" xfId="12424" xr:uid="{573048AD-FD92-4CA1-B319-DF97640CA6EA}"/>
    <cellStyle name="Normal 5 3 4 2 5 3" xfId="6062" xr:uid="{00000000-0005-0000-0000-0000351A0000}"/>
    <cellStyle name="Normal 5 3 4 2 5 3 2" xfId="31361" xr:uid="{64EB0ED2-EE35-4EFE-851E-D757C51F9F0F}"/>
    <cellStyle name="Normal 5 3 4 2 5 3 3" xfId="22932" xr:uid="{71E90FC6-E400-4C5D-979D-DA56D1881FF9}"/>
    <cellStyle name="Normal 5 3 4 2 5 3 4" xfId="39789" xr:uid="{841A0731-3153-4BC9-9018-DB2C2DD5408B}"/>
    <cellStyle name="Normal 5 3 4 2 5 3 5" xfId="14497" xr:uid="{DEBEC32B-3F57-488A-8E32-385EB28B4C07}"/>
    <cellStyle name="Normal 5 3 4 2 5 4" xfId="27143" xr:uid="{D3535ECD-4F03-428A-A9CE-D472131435A7}"/>
    <cellStyle name="Normal 5 3 4 2 5 5" xfId="18714" xr:uid="{D4BDE4E8-04F6-4BDB-8214-E10B00F50D9C}"/>
    <cellStyle name="Normal 5 3 4 2 5 6" xfId="35572" xr:uid="{6B7D5EE8-26C2-4F05-9BE9-54DDFB1CE64F}"/>
    <cellStyle name="Normal 5 3 4 2 5 7" xfId="10279" xr:uid="{2DC984C3-F1C7-4763-8F5D-7C93916C165A}"/>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33919" xr:uid="{9D0A48D6-0968-40D3-8E32-12D7600D911D}"/>
    <cellStyle name="Normal 5 3 4 2 6 2 2 3" xfId="25490" xr:uid="{62BB25DD-506C-48B0-920F-D1D698503812}"/>
    <cellStyle name="Normal 5 3 4 2 6 2 2 4" xfId="42347" xr:uid="{BD11B80C-852E-4540-B3C4-EC090234EC7C}"/>
    <cellStyle name="Normal 5 3 4 2 6 2 2 5" xfId="17055" xr:uid="{783DB73D-15F9-4ABD-AB1F-F15C4D7EFC63}"/>
    <cellStyle name="Normal 5 3 4 2 6 2 3" xfId="29701" xr:uid="{5D347F7B-1B66-406A-96DD-08D6867A3282}"/>
    <cellStyle name="Normal 5 3 4 2 6 2 4" xfId="21272" xr:uid="{B6429685-5353-46E5-B4BD-2C5D74349E28}"/>
    <cellStyle name="Normal 5 3 4 2 6 2 5" xfId="38130" xr:uid="{E5CA53A3-C100-4B39-9981-308ABA4467DA}"/>
    <cellStyle name="Normal 5 3 4 2 6 2 6" xfId="12837" xr:uid="{D9C5A257-D7B5-45FE-B819-EEF97F6B5D3C}"/>
    <cellStyle name="Normal 5 3 4 2 6 3" xfId="6475" xr:uid="{00000000-0005-0000-0000-0000391A0000}"/>
    <cellStyle name="Normal 5 3 4 2 6 3 2" xfId="31774" xr:uid="{FA810F77-9427-4D20-AA0E-602FD60ED074}"/>
    <cellStyle name="Normal 5 3 4 2 6 3 3" xfId="23345" xr:uid="{D1FDC4D8-D8C7-4EDF-B525-E1BD4BF0B502}"/>
    <cellStyle name="Normal 5 3 4 2 6 3 4" xfId="40202" xr:uid="{130BC582-8B74-4C46-BA8D-E8657D5570AA}"/>
    <cellStyle name="Normal 5 3 4 2 6 3 5" xfId="14910" xr:uid="{B8E2F381-D159-44EB-BD7E-358AAFB1CFB7}"/>
    <cellStyle name="Normal 5 3 4 2 6 4" xfId="27556" xr:uid="{E5C1D9AE-E57F-4930-A064-DB634E9A2889}"/>
    <cellStyle name="Normal 5 3 4 2 6 5" xfId="19127" xr:uid="{DAFB8A37-0042-42F8-B8A2-9A1242BE2B06}"/>
    <cellStyle name="Normal 5 3 4 2 6 6" xfId="35985" xr:uid="{C172BFFB-077A-48DF-93FA-FB27D68FD122}"/>
    <cellStyle name="Normal 5 3 4 2 6 7" xfId="10692" xr:uid="{1F613671-1C94-49E4-9130-66604547E487}"/>
    <cellStyle name="Normal 5 3 4 2 7" xfId="2604" xr:uid="{00000000-0005-0000-0000-00003A1A0000}"/>
    <cellStyle name="Normal 5 3 4 2 7 2" xfId="6888" xr:uid="{00000000-0005-0000-0000-00003B1A0000}"/>
    <cellStyle name="Normal 5 3 4 2 7 2 2" xfId="32187" xr:uid="{FBB8D72B-5D3C-4493-945A-92C0C9B9D3EA}"/>
    <cellStyle name="Normal 5 3 4 2 7 2 3" xfId="23758" xr:uid="{5C5C7EAE-A584-48AC-B5DB-55A3E0937E0F}"/>
    <cellStyle name="Normal 5 3 4 2 7 2 4" xfId="40615" xr:uid="{F54B512F-7CB1-43F6-A9C8-174442DEBEC8}"/>
    <cellStyle name="Normal 5 3 4 2 7 2 5" xfId="15323" xr:uid="{E89D15C9-8E33-4E7A-AF01-F3F5C81FBD71}"/>
    <cellStyle name="Normal 5 3 4 2 7 3" xfId="27969" xr:uid="{ACEA0790-F1F5-4B7C-8045-F6EA714192ED}"/>
    <cellStyle name="Normal 5 3 4 2 7 4" xfId="19540" xr:uid="{F4F6BE36-15DF-4760-9937-1BF8EEE30CA7}"/>
    <cellStyle name="Normal 5 3 4 2 7 5" xfId="36398" xr:uid="{C33BAF34-5F1B-446E-B4C5-0D5EFC3C8031}"/>
    <cellStyle name="Normal 5 3 4 2 7 6" xfId="11105" xr:uid="{40593D55-49ED-4C90-BD59-57443B494FA7}"/>
    <cellStyle name="Normal 5 3 4 2 8" xfId="4823" xr:uid="{00000000-0005-0000-0000-00003C1A0000}"/>
    <cellStyle name="Normal 5 3 4 2 8 2" xfId="30122" xr:uid="{E2C1963B-442B-4B6E-BA93-9873F829B8E5}"/>
    <cellStyle name="Normal 5 3 4 2 8 3" xfId="21693" xr:uid="{203CBCE3-DD12-41B2-AAB2-6EE6670EA8CC}"/>
    <cellStyle name="Normal 5 3 4 2 8 4" xfId="38550" xr:uid="{D1000B6A-69E5-4399-955A-0579846801E8}"/>
    <cellStyle name="Normal 5 3 4 2 8 5" xfId="13258" xr:uid="{51D37F27-7B9D-4A0B-BBD1-27871D3DFBB2}"/>
    <cellStyle name="Normal 5 3 4 2 9" xfId="25904" xr:uid="{B4E071D6-723F-49B6-8E2D-7B744E1A519B}"/>
    <cellStyle name="Normal 5 3 4 3" xfId="452" xr:uid="{00000000-0005-0000-0000-00003D1A0000}"/>
    <cellStyle name="Normal 5 3 4 3 10" xfId="34335" xr:uid="{56CC986C-EAB8-4012-A1FE-A5CE266E751D}"/>
    <cellStyle name="Normal 5 3 4 3 11" xfId="9042" xr:uid="{74EB8306-FB8A-4CE2-B30B-CAE254D0F2E5}"/>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32682" xr:uid="{E9E82832-27F9-49DC-82E6-2595023E7274}"/>
    <cellStyle name="Normal 5 3 4 3 2 2 2 3" xfId="24253" xr:uid="{57BE1F6F-638E-4B3D-A308-4406AC890E2F}"/>
    <cellStyle name="Normal 5 3 4 3 2 2 2 4" xfId="41110" xr:uid="{3460AAAB-B6F1-4B4F-B413-4E7B2EA227D8}"/>
    <cellStyle name="Normal 5 3 4 3 2 2 2 5" xfId="15818" xr:uid="{CA66C92E-966E-470B-9508-5CE32628BB75}"/>
    <cellStyle name="Normal 5 3 4 3 2 2 3" xfId="28464" xr:uid="{BB2E9AE9-639F-4BBB-92BE-A3B51A48F603}"/>
    <cellStyle name="Normal 5 3 4 3 2 2 4" xfId="20035" xr:uid="{74A60CC3-0F3E-436D-96CC-DA182665722A}"/>
    <cellStyle name="Normal 5 3 4 3 2 2 5" xfId="36893" xr:uid="{214EECF0-824B-44D0-AE18-2A8EF8597AD9}"/>
    <cellStyle name="Normal 5 3 4 3 2 2 6" xfId="11600" xr:uid="{C2AF648A-64F9-4970-AD3C-C85778A5CC91}"/>
    <cellStyle name="Normal 5 3 4 3 2 3" xfId="5238" xr:uid="{00000000-0005-0000-0000-0000411A0000}"/>
    <cellStyle name="Normal 5 3 4 3 2 3 2" xfId="30537" xr:uid="{C08BE26F-5DDE-4E4E-B5F3-317044E7BD94}"/>
    <cellStyle name="Normal 5 3 4 3 2 3 3" xfId="22108" xr:uid="{89B508EE-2871-470A-878C-890A7D181015}"/>
    <cellStyle name="Normal 5 3 4 3 2 3 4" xfId="38965" xr:uid="{4D1E1C65-D93B-463A-A132-4A780D2D9843}"/>
    <cellStyle name="Normal 5 3 4 3 2 3 5" xfId="13673" xr:uid="{44581061-6392-4571-A9D8-9648F11CADC1}"/>
    <cellStyle name="Normal 5 3 4 3 2 4" xfId="26319" xr:uid="{C7C292F0-072C-493C-AE48-CF0B8C23F175}"/>
    <cellStyle name="Normal 5 3 4 3 2 5" xfId="17890" xr:uid="{F6963870-0165-4033-9736-5743BC71A84B}"/>
    <cellStyle name="Normal 5 3 4 3 2 6" xfId="34748" xr:uid="{134F6B54-7D9E-4FCB-B914-2581740B0187}"/>
    <cellStyle name="Normal 5 3 4 3 2 7" xfId="9455" xr:uid="{EDC8426E-9100-4459-87BC-BBBF58FC346F}"/>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33095" xr:uid="{0F709B38-919C-493A-83DF-699684E3DC06}"/>
    <cellStyle name="Normal 5 3 4 3 3 2 2 3" xfId="24666" xr:uid="{D372D7D2-E318-4528-A125-3BB3BF429CBA}"/>
    <cellStyle name="Normal 5 3 4 3 3 2 2 4" xfId="41523" xr:uid="{DEFA5230-CF60-4EAB-8BE3-B65D0962146F}"/>
    <cellStyle name="Normal 5 3 4 3 3 2 2 5" xfId="16231" xr:uid="{12502562-3FAC-484E-8E45-A18E101B007A}"/>
    <cellStyle name="Normal 5 3 4 3 3 2 3" xfId="28877" xr:uid="{993EC90C-2ADC-4462-8A0C-3DDA3C9A9BB6}"/>
    <cellStyle name="Normal 5 3 4 3 3 2 4" xfId="20448" xr:uid="{B620360D-7510-4F19-9F24-7F021234AF9A}"/>
    <cellStyle name="Normal 5 3 4 3 3 2 5" xfId="37306" xr:uid="{AC9E62E5-E48F-4FDD-90D9-63423D56705C}"/>
    <cellStyle name="Normal 5 3 4 3 3 2 6" xfId="12013" xr:uid="{C8601CBD-DB70-489F-99DC-6D02CB10B4C1}"/>
    <cellStyle name="Normal 5 3 4 3 3 3" xfId="5651" xr:uid="{00000000-0005-0000-0000-0000451A0000}"/>
    <cellStyle name="Normal 5 3 4 3 3 3 2" xfId="30950" xr:uid="{5DD3BE73-4DE3-476D-99FB-46EF7F576063}"/>
    <cellStyle name="Normal 5 3 4 3 3 3 3" xfId="22521" xr:uid="{27606FCD-DF3F-4356-AB36-3EFFDDF83701}"/>
    <cellStyle name="Normal 5 3 4 3 3 3 4" xfId="39378" xr:uid="{F5473207-C275-4EF7-A396-3041901ABF4D}"/>
    <cellStyle name="Normal 5 3 4 3 3 3 5" xfId="14086" xr:uid="{F1B9B3EF-471E-42A3-9C2C-FFA4BE2F149E}"/>
    <cellStyle name="Normal 5 3 4 3 3 4" xfId="26732" xr:uid="{4D407A23-2D4C-444D-87E8-59FF2D2509F0}"/>
    <cellStyle name="Normal 5 3 4 3 3 5" xfId="18303" xr:uid="{5669CBC6-EFD7-4BDD-8CBB-7110B2EAEBCE}"/>
    <cellStyle name="Normal 5 3 4 3 3 6" xfId="35161" xr:uid="{74037956-79CC-4C3E-A981-464D43737293}"/>
    <cellStyle name="Normal 5 3 4 3 3 7" xfId="9868" xr:uid="{FC326D00-BD59-40EB-A740-465F04A354B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33508" xr:uid="{FCB67E42-9A28-4931-B83A-F03EAD0963D4}"/>
    <cellStyle name="Normal 5 3 4 3 4 2 2 3" xfId="25079" xr:uid="{6849FF11-9443-45D4-859F-0AEC9730361F}"/>
    <cellStyle name="Normal 5 3 4 3 4 2 2 4" xfId="41936" xr:uid="{786C3D78-52B2-47CC-BA41-CF0486598352}"/>
    <cellStyle name="Normal 5 3 4 3 4 2 2 5" xfId="16644" xr:uid="{76CD9557-5963-409B-B1E9-7B4801A24E63}"/>
    <cellStyle name="Normal 5 3 4 3 4 2 3" xfId="29290" xr:uid="{8CA7BD45-46E0-4401-A772-4A963A265D9B}"/>
    <cellStyle name="Normal 5 3 4 3 4 2 4" xfId="20861" xr:uid="{5CB96085-0B2A-41B3-9879-7E3088C59DBC}"/>
    <cellStyle name="Normal 5 3 4 3 4 2 5" xfId="37719" xr:uid="{DCC6FC67-307D-4884-A708-C8CEAB578CBD}"/>
    <cellStyle name="Normal 5 3 4 3 4 2 6" xfId="12426" xr:uid="{F4D86AAE-B020-4E3D-9ACE-B51D3B6C0AA2}"/>
    <cellStyle name="Normal 5 3 4 3 4 3" xfId="6064" xr:uid="{00000000-0005-0000-0000-0000491A0000}"/>
    <cellStyle name="Normal 5 3 4 3 4 3 2" xfId="31363" xr:uid="{A7BDFB7D-D694-4201-8AB1-1110F4C0D168}"/>
    <cellStyle name="Normal 5 3 4 3 4 3 3" xfId="22934" xr:uid="{F8D78FE2-3502-432C-8D33-443907D04638}"/>
    <cellStyle name="Normal 5 3 4 3 4 3 4" xfId="39791" xr:uid="{05492B3C-38BC-49C0-B548-3F691E116054}"/>
    <cellStyle name="Normal 5 3 4 3 4 3 5" xfId="14499" xr:uid="{F241F7F5-02B2-40F2-9324-75DC1E431724}"/>
    <cellStyle name="Normal 5 3 4 3 4 4" xfId="27145" xr:uid="{54AF9FBC-0DA9-4E6B-83F8-E4E610990387}"/>
    <cellStyle name="Normal 5 3 4 3 4 5" xfId="18716" xr:uid="{D553A878-6E92-406A-AB86-F0CCEFF1D9C3}"/>
    <cellStyle name="Normal 5 3 4 3 4 6" xfId="35574" xr:uid="{189353FF-E891-429A-B5DB-0A1EA6E40466}"/>
    <cellStyle name="Normal 5 3 4 3 4 7" xfId="10281" xr:uid="{F506B1E1-4DD2-403A-A710-C16C3D9636F3}"/>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33921" xr:uid="{56C70B36-9F35-47B1-B017-CD2CFEF7EBEA}"/>
    <cellStyle name="Normal 5 3 4 3 5 2 2 3" xfId="25492" xr:uid="{577DDFA3-49EE-4AC9-A9BA-FBBF2E4C20C2}"/>
    <cellStyle name="Normal 5 3 4 3 5 2 2 4" xfId="42349" xr:uid="{8B34222E-671E-47A1-8451-8CF491E109DF}"/>
    <cellStyle name="Normal 5 3 4 3 5 2 2 5" xfId="17057" xr:uid="{12DED8AC-1268-412C-BFD0-1E7DD9971C23}"/>
    <cellStyle name="Normal 5 3 4 3 5 2 3" xfId="29703" xr:uid="{E4139A88-11E9-4AE2-9E03-0C32BCAFC7C9}"/>
    <cellStyle name="Normal 5 3 4 3 5 2 4" xfId="21274" xr:uid="{E5CA9B15-8FF1-4BA3-B0B0-69ECF9876793}"/>
    <cellStyle name="Normal 5 3 4 3 5 2 5" xfId="38132" xr:uid="{791B2578-D36A-4920-BE4B-A2962A44A9C5}"/>
    <cellStyle name="Normal 5 3 4 3 5 2 6" xfId="12839" xr:uid="{91E5DF3B-0B4F-4A8B-AC34-8F887EC01E9D}"/>
    <cellStyle name="Normal 5 3 4 3 5 3" xfId="6477" xr:uid="{00000000-0005-0000-0000-00004D1A0000}"/>
    <cellStyle name="Normal 5 3 4 3 5 3 2" xfId="31776" xr:uid="{E9FBF31C-78BE-4E6C-8DA9-7C7DFA6F709F}"/>
    <cellStyle name="Normal 5 3 4 3 5 3 3" xfId="23347" xr:uid="{84DF1768-62F9-4A7C-90E7-8CCE51A366B4}"/>
    <cellStyle name="Normal 5 3 4 3 5 3 4" xfId="40204" xr:uid="{74C36A67-04D9-403D-8108-2976A3F50DF1}"/>
    <cellStyle name="Normal 5 3 4 3 5 3 5" xfId="14912" xr:uid="{A6C9B30A-4DC0-47E5-904A-2819DE659DC0}"/>
    <cellStyle name="Normal 5 3 4 3 5 4" xfId="27558" xr:uid="{8EBF4E5F-664C-449B-95F7-17B2A73EF0E6}"/>
    <cellStyle name="Normal 5 3 4 3 5 5" xfId="19129" xr:uid="{AA20A42E-27BD-433E-B925-D75174E8348F}"/>
    <cellStyle name="Normal 5 3 4 3 5 6" xfId="35987" xr:uid="{7AB39109-8D78-4BB6-AB15-287BDDC7D5DE}"/>
    <cellStyle name="Normal 5 3 4 3 5 7" xfId="10694" xr:uid="{0E94957D-7C78-449D-9CF1-D7438213D0FA}"/>
    <cellStyle name="Normal 5 3 4 3 6" xfId="2606" xr:uid="{00000000-0005-0000-0000-00004E1A0000}"/>
    <cellStyle name="Normal 5 3 4 3 6 2" xfId="6890" xr:uid="{00000000-0005-0000-0000-00004F1A0000}"/>
    <cellStyle name="Normal 5 3 4 3 6 2 2" xfId="32189" xr:uid="{432C18C1-5B9A-4403-8C7F-AA4034F3189B}"/>
    <cellStyle name="Normal 5 3 4 3 6 2 3" xfId="23760" xr:uid="{B28DAE6D-7D5C-45BB-8A8F-D48C1FDDB133}"/>
    <cellStyle name="Normal 5 3 4 3 6 2 4" xfId="40617" xr:uid="{C1A1554A-8230-42D8-A9D9-A0B97240FDD8}"/>
    <cellStyle name="Normal 5 3 4 3 6 2 5" xfId="15325" xr:uid="{186B0553-0A98-473D-B090-FBAC30AC66AB}"/>
    <cellStyle name="Normal 5 3 4 3 6 3" xfId="27971" xr:uid="{80E12B78-D2DF-48C7-8FE9-33112C568587}"/>
    <cellStyle name="Normal 5 3 4 3 6 4" xfId="19542" xr:uid="{F56AB904-AFBA-4762-B2DA-6645AB38CB5B}"/>
    <cellStyle name="Normal 5 3 4 3 6 5" xfId="36400" xr:uid="{B2419E78-D08F-4146-B798-DA2E016C60B5}"/>
    <cellStyle name="Normal 5 3 4 3 6 6" xfId="11107" xr:uid="{E284EDE8-F9C9-4333-883E-E2415D0E926A}"/>
    <cellStyle name="Normal 5 3 4 3 7" xfId="4825" xr:uid="{00000000-0005-0000-0000-0000501A0000}"/>
    <cellStyle name="Normal 5 3 4 3 7 2" xfId="30124" xr:uid="{B934D944-3ABF-45F8-B61F-6A341745E85E}"/>
    <cellStyle name="Normal 5 3 4 3 7 3" xfId="21695" xr:uid="{BE34B2FF-9690-4B86-A6E4-2BD86F449839}"/>
    <cellStyle name="Normal 5 3 4 3 7 4" xfId="38552" xr:uid="{6DDAD208-1304-4ED9-AB26-DB065E6D986A}"/>
    <cellStyle name="Normal 5 3 4 3 7 5" xfId="13260" xr:uid="{D0745C40-D17F-43BE-A17A-04BE4D369371}"/>
    <cellStyle name="Normal 5 3 4 3 8" xfId="25906" xr:uid="{765CD221-9556-4BC5-9D64-277937116C31}"/>
    <cellStyle name="Normal 5 3 4 3 9" xfId="17477" xr:uid="{122C0490-2B65-41B8-B2A2-8AB86797D365}"/>
    <cellStyle name="Normal 5 3 4 4" xfId="923" xr:uid="{00000000-0005-0000-0000-0000511A0000}"/>
    <cellStyle name="Normal 5 3 4 4 2" xfId="3157" xr:uid="{00000000-0005-0000-0000-0000521A0000}"/>
    <cellStyle name="Normal 5 3 4 4 2 2" xfId="7380" xr:uid="{00000000-0005-0000-0000-0000531A0000}"/>
    <cellStyle name="Normal 5 3 4 4 2 2 2" xfId="32679" xr:uid="{1DD289F8-E87B-423E-937F-6173E031CD16}"/>
    <cellStyle name="Normal 5 3 4 4 2 2 3" xfId="24250" xr:uid="{5C9EDDB4-660C-40A3-80D8-FA4168DBB4A8}"/>
    <cellStyle name="Normal 5 3 4 4 2 2 4" xfId="41107" xr:uid="{1594A2A1-D2C2-44F3-95ED-96CF9D5857CA}"/>
    <cellStyle name="Normal 5 3 4 4 2 2 5" xfId="15815" xr:uid="{8F9E686E-3275-4135-84A1-65A14CDBEC27}"/>
    <cellStyle name="Normal 5 3 4 4 2 3" xfId="28461" xr:uid="{1EFD4205-955A-4677-92D7-3911A3ABC0CE}"/>
    <cellStyle name="Normal 5 3 4 4 2 4" xfId="20032" xr:uid="{C47432E0-0AB1-4BB1-99E0-404AE297211C}"/>
    <cellStyle name="Normal 5 3 4 4 2 5" xfId="36890" xr:uid="{AB131597-3233-43D2-9EF5-1C231B05792B}"/>
    <cellStyle name="Normal 5 3 4 4 2 6" xfId="11597" xr:uid="{FAFCDC37-D227-42E2-8DE7-1C45BD55B425}"/>
    <cellStyle name="Normal 5 3 4 4 3" xfId="5235" xr:uid="{00000000-0005-0000-0000-0000541A0000}"/>
    <cellStyle name="Normal 5 3 4 4 3 2" xfId="30534" xr:uid="{A0A8569A-F357-4973-8E67-3C0844D9533E}"/>
    <cellStyle name="Normal 5 3 4 4 3 3" xfId="22105" xr:uid="{5CEE0D32-7F7C-45F1-B204-BD63598832D9}"/>
    <cellStyle name="Normal 5 3 4 4 3 4" xfId="38962" xr:uid="{D74E603A-E713-431A-BD77-0483B01F04B6}"/>
    <cellStyle name="Normal 5 3 4 4 3 5" xfId="13670" xr:uid="{332278F4-AD5C-44B9-B80D-1E9071A2E860}"/>
    <cellStyle name="Normal 5 3 4 4 4" xfId="26316" xr:uid="{4866204D-D88B-4EE2-B321-1E47327A875D}"/>
    <cellStyle name="Normal 5 3 4 4 5" xfId="17887" xr:uid="{1FA6C89C-B53F-460A-AE17-E1145BBAEF99}"/>
    <cellStyle name="Normal 5 3 4 4 6" xfId="34745" xr:uid="{F4741F28-32D4-46CB-B135-45B82875B041}"/>
    <cellStyle name="Normal 5 3 4 4 7" xfId="9452" xr:uid="{D23CF573-B851-4644-8D7F-1AC3288DA265}"/>
    <cellStyle name="Normal 5 3 4 5" xfId="1340" xr:uid="{00000000-0005-0000-0000-0000551A0000}"/>
    <cellStyle name="Normal 5 3 4 5 2" xfId="3570" xr:uid="{00000000-0005-0000-0000-0000561A0000}"/>
    <cellStyle name="Normal 5 3 4 5 2 2" xfId="7793" xr:uid="{00000000-0005-0000-0000-0000571A0000}"/>
    <cellStyle name="Normal 5 3 4 5 2 2 2" xfId="33092" xr:uid="{9A17F7DD-5DF8-44D7-95E2-2BF3CCA2EA34}"/>
    <cellStyle name="Normal 5 3 4 5 2 2 3" xfId="24663" xr:uid="{D1E9DD1F-295F-44A7-9FF6-129EBDF33FD7}"/>
    <cellStyle name="Normal 5 3 4 5 2 2 4" xfId="41520" xr:uid="{EDF1ECBD-002C-4272-B431-9EC7BFC58888}"/>
    <cellStyle name="Normal 5 3 4 5 2 2 5" xfId="16228" xr:uid="{AAC1E606-1DAB-4717-9177-C1A0B81A13B8}"/>
    <cellStyle name="Normal 5 3 4 5 2 3" xfId="28874" xr:uid="{1F58A617-94B3-4409-8543-2A59E8BE1D3A}"/>
    <cellStyle name="Normal 5 3 4 5 2 4" xfId="20445" xr:uid="{7263A39E-A4BC-4253-9828-7869BF25503B}"/>
    <cellStyle name="Normal 5 3 4 5 2 5" xfId="37303" xr:uid="{7545E589-56F5-4774-8EE5-715E2E141AE3}"/>
    <cellStyle name="Normal 5 3 4 5 2 6" xfId="12010" xr:uid="{9A69DC6F-8544-44F6-9AB8-0FB8B05486B2}"/>
    <cellStyle name="Normal 5 3 4 5 3" xfId="5648" xr:uid="{00000000-0005-0000-0000-0000581A0000}"/>
    <cellStyle name="Normal 5 3 4 5 3 2" xfId="30947" xr:uid="{54F2B15D-F05B-4110-84F2-359C80CBB0DB}"/>
    <cellStyle name="Normal 5 3 4 5 3 3" xfId="22518" xr:uid="{052DF3E1-E774-46E8-8A32-A9C93909AFDC}"/>
    <cellStyle name="Normal 5 3 4 5 3 4" xfId="39375" xr:uid="{B74ED0F0-7C1B-4AED-B897-0EFBC3E18826}"/>
    <cellStyle name="Normal 5 3 4 5 3 5" xfId="14083" xr:uid="{01E795EB-80A2-4C19-B7BD-B29BAD5CF9BA}"/>
    <cellStyle name="Normal 5 3 4 5 4" xfId="26729" xr:uid="{D80D994B-5164-4B6C-941C-1722C6F828A4}"/>
    <cellStyle name="Normal 5 3 4 5 5" xfId="18300" xr:uid="{D3BDFF28-A621-40CA-A7B1-487186361C2E}"/>
    <cellStyle name="Normal 5 3 4 5 6" xfId="35158" xr:uid="{7F65069B-50EF-4EC9-B545-D5AE5048476D}"/>
    <cellStyle name="Normal 5 3 4 5 7" xfId="9865" xr:uid="{6224A10F-E5C1-416E-AFC5-9030FF74DA35}"/>
    <cellStyle name="Normal 5 3 4 6" xfId="1753" xr:uid="{00000000-0005-0000-0000-0000591A0000}"/>
    <cellStyle name="Normal 5 3 4 6 2" xfId="3983" xr:uid="{00000000-0005-0000-0000-00005A1A0000}"/>
    <cellStyle name="Normal 5 3 4 6 2 2" xfId="8206" xr:uid="{00000000-0005-0000-0000-00005B1A0000}"/>
    <cellStyle name="Normal 5 3 4 6 2 2 2" xfId="33505" xr:uid="{40333F75-793E-4771-84DE-3E0F08065703}"/>
    <cellStyle name="Normal 5 3 4 6 2 2 3" xfId="25076" xr:uid="{0F8509F4-046D-4A58-B73E-20B838C6BEA1}"/>
    <cellStyle name="Normal 5 3 4 6 2 2 4" xfId="41933" xr:uid="{544CA33C-00CF-40E0-A2D2-884AFDC9A8D6}"/>
    <cellStyle name="Normal 5 3 4 6 2 2 5" xfId="16641" xr:uid="{AD8BB023-C022-46C5-AE5A-F931EE91806A}"/>
    <cellStyle name="Normal 5 3 4 6 2 3" xfId="29287" xr:uid="{5D076F90-BB7F-40B9-9D6D-80592B4AA495}"/>
    <cellStyle name="Normal 5 3 4 6 2 4" xfId="20858" xr:uid="{DB53A250-D834-4B3C-9CA4-C84DF5A38912}"/>
    <cellStyle name="Normal 5 3 4 6 2 5" xfId="37716" xr:uid="{4CAE7743-B4BC-4BA2-8AE9-38FEDAC28ABE}"/>
    <cellStyle name="Normal 5 3 4 6 2 6" xfId="12423" xr:uid="{4E63276F-AA87-4DE6-B17B-B92D8C251A3C}"/>
    <cellStyle name="Normal 5 3 4 6 3" xfId="6061" xr:uid="{00000000-0005-0000-0000-00005C1A0000}"/>
    <cellStyle name="Normal 5 3 4 6 3 2" xfId="31360" xr:uid="{A467DE57-9FF0-49E7-808F-42C0D41867FE}"/>
    <cellStyle name="Normal 5 3 4 6 3 3" xfId="22931" xr:uid="{CE1E5341-9679-430F-A3F3-E4CFBE757F74}"/>
    <cellStyle name="Normal 5 3 4 6 3 4" xfId="39788" xr:uid="{87EC00A3-B261-4A9C-90EA-189266B8890A}"/>
    <cellStyle name="Normal 5 3 4 6 3 5" xfId="14496" xr:uid="{6141BA87-11B1-4AAC-AFC4-AAEEC1BBE0F1}"/>
    <cellStyle name="Normal 5 3 4 6 4" xfId="27142" xr:uid="{B0F0F5D1-122A-4775-8A08-6D50FD4EA228}"/>
    <cellStyle name="Normal 5 3 4 6 5" xfId="18713" xr:uid="{5CD681D8-E670-4F2B-B1DB-119F94FD3FC3}"/>
    <cellStyle name="Normal 5 3 4 6 6" xfId="35571" xr:uid="{C510D385-1787-44F3-B07D-B78DC6CF79A7}"/>
    <cellStyle name="Normal 5 3 4 6 7" xfId="10278" xr:uid="{C01EFFCD-CC29-4377-88AF-BF47FB5EBB37}"/>
    <cellStyle name="Normal 5 3 4 7" xfId="2167" xr:uid="{00000000-0005-0000-0000-00005D1A0000}"/>
    <cellStyle name="Normal 5 3 4 7 2" xfId="4396" xr:uid="{00000000-0005-0000-0000-00005E1A0000}"/>
    <cellStyle name="Normal 5 3 4 7 2 2" xfId="8619" xr:uid="{00000000-0005-0000-0000-00005F1A0000}"/>
    <cellStyle name="Normal 5 3 4 7 2 2 2" xfId="33918" xr:uid="{61441088-EC91-4F0C-94F6-0E7B56FB3029}"/>
    <cellStyle name="Normal 5 3 4 7 2 2 3" xfId="25489" xr:uid="{6045F589-9E42-47A0-BF14-32563095FD55}"/>
    <cellStyle name="Normal 5 3 4 7 2 2 4" xfId="42346" xr:uid="{00E1C437-2C4C-4F2D-A246-07B882BD13C7}"/>
    <cellStyle name="Normal 5 3 4 7 2 2 5" xfId="17054" xr:uid="{253C6EFD-34AF-4AEB-B22A-83FF00CF5EE7}"/>
    <cellStyle name="Normal 5 3 4 7 2 3" xfId="29700" xr:uid="{CF16AF1D-BA54-4B38-8060-B5BC46E75A5C}"/>
    <cellStyle name="Normal 5 3 4 7 2 4" xfId="21271" xr:uid="{EE493ED4-A387-4124-8E7F-F2F180EFB5E7}"/>
    <cellStyle name="Normal 5 3 4 7 2 5" xfId="38129" xr:uid="{8EA175B0-8A59-45A7-BDC3-BA9538CF5D79}"/>
    <cellStyle name="Normal 5 3 4 7 2 6" xfId="12836" xr:uid="{05160F9A-45A9-47D8-AEF7-BBB0C8BE421C}"/>
    <cellStyle name="Normal 5 3 4 7 3" xfId="6474" xr:uid="{00000000-0005-0000-0000-0000601A0000}"/>
    <cellStyle name="Normal 5 3 4 7 3 2" xfId="31773" xr:uid="{9A48AD15-6D5C-46E1-9669-E6503F766DF1}"/>
    <cellStyle name="Normal 5 3 4 7 3 3" xfId="23344" xr:uid="{ACEE02B6-D88B-4E4A-98A6-76925794C79D}"/>
    <cellStyle name="Normal 5 3 4 7 3 4" xfId="40201" xr:uid="{03F0FB77-0CF5-4C71-AF6E-640ACBFE3C8A}"/>
    <cellStyle name="Normal 5 3 4 7 3 5" xfId="14909" xr:uid="{7F26CD7B-1846-4AFD-AAC0-CC27971B3B98}"/>
    <cellStyle name="Normal 5 3 4 7 4" xfId="27555" xr:uid="{C831E0F5-09AD-47E1-846A-9C0C533C256E}"/>
    <cellStyle name="Normal 5 3 4 7 5" xfId="19126" xr:uid="{8BB27DA0-6FD2-4ACE-9E7C-E1D9B0E0231E}"/>
    <cellStyle name="Normal 5 3 4 7 6" xfId="35984" xr:uid="{A87180D7-936A-43B7-9BCD-960CBAD05168}"/>
    <cellStyle name="Normal 5 3 4 7 7" xfId="10691" xr:uid="{B8871773-EF2B-4DBC-B184-4054A3EE9704}"/>
    <cellStyle name="Normal 5 3 4 8" xfId="2603" xr:uid="{00000000-0005-0000-0000-0000611A0000}"/>
    <cellStyle name="Normal 5 3 4 8 2" xfId="6887" xr:uid="{00000000-0005-0000-0000-0000621A0000}"/>
    <cellStyle name="Normal 5 3 4 8 2 2" xfId="32186" xr:uid="{25171D9D-72EB-4D98-91A3-B50BAC095EC6}"/>
    <cellStyle name="Normal 5 3 4 8 2 3" xfId="23757" xr:uid="{45BB6B86-E9DD-492C-BB55-D95204023193}"/>
    <cellStyle name="Normal 5 3 4 8 2 4" xfId="40614" xr:uid="{476C4182-3FEA-498F-B149-E020F7202731}"/>
    <cellStyle name="Normal 5 3 4 8 2 5" xfId="15322" xr:uid="{B13147B9-D8CC-4934-8A2F-8C76EFC40AF9}"/>
    <cellStyle name="Normal 5 3 4 8 3" xfId="27968" xr:uid="{690D1079-37E2-46B7-93E8-26DD2E3C67E9}"/>
    <cellStyle name="Normal 5 3 4 8 4" xfId="19539" xr:uid="{D06C1A53-9E7B-4570-8CAD-B7D0C087D6D5}"/>
    <cellStyle name="Normal 5 3 4 8 5" xfId="36397" xr:uid="{3337DF63-DCBB-4B07-AF92-406635E1C076}"/>
    <cellStyle name="Normal 5 3 4 8 6" xfId="11104" xr:uid="{04EDF323-403D-4442-9D7C-DF13169AA1D7}"/>
    <cellStyle name="Normal 5 3 4 9" xfId="4822" xr:uid="{00000000-0005-0000-0000-0000631A0000}"/>
    <cellStyle name="Normal 5 3 4 9 2" xfId="30121" xr:uid="{05D4B265-6D0E-482B-A1C9-7EBB3E2A8AD2}"/>
    <cellStyle name="Normal 5 3 4 9 3" xfId="21692" xr:uid="{C75B6EC1-DC20-4FE6-AD25-8642ACCEC0A1}"/>
    <cellStyle name="Normal 5 3 4 9 4" xfId="38549" xr:uid="{0840C39A-3BB9-4A04-9209-74B29841DBCE}"/>
    <cellStyle name="Normal 5 3 4 9 5" xfId="13257" xr:uid="{9D1CFBBA-6741-4619-8C3B-224163F82DCE}"/>
    <cellStyle name="Normal 5 3 5" xfId="453" xr:uid="{00000000-0005-0000-0000-0000641A0000}"/>
    <cellStyle name="Normal 5 3 5 10" xfId="17478" xr:uid="{00FA77D2-582A-4DC7-B72C-C0560A3149F3}"/>
    <cellStyle name="Normal 5 3 5 11" xfId="34336" xr:uid="{966A5C7E-9914-473D-AD47-94DD3B2B5F06}"/>
    <cellStyle name="Normal 5 3 5 12" xfId="9043" xr:uid="{007BDF0A-586D-4CC7-B048-A6C5B0F95B7D}"/>
    <cellStyle name="Normal 5 3 5 2" xfId="454" xr:uid="{00000000-0005-0000-0000-0000651A0000}"/>
    <cellStyle name="Normal 5 3 5 2 10" xfId="34337" xr:uid="{C1E3D267-6B80-4B03-B295-1614E7881549}"/>
    <cellStyle name="Normal 5 3 5 2 11" xfId="9044" xr:uid="{F5AEF854-3E4F-4543-818D-E786D249B64E}"/>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32684" xr:uid="{67EB7F18-4BBC-4307-B27B-BB8D1D24688A}"/>
    <cellStyle name="Normal 5 3 5 2 2 2 2 3" xfId="24255" xr:uid="{92A3E484-9624-4A1C-8E9C-7C797A33D47B}"/>
    <cellStyle name="Normal 5 3 5 2 2 2 2 4" xfId="41112" xr:uid="{D109EC27-E5E7-4CE7-98B8-D89703878A7D}"/>
    <cellStyle name="Normal 5 3 5 2 2 2 2 5" xfId="15820" xr:uid="{9B9C0AA3-EBCC-48AD-BB56-98E13F9AE884}"/>
    <cellStyle name="Normal 5 3 5 2 2 2 3" xfId="28466" xr:uid="{4DBF9231-81A1-43DE-9F9D-F1E5172D1CF9}"/>
    <cellStyle name="Normal 5 3 5 2 2 2 4" xfId="20037" xr:uid="{B5BBFB54-8282-4A7E-9096-BFFFD09A599A}"/>
    <cellStyle name="Normal 5 3 5 2 2 2 5" xfId="36895" xr:uid="{F380DF21-D190-4C1F-B252-6682F4730DAF}"/>
    <cellStyle name="Normal 5 3 5 2 2 2 6" xfId="11602" xr:uid="{B384E381-E534-4878-BE3A-43E8EA60AEB5}"/>
    <cellStyle name="Normal 5 3 5 2 2 3" xfId="5240" xr:uid="{00000000-0005-0000-0000-0000691A0000}"/>
    <cellStyle name="Normal 5 3 5 2 2 3 2" xfId="30539" xr:uid="{C136E528-CA7D-4F84-B0D7-9FA1FA69C029}"/>
    <cellStyle name="Normal 5 3 5 2 2 3 3" xfId="22110" xr:uid="{4186514C-D0A6-4335-B748-67E3D02FA3D5}"/>
    <cellStyle name="Normal 5 3 5 2 2 3 4" xfId="38967" xr:uid="{0EF7A358-8643-4C66-A4C6-DB32850C99A7}"/>
    <cellStyle name="Normal 5 3 5 2 2 3 5" xfId="13675" xr:uid="{E8BF0375-0BDE-4741-B706-93DE429F3842}"/>
    <cellStyle name="Normal 5 3 5 2 2 4" xfId="26321" xr:uid="{D9910BE5-2D76-4F5B-B571-92E3C34E5151}"/>
    <cellStyle name="Normal 5 3 5 2 2 5" xfId="17892" xr:uid="{041562A7-32C9-43CE-B5A4-FBE95CB27319}"/>
    <cellStyle name="Normal 5 3 5 2 2 6" xfId="34750" xr:uid="{6CD2E3F9-8477-4830-A2AB-EC74FAA40D17}"/>
    <cellStyle name="Normal 5 3 5 2 2 7" xfId="9457" xr:uid="{46FA2A6B-398A-44D3-B2D3-8BBE59A8D171}"/>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33097" xr:uid="{D46AF460-67CF-49D2-A223-29D24D9264E1}"/>
    <cellStyle name="Normal 5 3 5 2 3 2 2 3" xfId="24668" xr:uid="{FE604B3B-BF0B-427F-BFEF-17F6803D2765}"/>
    <cellStyle name="Normal 5 3 5 2 3 2 2 4" xfId="41525" xr:uid="{681DA2A0-1923-42F8-8A9D-58D455F2C9B4}"/>
    <cellStyle name="Normal 5 3 5 2 3 2 2 5" xfId="16233" xr:uid="{C1FD8EFF-F257-42FD-BF77-19CF38432C1B}"/>
    <cellStyle name="Normal 5 3 5 2 3 2 3" xfId="28879" xr:uid="{BB26F504-3A0A-4612-94D0-1EA7BEED90AA}"/>
    <cellStyle name="Normal 5 3 5 2 3 2 4" xfId="20450" xr:uid="{31B3858A-3245-4172-ADC5-05428B2540F0}"/>
    <cellStyle name="Normal 5 3 5 2 3 2 5" xfId="37308" xr:uid="{A0B5ABCE-1232-4324-81D4-C9F13C8DF690}"/>
    <cellStyle name="Normal 5 3 5 2 3 2 6" xfId="12015" xr:uid="{0B5C3C2E-BF9A-485D-AC7B-34639B2935D3}"/>
    <cellStyle name="Normal 5 3 5 2 3 3" xfId="5653" xr:uid="{00000000-0005-0000-0000-00006D1A0000}"/>
    <cellStyle name="Normal 5 3 5 2 3 3 2" xfId="30952" xr:uid="{4DBBD01C-5AFE-4AB0-B131-54AFFA0EB654}"/>
    <cellStyle name="Normal 5 3 5 2 3 3 3" xfId="22523" xr:uid="{811E0219-6A88-4D0B-A875-7A23461EE118}"/>
    <cellStyle name="Normal 5 3 5 2 3 3 4" xfId="39380" xr:uid="{3C333288-C23C-463E-A302-FD80A46E367C}"/>
    <cellStyle name="Normal 5 3 5 2 3 3 5" xfId="14088" xr:uid="{C12BD1B7-A7AE-4BF5-A795-E8122D1D1F98}"/>
    <cellStyle name="Normal 5 3 5 2 3 4" xfId="26734" xr:uid="{A5EBAB5C-CAE1-4D03-A455-EE45810DDF50}"/>
    <cellStyle name="Normal 5 3 5 2 3 5" xfId="18305" xr:uid="{7215D6C8-C847-4DBD-AD44-FDB75520F649}"/>
    <cellStyle name="Normal 5 3 5 2 3 6" xfId="35163" xr:uid="{0CA31444-5882-465F-9A12-90057FFF276A}"/>
    <cellStyle name="Normal 5 3 5 2 3 7" xfId="9870" xr:uid="{03BEDC91-9D23-410B-9A53-1E792CD69A21}"/>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33510" xr:uid="{FD76893B-BA35-47F4-BF1F-BB40B11D61D6}"/>
    <cellStyle name="Normal 5 3 5 2 4 2 2 3" xfId="25081" xr:uid="{F2950800-4853-47D9-B9C1-49C0E9D3F5B0}"/>
    <cellStyle name="Normal 5 3 5 2 4 2 2 4" xfId="41938" xr:uid="{F4706E49-02A9-4502-99B0-313E2E48C90B}"/>
    <cellStyle name="Normal 5 3 5 2 4 2 2 5" xfId="16646" xr:uid="{9A9DEB26-AA0E-4645-AEF3-57EEE8EF35E6}"/>
    <cellStyle name="Normal 5 3 5 2 4 2 3" xfId="29292" xr:uid="{BD497DC1-8652-4CCB-A7F8-37E15C268EAF}"/>
    <cellStyle name="Normal 5 3 5 2 4 2 4" xfId="20863" xr:uid="{9E15AC30-9029-4BD7-B3E9-68218A786576}"/>
    <cellStyle name="Normal 5 3 5 2 4 2 5" xfId="37721" xr:uid="{64666997-9FC3-4635-B77E-33DD70DD5AD7}"/>
    <cellStyle name="Normal 5 3 5 2 4 2 6" xfId="12428" xr:uid="{4DED43FF-CBB6-48FB-B0F3-9209FE7B436A}"/>
    <cellStyle name="Normal 5 3 5 2 4 3" xfId="6066" xr:uid="{00000000-0005-0000-0000-0000711A0000}"/>
    <cellStyle name="Normal 5 3 5 2 4 3 2" xfId="31365" xr:uid="{FFDDA063-8FB2-45B6-A36C-D0BFD6B24F37}"/>
    <cellStyle name="Normal 5 3 5 2 4 3 3" xfId="22936" xr:uid="{28F7BF4F-60E2-41BF-BCF9-AA136DC9CD50}"/>
    <cellStyle name="Normal 5 3 5 2 4 3 4" xfId="39793" xr:uid="{C4A9965D-A33A-4404-82D8-0430AD935782}"/>
    <cellStyle name="Normal 5 3 5 2 4 3 5" xfId="14501" xr:uid="{8A96F5C9-9554-448A-8309-611D5B3C9B64}"/>
    <cellStyle name="Normal 5 3 5 2 4 4" xfId="27147" xr:uid="{374B1158-CB15-4E4A-8E0B-A9B84F0C262D}"/>
    <cellStyle name="Normal 5 3 5 2 4 5" xfId="18718" xr:uid="{8655DF54-00B8-4E22-B9F5-7F8B31BAEFC2}"/>
    <cellStyle name="Normal 5 3 5 2 4 6" xfId="35576" xr:uid="{CB856B7C-8AD9-4C6E-A986-AC8DB6D8C986}"/>
    <cellStyle name="Normal 5 3 5 2 4 7" xfId="10283" xr:uid="{6A4F47F9-FE25-4083-9869-134E5A7F83CE}"/>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33923" xr:uid="{A1E8AC85-92DA-4558-AC13-370200012F50}"/>
    <cellStyle name="Normal 5 3 5 2 5 2 2 3" xfId="25494" xr:uid="{19684692-8CB7-42A1-8FBE-EDF99CF32A42}"/>
    <cellStyle name="Normal 5 3 5 2 5 2 2 4" xfId="42351" xr:uid="{4B300B31-BF10-4A0F-A7DF-7D05AA89A1BA}"/>
    <cellStyle name="Normal 5 3 5 2 5 2 2 5" xfId="17059" xr:uid="{86CB163A-808B-409C-AF7F-F453EE05A71E}"/>
    <cellStyle name="Normal 5 3 5 2 5 2 3" xfId="29705" xr:uid="{D3968656-0194-4BF5-A45A-43EC4488A73B}"/>
    <cellStyle name="Normal 5 3 5 2 5 2 4" xfId="21276" xr:uid="{6D7B0583-28A4-4C2D-964C-4F459A99759D}"/>
    <cellStyle name="Normal 5 3 5 2 5 2 5" xfId="38134" xr:uid="{BBA4C60C-63A6-412E-A11E-D232C71DBD24}"/>
    <cellStyle name="Normal 5 3 5 2 5 2 6" xfId="12841" xr:uid="{84A53EB4-3BCA-49A0-8F5E-90BC0C3F0D1E}"/>
    <cellStyle name="Normal 5 3 5 2 5 3" xfId="6479" xr:uid="{00000000-0005-0000-0000-0000751A0000}"/>
    <cellStyle name="Normal 5 3 5 2 5 3 2" xfId="31778" xr:uid="{1592C0ED-B48F-4EC8-98FB-DC843FC8EFDF}"/>
    <cellStyle name="Normal 5 3 5 2 5 3 3" xfId="23349" xr:uid="{5CF07880-6040-4740-A96F-367AD8BF8C85}"/>
    <cellStyle name="Normal 5 3 5 2 5 3 4" xfId="40206" xr:uid="{E4EEB070-6598-42D1-9725-3046E725240C}"/>
    <cellStyle name="Normal 5 3 5 2 5 3 5" xfId="14914" xr:uid="{7104AF90-C081-4C5E-A4E1-423BC12B9133}"/>
    <cellStyle name="Normal 5 3 5 2 5 4" xfId="27560" xr:uid="{6705C901-61DD-4887-8588-B8ED1126AC3F}"/>
    <cellStyle name="Normal 5 3 5 2 5 5" xfId="19131" xr:uid="{C24D98D4-7C9E-444D-B565-6EEDF884FAE8}"/>
    <cellStyle name="Normal 5 3 5 2 5 6" xfId="35989" xr:uid="{9DF6DAF7-A7D6-478D-AC55-8A6685B0C654}"/>
    <cellStyle name="Normal 5 3 5 2 5 7" xfId="10696" xr:uid="{8B3F155A-DA11-4D87-947E-5061B3BD31AE}"/>
    <cellStyle name="Normal 5 3 5 2 6" xfId="2608" xr:uid="{00000000-0005-0000-0000-0000761A0000}"/>
    <cellStyle name="Normal 5 3 5 2 6 2" xfId="6892" xr:uid="{00000000-0005-0000-0000-0000771A0000}"/>
    <cellStyle name="Normal 5 3 5 2 6 2 2" xfId="32191" xr:uid="{13D781F5-115D-42D3-8D20-98B5C1C1025F}"/>
    <cellStyle name="Normal 5 3 5 2 6 2 3" xfId="23762" xr:uid="{5BB0F586-F811-4D5C-9CB1-9362E8BDC15D}"/>
    <cellStyle name="Normal 5 3 5 2 6 2 4" xfId="40619" xr:uid="{2CC4880A-5493-47AA-BAD8-985FC6DC2503}"/>
    <cellStyle name="Normal 5 3 5 2 6 2 5" xfId="15327" xr:uid="{BB2D7A4B-F0BA-4528-82C2-F19CE509B244}"/>
    <cellStyle name="Normal 5 3 5 2 6 3" xfId="27973" xr:uid="{9C9227E6-F47C-4BAD-A8E4-15580A54E889}"/>
    <cellStyle name="Normal 5 3 5 2 6 4" xfId="19544" xr:uid="{98FE886C-8577-4A35-9937-8491F8A2CADE}"/>
    <cellStyle name="Normal 5 3 5 2 6 5" xfId="36402" xr:uid="{396EDDBA-5E3A-4F94-9C89-3ABBBD44990C}"/>
    <cellStyle name="Normal 5 3 5 2 6 6" xfId="11109" xr:uid="{E9D2DFD5-663F-44AC-A0CB-20798BAF37B0}"/>
    <cellStyle name="Normal 5 3 5 2 7" xfId="4827" xr:uid="{00000000-0005-0000-0000-0000781A0000}"/>
    <cellStyle name="Normal 5 3 5 2 7 2" xfId="30126" xr:uid="{A352F316-4639-4487-A0EF-B615761B0BD4}"/>
    <cellStyle name="Normal 5 3 5 2 7 3" xfId="21697" xr:uid="{FB369243-7472-41B1-8E12-2E41643BDA0B}"/>
    <cellStyle name="Normal 5 3 5 2 7 4" xfId="38554" xr:uid="{F6A0E686-5E7E-4E89-ABE0-553BE8C33501}"/>
    <cellStyle name="Normal 5 3 5 2 7 5" xfId="13262" xr:uid="{27BCC479-CE85-44CB-993B-7C6742F0BE0C}"/>
    <cellStyle name="Normal 5 3 5 2 8" xfId="25908" xr:uid="{65B864D6-0494-4574-B94D-2D6ADB9F7163}"/>
    <cellStyle name="Normal 5 3 5 2 9" xfId="17479" xr:uid="{16D725ED-70ED-4FC1-9875-6FF14E54ADF2}"/>
    <cellStyle name="Normal 5 3 5 3" xfId="927" xr:uid="{00000000-0005-0000-0000-0000791A0000}"/>
    <cellStyle name="Normal 5 3 5 3 2" xfId="3161" xr:uid="{00000000-0005-0000-0000-00007A1A0000}"/>
    <cellStyle name="Normal 5 3 5 3 2 2" xfId="7384" xr:uid="{00000000-0005-0000-0000-00007B1A0000}"/>
    <cellStyle name="Normal 5 3 5 3 2 2 2" xfId="32683" xr:uid="{29437C11-5CC2-4AA0-B750-E3F8ADBEC57F}"/>
    <cellStyle name="Normal 5 3 5 3 2 2 3" xfId="24254" xr:uid="{8DA4D833-47D7-4DEC-97CC-4CA9E73D5C3D}"/>
    <cellStyle name="Normal 5 3 5 3 2 2 4" xfId="41111" xr:uid="{F084E353-28AD-4153-B96A-958E911C89ED}"/>
    <cellStyle name="Normal 5 3 5 3 2 2 5" xfId="15819" xr:uid="{AE77ADA8-311C-4294-B6DE-B5249ABD195F}"/>
    <cellStyle name="Normal 5 3 5 3 2 3" xfId="28465" xr:uid="{DD1C552A-5D45-4B04-93F7-5968CCAE043B}"/>
    <cellStyle name="Normal 5 3 5 3 2 4" xfId="20036" xr:uid="{C3E717F8-94C4-4F64-BE7E-3BA7E2DC2211}"/>
    <cellStyle name="Normal 5 3 5 3 2 5" xfId="36894" xr:uid="{D6E80508-33B8-4ECD-B9A1-91CDAF20EBA8}"/>
    <cellStyle name="Normal 5 3 5 3 2 6" xfId="11601" xr:uid="{800E15C6-F5D4-451D-B3D3-2A40D7B10832}"/>
    <cellStyle name="Normal 5 3 5 3 3" xfId="5239" xr:uid="{00000000-0005-0000-0000-00007C1A0000}"/>
    <cellStyle name="Normal 5 3 5 3 3 2" xfId="30538" xr:uid="{3961A499-CB4D-4977-BC77-456B13D61F1C}"/>
    <cellStyle name="Normal 5 3 5 3 3 3" xfId="22109" xr:uid="{9096A1B5-3F9C-46FE-9635-E3B056B5062D}"/>
    <cellStyle name="Normal 5 3 5 3 3 4" xfId="38966" xr:uid="{909D5FBD-21B9-4EFE-965F-C855C1BF4D0C}"/>
    <cellStyle name="Normal 5 3 5 3 3 5" xfId="13674" xr:uid="{6272A5E3-1B71-4A40-8DC2-0622A3BB1C50}"/>
    <cellStyle name="Normal 5 3 5 3 4" xfId="26320" xr:uid="{302EB290-01B7-46B1-B797-59BF853EE5B7}"/>
    <cellStyle name="Normal 5 3 5 3 5" xfId="17891" xr:uid="{2BA6BF22-ED74-4AFD-8841-FE8017B075C1}"/>
    <cellStyle name="Normal 5 3 5 3 6" xfId="34749" xr:uid="{2B3F45AB-26E4-4DFA-A213-93E7B60B9084}"/>
    <cellStyle name="Normal 5 3 5 3 7" xfId="9456" xr:uid="{D331B23A-5FB5-4A9C-ACD6-57AC0642AF7E}"/>
    <cellStyle name="Normal 5 3 5 4" xfId="1344" xr:uid="{00000000-0005-0000-0000-00007D1A0000}"/>
    <cellStyle name="Normal 5 3 5 4 2" xfId="3574" xr:uid="{00000000-0005-0000-0000-00007E1A0000}"/>
    <cellStyle name="Normal 5 3 5 4 2 2" xfId="7797" xr:uid="{00000000-0005-0000-0000-00007F1A0000}"/>
    <cellStyle name="Normal 5 3 5 4 2 2 2" xfId="33096" xr:uid="{FD9F2A3D-D5B7-4A9C-959A-8CDF85985FF5}"/>
    <cellStyle name="Normal 5 3 5 4 2 2 3" xfId="24667" xr:uid="{D8E83245-AACE-4CE0-9C27-15CFDA009C91}"/>
    <cellStyle name="Normal 5 3 5 4 2 2 4" xfId="41524" xr:uid="{10283FAB-5738-49CA-B58C-9DD7B2760BD1}"/>
    <cellStyle name="Normal 5 3 5 4 2 2 5" xfId="16232" xr:uid="{CF7102CF-DA18-463C-A6B4-60ECC7A56F69}"/>
    <cellStyle name="Normal 5 3 5 4 2 3" xfId="28878" xr:uid="{D2F36958-F51C-46A4-9E83-F9BE34003120}"/>
    <cellStyle name="Normal 5 3 5 4 2 4" xfId="20449" xr:uid="{CFF2ECDA-8548-499F-B85A-18F07323E50F}"/>
    <cellStyle name="Normal 5 3 5 4 2 5" xfId="37307" xr:uid="{EE5CF2CC-F633-431B-A11B-45E200B1CE00}"/>
    <cellStyle name="Normal 5 3 5 4 2 6" xfId="12014" xr:uid="{6FB06B26-365B-4F23-85F4-0A49662F18F8}"/>
    <cellStyle name="Normal 5 3 5 4 3" xfId="5652" xr:uid="{00000000-0005-0000-0000-0000801A0000}"/>
    <cellStyle name="Normal 5 3 5 4 3 2" xfId="30951" xr:uid="{13761AA5-F320-43D9-BF82-3C86DBC90E5D}"/>
    <cellStyle name="Normal 5 3 5 4 3 3" xfId="22522" xr:uid="{80CE3D97-1059-41B2-ACE5-E28D3E42F42C}"/>
    <cellStyle name="Normal 5 3 5 4 3 4" xfId="39379" xr:uid="{E265E68D-3FB4-4452-8EF0-377CECD9A5B2}"/>
    <cellStyle name="Normal 5 3 5 4 3 5" xfId="14087" xr:uid="{8934150D-CBEA-4712-9D31-BCBD4C264D97}"/>
    <cellStyle name="Normal 5 3 5 4 4" xfId="26733" xr:uid="{4008597C-A54D-4C4D-8575-5E07BAC79D00}"/>
    <cellStyle name="Normal 5 3 5 4 5" xfId="18304" xr:uid="{829E43F9-D54C-4DD2-8D34-C8248570DFB4}"/>
    <cellStyle name="Normal 5 3 5 4 6" xfId="35162" xr:uid="{CACE1ADB-D351-4F3C-9BEE-E730C54219F5}"/>
    <cellStyle name="Normal 5 3 5 4 7" xfId="9869" xr:uid="{1E1E16F9-8842-481A-AEEF-3E90F9209A3E}"/>
    <cellStyle name="Normal 5 3 5 5" xfId="1757" xr:uid="{00000000-0005-0000-0000-0000811A0000}"/>
    <cellStyle name="Normal 5 3 5 5 2" xfId="3987" xr:uid="{00000000-0005-0000-0000-0000821A0000}"/>
    <cellStyle name="Normal 5 3 5 5 2 2" xfId="8210" xr:uid="{00000000-0005-0000-0000-0000831A0000}"/>
    <cellStyle name="Normal 5 3 5 5 2 2 2" xfId="33509" xr:uid="{414AD64F-9B4C-477F-8932-0CFB5E7476F9}"/>
    <cellStyle name="Normal 5 3 5 5 2 2 3" xfId="25080" xr:uid="{51468486-CDDC-4EE0-BB58-1758F1BDE63E}"/>
    <cellStyle name="Normal 5 3 5 5 2 2 4" xfId="41937" xr:uid="{E7BDD1F7-AC2D-4B2A-A676-C0443CAA31B1}"/>
    <cellStyle name="Normal 5 3 5 5 2 2 5" xfId="16645" xr:uid="{C0005584-0FEF-412D-95B7-6BAF1F0011FE}"/>
    <cellStyle name="Normal 5 3 5 5 2 3" xfId="29291" xr:uid="{A44D9CC8-D3D3-4483-BD07-605CE53E987B}"/>
    <cellStyle name="Normal 5 3 5 5 2 4" xfId="20862" xr:uid="{08235FEB-353B-464A-AB60-5741580D507D}"/>
    <cellStyle name="Normal 5 3 5 5 2 5" xfId="37720" xr:uid="{6BC6AE5C-9079-403B-A68F-32B205AFBB1B}"/>
    <cellStyle name="Normal 5 3 5 5 2 6" xfId="12427" xr:uid="{9691DC78-D0C8-408E-8177-1DE3DAE404FD}"/>
    <cellStyle name="Normal 5 3 5 5 3" xfId="6065" xr:uid="{00000000-0005-0000-0000-0000841A0000}"/>
    <cellStyle name="Normal 5 3 5 5 3 2" xfId="31364" xr:uid="{EE7E932E-2E9D-481E-88EB-9BC1151F6E64}"/>
    <cellStyle name="Normal 5 3 5 5 3 3" xfId="22935" xr:uid="{E772726A-79F2-4D8B-9B1C-A0BAF4E23A66}"/>
    <cellStyle name="Normal 5 3 5 5 3 4" xfId="39792" xr:uid="{C22084B2-521D-4139-B4B8-3AF707D96DC9}"/>
    <cellStyle name="Normal 5 3 5 5 3 5" xfId="14500" xr:uid="{81055D0E-C89F-4FF3-ADBC-5876AEB272B0}"/>
    <cellStyle name="Normal 5 3 5 5 4" xfId="27146" xr:uid="{5F86D459-628A-46F6-9D45-9F2D65293A45}"/>
    <cellStyle name="Normal 5 3 5 5 5" xfId="18717" xr:uid="{E6220973-6AC6-43FC-BAF2-C7CA4E876CD4}"/>
    <cellStyle name="Normal 5 3 5 5 6" xfId="35575" xr:uid="{3EBA1FC8-F885-4601-98E0-2076BAA78A60}"/>
    <cellStyle name="Normal 5 3 5 5 7" xfId="10282" xr:uid="{24D63FE2-C9EC-457B-B693-FFF442539D8F}"/>
    <cellStyle name="Normal 5 3 5 6" xfId="2171" xr:uid="{00000000-0005-0000-0000-0000851A0000}"/>
    <cellStyle name="Normal 5 3 5 6 2" xfId="4400" xr:uid="{00000000-0005-0000-0000-0000861A0000}"/>
    <cellStyle name="Normal 5 3 5 6 2 2" xfId="8623" xr:uid="{00000000-0005-0000-0000-0000871A0000}"/>
    <cellStyle name="Normal 5 3 5 6 2 2 2" xfId="33922" xr:uid="{F0A162E6-ECA0-4746-B8D7-E2834B86FBC2}"/>
    <cellStyle name="Normal 5 3 5 6 2 2 3" xfId="25493" xr:uid="{2859236B-58DD-41A0-822D-2F6E86253654}"/>
    <cellStyle name="Normal 5 3 5 6 2 2 4" xfId="42350" xr:uid="{D405F957-5588-48A8-862F-2AE9E01698D9}"/>
    <cellStyle name="Normal 5 3 5 6 2 2 5" xfId="17058" xr:uid="{2B09ED2D-6830-47C6-8DFA-388B2C020CC9}"/>
    <cellStyle name="Normal 5 3 5 6 2 3" xfId="29704" xr:uid="{77340486-5DE0-4B39-863F-A3859BED3DC5}"/>
    <cellStyle name="Normal 5 3 5 6 2 4" xfId="21275" xr:uid="{595C15E6-D118-43EE-825E-25F07A3A0045}"/>
    <cellStyle name="Normal 5 3 5 6 2 5" xfId="38133" xr:uid="{6365E737-1CBA-42C7-B570-C3EA2DEEF3A7}"/>
    <cellStyle name="Normal 5 3 5 6 2 6" xfId="12840" xr:uid="{B8E62784-3005-4B26-86A9-6CA8C6FC6FFD}"/>
    <cellStyle name="Normal 5 3 5 6 3" xfId="6478" xr:uid="{00000000-0005-0000-0000-0000881A0000}"/>
    <cellStyle name="Normal 5 3 5 6 3 2" xfId="31777" xr:uid="{81B9CB49-71F5-4755-B90C-61195BB5CB5F}"/>
    <cellStyle name="Normal 5 3 5 6 3 3" xfId="23348" xr:uid="{860D5094-A18B-4AB3-BEE0-DD85860A1A57}"/>
    <cellStyle name="Normal 5 3 5 6 3 4" xfId="40205" xr:uid="{4466A1CC-9A65-4E5B-92E6-8290D917D3EB}"/>
    <cellStyle name="Normal 5 3 5 6 3 5" xfId="14913" xr:uid="{443CF78B-23A8-48FC-8C68-4A64E9749B1F}"/>
    <cellStyle name="Normal 5 3 5 6 4" xfId="27559" xr:uid="{41789B7D-AF85-4131-A90C-2FEB163BDE38}"/>
    <cellStyle name="Normal 5 3 5 6 5" xfId="19130" xr:uid="{93E3553B-9810-408B-AAC5-68EF378DCB83}"/>
    <cellStyle name="Normal 5 3 5 6 6" xfId="35988" xr:uid="{196730AB-D547-464D-833B-D3D856579C8F}"/>
    <cellStyle name="Normal 5 3 5 6 7" xfId="10695" xr:uid="{E3A79EB6-65C1-49DD-8E6F-93F818F5B3C9}"/>
    <cellStyle name="Normal 5 3 5 7" xfId="2607" xr:uid="{00000000-0005-0000-0000-0000891A0000}"/>
    <cellStyle name="Normal 5 3 5 7 2" xfId="6891" xr:uid="{00000000-0005-0000-0000-00008A1A0000}"/>
    <cellStyle name="Normal 5 3 5 7 2 2" xfId="32190" xr:uid="{B3792029-C8C1-48B2-BC11-08C5F91C2CB6}"/>
    <cellStyle name="Normal 5 3 5 7 2 3" xfId="23761" xr:uid="{E3FD86E1-503C-48C9-94A0-FD6CEF8B093F}"/>
    <cellStyle name="Normal 5 3 5 7 2 4" xfId="40618" xr:uid="{C21A7F5F-47BA-4863-9619-AFB1269DCA69}"/>
    <cellStyle name="Normal 5 3 5 7 2 5" xfId="15326" xr:uid="{89267C3C-36F5-40B1-8985-FD43841DD9E5}"/>
    <cellStyle name="Normal 5 3 5 7 3" xfId="27972" xr:uid="{EEF26AA4-68D8-442B-A69B-A26F1939E1FD}"/>
    <cellStyle name="Normal 5 3 5 7 4" xfId="19543" xr:uid="{027C404C-2812-44A2-9FA6-B79E02C0C08A}"/>
    <cellStyle name="Normal 5 3 5 7 5" xfId="36401" xr:uid="{BD0F71D2-0D14-40B2-8AD3-2FEB2CAE93E2}"/>
    <cellStyle name="Normal 5 3 5 7 6" xfId="11108" xr:uid="{4BEBB680-D3E2-419E-A6C0-8A7DA980228E}"/>
    <cellStyle name="Normal 5 3 5 8" xfId="4826" xr:uid="{00000000-0005-0000-0000-00008B1A0000}"/>
    <cellStyle name="Normal 5 3 5 8 2" xfId="30125" xr:uid="{B3B4146C-F14F-47A5-9082-E19D76D4AB46}"/>
    <cellStyle name="Normal 5 3 5 8 3" xfId="21696" xr:uid="{DABBBD91-87B7-458D-9025-D2F283E750A9}"/>
    <cellStyle name="Normal 5 3 5 8 4" xfId="38553" xr:uid="{49FC2B25-7301-4353-9355-93281CAB1591}"/>
    <cellStyle name="Normal 5 3 5 8 5" xfId="13261" xr:uid="{9B9BAEA0-C621-4E44-BAC8-CF8FE469AB3D}"/>
    <cellStyle name="Normal 5 3 5 9" xfId="25907" xr:uid="{FC87FAC9-9E16-456F-9CF6-5BDA92B6D061}"/>
    <cellStyle name="Normal 5 3 6" xfId="455" xr:uid="{00000000-0005-0000-0000-00008C1A0000}"/>
    <cellStyle name="Normal 5 3 6 10" xfId="34338" xr:uid="{ECFE966F-E00D-4553-BA3B-8E42CBBF25A7}"/>
    <cellStyle name="Normal 5 3 6 11" xfId="9045" xr:uid="{114EBF8E-2EBF-423F-9EBC-05BD8F6357A3}"/>
    <cellStyle name="Normal 5 3 6 2" xfId="929" xr:uid="{00000000-0005-0000-0000-00008D1A0000}"/>
    <cellStyle name="Normal 5 3 6 2 2" xfId="3163" xr:uid="{00000000-0005-0000-0000-00008E1A0000}"/>
    <cellStyle name="Normal 5 3 6 2 2 2" xfId="7386" xr:uid="{00000000-0005-0000-0000-00008F1A0000}"/>
    <cellStyle name="Normal 5 3 6 2 2 2 2" xfId="32685" xr:uid="{07391F1C-471D-4504-9E03-A5E6C1864673}"/>
    <cellStyle name="Normal 5 3 6 2 2 2 3" xfId="24256" xr:uid="{BA061315-4FD1-4D5E-BDB6-2C0791A1A2AF}"/>
    <cellStyle name="Normal 5 3 6 2 2 2 4" xfId="41113" xr:uid="{755055F2-3DB1-4C2C-B14C-E68B8145C7DC}"/>
    <cellStyle name="Normal 5 3 6 2 2 2 5" xfId="15821" xr:uid="{8E6E3AC8-6E3C-4057-A858-8F94F4AB625A}"/>
    <cellStyle name="Normal 5 3 6 2 2 3" xfId="28467" xr:uid="{F2200F46-3867-4D93-826F-656D4CD852BC}"/>
    <cellStyle name="Normal 5 3 6 2 2 4" xfId="20038" xr:uid="{0F02966B-0C29-4EF9-8300-ED24F0A8AE3E}"/>
    <cellStyle name="Normal 5 3 6 2 2 5" xfId="36896" xr:uid="{FCD4FA03-A0FD-44EC-8675-881B158EFBA1}"/>
    <cellStyle name="Normal 5 3 6 2 2 6" xfId="11603" xr:uid="{18162B38-AB56-4F60-B8EF-92CA15C22CA0}"/>
    <cellStyle name="Normal 5 3 6 2 3" xfId="5241" xr:uid="{00000000-0005-0000-0000-0000901A0000}"/>
    <cellStyle name="Normal 5 3 6 2 3 2" xfId="30540" xr:uid="{1F57F100-91D5-45CE-A80B-E77628133330}"/>
    <cellStyle name="Normal 5 3 6 2 3 3" xfId="22111" xr:uid="{4133542A-7C24-4757-AA02-1A56179022A6}"/>
    <cellStyle name="Normal 5 3 6 2 3 4" xfId="38968" xr:uid="{53C0F08A-7546-404B-9324-A7BFB88815F9}"/>
    <cellStyle name="Normal 5 3 6 2 3 5" xfId="13676" xr:uid="{B8C0BA63-F8EC-45B0-BA77-31103DF3DE8F}"/>
    <cellStyle name="Normal 5 3 6 2 4" xfId="26322" xr:uid="{B3CE2590-C5DC-4C07-B630-0F9564EFB495}"/>
    <cellStyle name="Normal 5 3 6 2 5" xfId="17893" xr:uid="{CFA6A543-859E-4061-A608-F8DAC2327F8D}"/>
    <cellStyle name="Normal 5 3 6 2 6" xfId="34751" xr:uid="{D6AEC7D4-B2CC-484F-BB80-9E3AF31884C9}"/>
    <cellStyle name="Normal 5 3 6 2 7" xfId="9458" xr:uid="{CFCD9B4D-F2BB-4D95-B861-118D05D8D5B7}"/>
    <cellStyle name="Normal 5 3 6 3" xfId="1346" xr:uid="{00000000-0005-0000-0000-0000911A0000}"/>
    <cellStyle name="Normal 5 3 6 3 2" xfId="3576" xr:uid="{00000000-0005-0000-0000-0000921A0000}"/>
    <cellStyle name="Normal 5 3 6 3 2 2" xfId="7799" xr:uid="{00000000-0005-0000-0000-0000931A0000}"/>
    <cellStyle name="Normal 5 3 6 3 2 2 2" xfId="33098" xr:uid="{A328A9FB-799D-449F-B083-91FF26D61C19}"/>
    <cellStyle name="Normal 5 3 6 3 2 2 3" xfId="24669" xr:uid="{A0479BEC-2977-4CC9-A627-C6D8FCCDB2ED}"/>
    <cellStyle name="Normal 5 3 6 3 2 2 4" xfId="41526" xr:uid="{3EA54250-5CAE-4326-9B07-47D40FBC4035}"/>
    <cellStyle name="Normal 5 3 6 3 2 2 5" xfId="16234" xr:uid="{43D7FA6C-D66B-4D5E-AAE2-9CD412F6D02B}"/>
    <cellStyle name="Normal 5 3 6 3 2 3" xfId="28880" xr:uid="{906879CD-A69D-4E0D-9CCC-B1D2C07C3A36}"/>
    <cellStyle name="Normal 5 3 6 3 2 4" xfId="20451" xr:uid="{91C957D4-90D9-4890-AF74-5CC369C2A270}"/>
    <cellStyle name="Normal 5 3 6 3 2 5" xfId="37309" xr:uid="{3B81127F-985D-478D-B101-41E839EE6D4A}"/>
    <cellStyle name="Normal 5 3 6 3 2 6" xfId="12016" xr:uid="{F84CB182-AE9E-4355-B39D-EBC4D82A9418}"/>
    <cellStyle name="Normal 5 3 6 3 3" xfId="5654" xr:uid="{00000000-0005-0000-0000-0000941A0000}"/>
    <cellStyle name="Normal 5 3 6 3 3 2" xfId="30953" xr:uid="{FA82E6AF-59C2-4ABF-B1E5-E41AD5582876}"/>
    <cellStyle name="Normal 5 3 6 3 3 3" xfId="22524" xr:uid="{9403A711-6262-4A3B-B2A3-BAB80F2446E9}"/>
    <cellStyle name="Normal 5 3 6 3 3 4" xfId="39381" xr:uid="{26C837F8-E78B-4442-B4F8-13012AF1AF80}"/>
    <cellStyle name="Normal 5 3 6 3 3 5" xfId="14089" xr:uid="{E452FEEE-1805-4631-9092-240ED649F86E}"/>
    <cellStyle name="Normal 5 3 6 3 4" xfId="26735" xr:uid="{DFCA8240-2E58-4E96-9BBF-9DDA977B63D0}"/>
    <cellStyle name="Normal 5 3 6 3 5" xfId="18306" xr:uid="{26978AED-58D8-44D2-A745-97DE1A87DF5C}"/>
    <cellStyle name="Normal 5 3 6 3 6" xfId="35164" xr:uid="{C45F0BA4-AA51-4B03-92F7-3A0C4AEF90DF}"/>
    <cellStyle name="Normal 5 3 6 3 7" xfId="9871" xr:uid="{D471A90B-A980-4E10-B5AE-C89F752B1F8D}"/>
    <cellStyle name="Normal 5 3 6 4" xfId="1759" xr:uid="{00000000-0005-0000-0000-0000951A0000}"/>
    <cellStyle name="Normal 5 3 6 4 2" xfId="3989" xr:uid="{00000000-0005-0000-0000-0000961A0000}"/>
    <cellStyle name="Normal 5 3 6 4 2 2" xfId="8212" xr:uid="{00000000-0005-0000-0000-0000971A0000}"/>
    <cellStyle name="Normal 5 3 6 4 2 2 2" xfId="33511" xr:uid="{0B87CE41-A878-4B77-901C-E9AB9D349392}"/>
    <cellStyle name="Normal 5 3 6 4 2 2 3" xfId="25082" xr:uid="{D5EBD7E8-28F3-4153-B304-0DEFAED84DD3}"/>
    <cellStyle name="Normal 5 3 6 4 2 2 4" xfId="41939" xr:uid="{A772E766-AC83-444F-A36F-55616C57D337}"/>
    <cellStyle name="Normal 5 3 6 4 2 2 5" xfId="16647" xr:uid="{46D661B2-54B9-4D63-828A-D91B513FFECB}"/>
    <cellStyle name="Normal 5 3 6 4 2 3" xfId="29293" xr:uid="{FF970C47-9618-4F33-BB45-F49247E0E1F3}"/>
    <cellStyle name="Normal 5 3 6 4 2 4" xfId="20864" xr:uid="{DB657EFE-62A0-4628-8BE7-E42C03DA58E1}"/>
    <cellStyle name="Normal 5 3 6 4 2 5" xfId="37722" xr:uid="{7EF6B895-DFA4-4D42-992D-E8E4087FBDC6}"/>
    <cellStyle name="Normal 5 3 6 4 2 6" xfId="12429" xr:uid="{00A4436E-A9A0-4D68-984B-4EF18703D40F}"/>
    <cellStyle name="Normal 5 3 6 4 3" xfId="6067" xr:uid="{00000000-0005-0000-0000-0000981A0000}"/>
    <cellStyle name="Normal 5 3 6 4 3 2" xfId="31366" xr:uid="{23B76846-6C11-4E76-8892-80791BC0E956}"/>
    <cellStyle name="Normal 5 3 6 4 3 3" xfId="22937" xr:uid="{64AD32B6-BBD2-425F-8164-EC9311D4709B}"/>
    <cellStyle name="Normal 5 3 6 4 3 4" xfId="39794" xr:uid="{D5557A5B-1B22-42DF-9CC3-12D6CFE29404}"/>
    <cellStyle name="Normal 5 3 6 4 3 5" xfId="14502" xr:uid="{553084F0-447A-4697-A11D-548868E6BF0D}"/>
    <cellStyle name="Normal 5 3 6 4 4" xfId="27148" xr:uid="{DF13B1E5-8CCD-46F2-8CB2-65CBC293716A}"/>
    <cellStyle name="Normal 5 3 6 4 5" xfId="18719" xr:uid="{91250F66-964B-4E88-927F-519908603669}"/>
    <cellStyle name="Normal 5 3 6 4 6" xfId="35577" xr:uid="{104D193A-6FFF-4EAA-A696-B62751161519}"/>
    <cellStyle name="Normal 5 3 6 4 7" xfId="10284" xr:uid="{AA2B5BDF-87C9-4322-80A5-F52AB39A61BB}"/>
    <cellStyle name="Normal 5 3 6 5" xfId="2173" xr:uid="{00000000-0005-0000-0000-0000991A0000}"/>
    <cellStyle name="Normal 5 3 6 5 2" xfId="4402" xr:uid="{00000000-0005-0000-0000-00009A1A0000}"/>
    <cellStyle name="Normal 5 3 6 5 2 2" xfId="8625" xr:uid="{00000000-0005-0000-0000-00009B1A0000}"/>
    <cellStyle name="Normal 5 3 6 5 2 2 2" xfId="33924" xr:uid="{1619252A-1BB1-4371-9012-9B3271402BD6}"/>
    <cellStyle name="Normal 5 3 6 5 2 2 3" xfId="25495" xr:uid="{1A2116BC-D5FB-4071-8933-03D719F4EF1C}"/>
    <cellStyle name="Normal 5 3 6 5 2 2 4" xfId="42352" xr:uid="{C6275BE4-7EF0-473C-BF7C-42702F19FD51}"/>
    <cellStyle name="Normal 5 3 6 5 2 2 5" xfId="17060" xr:uid="{44E246B5-E3D3-43DF-803B-AEBB22C5935D}"/>
    <cellStyle name="Normal 5 3 6 5 2 3" xfId="29706" xr:uid="{FE62A399-7385-4CB4-BDC3-30DAA4EBC163}"/>
    <cellStyle name="Normal 5 3 6 5 2 4" xfId="21277" xr:uid="{CE16E8DE-53C7-49AE-966E-C7CC21724F53}"/>
    <cellStyle name="Normal 5 3 6 5 2 5" xfId="38135" xr:uid="{9A5CC19D-0E15-460F-8A00-04D03E02AE12}"/>
    <cellStyle name="Normal 5 3 6 5 2 6" xfId="12842" xr:uid="{5D66689C-ECC0-46EF-8B3B-D56CDFDB7564}"/>
    <cellStyle name="Normal 5 3 6 5 3" xfId="6480" xr:uid="{00000000-0005-0000-0000-00009C1A0000}"/>
    <cellStyle name="Normal 5 3 6 5 3 2" xfId="31779" xr:uid="{8BFF9F05-2E68-4FB8-849E-4EB33DBF0AEA}"/>
    <cellStyle name="Normal 5 3 6 5 3 3" xfId="23350" xr:uid="{52D8601F-DFE4-48F2-9BEB-117E9A84060A}"/>
    <cellStyle name="Normal 5 3 6 5 3 4" xfId="40207" xr:uid="{F7DAF177-17BE-4D65-838D-C4A2BDBF95A5}"/>
    <cellStyle name="Normal 5 3 6 5 3 5" xfId="14915" xr:uid="{1AA600AB-910F-4E9D-84EE-6E56BE5786C9}"/>
    <cellStyle name="Normal 5 3 6 5 4" xfId="27561" xr:uid="{CA7779A1-B8F1-42ED-BDF9-1E07D894F97D}"/>
    <cellStyle name="Normal 5 3 6 5 5" xfId="19132" xr:uid="{1300F3DF-91B8-4D18-9855-03E16D810A9F}"/>
    <cellStyle name="Normal 5 3 6 5 6" xfId="35990" xr:uid="{99E4F4E1-634F-47CC-B913-75B04E0A188E}"/>
    <cellStyle name="Normal 5 3 6 5 7" xfId="10697" xr:uid="{8B65F004-A8A3-400A-8C20-E12CEBB0E83E}"/>
    <cellStyle name="Normal 5 3 6 6" xfId="2609" xr:uid="{00000000-0005-0000-0000-00009D1A0000}"/>
    <cellStyle name="Normal 5 3 6 6 2" xfId="6893" xr:uid="{00000000-0005-0000-0000-00009E1A0000}"/>
    <cellStyle name="Normal 5 3 6 6 2 2" xfId="32192" xr:uid="{E8B4CBAE-3FEF-4298-BAE4-6ED7E2CE29CC}"/>
    <cellStyle name="Normal 5 3 6 6 2 3" xfId="23763" xr:uid="{DA5C6E94-A44B-4761-A2DF-31803CD8FBD8}"/>
    <cellStyle name="Normal 5 3 6 6 2 4" xfId="40620" xr:uid="{C71254AB-8823-49E1-9419-4C0CB310356B}"/>
    <cellStyle name="Normal 5 3 6 6 2 5" xfId="15328" xr:uid="{5070DA85-0DA6-40CB-B1A9-69EF8FBBEDA1}"/>
    <cellStyle name="Normal 5 3 6 6 3" xfId="27974" xr:uid="{D4BEE66C-429D-4A56-8A79-A6F6844A8863}"/>
    <cellStyle name="Normal 5 3 6 6 4" xfId="19545" xr:uid="{4C1CE188-1990-4348-863F-70E7567F818B}"/>
    <cellStyle name="Normal 5 3 6 6 5" xfId="36403" xr:uid="{607489F3-7EF4-486C-B065-BF9145B5B769}"/>
    <cellStyle name="Normal 5 3 6 6 6" xfId="11110" xr:uid="{B2BBD7C7-167E-4400-A6B2-3DC35693F4BD}"/>
    <cellStyle name="Normal 5 3 6 7" xfId="4828" xr:uid="{00000000-0005-0000-0000-00009F1A0000}"/>
    <cellStyle name="Normal 5 3 6 7 2" xfId="30127" xr:uid="{E799E06E-87B6-442E-89BA-3838FFF67C3F}"/>
    <cellStyle name="Normal 5 3 6 7 3" xfId="21698" xr:uid="{AA981B5F-4929-4B40-A55E-962CDE2D9C32}"/>
    <cellStyle name="Normal 5 3 6 7 4" xfId="38555" xr:uid="{5C7FFDB8-06FD-445F-A8A1-54CB687DAECE}"/>
    <cellStyle name="Normal 5 3 6 7 5" xfId="13263" xr:uid="{B63B655B-D742-46BE-90FC-FEBE05F44D77}"/>
    <cellStyle name="Normal 5 3 6 8" xfId="25909" xr:uid="{E8A26BFA-E2F9-4298-9D06-41C3C62D3E84}"/>
    <cellStyle name="Normal 5 3 6 9" xfId="17480" xr:uid="{A7EC764D-F809-405C-9EA3-F26F0407D062}"/>
    <cellStyle name="Normal 5 3 7" xfId="913" xr:uid="{00000000-0005-0000-0000-0000A01A0000}"/>
    <cellStyle name="Normal 5 3 7 2" xfId="3148" xr:uid="{00000000-0005-0000-0000-0000A11A0000}"/>
    <cellStyle name="Normal 5 3 7 2 2" xfId="7371" xr:uid="{00000000-0005-0000-0000-0000A21A0000}"/>
    <cellStyle name="Normal 5 3 7 2 2 2" xfId="32670" xr:uid="{85C69F99-43F9-40F4-8B36-A63C44DC3F7E}"/>
    <cellStyle name="Normal 5 3 7 2 2 3" xfId="24241" xr:uid="{EC8CCB3E-843F-4420-A81C-BE359DC179EA}"/>
    <cellStyle name="Normal 5 3 7 2 2 4" xfId="41098" xr:uid="{1134BD8F-D0D6-499E-817B-2472F113CC4C}"/>
    <cellStyle name="Normal 5 3 7 2 2 5" xfId="15806" xr:uid="{225D69F0-C2F6-4C81-BDA9-A32311FB2A43}"/>
    <cellStyle name="Normal 5 3 7 2 3" xfId="28452" xr:uid="{7DC7F660-36D5-42A8-8A16-A0F805383806}"/>
    <cellStyle name="Normal 5 3 7 2 4" xfId="20023" xr:uid="{65242AB9-A5BD-4BE2-8EB3-CEF57DCD87F9}"/>
    <cellStyle name="Normal 5 3 7 2 5" xfId="36881" xr:uid="{AB65A6CB-2D81-4F75-867D-4BF209869563}"/>
    <cellStyle name="Normal 5 3 7 2 6" xfId="11588" xr:uid="{F2B59EE8-67E6-4665-98F6-76C8E79A6480}"/>
    <cellStyle name="Normal 5 3 7 3" xfId="5226" xr:uid="{00000000-0005-0000-0000-0000A31A0000}"/>
    <cellStyle name="Normal 5 3 7 3 2" xfId="30525" xr:uid="{FE72F16A-6EC7-4FB0-9F13-A1CE10766D79}"/>
    <cellStyle name="Normal 5 3 7 3 3" xfId="22096" xr:uid="{2C5FEA0D-DB78-451D-9E8C-90FF4B558E5E}"/>
    <cellStyle name="Normal 5 3 7 3 4" xfId="38953" xr:uid="{3499ACB4-4EF9-47F1-8BA3-0632CDECB534}"/>
    <cellStyle name="Normal 5 3 7 3 5" xfId="13661" xr:uid="{D4EE6435-34F9-4029-976F-162B7C05AB34}"/>
    <cellStyle name="Normal 5 3 7 4" xfId="26307" xr:uid="{DF774108-6F92-49B1-92A3-7C3A00A34298}"/>
    <cellStyle name="Normal 5 3 7 5" xfId="17878" xr:uid="{02351092-AFF3-4FAD-B957-C927CA3B2CE3}"/>
    <cellStyle name="Normal 5 3 7 6" xfId="34736" xr:uid="{315EFF19-9CF0-4FA2-9ECF-EB4A8C3A9CBC}"/>
    <cellStyle name="Normal 5 3 7 7" xfId="9443" xr:uid="{F0AC2B4B-2DB1-4772-9E6B-7A62E35609C4}"/>
    <cellStyle name="Normal 5 3 8" xfId="1331" xr:uid="{00000000-0005-0000-0000-0000A41A0000}"/>
    <cellStyle name="Normal 5 3 8 2" xfId="3561" xr:uid="{00000000-0005-0000-0000-0000A51A0000}"/>
    <cellStyle name="Normal 5 3 8 2 2" xfId="7784" xr:uid="{00000000-0005-0000-0000-0000A61A0000}"/>
    <cellStyle name="Normal 5 3 8 2 2 2" xfId="33083" xr:uid="{CBCCE57E-69E6-4343-92BE-993154F0F484}"/>
    <cellStyle name="Normal 5 3 8 2 2 3" xfId="24654" xr:uid="{E8AE7A0D-AC12-4032-9613-78928DBAD7F3}"/>
    <cellStyle name="Normal 5 3 8 2 2 4" xfId="41511" xr:uid="{CC1EE939-905A-4A19-978B-DF89B80A561B}"/>
    <cellStyle name="Normal 5 3 8 2 2 5" xfId="16219" xr:uid="{C49DD74C-8CFD-4234-B56A-EE8EA01FE3CD}"/>
    <cellStyle name="Normal 5 3 8 2 3" xfId="28865" xr:uid="{14E4DC83-F638-4295-B51B-ABB28AF30C85}"/>
    <cellStyle name="Normal 5 3 8 2 4" xfId="20436" xr:uid="{18489B78-08FF-4DD7-AC60-ABA3FA55B413}"/>
    <cellStyle name="Normal 5 3 8 2 5" xfId="37294" xr:uid="{35099681-3A79-4CF3-907F-1B9D52062345}"/>
    <cellStyle name="Normal 5 3 8 2 6" xfId="12001" xr:uid="{E1F604F2-B81D-4B6D-B1A9-C18C25341A29}"/>
    <cellStyle name="Normal 5 3 8 3" xfId="5639" xr:uid="{00000000-0005-0000-0000-0000A71A0000}"/>
    <cellStyle name="Normal 5 3 8 3 2" xfId="30938" xr:uid="{5DF135DD-BB1E-4427-ADF2-3F07F5149DAB}"/>
    <cellStyle name="Normal 5 3 8 3 3" xfId="22509" xr:uid="{FEA2EEEF-C7EB-44A3-9FCE-39A598248C1B}"/>
    <cellStyle name="Normal 5 3 8 3 4" xfId="39366" xr:uid="{85AA1027-5B2F-4C5D-A4DB-8880A43C4751}"/>
    <cellStyle name="Normal 5 3 8 3 5" xfId="14074" xr:uid="{1CAF29D3-9646-4AC3-BA05-C2F58FBF3378}"/>
    <cellStyle name="Normal 5 3 8 4" xfId="26720" xr:uid="{5F501C2A-AFB9-485E-8D36-A0AE765A9C44}"/>
    <cellStyle name="Normal 5 3 8 5" xfId="18291" xr:uid="{6D493FCD-3E4A-4E1D-9B0A-2B3A99E883BA}"/>
    <cellStyle name="Normal 5 3 8 6" xfId="35149" xr:uid="{DBD15F4B-0364-4BEF-978C-266F2A092C5F}"/>
    <cellStyle name="Normal 5 3 8 7" xfId="9856" xr:uid="{735FEB08-5009-435A-A720-02133FB64D3F}"/>
    <cellStyle name="Normal 5 3 9" xfId="1744" xr:uid="{00000000-0005-0000-0000-0000A81A0000}"/>
    <cellStyle name="Normal 5 3 9 2" xfId="3974" xr:uid="{00000000-0005-0000-0000-0000A91A0000}"/>
    <cellStyle name="Normal 5 3 9 2 2" xfId="8197" xr:uid="{00000000-0005-0000-0000-0000AA1A0000}"/>
    <cellStyle name="Normal 5 3 9 2 2 2" xfId="33496" xr:uid="{2BA18C50-149D-42AF-9600-E9706EA45C7A}"/>
    <cellStyle name="Normal 5 3 9 2 2 3" xfId="25067" xr:uid="{3C08BB8D-5F08-44D5-B464-2540984C3160}"/>
    <cellStyle name="Normal 5 3 9 2 2 4" xfId="41924" xr:uid="{CB7C4368-B1FC-4F9D-AE4B-3196B0C823D6}"/>
    <cellStyle name="Normal 5 3 9 2 2 5" xfId="16632" xr:uid="{1676E1C2-DA04-4272-B2B1-46048BA152FF}"/>
    <cellStyle name="Normal 5 3 9 2 3" xfId="29278" xr:uid="{D8214DE8-73D4-4042-B8CB-C005D4D4E184}"/>
    <cellStyle name="Normal 5 3 9 2 4" xfId="20849" xr:uid="{9E7DC577-BD1A-467B-AA87-1F7C0938C457}"/>
    <cellStyle name="Normal 5 3 9 2 5" xfId="37707" xr:uid="{8AEE3C4E-DE93-4133-BD4C-301ADCF8EBF3}"/>
    <cellStyle name="Normal 5 3 9 2 6" xfId="12414" xr:uid="{96C55A62-DA68-40CA-A9E3-02AA03B1DA59}"/>
    <cellStyle name="Normal 5 3 9 3" xfId="6052" xr:uid="{00000000-0005-0000-0000-0000AB1A0000}"/>
    <cellStyle name="Normal 5 3 9 3 2" xfId="31351" xr:uid="{543AC749-AD7C-4A8F-8D99-9E704FB1C3CF}"/>
    <cellStyle name="Normal 5 3 9 3 3" xfId="22922" xr:uid="{09D6B979-D731-45C2-BD31-2AD12E28BD23}"/>
    <cellStyle name="Normal 5 3 9 3 4" xfId="39779" xr:uid="{86BFDD52-77AA-400F-8FFC-18CD0E9200E3}"/>
    <cellStyle name="Normal 5 3 9 3 5" xfId="14487" xr:uid="{BC0E7F38-734A-440B-9FB9-ACBD26A35B33}"/>
    <cellStyle name="Normal 5 3 9 4" xfId="27133" xr:uid="{1B07346C-5E83-4A13-B272-87A95B8DB651}"/>
    <cellStyle name="Normal 5 3 9 5" xfId="18704" xr:uid="{6CC0ABC9-F994-4405-8973-1ECCA2559E12}"/>
    <cellStyle name="Normal 5 3 9 6" xfId="35562" xr:uid="{7A975FF9-33F4-45EC-853C-A0D275059C68}"/>
    <cellStyle name="Normal 5 3 9 7" xfId="10269" xr:uid="{725C99C1-74CE-4442-8770-361A2F24C7C1}"/>
    <cellStyle name="Normal 5 4" xfId="456" xr:uid="{00000000-0005-0000-0000-0000AC1A0000}"/>
    <cellStyle name="Normal 5 4 10" xfId="4829" xr:uid="{00000000-0005-0000-0000-0000AD1A0000}"/>
    <cellStyle name="Normal 5 4 10 2" xfId="30128" xr:uid="{EEC207B1-DA3B-42D9-B53A-ADB8D02615FB}"/>
    <cellStyle name="Normal 5 4 10 3" xfId="21699" xr:uid="{5D1201BD-0B4B-4446-8A5E-B2BB47C13E65}"/>
    <cellStyle name="Normal 5 4 10 4" xfId="38556" xr:uid="{A58571E9-7E77-47F5-A3AA-953B707F3DF4}"/>
    <cellStyle name="Normal 5 4 10 5" xfId="13264" xr:uid="{70E8B990-84DA-4363-8FA0-74C44BD78379}"/>
    <cellStyle name="Normal 5 4 11" xfId="25910" xr:uid="{CABF9923-DB4B-4517-87A0-B3EE698105DF}"/>
    <cellStyle name="Normal 5 4 12" xfId="17481" xr:uid="{CDFEAEBD-7489-4D1F-BC8B-5C382F7687DE}"/>
    <cellStyle name="Normal 5 4 13" xfId="34339" xr:uid="{DB29B74D-4028-4D9B-8E85-4E3094885A8E}"/>
    <cellStyle name="Normal 5 4 14" xfId="9046" xr:uid="{F16BCDA6-85A0-4C8C-BB63-BB94DC02250F}"/>
    <cellStyle name="Normal 5 4 2" xfId="457" xr:uid="{00000000-0005-0000-0000-0000AE1A0000}"/>
    <cellStyle name="Normal 5 4 2 10" xfId="25911" xr:uid="{4D205132-738F-4E85-9D02-3CDD00A750E5}"/>
    <cellStyle name="Normal 5 4 2 11" xfId="17482" xr:uid="{F6FF7008-29F8-4A77-B4C3-2FD687FDCA2C}"/>
    <cellStyle name="Normal 5 4 2 12" xfId="34340" xr:uid="{5C4526C1-8BD2-4135-AE83-00298B5060E1}"/>
    <cellStyle name="Normal 5 4 2 13" xfId="9047" xr:uid="{C0311117-A090-4303-9631-7C1E944850D0}"/>
    <cellStyle name="Normal 5 4 2 2" xfId="458" xr:uid="{00000000-0005-0000-0000-0000AF1A0000}"/>
    <cellStyle name="Normal 5 4 2 2 10" xfId="17483" xr:uid="{BFF40037-F8CE-4E54-BF00-19DC4E55C27E}"/>
    <cellStyle name="Normal 5 4 2 2 11" xfId="34341" xr:uid="{00DA7353-5B19-461C-AF09-E7F507C54928}"/>
    <cellStyle name="Normal 5 4 2 2 12" xfId="9048" xr:uid="{AC59D522-BB53-458C-8DB9-57C2A6BE09C4}"/>
    <cellStyle name="Normal 5 4 2 2 2" xfId="459" xr:uid="{00000000-0005-0000-0000-0000B01A0000}"/>
    <cellStyle name="Normal 5 4 2 2 2 10" xfId="34342" xr:uid="{D19DBF34-2E39-460A-80EB-23E9102E13DA}"/>
    <cellStyle name="Normal 5 4 2 2 2 11" xfId="9049" xr:uid="{829C2FB4-6F5F-4FAE-B717-DFAB2E73942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32689" xr:uid="{A351D1F6-59FE-48CE-969B-EDB36670C33C}"/>
    <cellStyle name="Normal 5 4 2 2 2 2 2 2 3" xfId="24260" xr:uid="{C577FA6A-6824-4B83-A71E-341CC9A9EFCA}"/>
    <cellStyle name="Normal 5 4 2 2 2 2 2 2 4" xfId="41117" xr:uid="{5D7D78ED-6CF8-41FF-89B9-8E9CF4F27C48}"/>
    <cellStyle name="Normal 5 4 2 2 2 2 2 2 5" xfId="15825" xr:uid="{91C980B7-5D1C-4F9E-B390-FEAEF2843FA7}"/>
    <cellStyle name="Normal 5 4 2 2 2 2 2 3" xfId="28471" xr:uid="{B53974EA-3C01-400C-9F01-8223E82DAA94}"/>
    <cellStyle name="Normal 5 4 2 2 2 2 2 4" xfId="20042" xr:uid="{648FB5FC-08B9-4EC9-8868-8C5913814012}"/>
    <cellStyle name="Normal 5 4 2 2 2 2 2 5" xfId="36900" xr:uid="{ED5CBFA5-3977-442F-BF6C-5DE5F063B6FE}"/>
    <cellStyle name="Normal 5 4 2 2 2 2 2 6" xfId="11607" xr:uid="{450A6FDF-E61E-4BF9-A3CC-A0193BC83B36}"/>
    <cellStyle name="Normal 5 4 2 2 2 2 3" xfId="5245" xr:uid="{00000000-0005-0000-0000-0000B41A0000}"/>
    <cellStyle name="Normal 5 4 2 2 2 2 3 2" xfId="30544" xr:uid="{4E429566-4136-4B05-8F48-0C261E3E1B5F}"/>
    <cellStyle name="Normal 5 4 2 2 2 2 3 3" xfId="22115" xr:uid="{BA062072-E3B8-4902-8461-B2890BA7B6CC}"/>
    <cellStyle name="Normal 5 4 2 2 2 2 3 4" xfId="38972" xr:uid="{C3F45EC1-1EDD-4ABC-AC88-A5840FD554DF}"/>
    <cellStyle name="Normal 5 4 2 2 2 2 3 5" xfId="13680" xr:uid="{465EEB57-67E2-4CB3-8DE4-1731468C4EB1}"/>
    <cellStyle name="Normal 5 4 2 2 2 2 4" xfId="26326" xr:uid="{0E72588D-FD34-4D0A-98A7-2CEFC3322A34}"/>
    <cellStyle name="Normal 5 4 2 2 2 2 5" xfId="17897" xr:uid="{B8650A96-062C-44B5-95C4-ECE369F2B001}"/>
    <cellStyle name="Normal 5 4 2 2 2 2 6" xfId="34755" xr:uid="{6603056A-180E-46B1-A533-7B07A710C437}"/>
    <cellStyle name="Normal 5 4 2 2 2 2 7" xfId="9462" xr:uid="{0BA496D4-57A0-4C51-8F6C-495D592408A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33102" xr:uid="{15DCFAAD-AECC-4A21-AFFD-224F2AF439EF}"/>
    <cellStyle name="Normal 5 4 2 2 2 3 2 2 3" xfId="24673" xr:uid="{B5631560-7A2C-4763-BC6B-8F3A4144C063}"/>
    <cellStyle name="Normal 5 4 2 2 2 3 2 2 4" xfId="41530" xr:uid="{8B005075-21CC-47FD-A2FF-E22C3407F0F9}"/>
    <cellStyle name="Normal 5 4 2 2 2 3 2 2 5" xfId="16238" xr:uid="{4FEC3D3E-DD74-40B1-82BC-E82864122B5C}"/>
    <cellStyle name="Normal 5 4 2 2 2 3 2 3" xfId="28884" xr:uid="{2DABB55B-9ECE-43CB-AE12-A720FA25A2A9}"/>
    <cellStyle name="Normal 5 4 2 2 2 3 2 4" xfId="20455" xr:uid="{A03A141E-8490-47D5-87F7-0CA393D67C85}"/>
    <cellStyle name="Normal 5 4 2 2 2 3 2 5" xfId="37313" xr:uid="{F96A76AB-DFF7-48FF-9E4D-97B99FBB9C79}"/>
    <cellStyle name="Normal 5 4 2 2 2 3 2 6" xfId="12020" xr:uid="{7FB77495-7524-4AE1-830E-6B7DF33990DC}"/>
    <cellStyle name="Normal 5 4 2 2 2 3 3" xfId="5658" xr:uid="{00000000-0005-0000-0000-0000B81A0000}"/>
    <cellStyle name="Normal 5 4 2 2 2 3 3 2" xfId="30957" xr:uid="{8BE5373F-71C3-43E9-96C1-CC8A95B8B601}"/>
    <cellStyle name="Normal 5 4 2 2 2 3 3 3" xfId="22528" xr:uid="{611F6C77-4599-4D09-8BD4-318897169D0B}"/>
    <cellStyle name="Normal 5 4 2 2 2 3 3 4" xfId="39385" xr:uid="{9D3601F9-7798-4C86-9E74-F22E1B31B978}"/>
    <cellStyle name="Normal 5 4 2 2 2 3 3 5" xfId="14093" xr:uid="{9BEC341F-31D0-45F6-9DAC-B3F330DE4723}"/>
    <cellStyle name="Normal 5 4 2 2 2 3 4" xfId="26739" xr:uid="{134D1697-8AE6-4D27-AB03-F7BBF52805D0}"/>
    <cellStyle name="Normal 5 4 2 2 2 3 5" xfId="18310" xr:uid="{55E4B56A-0DDC-4E16-B2C2-2B1902D16FDA}"/>
    <cellStyle name="Normal 5 4 2 2 2 3 6" xfId="35168" xr:uid="{8AFEE320-5E8C-4904-BAEA-45E186A563AB}"/>
    <cellStyle name="Normal 5 4 2 2 2 3 7" xfId="9875" xr:uid="{4296A15D-061E-4F2A-AA9E-4D88447A5B2A}"/>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33515" xr:uid="{F93F0046-FE34-4157-8094-B179C0F77848}"/>
    <cellStyle name="Normal 5 4 2 2 2 4 2 2 3" xfId="25086" xr:uid="{1E0BE8AF-B906-45DC-A703-21FAA3F824E3}"/>
    <cellStyle name="Normal 5 4 2 2 2 4 2 2 4" xfId="41943" xr:uid="{62919291-3EEF-453A-A533-ED6B5C0B6E7A}"/>
    <cellStyle name="Normal 5 4 2 2 2 4 2 2 5" xfId="16651" xr:uid="{A1F02C3B-E18E-400B-B021-26662839D6DE}"/>
    <cellStyle name="Normal 5 4 2 2 2 4 2 3" xfId="29297" xr:uid="{C2AFBA44-F6EB-4505-90AB-26BCB1DC837E}"/>
    <cellStyle name="Normal 5 4 2 2 2 4 2 4" xfId="20868" xr:uid="{491FA53B-77E6-4CCD-A395-8FCD87A12E32}"/>
    <cellStyle name="Normal 5 4 2 2 2 4 2 5" xfId="37726" xr:uid="{25A25CD6-12A0-4E04-A7F0-E8B914C947FB}"/>
    <cellStyle name="Normal 5 4 2 2 2 4 2 6" xfId="12433" xr:uid="{7F6C9D23-A740-461C-80B4-759E71279164}"/>
    <cellStyle name="Normal 5 4 2 2 2 4 3" xfId="6071" xr:uid="{00000000-0005-0000-0000-0000BC1A0000}"/>
    <cellStyle name="Normal 5 4 2 2 2 4 3 2" xfId="31370" xr:uid="{C669FEA6-8F64-446E-B7FC-2723B850CFBD}"/>
    <cellStyle name="Normal 5 4 2 2 2 4 3 3" xfId="22941" xr:uid="{6551F3F8-1755-49E5-BAD6-23E17BC4CC82}"/>
    <cellStyle name="Normal 5 4 2 2 2 4 3 4" xfId="39798" xr:uid="{AA4075BA-1454-4854-AC63-5A899D893259}"/>
    <cellStyle name="Normal 5 4 2 2 2 4 3 5" xfId="14506" xr:uid="{C15BB44B-9A33-4307-8448-AD045267095C}"/>
    <cellStyle name="Normal 5 4 2 2 2 4 4" xfId="27152" xr:uid="{9E6829C8-9368-43A4-A39D-DB024514E76C}"/>
    <cellStyle name="Normal 5 4 2 2 2 4 5" xfId="18723" xr:uid="{8F59ACE6-AB60-49D7-BD20-84FB36F28645}"/>
    <cellStyle name="Normal 5 4 2 2 2 4 6" xfId="35581" xr:uid="{ABEEC843-13A4-4CD8-88C9-153D263A89F7}"/>
    <cellStyle name="Normal 5 4 2 2 2 4 7" xfId="10288" xr:uid="{167D1B27-FF03-44B2-808A-E46ADDB43C14}"/>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33928" xr:uid="{B596304D-874A-4C88-8434-834A8895CB82}"/>
    <cellStyle name="Normal 5 4 2 2 2 5 2 2 3" xfId="25499" xr:uid="{ED30AE00-8C5D-4078-A77E-704BFB1C2C26}"/>
    <cellStyle name="Normal 5 4 2 2 2 5 2 2 4" xfId="42356" xr:uid="{7C9021FC-8AA2-483C-B7BA-219A6FCAA716}"/>
    <cellStyle name="Normal 5 4 2 2 2 5 2 2 5" xfId="17064" xr:uid="{E479449E-97B5-4DF7-BE8F-F0918F47CFBB}"/>
    <cellStyle name="Normal 5 4 2 2 2 5 2 3" xfId="29710" xr:uid="{76E9464D-6DEA-41EA-842C-2CA258911293}"/>
    <cellStyle name="Normal 5 4 2 2 2 5 2 4" xfId="21281" xr:uid="{006D06D0-EEB3-4710-BEA5-975CF619D378}"/>
    <cellStyle name="Normal 5 4 2 2 2 5 2 5" xfId="38139" xr:uid="{B4C45D46-D9D4-455C-9408-288F79384EEC}"/>
    <cellStyle name="Normal 5 4 2 2 2 5 2 6" xfId="12846" xr:uid="{52051079-928E-4C2C-8B80-E0F6A52A73A6}"/>
    <cellStyle name="Normal 5 4 2 2 2 5 3" xfId="6484" xr:uid="{00000000-0005-0000-0000-0000C01A0000}"/>
    <cellStyle name="Normal 5 4 2 2 2 5 3 2" xfId="31783" xr:uid="{A87B96D9-F7E7-4154-826C-CCD01A318B97}"/>
    <cellStyle name="Normal 5 4 2 2 2 5 3 3" xfId="23354" xr:uid="{5E4C9CF2-AC28-47E3-A33F-8DE47190C711}"/>
    <cellStyle name="Normal 5 4 2 2 2 5 3 4" xfId="40211" xr:uid="{BC4902E2-64EB-4175-85F7-EF1AF5152D93}"/>
    <cellStyle name="Normal 5 4 2 2 2 5 3 5" xfId="14919" xr:uid="{5D6507AB-E5CD-4491-A167-60E501FC55D3}"/>
    <cellStyle name="Normal 5 4 2 2 2 5 4" xfId="27565" xr:uid="{32B2AECE-DAB0-4DFF-BC2E-EA835E64EBC0}"/>
    <cellStyle name="Normal 5 4 2 2 2 5 5" xfId="19136" xr:uid="{A498CB92-99C2-4DC3-A465-82D89EE0EBE4}"/>
    <cellStyle name="Normal 5 4 2 2 2 5 6" xfId="35994" xr:uid="{3B1DC4F9-D300-4767-8736-5685DBAAC5B7}"/>
    <cellStyle name="Normal 5 4 2 2 2 5 7" xfId="10701" xr:uid="{4B95618C-EEA9-4E8D-B8E2-E3DF114311BE}"/>
    <cellStyle name="Normal 5 4 2 2 2 6" xfId="2613" xr:uid="{00000000-0005-0000-0000-0000C11A0000}"/>
    <cellStyle name="Normal 5 4 2 2 2 6 2" xfId="6897" xr:uid="{00000000-0005-0000-0000-0000C21A0000}"/>
    <cellStyle name="Normal 5 4 2 2 2 6 2 2" xfId="32196" xr:uid="{D49D067D-BEB0-42E5-8A4F-0F0262FAA38D}"/>
    <cellStyle name="Normal 5 4 2 2 2 6 2 3" xfId="23767" xr:uid="{1A003517-2031-4E78-9ED2-881DE7EE4E36}"/>
    <cellStyle name="Normal 5 4 2 2 2 6 2 4" xfId="40624" xr:uid="{AAE4BDCB-962E-42B7-B36D-A2F422E1BAA3}"/>
    <cellStyle name="Normal 5 4 2 2 2 6 2 5" xfId="15332" xr:uid="{C6FA88AE-0163-4330-914D-1C27A6B97375}"/>
    <cellStyle name="Normal 5 4 2 2 2 6 3" xfId="27978" xr:uid="{F75FCBB5-942C-4378-8AF4-50250EFDCEEF}"/>
    <cellStyle name="Normal 5 4 2 2 2 6 4" xfId="19549" xr:uid="{EC8E6FF0-4085-4E5E-B115-4F01F379EE0F}"/>
    <cellStyle name="Normal 5 4 2 2 2 6 5" xfId="36407" xr:uid="{08EE4AB0-7B1D-4B9A-B89F-5D08FF2FE1B0}"/>
    <cellStyle name="Normal 5 4 2 2 2 6 6" xfId="11114" xr:uid="{42E06209-E8D5-4A84-AE78-ED96557F3C3D}"/>
    <cellStyle name="Normal 5 4 2 2 2 7" xfId="4832" xr:uid="{00000000-0005-0000-0000-0000C31A0000}"/>
    <cellStyle name="Normal 5 4 2 2 2 7 2" xfId="30131" xr:uid="{1AF90542-E41D-4A73-AA24-549C19402BDE}"/>
    <cellStyle name="Normal 5 4 2 2 2 7 3" xfId="21702" xr:uid="{CE5D82EA-3491-4FB4-B3AD-BF45FEAEE09E}"/>
    <cellStyle name="Normal 5 4 2 2 2 7 4" xfId="38559" xr:uid="{AC1C7338-6D6E-40ED-A846-3FC27EDBCD1D}"/>
    <cellStyle name="Normal 5 4 2 2 2 7 5" xfId="13267" xr:uid="{2312061F-52F8-4729-B69D-A6DADD5C83AA}"/>
    <cellStyle name="Normal 5 4 2 2 2 8" xfId="25913" xr:uid="{2B2077A9-75D9-4978-85B8-4AC257F3C323}"/>
    <cellStyle name="Normal 5 4 2 2 2 9" xfId="17484" xr:uid="{26181210-87DC-47DB-A7BD-F0620BEBB58E}"/>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32688" xr:uid="{E1FE2E17-E84B-46A0-93F6-B14BEF7D06D2}"/>
    <cellStyle name="Normal 5 4 2 2 3 2 2 3" xfId="24259" xr:uid="{140AFAFC-CAE6-47B9-A10F-8DFCE48D141A}"/>
    <cellStyle name="Normal 5 4 2 2 3 2 2 4" xfId="41116" xr:uid="{7899B8CE-176E-432E-BE36-907D5D596353}"/>
    <cellStyle name="Normal 5 4 2 2 3 2 2 5" xfId="15824" xr:uid="{C1304383-7310-4908-87E1-E9B8CFED63AE}"/>
    <cellStyle name="Normal 5 4 2 2 3 2 3" xfId="28470" xr:uid="{0F28A174-56E3-411B-9C8B-5FA2CF5244D7}"/>
    <cellStyle name="Normal 5 4 2 2 3 2 4" xfId="20041" xr:uid="{D47F35B0-FA26-483F-9C68-6C318E8C46DB}"/>
    <cellStyle name="Normal 5 4 2 2 3 2 5" xfId="36899" xr:uid="{5C3783C2-904D-460A-B459-ADF157AD15E1}"/>
    <cellStyle name="Normal 5 4 2 2 3 2 6" xfId="11606" xr:uid="{C11EE525-F581-4849-826E-129E8023E7D4}"/>
    <cellStyle name="Normal 5 4 2 2 3 3" xfId="5244" xr:uid="{00000000-0005-0000-0000-0000C71A0000}"/>
    <cellStyle name="Normal 5 4 2 2 3 3 2" xfId="30543" xr:uid="{25682491-EE03-4E6F-AC2B-2CD1948D15C0}"/>
    <cellStyle name="Normal 5 4 2 2 3 3 3" xfId="22114" xr:uid="{3D1AED55-9401-4448-9417-FB6E1F8D4999}"/>
    <cellStyle name="Normal 5 4 2 2 3 3 4" xfId="38971" xr:uid="{A7B5FD8F-E2AD-418D-8817-4AD15B513C8A}"/>
    <cellStyle name="Normal 5 4 2 2 3 3 5" xfId="13679" xr:uid="{75952EA5-7F0B-4C66-8C53-FE6ED27A1D46}"/>
    <cellStyle name="Normal 5 4 2 2 3 4" xfId="26325" xr:uid="{43EB87FC-7C3B-44B6-BD36-3CA10C7654B3}"/>
    <cellStyle name="Normal 5 4 2 2 3 5" xfId="17896" xr:uid="{771760A6-362D-421D-8ED9-0CE768171035}"/>
    <cellStyle name="Normal 5 4 2 2 3 6" xfId="34754" xr:uid="{0F3F9177-6787-459E-81D6-C1EF0B053012}"/>
    <cellStyle name="Normal 5 4 2 2 3 7" xfId="9461" xr:uid="{A53EFCC2-0764-481D-A6FB-700578CAA4D9}"/>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33101" xr:uid="{6826BDEC-7222-4183-B404-915942C3EC23}"/>
    <cellStyle name="Normal 5 4 2 2 4 2 2 3" xfId="24672" xr:uid="{3E797AC8-F14A-4E4E-8DB3-656642F81FD8}"/>
    <cellStyle name="Normal 5 4 2 2 4 2 2 4" xfId="41529" xr:uid="{9FE0ED5F-BD73-41E3-88C6-F00EB175E442}"/>
    <cellStyle name="Normal 5 4 2 2 4 2 2 5" xfId="16237" xr:uid="{9E339E08-E203-40CF-AC0C-A17F052254ED}"/>
    <cellStyle name="Normal 5 4 2 2 4 2 3" xfId="28883" xr:uid="{96CC6D24-8589-446D-ACA5-240F11EBC1FE}"/>
    <cellStyle name="Normal 5 4 2 2 4 2 4" xfId="20454" xr:uid="{240916ED-5FF4-44E0-909E-AD3FE277A34F}"/>
    <cellStyle name="Normal 5 4 2 2 4 2 5" xfId="37312" xr:uid="{79FD1283-3C86-4EBE-AB31-99FC4C355189}"/>
    <cellStyle name="Normal 5 4 2 2 4 2 6" xfId="12019" xr:uid="{8C8C3897-9B7F-4FAB-8DC0-85F49D5F20F6}"/>
    <cellStyle name="Normal 5 4 2 2 4 3" xfId="5657" xr:uid="{00000000-0005-0000-0000-0000CB1A0000}"/>
    <cellStyle name="Normal 5 4 2 2 4 3 2" xfId="30956" xr:uid="{1D91982A-8667-496D-96BC-6D4622DF7D40}"/>
    <cellStyle name="Normal 5 4 2 2 4 3 3" xfId="22527" xr:uid="{B3A46465-9ED2-4B35-B06D-42B4C7982F3A}"/>
    <cellStyle name="Normal 5 4 2 2 4 3 4" xfId="39384" xr:uid="{05A98647-E9D1-4E0A-A28F-5C03BFD1F3A1}"/>
    <cellStyle name="Normal 5 4 2 2 4 3 5" xfId="14092" xr:uid="{F68592AE-FD3A-4775-974B-8B14B962999C}"/>
    <cellStyle name="Normal 5 4 2 2 4 4" xfId="26738" xr:uid="{08057F51-0DF3-41CA-B9C4-CA919E91D3B3}"/>
    <cellStyle name="Normal 5 4 2 2 4 5" xfId="18309" xr:uid="{AE3356B4-268A-4FF2-A281-963A51F1E9C7}"/>
    <cellStyle name="Normal 5 4 2 2 4 6" xfId="35167" xr:uid="{6DC9336E-EE90-4102-B81B-B7F8F4CDE623}"/>
    <cellStyle name="Normal 5 4 2 2 4 7" xfId="9874" xr:uid="{60E048F3-C53F-40FF-A843-1EA4D7D22F39}"/>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33514" xr:uid="{4F9D33A3-E336-44E8-B51A-38DAC819CE5B}"/>
    <cellStyle name="Normal 5 4 2 2 5 2 2 3" xfId="25085" xr:uid="{8E39344E-9B9E-4DD8-8911-815B660B86A3}"/>
    <cellStyle name="Normal 5 4 2 2 5 2 2 4" xfId="41942" xr:uid="{A70AC889-BE5D-4D90-88DE-42F5CFB8AB95}"/>
    <cellStyle name="Normal 5 4 2 2 5 2 2 5" xfId="16650" xr:uid="{B83A8E81-9C8A-4907-A36C-6813EC40ED08}"/>
    <cellStyle name="Normal 5 4 2 2 5 2 3" xfId="29296" xr:uid="{DA82D00D-38C1-4EFC-A3C1-EDC191A5B7F1}"/>
    <cellStyle name="Normal 5 4 2 2 5 2 4" xfId="20867" xr:uid="{46401F90-7971-48CD-9099-03024B9DBF67}"/>
    <cellStyle name="Normal 5 4 2 2 5 2 5" xfId="37725" xr:uid="{772277E9-477C-42C2-9801-877A21397407}"/>
    <cellStyle name="Normal 5 4 2 2 5 2 6" xfId="12432" xr:uid="{60C6FB71-5BCE-419D-92A2-D5D130B8575B}"/>
    <cellStyle name="Normal 5 4 2 2 5 3" xfId="6070" xr:uid="{00000000-0005-0000-0000-0000CF1A0000}"/>
    <cellStyle name="Normal 5 4 2 2 5 3 2" xfId="31369" xr:uid="{BCFDE929-8BCA-4A43-9B50-29838F6ECBE6}"/>
    <cellStyle name="Normal 5 4 2 2 5 3 3" xfId="22940" xr:uid="{12D0ABAA-AB9E-43C8-B93B-B1FD32A1B8A2}"/>
    <cellStyle name="Normal 5 4 2 2 5 3 4" xfId="39797" xr:uid="{D421D80B-2BE2-4EC2-B430-F46D7258F9CE}"/>
    <cellStyle name="Normal 5 4 2 2 5 3 5" xfId="14505" xr:uid="{CC13F328-2593-4277-8EEE-96CB2BC3684A}"/>
    <cellStyle name="Normal 5 4 2 2 5 4" xfId="27151" xr:uid="{A577A562-DD16-4D74-BA74-7860549F0657}"/>
    <cellStyle name="Normal 5 4 2 2 5 5" xfId="18722" xr:uid="{E9A7BF02-5444-4DB6-8291-E3F60703131F}"/>
    <cellStyle name="Normal 5 4 2 2 5 6" xfId="35580" xr:uid="{6CC92077-5B4C-4EB8-9F56-4E2FFD31AEB7}"/>
    <cellStyle name="Normal 5 4 2 2 5 7" xfId="10287" xr:uid="{7D7711F5-145E-4DFD-BDF3-29A21A09124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33927" xr:uid="{9DA955AF-7DE2-4A1F-BA7C-7D1C6BEF1E30}"/>
    <cellStyle name="Normal 5 4 2 2 6 2 2 3" xfId="25498" xr:uid="{1B4E277F-D84A-4194-B84F-9880412608F5}"/>
    <cellStyle name="Normal 5 4 2 2 6 2 2 4" xfId="42355" xr:uid="{CEDF5253-0FA0-41B7-BE32-33962BDD6565}"/>
    <cellStyle name="Normal 5 4 2 2 6 2 2 5" xfId="17063" xr:uid="{16928703-B892-4DA9-AE7E-048D18560A4E}"/>
    <cellStyle name="Normal 5 4 2 2 6 2 3" xfId="29709" xr:uid="{663BA94C-FC1F-40A9-84D7-89E47FD681A3}"/>
    <cellStyle name="Normal 5 4 2 2 6 2 4" xfId="21280" xr:uid="{84135E6F-C252-4DA1-AEE2-F650B166B072}"/>
    <cellStyle name="Normal 5 4 2 2 6 2 5" xfId="38138" xr:uid="{DDBEF4A7-69C8-41B9-AD41-C60EDFA24394}"/>
    <cellStyle name="Normal 5 4 2 2 6 2 6" xfId="12845" xr:uid="{53ADBC07-1CEC-41D2-8F22-65F4E2EDE4FC}"/>
    <cellStyle name="Normal 5 4 2 2 6 3" xfId="6483" xr:uid="{00000000-0005-0000-0000-0000D31A0000}"/>
    <cellStyle name="Normal 5 4 2 2 6 3 2" xfId="31782" xr:uid="{0CA2B3B9-CF79-47E4-997C-703978840C17}"/>
    <cellStyle name="Normal 5 4 2 2 6 3 3" xfId="23353" xr:uid="{5BB2CE4F-2BFF-4A24-950D-F4B43E82B542}"/>
    <cellStyle name="Normal 5 4 2 2 6 3 4" xfId="40210" xr:uid="{F7B41DD0-F9C8-476A-85A6-10586E64F85B}"/>
    <cellStyle name="Normal 5 4 2 2 6 3 5" xfId="14918" xr:uid="{47DA66F8-EF48-409A-9225-3CF719DC2D47}"/>
    <cellStyle name="Normal 5 4 2 2 6 4" xfId="27564" xr:uid="{41D5EA67-3947-4CB1-97AB-08325658C637}"/>
    <cellStyle name="Normal 5 4 2 2 6 5" xfId="19135" xr:uid="{E020B615-00BE-445E-9228-A58442C7672E}"/>
    <cellStyle name="Normal 5 4 2 2 6 6" xfId="35993" xr:uid="{5A5F56F8-9B6B-4345-BF9C-CB0EC90E9817}"/>
    <cellStyle name="Normal 5 4 2 2 6 7" xfId="10700" xr:uid="{B48EE91C-598E-497E-B1D6-935DE38A41FB}"/>
    <cellStyle name="Normal 5 4 2 2 7" xfId="2612" xr:uid="{00000000-0005-0000-0000-0000D41A0000}"/>
    <cellStyle name="Normal 5 4 2 2 7 2" xfId="6896" xr:uid="{00000000-0005-0000-0000-0000D51A0000}"/>
    <cellStyle name="Normal 5 4 2 2 7 2 2" xfId="32195" xr:uid="{FB15464A-45CB-4530-AEAF-57B6109A876B}"/>
    <cellStyle name="Normal 5 4 2 2 7 2 3" xfId="23766" xr:uid="{DF4CA1DF-F2D0-4888-9898-34F3B2750D22}"/>
    <cellStyle name="Normal 5 4 2 2 7 2 4" xfId="40623" xr:uid="{0BCCB4EE-0716-4CC8-97F5-E12D75EDDD7F}"/>
    <cellStyle name="Normal 5 4 2 2 7 2 5" xfId="15331" xr:uid="{417B826A-752C-4FDD-9BAB-2A067E58F005}"/>
    <cellStyle name="Normal 5 4 2 2 7 3" xfId="27977" xr:uid="{60178EDD-9636-46FC-8157-C2CB4DE2B19E}"/>
    <cellStyle name="Normal 5 4 2 2 7 4" xfId="19548" xr:uid="{0AF90735-DE97-490F-9066-02B70B3D5C9E}"/>
    <cellStyle name="Normal 5 4 2 2 7 5" xfId="36406" xr:uid="{7381CC84-0F42-4B06-B271-01F39F8D2498}"/>
    <cellStyle name="Normal 5 4 2 2 7 6" xfId="11113" xr:uid="{CDF4EFF6-51BD-4E84-B899-2374A694DAEB}"/>
    <cellStyle name="Normal 5 4 2 2 8" xfId="4831" xr:uid="{00000000-0005-0000-0000-0000D61A0000}"/>
    <cellStyle name="Normal 5 4 2 2 8 2" xfId="30130" xr:uid="{9ED4EAC4-6C0C-45C8-8FDF-1C6462CD2CCD}"/>
    <cellStyle name="Normal 5 4 2 2 8 3" xfId="21701" xr:uid="{F6125708-91D0-4409-9AE0-DB80FCFA3147}"/>
    <cellStyle name="Normal 5 4 2 2 8 4" xfId="38558" xr:uid="{261307F1-EA9B-44F8-88BD-F40D6EA96C1D}"/>
    <cellStyle name="Normal 5 4 2 2 8 5" xfId="13266" xr:uid="{9D0EBD36-1103-4F1E-B81B-22A07D91629E}"/>
    <cellStyle name="Normal 5 4 2 2 9" xfId="25912" xr:uid="{33AB6B58-396E-4B58-AE00-219C422E7D6B}"/>
    <cellStyle name="Normal 5 4 2 3" xfId="460" xr:uid="{00000000-0005-0000-0000-0000D71A0000}"/>
    <cellStyle name="Normal 5 4 2 3 10" xfId="34343" xr:uid="{89A4966F-6150-49A8-9083-6DCD80815F3A}"/>
    <cellStyle name="Normal 5 4 2 3 11" xfId="9050" xr:uid="{0F3C77A9-ECCC-49AE-B6D6-F477C63268F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32690" xr:uid="{82F1228E-D91B-41DA-8342-8F9690097CD0}"/>
    <cellStyle name="Normal 5 4 2 3 2 2 2 3" xfId="24261" xr:uid="{20F3E7F7-42D9-40FA-9C62-0F98AB416E48}"/>
    <cellStyle name="Normal 5 4 2 3 2 2 2 4" xfId="41118" xr:uid="{DFF61D7C-7F43-44F7-BECF-9F7C8EAA63FB}"/>
    <cellStyle name="Normal 5 4 2 3 2 2 2 5" xfId="15826" xr:uid="{1A24FEB2-28CF-4894-A485-6D5C64DEB2AE}"/>
    <cellStyle name="Normal 5 4 2 3 2 2 3" xfId="28472" xr:uid="{0DA95053-CE1C-418D-81C1-3B47D8BF9CCB}"/>
    <cellStyle name="Normal 5 4 2 3 2 2 4" xfId="20043" xr:uid="{BA05C090-998F-401E-BFC4-751951ECFB20}"/>
    <cellStyle name="Normal 5 4 2 3 2 2 5" xfId="36901" xr:uid="{C6BB8AE7-C89D-45C0-B294-DF7E231E8B21}"/>
    <cellStyle name="Normal 5 4 2 3 2 2 6" xfId="11608" xr:uid="{BE8310D6-5AFB-4DFB-BF99-6218E9642109}"/>
    <cellStyle name="Normal 5 4 2 3 2 3" xfId="5246" xr:uid="{00000000-0005-0000-0000-0000DB1A0000}"/>
    <cellStyle name="Normal 5 4 2 3 2 3 2" xfId="30545" xr:uid="{3782D1EC-4DBA-421B-82FB-F19AC80EAA9D}"/>
    <cellStyle name="Normal 5 4 2 3 2 3 3" xfId="22116" xr:uid="{F4CC4881-F8FE-40EF-8532-3BC3722F4FDE}"/>
    <cellStyle name="Normal 5 4 2 3 2 3 4" xfId="38973" xr:uid="{3D0CE8B0-7598-46A6-B74B-C22793A509A1}"/>
    <cellStyle name="Normal 5 4 2 3 2 3 5" xfId="13681" xr:uid="{CABC66C7-2183-4F4A-994B-5EDF52AA4C92}"/>
    <cellStyle name="Normal 5 4 2 3 2 4" xfId="26327" xr:uid="{C75887C0-9B2B-45A6-9534-F938A04A22D9}"/>
    <cellStyle name="Normal 5 4 2 3 2 5" xfId="17898" xr:uid="{6B75DAAE-864D-4F95-93E8-00E1C077F19A}"/>
    <cellStyle name="Normal 5 4 2 3 2 6" xfId="34756" xr:uid="{DA8A35D0-A057-44E6-AB35-79485C77EB3C}"/>
    <cellStyle name="Normal 5 4 2 3 2 7" xfId="9463" xr:uid="{1203F8B1-DD7A-4E96-BC4B-4E2993DC9F44}"/>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33103" xr:uid="{5602FD13-BAFF-4AB9-A323-9CCE6A7512B1}"/>
    <cellStyle name="Normal 5 4 2 3 3 2 2 3" xfId="24674" xr:uid="{C04DA271-D0A7-427F-876C-F60A89511AB0}"/>
    <cellStyle name="Normal 5 4 2 3 3 2 2 4" xfId="41531" xr:uid="{CBE55813-1DD4-4CB5-B920-CBDD8999AB34}"/>
    <cellStyle name="Normal 5 4 2 3 3 2 2 5" xfId="16239" xr:uid="{C9CE9480-AE9E-4C9F-8B36-421C6F102AAF}"/>
    <cellStyle name="Normal 5 4 2 3 3 2 3" xfId="28885" xr:uid="{C47D629E-3601-429C-98D1-16CBE5F47E6C}"/>
    <cellStyle name="Normal 5 4 2 3 3 2 4" xfId="20456" xr:uid="{B7E63FD7-AC44-4E74-B26E-F9E8C2EB5A76}"/>
    <cellStyle name="Normal 5 4 2 3 3 2 5" xfId="37314" xr:uid="{FCA809FD-17B8-4D49-979F-EA102450D67A}"/>
    <cellStyle name="Normal 5 4 2 3 3 2 6" xfId="12021" xr:uid="{A638BA8F-5E27-4149-926C-25AA1CE7D65B}"/>
    <cellStyle name="Normal 5 4 2 3 3 3" xfId="5659" xr:uid="{00000000-0005-0000-0000-0000DF1A0000}"/>
    <cellStyle name="Normal 5 4 2 3 3 3 2" xfId="30958" xr:uid="{33FC395C-5CAE-4E7C-8E29-48CA768C6C9A}"/>
    <cellStyle name="Normal 5 4 2 3 3 3 3" xfId="22529" xr:uid="{E7D9693E-05E2-4B72-B6BC-0645DA74921C}"/>
    <cellStyle name="Normal 5 4 2 3 3 3 4" xfId="39386" xr:uid="{43E8F240-E7C5-4F05-9281-F4F1EAF12394}"/>
    <cellStyle name="Normal 5 4 2 3 3 3 5" xfId="14094" xr:uid="{C3BB7BFA-3A0D-4EE5-9F8F-964656E33A95}"/>
    <cellStyle name="Normal 5 4 2 3 3 4" xfId="26740" xr:uid="{2F02EE81-39B4-4A88-A945-C2975D494A2D}"/>
    <cellStyle name="Normal 5 4 2 3 3 5" xfId="18311" xr:uid="{29CFAB44-271F-4244-8153-B7D4BEFE734A}"/>
    <cellStyle name="Normal 5 4 2 3 3 6" xfId="35169" xr:uid="{1E924DE3-5207-43E4-870E-5C66AB19F1B1}"/>
    <cellStyle name="Normal 5 4 2 3 3 7" xfId="9876" xr:uid="{90168095-9415-456A-9BB6-C856F66CE623}"/>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33516" xr:uid="{82F66B25-F86F-4A4C-B479-9E3917D57A18}"/>
    <cellStyle name="Normal 5 4 2 3 4 2 2 3" xfId="25087" xr:uid="{084C1510-D90F-433F-A636-ADE5CF1973A2}"/>
    <cellStyle name="Normal 5 4 2 3 4 2 2 4" xfId="41944" xr:uid="{9D8A2742-2DD9-4AE5-922C-57460E1CDE11}"/>
    <cellStyle name="Normal 5 4 2 3 4 2 2 5" xfId="16652" xr:uid="{91408298-5E29-419D-A1C2-3334E9A24198}"/>
    <cellStyle name="Normal 5 4 2 3 4 2 3" xfId="29298" xr:uid="{351476D1-95E3-4877-9B80-A6B29721918F}"/>
    <cellStyle name="Normal 5 4 2 3 4 2 4" xfId="20869" xr:uid="{6096AD0F-8A95-47B0-A605-730DBFF1CF91}"/>
    <cellStyle name="Normal 5 4 2 3 4 2 5" xfId="37727" xr:uid="{4B7EB310-E919-415A-89BF-1F854AB5F7B6}"/>
    <cellStyle name="Normal 5 4 2 3 4 2 6" xfId="12434" xr:uid="{5B23DC73-855E-4CEB-A2FD-E831DA590AD7}"/>
    <cellStyle name="Normal 5 4 2 3 4 3" xfId="6072" xr:uid="{00000000-0005-0000-0000-0000E31A0000}"/>
    <cellStyle name="Normal 5 4 2 3 4 3 2" xfId="31371" xr:uid="{714883F0-4C75-41C8-9FB3-64451BE1A1FA}"/>
    <cellStyle name="Normal 5 4 2 3 4 3 3" xfId="22942" xr:uid="{230C18A2-E27C-4831-9FC4-AF2E43067225}"/>
    <cellStyle name="Normal 5 4 2 3 4 3 4" xfId="39799" xr:uid="{032F3138-C341-4CD5-B7BD-7EA55384F1B7}"/>
    <cellStyle name="Normal 5 4 2 3 4 3 5" xfId="14507" xr:uid="{2C591B61-E820-4C7B-93D4-C22D8A61521E}"/>
    <cellStyle name="Normal 5 4 2 3 4 4" xfId="27153" xr:uid="{22BD108D-07D4-4052-B4AC-B918215ADB12}"/>
    <cellStyle name="Normal 5 4 2 3 4 5" xfId="18724" xr:uid="{9AB7EA69-EC55-4CBD-B1A8-3872320C0D29}"/>
    <cellStyle name="Normal 5 4 2 3 4 6" xfId="35582" xr:uid="{251A3043-E9CA-4F67-ADAD-70EC8ADEE125}"/>
    <cellStyle name="Normal 5 4 2 3 4 7" xfId="10289" xr:uid="{75D2EA80-FC9F-4041-86A8-F15563DD7C0A}"/>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33929" xr:uid="{2CB369B5-5541-4565-975E-1881B03B904A}"/>
    <cellStyle name="Normal 5 4 2 3 5 2 2 3" xfId="25500" xr:uid="{8FAD9823-34D3-4235-BE32-2E26ACE3089A}"/>
    <cellStyle name="Normal 5 4 2 3 5 2 2 4" xfId="42357" xr:uid="{A45DBF72-40DA-441C-A989-5C3908E4D725}"/>
    <cellStyle name="Normal 5 4 2 3 5 2 2 5" xfId="17065" xr:uid="{72D5FF95-1F2D-42AE-99FE-909C7847118C}"/>
    <cellStyle name="Normal 5 4 2 3 5 2 3" xfId="29711" xr:uid="{E607AB03-1D71-497E-B02C-95FE4351AB6A}"/>
    <cellStyle name="Normal 5 4 2 3 5 2 4" xfId="21282" xr:uid="{D417859B-AE70-4CB3-87D7-0EB7E9126CE0}"/>
    <cellStyle name="Normal 5 4 2 3 5 2 5" xfId="38140" xr:uid="{909AFF6A-04FF-460A-8D19-40F6D6C42DDF}"/>
    <cellStyle name="Normal 5 4 2 3 5 2 6" xfId="12847" xr:uid="{38AF6C8F-8190-4274-BB69-781F68298080}"/>
    <cellStyle name="Normal 5 4 2 3 5 3" xfId="6485" xr:uid="{00000000-0005-0000-0000-0000E71A0000}"/>
    <cellStyle name="Normal 5 4 2 3 5 3 2" xfId="31784" xr:uid="{16808C51-4576-48F8-84B8-B561C12F148D}"/>
    <cellStyle name="Normal 5 4 2 3 5 3 3" xfId="23355" xr:uid="{CAE62A99-90F6-473E-AF5A-41FE7767C958}"/>
    <cellStyle name="Normal 5 4 2 3 5 3 4" xfId="40212" xr:uid="{C1F08924-EA26-442A-8AB7-F6AF1D62F4CD}"/>
    <cellStyle name="Normal 5 4 2 3 5 3 5" xfId="14920" xr:uid="{3107D759-7A29-4C1A-BF4D-370C718C0F6D}"/>
    <cellStyle name="Normal 5 4 2 3 5 4" xfId="27566" xr:uid="{327C9729-74CE-4DD9-B32E-F91C17F64AD4}"/>
    <cellStyle name="Normal 5 4 2 3 5 5" xfId="19137" xr:uid="{8EC62B4C-4F40-4725-BC81-15271E576672}"/>
    <cellStyle name="Normal 5 4 2 3 5 6" xfId="35995" xr:uid="{5692E97D-123D-43B2-A9FD-393DA825BB6D}"/>
    <cellStyle name="Normal 5 4 2 3 5 7" xfId="10702" xr:uid="{2E39C23E-48DA-4008-818A-67ABF2EB0567}"/>
    <cellStyle name="Normal 5 4 2 3 6" xfId="2614" xr:uid="{00000000-0005-0000-0000-0000E81A0000}"/>
    <cellStyle name="Normal 5 4 2 3 6 2" xfId="6898" xr:uid="{00000000-0005-0000-0000-0000E91A0000}"/>
    <cellStyle name="Normal 5 4 2 3 6 2 2" xfId="32197" xr:uid="{3331D0B1-887D-4674-BFEC-E0DFA4261E6D}"/>
    <cellStyle name="Normal 5 4 2 3 6 2 3" xfId="23768" xr:uid="{05D53BEB-15CB-4F8C-A806-3652A00BF2C3}"/>
    <cellStyle name="Normal 5 4 2 3 6 2 4" xfId="40625" xr:uid="{5537BAFA-5A39-428F-9335-5A2EC7F0F47D}"/>
    <cellStyle name="Normal 5 4 2 3 6 2 5" xfId="15333" xr:uid="{3931F01F-BC82-4325-AAD2-2687135D48BF}"/>
    <cellStyle name="Normal 5 4 2 3 6 3" xfId="27979" xr:uid="{0787E795-C272-43CF-8A81-461D19A50145}"/>
    <cellStyle name="Normal 5 4 2 3 6 4" xfId="19550" xr:uid="{39AE40A0-1AAA-4512-911A-C3CC925CF372}"/>
    <cellStyle name="Normal 5 4 2 3 6 5" xfId="36408" xr:uid="{76A3BF50-958C-4B79-8CBC-5387790EE2B3}"/>
    <cellStyle name="Normal 5 4 2 3 6 6" xfId="11115" xr:uid="{FC23BD78-35DD-4AED-B823-40CF3B920C20}"/>
    <cellStyle name="Normal 5 4 2 3 7" xfId="4833" xr:uid="{00000000-0005-0000-0000-0000EA1A0000}"/>
    <cellStyle name="Normal 5 4 2 3 7 2" xfId="30132" xr:uid="{E303ADB2-B074-47AB-9C7B-C0D70FC3C6EE}"/>
    <cellStyle name="Normal 5 4 2 3 7 3" xfId="21703" xr:uid="{4EFB5870-E077-48AD-8633-BC2A02A750E7}"/>
    <cellStyle name="Normal 5 4 2 3 7 4" xfId="38560" xr:uid="{665ACA5F-2E0B-4E4F-BD61-3BDC4CEA0006}"/>
    <cellStyle name="Normal 5 4 2 3 7 5" xfId="13268" xr:uid="{3EED9749-3F63-42F6-A5B8-F8730B2889E1}"/>
    <cellStyle name="Normal 5 4 2 3 8" xfId="25914" xr:uid="{FA668C96-6E39-48AD-8AEB-1EC386BAA3C4}"/>
    <cellStyle name="Normal 5 4 2 3 9" xfId="17485" xr:uid="{F78764C2-798B-4069-BB60-6C618D410AEB}"/>
    <cellStyle name="Normal 5 4 2 4" xfId="931" xr:uid="{00000000-0005-0000-0000-0000EB1A0000}"/>
    <cellStyle name="Normal 5 4 2 4 2" xfId="3165" xr:uid="{00000000-0005-0000-0000-0000EC1A0000}"/>
    <cellStyle name="Normal 5 4 2 4 2 2" xfId="7388" xr:uid="{00000000-0005-0000-0000-0000ED1A0000}"/>
    <cellStyle name="Normal 5 4 2 4 2 2 2" xfId="32687" xr:uid="{4788B880-9602-441E-A1E8-3A8379AD882B}"/>
    <cellStyle name="Normal 5 4 2 4 2 2 3" xfId="24258" xr:uid="{80EA7111-FDFD-4211-9BDA-238FBBDABCC1}"/>
    <cellStyle name="Normal 5 4 2 4 2 2 4" xfId="41115" xr:uid="{AD73BBAB-A4E3-4014-88DC-2AF857179E23}"/>
    <cellStyle name="Normal 5 4 2 4 2 2 5" xfId="15823" xr:uid="{8099A7B0-B89D-4147-BA48-4DCBCBED1722}"/>
    <cellStyle name="Normal 5 4 2 4 2 3" xfId="28469" xr:uid="{8248DF22-9AE9-43A0-8BD8-D056DB12363A}"/>
    <cellStyle name="Normal 5 4 2 4 2 4" xfId="20040" xr:uid="{5E2AA131-8384-4316-B63F-149092B4E9F0}"/>
    <cellStyle name="Normal 5 4 2 4 2 5" xfId="36898" xr:uid="{BD735344-6D4D-4E48-8E36-AF074CF89329}"/>
    <cellStyle name="Normal 5 4 2 4 2 6" xfId="11605" xr:uid="{F383D6B0-5492-4729-ADF2-58A46F64FCB7}"/>
    <cellStyle name="Normal 5 4 2 4 3" xfId="5243" xr:uid="{00000000-0005-0000-0000-0000EE1A0000}"/>
    <cellStyle name="Normal 5 4 2 4 3 2" xfId="30542" xr:uid="{043447DD-04EF-417E-9D3B-152E735CAB2D}"/>
    <cellStyle name="Normal 5 4 2 4 3 3" xfId="22113" xr:uid="{0DB17DC9-F26B-4F60-8E40-9FECCD6D3729}"/>
    <cellStyle name="Normal 5 4 2 4 3 4" xfId="38970" xr:uid="{977B0E43-406E-4024-B975-7562D8288C5B}"/>
    <cellStyle name="Normal 5 4 2 4 3 5" xfId="13678" xr:uid="{92428412-3281-4874-B1A4-B110D8A4D1ED}"/>
    <cellStyle name="Normal 5 4 2 4 4" xfId="26324" xr:uid="{FCEC9D4A-3871-4560-A701-DC8554D1555D}"/>
    <cellStyle name="Normal 5 4 2 4 5" xfId="17895" xr:uid="{50A66D64-8E4C-43AE-9DB7-D2618E2FD21C}"/>
    <cellStyle name="Normal 5 4 2 4 6" xfId="34753" xr:uid="{7F871D59-08C1-45AB-8F0B-E0B0D8898C19}"/>
    <cellStyle name="Normal 5 4 2 4 7" xfId="9460" xr:uid="{ED873C13-2487-411E-A229-6CD5FFDBC6CB}"/>
    <cellStyle name="Normal 5 4 2 5" xfId="1348" xr:uid="{00000000-0005-0000-0000-0000EF1A0000}"/>
    <cellStyle name="Normal 5 4 2 5 2" xfId="3578" xr:uid="{00000000-0005-0000-0000-0000F01A0000}"/>
    <cellStyle name="Normal 5 4 2 5 2 2" xfId="7801" xr:uid="{00000000-0005-0000-0000-0000F11A0000}"/>
    <cellStyle name="Normal 5 4 2 5 2 2 2" xfId="33100" xr:uid="{5E1CB0D5-791B-466C-9657-D1CE32844072}"/>
    <cellStyle name="Normal 5 4 2 5 2 2 3" xfId="24671" xr:uid="{69505000-43CF-49CA-BDE5-8D34DC092507}"/>
    <cellStyle name="Normal 5 4 2 5 2 2 4" xfId="41528" xr:uid="{6434C7BA-1D16-4025-8A7A-877784C011B6}"/>
    <cellStyle name="Normal 5 4 2 5 2 2 5" xfId="16236" xr:uid="{BB99DDAC-E9FC-4944-A562-3DD18F51A494}"/>
    <cellStyle name="Normal 5 4 2 5 2 3" xfId="28882" xr:uid="{7A469C9D-70E2-4E37-9A4B-C87285D7D4ED}"/>
    <cellStyle name="Normal 5 4 2 5 2 4" xfId="20453" xr:uid="{61E55F01-FABE-4AFA-AF66-6367C5CB5F87}"/>
    <cellStyle name="Normal 5 4 2 5 2 5" xfId="37311" xr:uid="{439AFD40-A611-4D3E-A0EF-511A6655B5D7}"/>
    <cellStyle name="Normal 5 4 2 5 2 6" xfId="12018" xr:uid="{A0A746DE-E276-42F1-88EC-3E18B9E83790}"/>
    <cellStyle name="Normal 5 4 2 5 3" xfId="5656" xr:uid="{00000000-0005-0000-0000-0000F21A0000}"/>
    <cellStyle name="Normal 5 4 2 5 3 2" xfId="30955" xr:uid="{09124224-F85B-489A-8D83-EE91D4814CAC}"/>
    <cellStyle name="Normal 5 4 2 5 3 3" xfId="22526" xr:uid="{7008D839-AD95-4C9F-8CEE-C159E4FC2DF5}"/>
    <cellStyle name="Normal 5 4 2 5 3 4" xfId="39383" xr:uid="{87BF7BF4-9700-4790-A700-391B680FF111}"/>
    <cellStyle name="Normal 5 4 2 5 3 5" xfId="14091" xr:uid="{34C32B0D-097B-48A7-9E1C-213CC7FC87DD}"/>
    <cellStyle name="Normal 5 4 2 5 4" xfId="26737" xr:uid="{60ECA29D-DED0-4FBA-8C46-D38A992BCA2D}"/>
    <cellStyle name="Normal 5 4 2 5 5" xfId="18308" xr:uid="{F92D5E60-25E3-4CD6-86B6-FC9DA1E2AD83}"/>
    <cellStyle name="Normal 5 4 2 5 6" xfId="35166" xr:uid="{93B6E8FA-D706-458C-A549-8B81344AE3EC}"/>
    <cellStyle name="Normal 5 4 2 5 7" xfId="9873" xr:uid="{A994625C-80B1-42CB-BD7C-82D5937874BE}"/>
    <cellStyle name="Normal 5 4 2 6" xfId="1761" xr:uid="{00000000-0005-0000-0000-0000F31A0000}"/>
    <cellStyle name="Normal 5 4 2 6 2" xfId="3991" xr:uid="{00000000-0005-0000-0000-0000F41A0000}"/>
    <cellStyle name="Normal 5 4 2 6 2 2" xfId="8214" xr:uid="{00000000-0005-0000-0000-0000F51A0000}"/>
    <cellStyle name="Normal 5 4 2 6 2 2 2" xfId="33513" xr:uid="{85C3A815-8FC0-48CB-AD65-F09A32B86602}"/>
    <cellStyle name="Normal 5 4 2 6 2 2 3" xfId="25084" xr:uid="{19EC9797-0331-4BA3-BE83-F1A6F9E7B553}"/>
    <cellStyle name="Normal 5 4 2 6 2 2 4" xfId="41941" xr:uid="{CACE130E-3691-4976-A5FB-7AA8A28E831E}"/>
    <cellStyle name="Normal 5 4 2 6 2 2 5" xfId="16649" xr:uid="{FDF2FAA1-8F9D-41A5-9B4B-AA11A2B6A4B7}"/>
    <cellStyle name="Normal 5 4 2 6 2 3" xfId="29295" xr:uid="{2CC95DB8-5C9B-449E-8F57-A249783B51AC}"/>
    <cellStyle name="Normal 5 4 2 6 2 4" xfId="20866" xr:uid="{E4DF1D57-70F4-4CC0-8148-52A6E5452078}"/>
    <cellStyle name="Normal 5 4 2 6 2 5" xfId="37724" xr:uid="{15DA8A8C-829E-48C1-BCBE-A4BB3C10CD76}"/>
    <cellStyle name="Normal 5 4 2 6 2 6" xfId="12431" xr:uid="{8AE8D2BB-48AD-48A8-8EE7-D2191ED26E3F}"/>
    <cellStyle name="Normal 5 4 2 6 3" xfId="6069" xr:uid="{00000000-0005-0000-0000-0000F61A0000}"/>
    <cellStyle name="Normal 5 4 2 6 3 2" xfId="31368" xr:uid="{2B5D0CFD-2FD4-4D8F-9E0F-E8468C880420}"/>
    <cellStyle name="Normal 5 4 2 6 3 3" xfId="22939" xr:uid="{E76C9EEE-4650-437F-9380-F361151123C7}"/>
    <cellStyle name="Normal 5 4 2 6 3 4" xfId="39796" xr:uid="{9E63A2F2-34BC-44E8-923D-05D5EBE2EFED}"/>
    <cellStyle name="Normal 5 4 2 6 3 5" xfId="14504" xr:uid="{92D4A4BC-6EA6-4D03-908F-7A232023AC7E}"/>
    <cellStyle name="Normal 5 4 2 6 4" xfId="27150" xr:uid="{FE3BF931-9094-43AD-A3CC-30AF529A2018}"/>
    <cellStyle name="Normal 5 4 2 6 5" xfId="18721" xr:uid="{564EEA6B-8409-4A9D-9543-F2B53BE8991A}"/>
    <cellStyle name="Normal 5 4 2 6 6" xfId="35579" xr:uid="{EF8A95E1-A4C4-4FF2-AFF3-C2AB921618E0}"/>
    <cellStyle name="Normal 5 4 2 6 7" xfId="10286" xr:uid="{14C8C216-F938-49BC-BADB-933F4A1DCFB1}"/>
    <cellStyle name="Normal 5 4 2 7" xfId="2175" xr:uid="{00000000-0005-0000-0000-0000F71A0000}"/>
    <cellStyle name="Normal 5 4 2 7 2" xfId="4404" xr:uid="{00000000-0005-0000-0000-0000F81A0000}"/>
    <cellStyle name="Normal 5 4 2 7 2 2" xfId="8627" xr:uid="{00000000-0005-0000-0000-0000F91A0000}"/>
    <cellStyle name="Normal 5 4 2 7 2 2 2" xfId="33926" xr:uid="{2815CB45-5625-410D-9C35-9DDD8D6A2FF6}"/>
    <cellStyle name="Normal 5 4 2 7 2 2 3" xfId="25497" xr:uid="{10110C92-5284-4466-AC99-0F8649404068}"/>
    <cellStyle name="Normal 5 4 2 7 2 2 4" xfId="42354" xr:uid="{D00C7161-AA53-45E7-9878-DCAAE4DE3429}"/>
    <cellStyle name="Normal 5 4 2 7 2 2 5" xfId="17062" xr:uid="{24024D52-C492-4A83-86C4-B5E1F624D297}"/>
    <cellStyle name="Normal 5 4 2 7 2 3" xfId="29708" xr:uid="{EB6DFDA7-2667-481A-A134-60B63FA1343C}"/>
    <cellStyle name="Normal 5 4 2 7 2 4" xfId="21279" xr:uid="{DC15D5CD-DD6F-44F4-AB89-217845E7B5E8}"/>
    <cellStyle name="Normal 5 4 2 7 2 5" xfId="38137" xr:uid="{690689C1-8090-4208-8141-CC3777319B27}"/>
    <cellStyle name="Normal 5 4 2 7 2 6" xfId="12844" xr:uid="{5B828032-7212-4314-BFB1-99BDA0667B8C}"/>
    <cellStyle name="Normal 5 4 2 7 3" xfId="6482" xr:uid="{00000000-0005-0000-0000-0000FA1A0000}"/>
    <cellStyle name="Normal 5 4 2 7 3 2" xfId="31781" xr:uid="{B1840842-FFEF-4E18-B884-E5F87183AA45}"/>
    <cellStyle name="Normal 5 4 2 7 3 3" xfId="23352" xr:uid="{D4121511-E384-425D-8398-45A66DDB359C}"/>
    <cellStyle name="Normal 5 4 2 7 3 4" xfId="40209" xr:uid="{672880DA-4955-4AAA-9F6B-9859C31AB19C}"/>
    <cellStyle name="Normal 5 4 2 7 3 5" xfId="14917" xr:uid="{E4FD2712-3BB8-4E9D-86CA-467D9D8D2CA0}"/>
    <cellStyle name="Normal 5 4 2 7 4" xfId="27563" xr:uid="{B2B39BCA-F9CB-4E90-8597-F7BE25F10017}"/>
    <cellStyle name="Normal 5 4 2 7 5" xfId="19134" xr:uid="{BBD47A90-4924-414E-8772-4EA675344A3A}"/>
    <cellStyle name="Normal 5 4 2 7 6" xfId="35992" xr:uid="{CE54DEB5-EDD3-4A61-8D8E-2012A08754A5}"/>
    <cellStyle name="Normal 5 4 2 7 7" xfId="10699" xr:uid="{72EBB7CC-F7A1-4075-B081-C9AB877648D6}"/>
    <cellStyle name="Normal 5 4 2 8" xfId="2611" xr:uid="{00000000-0005-0000-0000-0000FB1A0000}"/>
    <cellStyle name="Normal 5 4 2 8 2" xfId="6895" xr:uid="{00000000-0005-0000-0000-0000FC1A0000}"/>
    <cellStyle name="Normal 5 4 2 8 2 2" xfId="32194" xr:uid="{6519935A-9473-4948-B455-1550327B6571}"/>
    <cellStyle name="Normal 5 4 2 8 2 3" xfId="23765" xr:uid="{0832D5E4-07D8-4A44-A4EF-8C30512909DA}"/>
    <cellStyle name="Normal 5 4 2 8 2 4" xfId="40622" xr:uid="{98C752FF-C14F-4D47-A984-6B33D6069C82}"/>
    <cellStyle name="Normal 5 4 2 8 2 5" xfId="15330" xr:uid="{600BA54A-B064-48B7-94F4-32FDD36B093F}"/>
    <cellStyle name="Normal 5 4 2 8 3" xfId="27976" xr:uid="{4B67933B-88F9-49E4-8AE8-DE5612F51A1D}"/>
    <cellStyle name="Normal 5 4 2 8 4" xfId="19547" xr:uid="{80CB7D19-DB38-42B0-BBC9-91477C967229}"/>
    <cellStyle name="Normal 5 4 2 8 5" xfId="36405" xr:uid="{D1E381AC-7711-44D4-A6B4-25B94B2FD185}"/>
    <cellStyle name="Normal 5 4 2 8 6" xfId="11112" xr:uid="{9E1737B8-17BC-41AE-AE54-789F555E5A9D}"/>
    <cellStyle name="Normal 5 4 2 9" xfId="4830" xr:uid="{00000000-0005-0000-0000-0000FD1A0000}"/>
    <cellStyle name="Normal 5 4 2 9 2" xfId="30129" xr:uid="{044D9826-D411-48EB-8A61-54C70E1DC415}"/>
    <cellStyle name="Normal 5 4 2 9 3" xfId="21700" xr:uid="{EC3429C8-4674-4206-8CBB-426343D8A728}"/>
    <cellStyle name="Normal 5 4 2 9 4" xfId="38557" xr:uid="{39EDA6F7-D3B4-44E9-AE45-197A100D9776}"/>
    <cellStyle name="Normal 5 4 2 9 5" xfId="13265" xr:uid="{29B58D39-D7BB-4B21-B219-20FCE1C2B603}"/>
    <cellStyle name="Normal 5 4 3" xfId="461" xr:uid="{00000000-0005-0000-0000-0000FE1A0000}"/>
    <cellStyle name="Normal 5 4 3 10" xfId="17486" xr:uid="{F47D0829-9860-4396-B464-7EAE72445A3A}"/>
    <cellStyle name="Normal 5 4 3 11" xfId="34344" xr:uid="{2A67B6D4-BD13-49AA-B735-7DAD2930CB88}"/>
    <cellStyle name="Normal 5 4 3 12" xfId="9051" xr:uid="{FF328C94-D588-4865-9454-786288850CD8}"/>
    <cellStyle name="Normal 5 4 3 2" xfId="462" xr:uid="{00000000-0005-0000-0000-0000FF1A0000}"/>
    <cellStyle name="Normal 5 4 3 2 10" xfId="34345" xr:uid="{261DCD25-C395-4434-BCDB-2C02969B3535}"/>
    <cellStyle name="Normal 5 4 3 2 11" xfId="9052" xr:uid="{6DBC66E6-9961-40B6-9D82-31DB4EB3BDF7}"/>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32692" xr:uid="{BFB1DAE4-C9F8-4DF7-A35C-5109A4032456}"/>
    <cellStyle name="Normal 5 4 3 2 2 2 2 3" xfId="24263" xr:uid="{FA3D046B-4EF2-4594-915F-98DF15FAF8F0}"/>
    <cellStyle name="Normal 5 4 3 2 2 2 2 4" xfId="41120" xr:uid="{F3957AC9-D003-40D7-86B0-CECB26D831E3}"/>
    <cellStyle name="Normal 5 4 3 2 2 2 2 5" xfId="15828" xr:uid="{2166ACA5-3DC2-45F8-A604-79F6988C062E}"/>
    <cellStyle name="Normal 5 4 3 2 2 2 3" xfId="28474" xr:uid="{24820F4D-D82E-423A-809C-2B583EE74753}"/>
    <cellStyle name="Normal 5 4 3 2 2 2 4" xfId="20045" xr:uid="{5283EEE0-1B5A-4475-A86C-9BF28A566763}"/>
    <cellStyle name="Normal 5 4 3 2 2 2 5" xfId="36903" xr:uid="{B3E37D3F-65D4-459B-9182-DEC0857B79D4}"/>
    <cellStyle name="Normal 5 4 3 2 2 2 6" xfId="11610" xr:uid="{E6CAB68F-8A5B-4A7E-9C07-3F376AAAF8B8}"/>
    <cellStyle name="Normal 5 4 3 2 2 3" xfId="5248" xr:uid="{00000000-0005-0000-0000-0000031B0000}"/>
    <cellStyle name="Normal 5 4 3 2 2 3 2" xfId="30547" xr:uid="{3E7C894E-0F70-4421-A6B2-4DEF9333126E}"/>
    <cellStyle name="Normal 5 4 3 2 2 3 3" xfId="22118" xr:uid="{67188B63-B65F-43FF-90D9-9B7F9A20DFF0}"/>
    <cellStyle name="Normal 5 4 3 2 2 3 4" xfId="38975" xr:uid="{AE1F650B-5C18-44BF-AE72-64A97C7A884D}"/>
    <cellStyle name="Normal 5 4 3 2 2 3 5" xfId="13683" xr:uid="{9CEC5E29-F9EC-4358-B88D-5B5EDEB2DE7D}"/>
    <cellStyle name="Normal 5 4 3 2 2 4" xfId="26329" xr:uid="{2C1E66AD-3D27-4070-9010-91AB865153AC}"/>
    <cellStyle name="Normal 5 4 3 2 2 5" xfId="17900" xr:uid="{6992F598-F6CA-4F1B-9735-12AA0FA40D98}"/>
    <cellStyle name="Normal 5 4 3 2 2 6" xfId="34758" xr:uid="{AB2A5F28-861E-44E5-8611-1EEFEDF95319}"/>
    <cellStyle name="Normal 5 4 3 2 2 7" xfId="9465" xr:uid="{DE4C616D-4851-4EBC-8D8E-053D4ABA2BD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33105" xr:uid="{A156A504-CC05-4F1F-BBF8-49FD310740E0}"/>
    <cellStyle name="Normal 5 4 3 2 3 2 2 3" xfId="24676" xr:uid="{A02AE61B-6257-4848-870F-E86C7AF52112}"/>
    <cellStyle name="Normal 5 4 3 2 3 2 2 4" xfId="41533" xr:uid="{840B1B75-7E3E-4D12-B7B9-D31D35E0D482}"/>
    <cellStyle name="Normal 5 4 3 2 3 2 2 5" xfId="16241" xr:uid="{50F48BE0-4CF1-49A6-8DFD-47AFF1C388EE}"/>
    <cellStyle name="Normal 5 4 3 2 3 2 3" xfId="28887" xr:uid="{3C45A36F-793D-448E-8030-D87D7AD22D7F}"/>
    <cellStyle name="Normal 5 4 3 2 3 2 4" xfId="20458" xr:uid="{4AEDAF10-35FD-49E8-A884-35F8EDD08181}"/>
    <cellStyle name="Normal 5 4 3 2 3 2 5" xfId="37316" xr:uid="{8AB32A5E-43F0-410F-8E11-7C1016A01E8F}"/>
    <cellStyle name="Normal 5 4 3 2 3 2 6" xfId="12023" xr:uid="{3B2E709A-A088-4B6A-8E23-B777B8078188}"/>
    <cellStyle name="Normal 5 4 3 2 3 3" xfId="5661" xr:uid="{00000000-0005-0000-0000-0000071B0000}"/>
    <cellStyle name="Normal 5 4 3 2 3 3 2" xfId="30960" xr:uid="{7FF5B584-A615-47BD-B557-0B3872B187E0}"/>
    <cellStyle name="Normal 5 4 3 2 3 3 3" xfId="22531" xr:uid="{461B12AD-A915-4B7D-ADB3-76CC25226C1E}"/>
    <cellStyle name="Normal 5 4 3 2 3 3 4" xfId="39388" xr:uid="{7D75C593-BB87-4F19-8A95-07305887F419}"/>
    <cellStyle name="Normal 5 4 3 2 3 3 5" xfId="14096" xr:uid="{9A23C3F0-87F9-4239-BFC0-388160F31B49}"/>
    <cellStyle name="Normal 5 4 3 2 3 4" xfId="26742" xr:uid="{9B955DEF-0CF7-4881-8161-2A4FC635A7D9}"/>
    <cellStyle name="Normal 5 4 3 2 3 5" xfId="18313" xr:uid="{3B7DF4C2-6F13-430B-9D26-5DA4EE043EFC}"/>
    <cellStyle name="Normal 5 4 3 2 3 6" xfId="35171" xr:uid="{6B87A01E-61D7-4729-80BC-78C503691093}"/>
    <cellStyle name="Normal 5 4 3 2 3 7" xfId="9878" xr:uid="{C2E6A2E3-6565-46E9-B8B7-C5BC7A7EAE56}"/>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33518" xr:uid="{99BFE36C-3035-4C6D-A73E-77614830AC69}"/>
    <cellStyle name="Normal 5 4 3 2 4 2 2 3" xfId="25089" xr:uid="{444A56CD-C101-41CE-B11F-42925CEEB78D}"/>
    <cellStyle name="Normal 5 4 3 2 4 2 2 4" xfId="41946" xr:uid="{CD495688-9243-4B16-845A-CFF52DB2A845}"/>
    <cellStyle name="Normal 5 4 3 2 4 2 2 5" xfId="16654" xr:uid="{B7BF342C-CC5A-4F62-AEE0-5240BD890D6F}"/>
    <cellStyle name="Normal 5 4 3 2 4 2 3" xfId="29300" xr:uid="{54FB6CEE-ABF9-40F4-876E-75DAE9F0D0C6}"/>
    <cellStyle name="Normal 5 4 3 2 4 2 4" xfId="20871" xr:uid="{54868CBF-84A4-4AB6-BC18-1E5C7189D08D}"/>
    <cellStyle name="Normal 5 4 3 2 4 2 5" xfId="37729" xr:uid="{8C533D7F-BDEB-484A-B430-D54577D1B90E}"/>
    <cellStyle name="Normal 5 4 3 2 4 2 6" xfId="12436" xr:uid="{38038545-031C-409D-AB5C-D1F9E72BD2B3}"/>
    <cellStyle name="Normal 5 4 3 2 4 3" xfId="6074" xr:uid="{00000000-0005-0000-0000-00000B1B0000}"/>
    <cellStyle name="Normal 5 4 3 2 4 3 2" xfId="31373" xr:uid="{6C684B21-4AB4-49F7-BD1C-1A82E6E584A8}"/>
    <cellStyle name="Normal 5 4 3 2 4 3 3" xfId="22944" xr:uid="{90967C1C-E865-4A1C-A447-CE3608E20975}"/>
    <cellStyle name="Normal 5 4 3 2 4 3 4" xfId="39801" xr:uid="{0E63ADD1-5C27-486A-A815-952480B4C2A9}"/>
    <cellStyle name="Normal 5 4 3 2 4 3 5" xfId="14509" xr:uid="{667DD574-E328-4725-B94E-19E14D782948}"/>
    <cellStyle name="Normal 5 4 3 2 4 4" xfId="27155" xr:uid="{7C118A5D-CC3C-47E9-93EE-DEF579499505}"/>
    <cellStyle name="Normal 5 4 3 2 4 5" xfId="18726" xr:uid="{355C3D55-1D1F-4F4D-AF6F-22F09C02F3EA}"/>
    <cellStyle name="Normal 5 4 3 2 4 6" xfId="35584" xr:uid="{7A5A34C8-7E8D-4497-8FED-3CB81D373F7F}"/>
    <cellStyle name="Normal 5 4 3 2 4 7" xfId="10291" xr:uid="{C66FD88F-A398-42A2-A03C-868BC922EED8}"/>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33931" xr:uid="{2D6C3B33-BC8F-4F43-946E-DD02F5B179CF}"/>
    <cellStyle name="Normal 5 4 3 2 5 2 2 3" xfId="25502" xr:uid="{570069CE-A1CD-45E7-A7F0-916BCDB4CE03}"/>
    <cellStyle name="Normal 5 4 3 2 5 2 2 4" xfId="42359" xr:uid="{C4C11781-9E97-4978-86DA-32ED18C0341A}"/>
    <cellStyle name="Normal 5 4 3 2 5 2 2 5" xfId="17067" xr:uid="{294343EC-93C8-40AA-8635-CE06DE188842}"/>
    <cellStyle name="Normal 5 4 3 2 5 2 3" xfId="29713" xr:uid="{D407D59A-E6E2-4873-A4ED-9752190AF0CC}"/>
    <cellStyle name="Normal 5 4 3 2 5 2 4" xfId="21284" xr:uid="{3AB734A7-8A97-433D-86C5-C2B792AFB034}"/>
    <cellStyle name="Normal 5 4 3 2 5 2 5" xfId="38142" xr:uid="{D8FC2E6B-D9DB-42AD-93B4-FEA87390043D}"/>
    <cellStyle name="Normal 5 4 3 2 5 2 6" xfId="12849" xr:uid="{D3879C52-0258-43B9-970E-D98BCA3E4417}"/>
    <cellStyle name="Normal 5 4 3 2 5 3" xfId="6487" xr:uid="{00000000-0005-0000-0000-00000F1B0000}"/>
    <cellStyle name="Normal 5 4 3 2 5 3 2" xfId="31786" xr:uid="{C56DF755-13CC-4998-BEFF-D2455D5B362F}"/>
    <cellStyle name="Normal 5 4 3 2 5 3 3" xfId="23357" xr:uid="{636D4A78-0666-4F01-A7FB-EF46A7BA2A8A}"/>
    <cellStyle name="Normal 5 4 3 2 5 3 4" xfId="40214" xr:uid="{243E6667-1518-406B-8196-1A30910D540D}"/>
    <cellStyle name="Normal 5 4 3 2 5 3 5" xfId="14922" xr:uid="{C1AA1F6D-6D29-40F7-8645-F040C1D73F85}"/>
    <cellStyle name="Normal 5 4 3 2 5 4" xfId="27568" xr:uid="{FCC70732-6B28-40FA-B33C-516156BE7726}"/>
    <cellStyle name="Normal 5 4 3 2 5 5" xfId="19139" xr:uid="{430712A7-A962-46CD-A367-9A58DA4D2C15}"/>
    <cellStyle name="Normal 5 4 3 2 5 6" xfId="35997" xr:uid="{9C004DA4-74F3-49A7-BCA3-323618D96978}"/>
    <cellStyle name="Normal 5 4 3 2 5 7" xfId="10704" xr:uid="{8EF61498-664E-4546-B906-FD7B471AD840}"/>
    <cellStyle name="Normal 5 4 3 2 6" xfId="2616" xr:uid="{00000000-0005-0000-0000-0000101B0000}"/>
    <cellStyle name="Normal 5 4 3 2 6 2" xfId="6900" xr:uid="{00000000-0005-0000-0000-0000111B0000}"/>
    <cellStyle name="Normal 5 4 3 2 6 2 2" xfId="32199" xr:uid="{8767D0FB-0313-42ED-8435-CAEA24F9F433}"/>
    <cellStyle name="Normal 5 4 3 2 6 2 3" xfId="23770" xr:uid="{462AA564-5A5A-49D2-AF99-3619B0D0D31D}"/>
    <cellStyle name="Normal 5 4 3 2 6 2 4" xfId="40627" xr:uid="{4DB3FD0E-C4FF-4B1B-96A1-A856AE761AEA}"/>
    <cellStyle name="Normal 5 4 3 2 6 2 5" xfId="15335" xr:uid="{2A190CB7-0000-4D1F-9AF1-FD90F69BBA36}"/>
    <cellStyle name="Normal 5 4 3 2 6 3" xfId="27981" xr:uid="{CCFA7B21-72AA-4CC9-B534-7E64BE20D45A}"/>
    <cellStyle name="Normal 5 4 3 2 6 4" xfId="19552" xr:uid="{183BFEF2-B289-4CC9-ACCD-B9520D676F62}"/>
    <cellStyle name="Normal 5 4 3 2 6 5" xfId="36410" xr:uid="{886052F5-BECD-4159-BD70-C90B3CCC2E91}"/>
    <cellStyle name="Normal 5 4 3 2 6 6" xfId="11117" xr:uid="{8C937669-C384-4D9F-8B33-8939A0076A3C}"/>
    <cellStyle name="Normal 5 4 3 2 7" xfId="4835" xr:uid="{00000000-0005-0000-0000-0000121B0000}"/>
    <cellStyle name="Normal 5 4 3 2 7 2" xfId="30134" xr:uid="{97383EF3-41AD-4AFC-9827-D7A1C0AF5C72}"/>
    <cellStyle name="Normal 5 4 3 2 7 3" xfId="21705" xr:uid="{713AE7EE-D412-4904-9EC2-9FDAD1D450FB}"/>
    <cellStyle name="Normal 5 4 3 2 7 4" xfId="38562" xr:uid="{13223D7C-0AE7-4B50-9E53-F77BC473E9B0}"/>
    <cellStyle name="Normal 5 4 3 2 7 5" xfId="13270" xr:uid="{958078E9-3E5C-4E1C-A8F9-DF2521432871}"/>
    <cellStyle name="Normal 5 4 3 2 8" xfId="25916" xr:uid="{B0CF7AB6-6943-4287-A773-8B6F12CC3D52}"/>
    <cellStyle name="Normal 5 4 3 2 9" xfId="17487" xr:uid="{C849A3C8-2B6D-4191-B2C5-F71BD28015C9}"/>
    <cellStyle name="Normal 5 4 3 3" xfId="935" xr:uid="{00000000-0005-0000-0000-0000131B0000}"/>
    <cellStyle name="Normal 5 4 3 3 2" xfId="3169" xr:uid="{00000000-0005-0000-0000-0000141B0000}"/>
    <cellStyle name="Normal 5 4 3 3 2 2" xfId="7392" xr:uid="{00000000-0005-0000-0000-0000151B0000}"/>
    <cellStyle name="Normal 5 4 3 3 2 2 2" xfId="32691" xr:uid="{7D3EB977-3085-4269-A0B4-F32D8D988E38}"/>
    <cellStyle name="Normal 5 4 3 3 2 2 3" xfId="24262" xr:uid="{49D7663F-52BB-45B9-A537-7BC3B4FF1A46}"/>
    <cellStyle name="Normal 5 4 3 3 2 2 4" xfId="41119" xr:uid="{39B3F236-68DA-4F96-B497-8736ACC87CF8}"/>
    <cellStyle name="Normal 5 4 3 3 2 2 5" xfId="15827" xr:uid="{FA843981-0C36-4BDD-B6AE-5AC4B6CB75E7}"/>
    <cellStyle name="Normal 5 4 3 3 2 3" xfId="28473" xr:uid="{F84E04F0-C8A6-48CC-AE34-6BA6F8F3B18C}"/>
    <cellStyle name="Normal 5 4 3 3 2 4" xfId="20044" xr:uid="{1C3CE34E-E489-425D-ADA3-3364A1887AF7}"/>
    <cellStyle name="Normal 5 4 3 3 2 5" xfId="36902" xr:uid="{E443B571-294B-4C60-9410-466AFEF8FD62}"/>
    <cellStyle name="Normal 5 4 3 3 2 6" xfId="11609" xr:uid="{2AF7D78C-E6E8-492E-8F52-88FFB1003423}"/>
    <cellStyle name="Normal 5 4 3 3 3" xfId="5247" xr:uid="{00000000-0005-0000-0000-0000161B0000}"/>
    <cellStyle name="Normal 5 4 3 3 3 2" xfId="30546" xr:uid="{57C9FA65-7D5B-426C-BF99-88CE00A93857}"/>
    <cellStyle name="Normal 5 4 3 3 3 3" xfId="22117" xr:uid="{7D45770F-53B8-4430-9D16-C68635C0FD12}"/>
    <cellStyle name="Normal 5 4 3 3 3 4" xfId="38974" xr:uid="{CEA8EFEF-D13A-4BFF-94F6-F8AE2601CB08}"/>
    <cellStyle name="Normal 5 4 3 3 3 5" xfId="13682" xr:uid="{04395A88-99E9-4229-A80C-1BC91D90D693}"/>
    <cellStyle name="Normal 5 4 3 3 4" xfId="26328" xr:uid="{CC751350-50A9-4D14-9DA9-44E4ED061B4E}"/>
    <cellStyle name="Normal 5 4 3 3 5" xfId="17899" xr:uid="{0917BE6C-D44D-4FFC-9F1E-8F91203BF829}"/>
    <cellStyle name="Normal 5 4 3 3 6" xfId="34757" xr:uid="{BE893479-FF6E-4583-99C9-083853FAB39B}"/>
    <cellStyle name="Normal 5 4 3 3 7" xfId="9464" xr:uid="{850819C6-92FD-4945-AEA3-63DF53E2E403}"/>
    <cellStyle name="Normal 5 4 3 4" xfId="1352" xr:uid="{00000000-0005-0000-0000-0000171B0000}"/>
    <cellStyle name="Normal 5 4 3 4 2" xfId="3582" xr:uid="{00000000-0005-0000-0000-0000181B0000}"/>
    <cellStyle name="Normal 5 4 3 4 2 2" xfId="7805" xr:uid="{00000000-0005-0000-0000-0000191B0000}"/>
    <cellStyle name="Normal 5 4 3 4 2 2 2" xfId="33104" xr:uid="{51EEE9B1-C722-45D2-AD87-EB1A655A8EDE}"/>
    <cellStyle name="Normal 5 4 3 4 2 2 3" xfId="24675" xr:uid="{DE11157E-E580-42A6-9291-320BF5568214}"/>
    <cellStyle name="Normal 5 4 3 4 2 2 4" xfId="41532" xr:uid="{77B89B03-6835-49EE-BE42-E4984E17FC40}"/>
    <cellStyle name="Normal 5 4 3 4 2 2 5" xfId="16240" xr:uid="{D9C09CC0-9B87-4E8F-8129-99D203C79FDA}"/>
    <cellStyle name="Normal 5 4 3 4 2 3" xfId="28886" xr:uid="{37AEA301-6BE0-4349-A44F-DB48A71EA3AF}"/>
    <cellStyle name="Normal 5 4 3 4 2 4" xfId="20457" xr:uid="{A6A0151C-9051-4E08-92D1-B7AB37BD4ECF}"/>
    <cellStyle name="Normal 5 4 3 4 2 5" xfId="37315" xr:uid="{834EA762-CAF4-4CA5-B210-1FADFCC075D5}"/>
    <cellStyle name="Normal 5 4 3 4 2 6" xfId="12022" xr:uid="{006A7884-6777-4228-BE11-BA81AD550E29}"/>
    <cellStyle name="Normal 5 4 3 4 3" xfId="5660" xr:uid="{00000000-0005-0000-0000-00001A1B0000}"/>
    <cellStyle name="Normal 5 4 3 4 3 2" xfId="30959" xr:uid="{CC3E025E-0B78-4857-9034-5F85C692851B}"/>
    <cellStyle name="Normal 5 4 3 4 3 3" xfId="22530" xr:uid="{6A0D3228-63CD-48C2-8989-F5C1B223BC37}"/>
    <cellStyle name="Normal 5 4 3 4 3 4" xfId="39387" xr:uid="{087DD384-C36D-4D7A-A818-8723C78C04F9}"/>
    <cellStyle name="Normal 5 4 3 4 3 5" xfId="14095" xr:uid="{45C813F4-AF2F-4DE1-910F-6F18BD7F1D06}"/>
    <cellStyle name="Normal 5 4 3 4 4" xfId="26741" xr:uid="{C00D70BA-D31B-468A-BA9E-6035E88293F3}"/>
    <cellStyle name="Normal 5 4 3 4 5" xfId="18312" xr:uid="{2148ADBB-7579-48B4-AE0E-F94E91DC7034}"/>
    <cellStyle name="Normal 5 4 3 4 6" xfId="35170" xr:uid="{5B549138-0654-478F-897B-71587C1BC802}"/>
    <cellStyle name="Normal 5 4 3 4 7" xfId="9877" xr:uid="{DB191687-3458-40C0-AE74-E1949B80D197}"/>
    <cellStyle name="Normal 5 4 3 5" xfId="1765" xr:uid="{00000000-0005-0000-0000-00001B1B0000}"/>
    <cellStyle name="Normal 5 4 3 5 2" xfId="3995" xr:uid="{00000000-0005-0000-0000-00001C1B0000}"/>
    <cellStyle name="Normal 5 4 3 5 2 2" xfId="8218" xr:uid="{00000000-0005-0000-0000-00001D1B0000}"/>
    <cellStyle name="Normal 5 4 3 5 2 2 2" xfId="33517" xr:uid="{3E217E7B-AE77-47C7-9089-FCE1CDC21F47}"/>
    <cellStyle name="Normal 5 4 3 5 2 2 3" xfId="25088" xr:uid="{D4852FA5-4C88-4421-AA06-C73A270CBB53}"/>
    <cellStyle name="Normal 5 4 3 5 2 2 4" xfId="41945" xr:uid="{D440F511-6DA8-460F-88A3-98626565E6D1}"/>
    <cellStyle name="Normal 5 4 3 5 2 2 5" xfId="16653" xr:uid="{E944E9AD-1629-4DFE-905A-FECDE0146B33}"/>
    <cellStyle name="Normal 5 4 3 5 2 3" xfId="29299" xr:uid="{CDCF2E54-8B3F-44CD-BE50-9D74378E1FEA}"/>
    <cellStyle name="Normal 5 4 3 5 2 4" xfId="20870" xr:uid="{0297D050-82F2-4D96-B999-AAF03675F2E6}"/>
    <cellStyle name="Normal 5 4 3 5 2 5" xfId="37728" xr:uid="{AFD3AB2B-075E-4CAB-B9BD-C7CEF47699ED}"/>
    <cellStyle name="Normal 5 4 3 5 2 6" xfId="12435" xr:uid="{6DC7AB7F-9E52-4168-8FBD-EDB82C459996}"/>
    <cellStyle name="Normal 5 4 3 5 3" xfId="6073" xr:uid="{00000000-0005-0000-0000-00001E1B0000}"/>
    <cellStyle name="Normal 5 4 3 5 3 2" xfId="31372" xr:uid="{8528690D-8CBF-4B44-8600-E6EDC041F340}"/>
    <cellStyle name="Normal 5 4 3 5 3 3" xfId="22943" xr:uid="{8BCE37D1-D7EA-4794-BD64-FF7B5B6700D4}"/>
    <cellStyle name="Normal 5 4 3 5 3 4" xfId="39800" xr:uid="{954899E8-7FDD-46A0-B9FA-56E000D8E736}"/>
    <cellStyle name="Normal 5 4 3 5 3 5" xfId="14508" xr:uid="{62F43B82-A1D6-453A-B0F9-6C1304B0C5AE}"/>
    <cellStyle name="Normal 5 4 3 5 4" xfId="27154" xr:uid="{CB912B6E-E58B-4AF0-BDAF-C946DF053B05}"/>
    <cellStyle name="Normal 5 4 3 5 5" xfId="18725" xr:uid="{A0411AA0-9715-4BE9-A7BF-E1B1CE9F7481}"/>
    <cellStyle name="Normal 5 4 3 5 6" xfId="35583" xr:uid="{B69914D9-01EB-458C-8619-A5BCFC9E505E}"/>
    <cellStyle name="Normal 5 4 3 5 7" xfId="10290" xr:uid="{4BA16F46-6A45-40A2-9018-DAB92C36D349}"/>
    <cellStyle name="Normal 5 4 3 6" xfId="2179" xr:uid="{00000000-0005-0000-0000-00001F1B0000}"/>
    <cellStyle name="Normal 5 4 3 6 2" xfId="4408" xr:uid="{00000000-0005-0000-0000-0000201B0000}"/>
    <cellStyle name="Normal 5 4 3 6 2 2" xfId="8631" xr:uid="{00000000-0005-0000-0000-0000211B0000}"/>
    <cellStyle name="Normal 5 4 3 6 2 2 2" xfId="33930" xr:uid="{FB5AED88-B4EE-4ACF-AFD6-14C1F156BE6F}"/>
    <cellStyle name="Normal 5 4 3 6 2 2 3" xfId="25501" xr:uid="{6FD9F59D-DF04-4C2E-BCA9-637C6B805924}"/>
    <cellStyle name="Normal 5 4 3 6 2 2 4" xfId="42358" xr:uid="{ED568F5E-0B44-44D4-88BB-08C87ABE5BEE}"/>
    <cellStyle name="Normal 5 4 3 6 2 2 5" xfId="17066" xr:uid="{65B5F3CA-9466-4840-8E31-C211EA8D9E16}"/>
    <cellStyle name="Normal 5 4 3 6 2 3" xfId="29712" xr:uid="{8E8C9FE6-6014-4EAF-8A6D-3B82CFDE35FA}"/>
    <cellStyle name="Normal 5 4 3 6 2 4" xfId="21283" xr:uid="{96E8080F-5768-4FDD-946A-29A419E9E4D1}"/>
    <cellStyle name="Normal 5 4 3 6 2 5" xfId="38141" xr:uid="{4F61E7F4-5A38-4CE3-8086-C549023E4946}"/>
    <cellStyle name="Normal 5 4 3 6 2 6" xfId="12848" xr:uid="{19D7D6EE-2085-45E5-8B7B-C49124FCDB0B}"/>
    <cellStyle name="Normal 5 4 3 6 3" xfId="6486" xr:uid="{00000000-0005-0000-0000-0000221B0000}"/>
    <cellStyle name="Normal 5 4 3 6 3 2" xfId="31785" xr:uid="{C0C76D2E-25FC-4D68-AE1D-979349D12F43}"/>
    <cellStyle name="Normal 5 4 3 6 3 3" xfId="23356" xr:uid="{889F0AE0-F222-48B2-BE63-23570B536C5D}"/>
    <cellStyle name="Normal 5 4 3 6 3 4" xfId="40213" xr:uid="{41653250-5EFC-413D-AC12-C343342CA8D2}"/>
    <cellStyle name="Normal 5 4 3 6 3 5" xfId="14921" xr:uid="{C8E5FD57-DEBB-42A2-883F-FD2283816B2B}"/>
    <cellStyle name="Normal 5 4 3 6 4" xfId="27567" xr:uid="{7E3316E4-D621-4D50-AB5B-5A266C234B4E}"/>
    <cellStyle name="Normal 5 4 3 6 5" xfId="19138" xr:uid="{53EDBF7F-95B7-4577-BCDF-41F1DF0EFF51}"/>
    <cellStyle name="Normal 5 4 3 6 6" xfId="35996" xr:uid="{AC0593FC-C72C-49B5-BFB1-6B16729CA459}"/>
    <cellStyle name="Normal 5 4 3 6 7" xfId="10703" xr:uid="{99AACAE6-6C23-4F73-A037-58D09BFD0294}"/>
    <cellStyle name="Normal 5 4 3 7" xfId="2615" xr:uid="{00000000-0005-0000-0000-0000231B0000}"/>
    <cellStyle name="Normal 5 4 3 7 2" xfId="6899" xr:uid="{00000000-0005-0000-0000-0000241B0000}"/>
    <cellStyle name="Normal 5 4 3 7 2 2" xfId="32198" xr:uid="{9264C612-9517-4836-90F7-628C675CB3AC}"/>
    <cellStyle name="Normal 5 4 3 7 2 3" xfId="23769" xr:uid="{F6E488D1-4F4F-4E41-BC71-CB373E7DF1AE}"/>
    <cellStyle name="Normal 5 4 3 7 2 4" xfId="40626" xr:uid="{1E64E03C-404B-415A-B009-275B19B91B1D}"/>
    <cellStyle name="Normal 5 4 3 7 2 5" xfId="15334" xr:uid="{7AEFAE8C-4AC5-4FE2-AA9A-77E07DC0D1FD}"/>
    <cellStyle name="Normal 5 4 3 7 3" xfId="27980" xr:uid="{432F3557-F086-4CEC-ACC2-1A63FB4AAB6E}"/>
    <cellStyle name="Normal 5 4 3 7 4" xfId="19551" xr:uid="{0DE406F9-D1C1-4676-8D9F-64D09F18B519}"/>
    <cellStyle name="Normal 5 4 3 7 5" xfId="36409" xr:uid="{FA567D23-E338-4E33-B1DE-1EC153DEC210}"/>
    <cellStyle name="Normal 5 4 3 7 6" xfId="11116" xr:uid="{3B531666-9244-4B00-BBF9-54E3609A09A6}"/>
    <cellStyle name="Normal 5 4 3 8" xfId="4834" xr:uid="{00000000-0005-0000-0000-0000251B0000}"/>
    <cellStyle name="Normal 5 4 3 8 2" xfId="30133" xr:uid="{C4C1CFEA-4595-4B33-AB61-F56993CCDCA5}"/>
    <cellStyle name="Normal 5 4 3 8 3" xfId="21704" xr:uid="{F84E433C-66D5-46DE-BEC9-06033C3085A6}"/>
    <cellStyle name="Normal 5 4 3 8 4" xfId="38561" xr:uid="{8619E985-196C-41AD-9186-CF1128527CBC}"/>
    <cellStyle name="Normal 5 4 3 8 5" xfId="13269" xr:uid="{34AF7012-CB48-436A-A1FE-622D1F28B2D7}"/>
    <cellStyle name="Normal 5 4 3 9" xfId="25915" xr:uid="{4C070FB0-2407-41CE-AA6B-7C6AC6EEC109}"/>
    <cellStyle name="Normal 5 4 4" xfId="463" xr:uid="{00000000-0005-0000-0000-0000261B0000}"/>
    <cellStyle name="Normal 5 4 4 10" xfId="34346" xr:uid="{6DE9ED8D-5790-4CB6-ADC8-2E92BAC1A251}"/>
    <cellStyle name="Normal 5 4 4 11" xfId="9053" xr:uid="{CB2D7E4F-471E-4AE0-9C59-B236C78D9E4F}"/>
    <cellStyle name="Normal 5 4 4 2" xfId="937" xr:uid="{00000000-0005-0000-0000-0000271B0000}"/>
    <cellStyle name="Normal 5 4 4 2 2" xfId="3171" xr:uid="{00000000-0005-0000-0000-0000281B0000}"/>
    <cellStyle name="Normal 5 4 4 2 2 2" xfId="7394" xr:uid="{00000000-0005-0000-0000-0000291B0000}"/>
    <cellStyle name="Normal 5 4 4 2 2 2 2" xfId="32693" xr:uid="{3362207C-1FDA-4308-BC02-AD99E0267E5E}"/>
    <cellStyle name="Normal 5 4 4 2 2 2 3" xfId="24264" xr:uid="{4CA3E41B-9A10-4096-9F3A-DC2811C02374}"/>
    <cellStyle name="Normal 5 4 4 2 2 2 4" xfId="41121" xr:uid="{9AFB864F-C680-4089-BC5F-ECC12A62AA06}"/>
    <cellStyle name="Normal 5 4 4 2 2 2 5" xfId="15829" xr:uid="{D4190173-2E74-4ED3-BDF8-CF0938E16798}"/>
    <cellStyle name="Normal 5 4 4 2 2 3" xfId="28475" xr:uid="{B16F104B-FFD9-489A-AE03-BDB065798443}"/>
    <cellStyle name="Normal 5 4 4 2 2 4" xfId="20046" xr:uid="{E159B4E4-3E13-41E7-AB47-C9E07B2FC3B0}"/>
    <cellStyle name="Normal 5 4 4 2 2 5" xfId="36904" xr:uid="{FFA0F5A4-8F33-4020-9044-055BA1C0CC7D}"/>
    <cellStyle name="Normal 5 4 4 2 2 6" xfId="11611" xr:uid="{24CD429D-A31A-4840-99B4-A082C798D247}"/>
    <cellStyle name="Normal 5 4 4 2 3" xfId="5249" xr:uid="{00000000-0005-0000-0000-00002A1B0000}"/>
    <cellStyle name="Normal 5 4 4 2 3 2" xfId="30548" xr:uid="{CD485850-5C43-431D-A44A-7FA3A22C03B5}"/>
    <cellStyle name="Normal 5 4 4 2 3 3" xfId="22119" xr:uid="{C504AAE3-60CE-441B-8A01-D2DC6605313F}"/>
    <cellStyle name="Normal 5 4 4 2 3 4" xfId="38976" xr:uid="{14251E24-9AF6-4D36-82DE-A19162972E0A}"/>
    <cellStyle name="Normal 5 4 4 2 3 5" xfId="13684" xr:uid="{BABE07C8-5C67-4461-A97E-E4708B5FD7E4}"/>
    <cellStyle name="Normal 5 4 4 2 4" xfId="26330" xr:uid="{41299242-4D7B-4BD9-B7F9-C73F8D4262D2}"/>
    <cellStyle name="Normal 5 4 4 2 5" xfId="17901" xr:uid="{ED11F128-5381-4AD7-BD92-57FE8766B11E}"/>
    <cellStyle name="Normal 5 4 4 2 6" xfId="34759" xr:uid="{96D70BC4-235A-4EE4-B5EB-ACFC8B8EE2F9}"/>
    <cellStyle name="Normal 5 4 4 2 7" xfId="9466" xr:uid="{2E7547CA-0BB7-4B40-B3D3-1C0530762340}"/>
    <cellStyle name="Normal 5 4 4 3" xfId="1354" xr:uid="{00000000-0005-0000-0000-00002B1B0000}"/>
    <cellStyle name="Normal 5 4 4 3 2" xfId="3584" xr:uid="{00000000-0005-0000-0000-00002C1B0000}"/>
    <cellStyle name="Normal 5 4 4 3 2 2" xfId="7807" xr:uid="{00000000-0005-0000-0000-00002D1B0000}"/>
    <cellStyle name="Normal 5 4 4 3 2 2 2" xfId="33106" xr:uid="{B02C909D-6251-4F9D-8850-93AE255F37C7}"/>
    <cellStyle name="Normal 5 4 4 3 2 2 3" xfId="24677" xr:uid="{B8530CEB-C475-4803-A6DD-500B173C2284}"/>
    <cellStyle name="Normal 5 4 4 3 2 2 4" xfId="41534" xr:uid="{60B5BE76-DD5B-47D2-9550-392DC6C295A7}"/>
    <cellStyle name="Normal 5 4 4 3 2 2 5" xfId="16242" xr:uid="{760D78CC-5858-437A-B04B-36D0486C988E}"/>
    <cellStyle name="Normal 5 4 4 3 2 3" xfId="28888" xr:uid="{E47121BC-FD65-42D0-ABE1-BC091F9502BB}"/>
    <cellStyle name="Normal 5 4 4 3 2 4" xfId="20459" xr:uid="{3550985F-B00E-48F3-BCA2-5F5F175B53F5}"/>
    <cellStyle name="Normal 5 4 4 3 2 5" xfId="37317" xr:uid="{1C49D265-B52C-4DEB-AAB1-31BD5039BEB1}"/>
    <cellStyle name="Normal 5 4 4 3 2 6" xfId="12024" xr:uid="{FBF70870-E99C-4F7D-B106-743635AE4CEF}"/>
    <cellStyle name="Normal 5 4 4 3 3" xfId="5662" xr:uid="{00000000-0005-0000-0000-00002E1B0000}"/>
    <cellStyle name="Normal 5 4 4 3 3 2" xfId="30961" xr:uid="{C1C95561-9961-460E-B3B0-D7C5E2476117}"/>
    <cellStyle name="Normal 5 4 4 3 3 3" xfId="22532" xr:uid="{D592D8B4-272D-4600-AD18-A93B3BE308A1}"/>
    <cellStyle name="Normal 5 4 4 3 3 4" xfId="39389" xr:uid="{8D5D3850-45B2-4006-994C-BF1446467D4D}"/>
    <cellStyle name="Normal 5 4 4 3 3 5" xfId="14097" xr:uid="{EB5C57E7-940C-48F3-B947-D55A4C271E16}"/>
    <cellStyle name="Normal 5 4 4 3 4" xfId="26743" xr:uid="{965A4260-738C-4C40-BB8D-02E8E0510E83}"/>
    <cellStyle name="Normal 5 4 4 3 5" xfId="18314" xr:uid="{1A4DE711-B998-4D3F-A68F-13E4897CF19C}"/>
    <cellStyle name="Normal 5 4 4 3 6" xfId="35172" xr:uid="{20781521-5E29-4438-A157-DE6C99E8DB98}"/>
    <cellStyle name="Normal 5 4 4 3 7" xfId="9879" xr:uid="{4DCF57B3-7875-4881-9B00-BC589C5AA885}"/>
    <cellStyle name="Normal 5 4 4 4" xfId="1767" xr:uid="{00000000-0005-0000-0000-00002F1B0000}"/>
    <cellStyle name="Normal 5 4 4 4 2" xfId="3997" xr:uid="{00000000-0005-0000-0000-0000301B0000}"/>
    <cellStyle name="Normal 5 4 4 4 2 2" xfId="8220" xr:uid="{00000000-0005-0000-0000-0000311B0000}"/>
    <cellStyle name="Normal 5 4 4 4 2 2 2" xfId="33519" xr:uid="{417FF1CD-9A7B-4652-B3AD-3750070879EF}"/>
    <cellStyle name="Normal 5 4 4 4 2 2 3" xfId="25090" xr:uid="{D907F0D6-3896-4798-B0A0-5D6E8B80AA3F}"/>
    <cellStyle name="Normal 5 4 4 4 2 2 4" xfId="41947" xr:uid="{C3C5E0C3-16AD-4183-8943-C134C99DEB31}"/>
    <cellStyle name="Normal 5 4 4 4 2 2 5" xfId="16655" xr:uid="{C5E86FA9-B5A5-440A-B6DE-3DF704C6E9A5}"/>
    <cellStyle name="Normal 5 4 4 4 2 3" xfId="29301" xr:uid="{6B7D713D-7279-4C98-9CE3-ABF7C97AEAD2}"/>
    <cellStyle name="Normal 5 4 4 4 2 4" xfId="20872" xr:uid="{3E17DBA0-F934-47AD-A75F-D85233F4D05E}"/>
    <cellStyle name="Normal 5 4 4 4 2 5" xfId="37730" xr:uid="{3648AC5F-2773-4CC5-90C9-4CCA9C38FADA}"/>
    <cellStyle name="Normal 5 4 4 4 2 6" xfId="12437" xr:uid="{ECE317C4-962F-49D6-B9A4-B4AC4DD46BD8}"/>
    <cellStyle name="Normal 5 4 4 4 3" xfId="6075" xr:uid="{00000000-0005-0000-0000-0000321B0000}"/>
    <cellStyle name="Normal 5 4 4 4 3 2" xfId="31374" xr:uid="{57E9A2FD-F132-48A4-8680-1FBE75D70A59}"/>
    <cellStyle name="Normal 5 4 4 4 3 3" xfId="22945" xr:uid="{A796DE68-6A45-4443-A452-83A19992E457}"/>
    <cellStyle name="Normal 5 4 4 4 3 4" xfId="39802" xr:uid="{8D215168-BC09-4921-ADAF-246D1FD77FB3}"/>
    <cellStyle name="Normal 5 4 4 4 3 5" xfId="14510" xr:uid="{7F8F0AF5-2542-434B-AFF2-28D22A823C51}"/>
    <cellStyle name="Normal 5 4 4 4 4" xfId="27156" xr:uid="{3EBA7769-C7BC-4245-89B9-C197DDF3AA19}"/>
    <cellStyle name="Normal 5 4 4 4 5" xfId="18727" xr:uid="{1EEA7ACD-3626-4926-A64E-611A092BC1AE}"/>
    <cellStyle name="Normal 5 4 4 4 6" xfId="35585" xr:uid="{46D78F79-8F7E-41D6-84C8-918139160DB0}"/>
    <cellStyle name="Normal 5 4 4 4 7" xfId="10292" xr:uid="{933CE896-A703-496E-9ECB-40705BBDDBEB}"/>
    <cellStyle name="Normal 5 4 4 5" xfId="2181" xr:uid="{00000000-0005-0000-0000-0000331B0000}"/>
    <cellStyle name="Normal 5 4 4 5 2" xfId="4410" xr:uid="{00000000-0005-0000-0000-0000341B0000}"/>
    <cellStyle name="Normal 5 4 4 5 2 2" xfId="8633" xr:uid="{00000000-0005-0000-0000-0000351B0000}"/>
    <cellStyle name="Normal 5 4 4 5 2 2 2" xfId="33932" xr:uid="{C200809B-B1C2-4523-9B7A-DA00AF5417D5}"/>
    <cellStyle name="Normal 5 4 4 5 2 2 3" xfId="25503" xr:uid="{38A40B8E-E220-4ED4-838B-D809179EF073}"/>
    <cellStyle name="Normal 5 4 4 5 2 2 4" xfId="42360" xr:uid="{AACC5692-6435-4C54-86AE-64CB94B42052}"/>
    <cellStyle name="Normal 5 4 4 5 2 2 5" xfId="17068" xr:uid="{A73E9E96-CAAF-4429-B749-4CE7B3D03D11}"/>
    <cellStyle name="Normal 5 4 4 5 2 3" xfId="29714" xr:uid="{4F74BF4F-FAE2-4A36-87D4-1BD92C01E714}"/>
    <cellStyle name="Normal 5 4 4 5 2 4" xfId="21285" xr:uid="{48B6C899-4822-4E17-A2AE-CD054194DEC5}"/>
    <cellStyle name="Normal 5 4 4 5 2 5" xfId="38143" xr:uid="{C85AF516-DC00-4A7A-B3DE-717A9488EA38}"/>
    <cellStyle name="Normal 5 4 4 5 2 6" xfId="12850" xr:uid="{9F481B5C-0FEF-4EE0-84BA-91ADAE588B5B}"/>
    <cellStyle name="Normal 5 4 4 5 3" xfId="6488" xr:uid="{00000000-0005-0000-0000-0000361B0000}"/>
    <cellStyle name="Normal 5 4 4 5 3 2" xfId="31787" xr:uid="{BF461126-020B-473F-B543-1C51B1900D5F}"/>
    <cellStyle name="Normal 5 4 4 5 3 3" xfId="23358" xr:uid="{44B73706-2FCC-42F9-9382-68ADCC958EF1}"/>
    <cellStyle name="Normal 5 4 4 5 3 4" xfId="40215" xr:uid="{79F63476-25CD-4792-893D-6AE353489458}"/>
    <cellStyle name="Normal 5 4 4 5 3 5" xfId="14923" xr:uid="{25953947-6DB1-4E2A-939A-5519160146FD}"/>
    <cellStyle name="Normal 5 4 4 5 4" xfId="27569" xr:uid="{1BF12FDE-7624-402B-BAC8-BEE27B00889C}"/>
    <cellStyle name="Normal 5 4 4 5 5" xfId="19140" xr:uid="{FDCDA6A0-0553-427F-A87F-4D8E3EB6A8A2}"/>
    <cellStyle name="Normal 5 4 4 5 6" xfId="35998" xr:uid="{DDB8676E-D448-4BA4-93C3-A2E63B427A1C}"/>
    <cellStyle name="Normal 5 4 4 5 7" xfId="10705" xr:uid="{A42A8440-EC2C-4F18-AE67-17353792BA2C}"/>
    <cellStyle name="Normal 5 4 4 6" xfId="2617" xr:uid="{00000000-0005-0000-0000-0000371B0000}"/>
    <cellStyle name="Normal 5 4 4 6 2" xfId="6901" xr:uid="{00000000-0005-0000-0000-0000381B0000}"/>
    <cellStyle name="Normal 5 4 4 6 2 2" xfId="32200" xr:uid="{6256DECD-3F81-45A3-8C58-66BDC87CF609}"/>
    <cellStyle name="Normal 5 4 4 6 2 3" xfId="23771" xr:uid="{C792093F-79B7-478C-A913-A71BE5599FBD}"/>
    <cellStyle name="Normal 5 4 4 6 2 4" xfId="40628" xr:uid="{A483D801-B822-40F7-B7E7-8FEACF4F7945}"/>
    <cellStyle name="Normal 5 4 4 6 2 5" xfId="15336" xr:uid="{EFE594BE-0C06-401A-ACF9-8C7EF0A07E05}"/>
    <cellStyle name="Normal 5 4 4 6 3" xfId="27982" xr:uid="{EBE45FF9-C3AC-4078-9F6E-4B8E8C96049D}"/>
    <cellStyle name="Normal 5 4 4 6 4" xfId="19553" xr:uid="{F85C9737-B334-49B6-A997-3BEFA2585177}"/>
    <cellStyle name="Normal 5 4 4 6 5" xfId="36411" xr:uid="{BB19B493-7DA0-4A70-B23D-456E99E9D21A}"/>
    <cellStyle name="Normal 5 4 4 6 6" xfId="11118" xr:uid="{E780D7BD-53A9-470D-BA3D-9B188AF9BDF3}"/>
    <cellStyle name="Normal 5 4 4 7" xfId="4836" xr:uid="{00000000-0005-0000-0000-0000391B0000}"/>
    <cellStyle name="Normal 5 4 4 7 2" xfId="30135" xr:uid="{65DE7C21-CAF7-4DA0-AB57-13585BFF647E}"/>
    <cellStyle name="Normal 5 4 4 7 3" xfId="21706" xr:uid="{79C9A2EF-C387-4D16-A529-36D19A68721B}"/>
    <cellStyle name="Normal 5 4 4 7 4" xfId="38563" xr:uid="{AE39FC74-595E-4CF7-A182-B459C2609399}"/>
    <cellStyle name="Normal 5 4 4 7 5" xfId="13271" xr:uid="{26ED937D-0399-4F71-B2FC-57DECCF98F36}"/>
    <cellStyle name="Normal 5 4 4 8" xfId="25917" xr:uid="{199CC05D-688C-494F-8C84-FEB20D1D82D5}"/>
    <cellStyle name="Normal 5 4 4 9" xfId="17488" xr:uid="{58B92CA7-2412-4CDA-BA2A-58AD0076ED4B}"/>
    <cellStyle name="Normal 5 4 5" xfId="930" xr:uid="{00000000-0005-0000-0000-00003A1B0000}"/>
    <cellStyle name="Normal 5 4 5 2" xfId="3164" xr:uid="{00000000-0005-0000-0000-00003B1B0000}"/>
    <cellStyle name="Normal 5 4 5 2 2" xfId="7387" xr:uid="{00000000-0005-0000-0000-00003C1B0000}"/>
    <cellStyle name="Normal 5 4 5 2 2 2" xfId="32686" xr:uid="{3673AE0E-CA62-4342-95E1-C84246F455A2}"/>
    <cellStyle name="Normal 5 4 5 2 2 3" xfId="24257" xr:uid="{9F74C046-5069-42B9-A71C-F70EB4422253}"/>
    <cellStyle name="Normal 5 4 5 2 2 4" xfId="41114" xr:uid="{10397501-3147-41F9-9E25-E37502A6845D}"/>
    <cellStyle name="Normal 5 4 5 2 2 5" xfId="15822" xr:uid="{596C2608-86B3-4F6C-82E0-A5CE1130CB0D}"/>
    <cellStyle name="Normal 5 4 5 2 3" xfId="28468" xr:uid="{5D003FCD-B361-4190-899E-51BA490CDCD8}"/>
    <cellStyle name="Normal 5 4 5 2 4" xfId="20039" xr:uid="{E610D739-1A10-4D42-A144-40B8E620FD33}"/>
    <cellStyle name="Normal 5 4 5 2 5" xfId="36897" xr:uid="{FB8176C6-B19F-42EA-97B3-E79506A387EA}"/>
    <cellStyle name="Normal 5 4 5 2 6" xfId="11604" xr:uid="{13548A20-E4B3-4D6A-94C7-A41EB0020EE4}"/>
    <cellStyle name="Normal 5 4 5 3" xfId="5242" xr:uid="{00000000-0005-0000-0000-00003D1B0000}"/>
    <cellStyle name="Normal 5 4 5 3 2" xfId="30541" xr:uid="{8FE2C8CE-956B-4BC6-9F4E-C6A727B6AECF}"/>
    <cellStyle name="Normal 5 4 5 3 3" xfId="22112" xr:uid="{FAB92C36-E4E6-47E6-9ED9-35C42E4866C0}"/>
    <cellStyle name="Normal 5 4 5 3 4" xfId="38969" xr:uid="{AA87112F-FF7A-414D-AA5E-42D269A040F8}"/>
    <cellStyle name="Normal 5 4 5 3 5" xfId="13677" xr:uid="{4EBD4B7D-E3B8-4B80-944D-C4A6C0014996}"/>
    <cellStyle name="Normal 5 4 5 4" xfId="26323" xr:uid="{555604E1-B68C-4439-857D-604548FB6A75}"/>
    <cellStyle name="Normal 5 4 5 5" xfId="17894" xr:uid="{07D7BB2B-0895-42B7-99DA-8980573959C4}"/>
    <cellStyle name="Normal 5 4 5 6" xfId="34752" xr:uid="{F82829B9-15EF-438B-8FBC-F14CAC26CDE5}"/>
    <cellStyle name="Normal 5 4 5 7" xfId="9459" xr:uid="{AB9D3DBB-1CEC-484C-BB85-741E115FE27E}"/>
    <cellStyle name="Normal 5 4 6" xfId="1347" xr:uid="{00000000-0005-0000-0000-00003E1B0000}"/>
    <cellStyle name="Normal 5 4 6 2" xfId="3577" xr:uid="{00000000-0005-0000-0000-00003F1B0000}"/>
    <cellStyle name="Normal 5 4 6 2 2" xfId="7800" xr:uid="{00000000-0005-0000-0000-0000401B0000}"/>
    <cellStyle name="Normal 5 4 6 2 2 2" xfId="33099" xr:uid="{126D9DC1-BFC3-4C5C-A28B-C975B40556BD}"/>
    <cellStyle name="Normal 5 4 6 2 2 3" xfId="24670" xr:uid="{9FC6A4C9-2492-4D1B-8909-7A9DF1177E57}"/>
    <cellStyle name="Normal 5 4 6 2 2 4" xfId="41527" xr:uid="{72D5A4DB-875B-4D60-AA6C-AC66C5ADD0A2}"/>
    <cellStyle name="Normal 5 4 6 2 2 5" xfId="16235" xr:uid="{132D1CA0-80A9-48E5-8871-CAD8334AA4C5}"/>
    <cellStyle name="Normal 5 4 6 2 3" xfId="28881" xr:uid="{8E77DF5A-DEEF-4F7E-8EF4-FAFA06138B73}"/>
    <cellStyle name="Normal 5 4 6 2 4" xfId="20452" xr:uid="{9F7FF2E7-C951-44A7-A017-BE21862124E9}"/>
    <cellStyle name="Normal 5 4 6 2 5" xfId="37310" xr:uid="{0806368F-1B2F-44FB-A637-69A2FF65F2EA}"/>
    <cellStyle name="Normal 5 4 6 2 6" xfId="12017" xr:uid="{0918C05E-308D-42A1-BD3E-D1F5F8AE3A21}"/>
    <cellStyle name="Normal 5 4 6 3" xfId="5655" xr:uid="{00000000-0005-0000-0000-0000411B0000}"/>
    <cellStyle name="Normal 5 4 6 3 2" xfId="30954" xr:uid="{CBE777D8-5790-4735-AD9C-B3B27C8FCA07}"/>
    <cellStyle name="Normal 5 4 6 3 3" xfId="22525" xr:uid="{DE5EAD92-F50C-4230-A495-D7813C19CE5D}"/>
    <cellStyle name="Normal 5 4 6 3 4" xfId="39382" xr:uid="{91C3FEF4-B0F1-4E20-917E-A24C26A26A9D}"/>
    <cellStyle name="Normal 5 4 6 3 5" xfId="14090" xr:uid="{2698DC04-8F7D-48D0-AFE6-11F8804072F3}"/>
    <cellStyle name="Normal 5 4 6 4" xfId="26736" xr:uid="{73F468FF-592D-4C25-B98B-A26B8DF329FF}"/>
    <cellStyle name="Normal 5 4 6 5" xfId="18307" xr:uid="{DAEE3827-3159-423E-AFF8-38335293DEBF}"/>
    <cellStyle name="Normal 5 4 6 6" xfId="35165" xr:uid="{DC396C2E-8435-4164-9103-55B2399CE8F8}"/>
    <cellStyle name="Normal 5 4 6 7" xfId="9872" xr:uid="{564F70A3-2464-427A-A33B-4DF7AA23C012}"/>
    <cellStyle name="Normal 5 4 7" xfId="1760" xr:uid="{00000000-0005-0000-0000-0000421B0000}"/>
    <cellStyle name="Normal 5 4 7 2" xfId="3990" xr:uid="{00000000-0005-0000-0000-0000431B0000}"/>
    <cellStyle name="Normal 5 4 7 2 2" xfId="8213" xr:uid="{00000000-0005-0000-0000-0000441B0000}"/>
    <cellStyle name="Normal 5 4 7 2 2 2" xfId="33512" xr:uid="{56474110-93BA-4792-A082-F0C4E932BFEB}"/>
    <cellStyle name="Normal 5 4 7 2 2 3" xfId="25083" xr:uid="{1749B969-803D-408B-AE75-6B6F79330DA2}"/>
    <cellStyle name="Normal 5 4 7 2 2 4" xfId="41940" xr:uid="{F222F74D-7449-45CE-B1CE-D8A5918E4BD5}"/>
    <cellStyle name="Normal 5 4 7 2 2 5" xfId="16648" xr:uid="{A23CE54D-03D8-46B2-969B-FB33E95D6BE6}"/>
    <cellStyle name="Normal 5 4 7 2 3" xfId="29294" xr:uid="{5B08B298-4586-47C3-865D-2A327A8FA7BF}"/>
    <cellStyle name="Normal 5 4 7 2 4" xfId="20865" xr:uid="{D1E19D60-8FF2-4ECC-ABFC-51AEBA4B0AC8}"/>
    <cellStyle name="Normal 5 4 7 2 5" xfId="37723" xr:uid="{13E88651-382F-432A-9497-89ED98A4BD21}"/>
    <cellStyle name="Normal 5 4 7 2 6" xfId="12430" xr:uid="{4E452A2A-29B0-46CC-BDE5-B8B5A6B1D295}"/>
    <cellStyle name="Normal 5 4 7 3" xfId="6068" xr:uid="{00000000-0005-0000-0000-0000451B0000}"/>
    <cellStyle name="Normal 5 4 7 3 2" xfId="31367" xr:uid="{78B1584E-D8B7-4E7B-9FF3-663204498510}"/>
    <cellStyle name="Normal 5 4 7 3 3" xfId="22938" xr:uid="{4B481749-A29A-49FC-946F-DBF827D5896E}"/>
    <cellStyle name="Normal 5 4 7 3 4" xfId="39795" xr:uid="{2C0C6F65-E879-44DB-A346-64D4357F7946}"/>
    <cellStyle name="Normal 5 4 7 3 5" xfId="14503" xr:uid="{F5CCDF44-B23E-4A2F-AFDC-71F5A7D33F14}"/>
    <cellStyle name="Normal 5 4 7 4" xfId="27149" xr:uid="{815EDF97-8B6D-4A5A-9A28-7F9E25C9A04B}"/>
    <cellStyle name="Normal 5 4 7 5" xfId="18720" xr:uid="{CFDF992F-469C-43E0-B7F8-F60AA2565C83}"/>
    <cellStyle name="Normal 5 4 7 6" xfId="35578" xr:uid="{D1720088-5CA4-41B2-A4D9-5604FBD61F27}"/>
    <cellStyle name="Normal 5 4 7 7" xfId="10285" xr:uid="{8719594E-201C-49E9-B4E4-B46BF99E56E1}"/>
    <cellStyle name="Normal 5 4 8" xfId="2174" xr:uid="{00000000-0005-0000-0000-0000461B0000}"/>
    <cellStyle name="Normal 5 4 8 2" xfId="4403" xr:uid="{00000000-0005-0000-0000-0000471B0000}"/>
    <cellStyle name="Normal 5 4 8 2 2" xfId="8626" xr:uid="{00000000-0005-0000-0000-0000481B0000}"/>
    <cellStyle name="Normal 5 4 8 2 2 2" xfId="33925" xr:uid="{688BBE74-B9F1-42B4-BE26-E257ECAE5ADE}"/>
    <cellStyle name="Normal 5 4 8 2 2 3" xfId="25496" xr:uid="{3234190E-A3F4-4387-95A8-DEBF03D56FF1}"/>
    <cellStyle name="Normal 5 4 8 2 2 4" xfId="42353" xr:uid="{97DD209B-EE31-4B9C-8176-9C32A3F49FD6}"/>
    <cellStyle name="Normal 5 4 8 2 2 5" xfId="17061" xr:uid="{61DC4E29-4E53-4F73-B183-5D5F31992490}"/>
    <cellStyle name="Normal 5 4 8 2 3" xfId="29707" xr:uid="{884BB205-4E27-4157-BA08-E5EA19D07C29}"/>
    <cellStyle name="Normal 5 4 8 2 4" xfId="21278" xr:uid="{A4EAE239-A5E9-41D0-984A-6353CA10CE5F}"/>
    <cellStyle name="Normal 5 4 8 2 5" xfId="38136" xr:uid="{35BD4DD7-F127-4C3B-81C2-CE2055E368B9}"/>
    <cellStyle name="Normal 5 4 8 2 6" xfId="12843" xr:uid="{764967B4-5411-43D5-9FA2-C4E96A45E14E}"/>
    <cellStyle name="Normal 5 4 8 3" xfId="6481" xr:uid="{00000000-0005-0000-0000-0000491B0000}"/>
    <cellStyle name="Normal 5 4 8 3 2" xfId="31780" xr:uid="{18413896-32AC-4CB4-8B07-4381134FFD91}"/>
    <cellStyle name="Normal 5 4 8 3 3" xfId="23351" xr:uid="{3592318A-063E-4C90-933D-3F1C31CE408E}"/>
    <cellStyle name="Normal 5 4 8 3 4" xfId="40208" xr:uid="{92AC6463-4D3E-4804-87BA-0F69733EE170}"/>
    <cellStyle name="Normal 5 4 8 3 5" xfId="14916" xr:uid="{4FCE6595-401F-4CB9-ADAD-8E1FB70BF195}"/>
    <cellStyle name="Normal 5 4 8 4" xfId="27562" xr:uid="{10E0EF23-93EE-4B82-8AA9-0DD2CE291794}"/>
    <cellStyle name="Normal 5 4 8 5" xfId="19133" xr:uid="{B8E3F7CE-687A-44BB-903B-5F201E37CD80}"/>
    <cellStyle name="Normal 5 4 8 6" xfId="35991" xr:uid="{E604BD78-E3DF-4955-8F27-8BED5F6970BC}"/>
    <cellStyle name="Normal 5 4 8 7" xfId="10698" xr:uid="{8549E894-210C-48E5-A76E-185BD67A272E}"/>
    <cellStyle name="Normal 5 4 9" xfId="2610" xr:uid="{00000000-0005-0000-0000-00004A1B0000}"/>
    <cellStyle name="Normal 5 4 9 2" xfId="6894" xr:uid="{00000000-0005-0000-0000-00004B1B0000}"/>
    <cellStyle name="Normal 5 4 9 2 2" xfId="32193" xr:uid="{E04F7A45-E6DE-4A88-B426-132D047D153C}"/>
    <cellStyle name="Normal 5 4 9 2 3" xfId="23764" xr:uid="{1FBF61F7-E749-4666-A180-4E7AE1474BBB}"/>
    <cellStyle name="Normal 5 4 9 2 4" xfId="40621" xr:uid="{00B89E9A-51E3-46F7-A135-04D51C173811}"/>
    <cellStyle name="Normal 5 4 9 2 5" xfId="15329" xr:uid="{9226975F-9321-4570-8D82-BB78217D0E52}"/>
    <cellStyle name="Normal 5 4 9 3" xfId="27975" xr:uid="{89E6350C-D86A-474B-8F18-36F42F429BE8}"/>
    <cellStyle name="Normal 5 4 9 4" xfId="19546" xr:uid="{1FAB4FAB-6DFE-4E2C-A486-67857583FFE5}"/>
    <cellStyle name="Normal 5 4 9 5" xfId="36404" xr:uid="{BD83E9C7-DF75-434D-9B98-D58BD8BD939F}"/>
    <cellStyle name="Normal 5 4 9 6" xfId="11111" xr:uid="{1F13A401-1DEA-4E62-9657-B535079F893E}"/>
    <cellStyle name="Normal 5 5" xfId="464" xr:uid="{00000000-0005-0000-0000-00004C1B0000}"/>
    <cellStyle name="Normal 5 5 10" xfId="25918" xr:uid="{B8588D8D-82DC-404D-B9C7-389F6A91A111}"/>
    <cellStyle name="Normal 5 5 11" xfId="17489" xr:uid="{6EC92282-451C-4B5F-BE0E-41FC2880F730}"/>
    <cellStyle name="Normal 5 5 12" xfId="34347" xr:uid="{0318FB5A-4959-4E73-B2CD-311E6A2E21D4}"/>
    <cellStyle name="Normal 5 5 13" xfId="9054" xr:uid="{66CAC491-FC5A-4206-B9E3-8D4A96AC689D}"/>
    <cellStyle name="Normal 5 5 2" xfId="465" xr:uid="{00000000-0005-0000-0000-00004D1B0000}"/>
    <cellStyle name="Normal 5 5 2 10" xfId="17490" xr:uid="{1B5B5E93-45CD-414A-A5A0-F6F6D47B720F}"/>
    <cellStyle name="Normal 5 5 2 11" xfId="34348" xr:uid="{D8261E18-C865-48F1-BF33-13D468C67C86}"/>
    <cellStyle name="Normal 5 5 2 12" xfId="9055" xr:uid="{6D5D53B4-4EB3-451A-88AB-89532C18D7C5}"/>
    <cellStyle name="Normal 5 5 2 2" xfId="466" xr:uid="{00000000-0005-0000-0000-00004E1B0000}"/>
    <cellStyle name="Normal 5 5 2 2 10" xfId="34349" xr:uid="{97E2473B-53F2-477F-9E6A-3B3F3547FB51}"/>
    <cellStyle name="Normal 5 5 2 2 11" xfId="9056" xr:uid="{B614D0EE-6149-49DD-A25D-ADE235ECD506}"/>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32696" xr:uid="{E4B3CB88-D3F8-4B80-AB3D-BD2635C1B4F4}"/>
    <cellStyle name="Normal 5 5 2 2 2 2 2 3" xfId="24267" xr:uid="{B776E77E-961F-4E47-A955-A8C777BDF134}"/>
    <cellStyle name="Normal 5 5 2 2 2 2 2 4" xfId="41124" xr:uid="{6F308E19-F7F2-4954-85DB-0D43E6139165}"/>
    <cellStyle name="Normal 5 5 2 2 2 2 2 5" xfId="15832" xr:uid="{F6B92BC9-E97B-4C06-B3F5-E0CCDAABA700}"/>
    <cellStyle name="Normal 5 5 2 2 2 2 3" xfId="28478" xr:uid="{7C9342D3-7677-499D-B6B7-E15B9F727C1D}"/>
    <cellStyle name="Normal 5 5 2 2 2 2 4" xfId="20049" xr:uid="{43476806-3F7C-4FD7-9BB0-9CA66F6172CB}"/>
    <cellStyle name="Normal 5 5 2 2 2 2 5" xfId="36907" xr:uid="{BFA19AD3-9F2B-4020-A279-C5D46C801564}"/>
    <cellStyle name="Normal 5 5 2 2 2 2 6" xfId="11614" xr:uid="{1002EEE5-FB63-441C-9A78-1B7AD8E9F550}"/>
    <cellStyle name="Normal 5 5 2 2 2 3" xfId="5252" xr:uid="{00000000-0005-0000-0000-0000521B0000}"/>
    <cellStyle name="Normal 5 5 2 2 2 3 2" xfId="30551" xr:uid="{F702124E-E9B8-4562-9F8A-A6C3BB7AC9EB}"/>
    <cellStyle name="Normal 5 5 2 2 2 3 3" xfId="22122" xr:uid="{58DC8297-289F-4A6B-8D66-F94EA9C10467}"/>
    <cellStyle name="Normal 5 5 2 2 2 3 4" xfId="38979" xr:uid="{9CED23D1-8E53-482A-81DA-9D0C14F2210E}"/>
    <cellStyle name="Normal 5 5 2 2 2 3 5" xfId="13687" xr:uid="{5669FADE-28E3-4167-A4F9-29FA72BD461F}"/>
    <cellStyle name="Normal 5 5 2 2 2 4" xfId="26333" xr:uid="{60B5D543-A3BB-4020-81E5-AB46F0492D92}"/>
    <cellStyle name="Normal 5 5 2 2 2 5" xfId="17904" xr:uid="{922A00E4-8548-44E6-94DA-ED675B93857E}"/>
    <cellStyle name="Normal 5 5 2 2 2 6" xfId="34762" xr:uid="{B60680C9-6823-4E97-9BFF-1F5BEE301ECF}"/>
    <cellStyle name="Normal 5 5 2 2 2 7" xfId="9469" xr:uid="{C1CBDD33-B219-49A8-A92D-AC577A03DFE5}"/>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33109" xr:uid="{070C4A09-D41C-4D4E-81CC-F40492C0EF78}"/>
    <cellStyle name="Normal 5 5 2 2 3 2 2 3" xfId="24680" xr:uid="{DF407402-DE1B-412F-8FEA-CE24841ACB6F}"/>
    <cellStyle name="Normal 5 5 2 2 3 2 2 4" xfId="41537" xr:uid="{4354FC4D-933D-4C29-993F-AAC8E8AFB5F6}"/>
    <cellStyle name="Normal 5 5 2 2 3 2 2 5" xfId="16245" xr:uid="{B5E75978-6970-4152-BA0A-CAC42FCFF1B8}"/>
    <cellStyle name="Normal 5 5 2 2 3 2 3" xfId="28891" xr:uid="{4A70BB7E-B667-4375-91CC-44AA453B9DC4}"/>
    <cellStyle name="Normal 5 5 2 2 3 2 4" xfId="20462" xr:uid="{A8E61AB4-F26C-471D-845B-B7DFB5846CC5}"/>
    <cellStyle name="Normal 5 5 2 2 3 2 5" xfId="37320" xr:uid="{1FE422BD-2317-4071-9E87-197BC8946793}"/>
    <cellStyle name="Normal 5 5 2 2 3 2 6" xfId="12027" xr:uid="{99B7F2CF-F62E-48EC-8FEC-1F464E171E4F}"/>
    <cellStyle name="Normal 5 5 2 2 3 3" xfId="5665" xr:uid="{00000000-0005-0000-0000-0000561B0000}"/>
    <cellStyle name="Normal 5 5 2 2 3 3 2" xfId="30964" xr:uid="{27FB6745-27C4-4DE3-B78E-9E11659B95BE}"/>
    <cellStyle name="Normal 5 5 2 2 3 3 3" xfId="22535" xr:uid="{985A48F1-3ABB-47EB-AA73-7B372B15D3DB}"/>
    <cellStyle name="Normal 5 5 2 2 3 3 4" xfId="39392" xr:uid="{3B422EF5-EEF7-4925-9159-7AD68B5B4A62}"/>
    <cellStyle name="Normal 5 5 2 2 3 3 5" xfId="14100" xr:uid="{434BA543-40C8-4FC7-8780-75EB139BCCF1}"/>
    <cellStyle name="Normal 5 5 2 2 3 4" xfId="26746" xr:uid="{780E22E0-4F31-4956-B7F0-CD0A48BA465B}"/>
    <cellStyle name="Normal 5 5 2 2 3 5" xfId="18317" xr:uid="{AD4A0CF1-979B-4BDF-A089-B7F1441B9943}"/>
    <cellStyle name="Normal 5 5 2 2 3 6" xfId="35175" xr:uid="{C0B0F770-0927-4F73-9BF2-D8A6B23E171C}"/>
    <cellStyle name="Normal 5 5 2 2 3 7" xfId="9882" xr:uid="{070F3222-BDC4-4D76-8C46-99BBDD2EFD0E}"/>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33522" xr:uid="{AB815E5C-700F-4F6C-BE2D-55EC2455EA66}"/>
    <cellStyle name="Normal 5 5 2 2 4 2 2 3" xfId="25093" xr:uid="{8E830F46-10A4-4B3A-9052-7F5597989212}"/>
    <cellStyle name="Normal 5 5 2 2 4 2 2 4" xfId="41950" xr:uid="{CF29B43B-4602-4CD1-9048-898ED2F3D046}"/>
    <cellStyle name="Normal 5 5 2 2 4 2 2 5" xfId="16658" xr:uid="{54E28ACD-3A56-4229-807E-D0DDFFAF7CD9}"/>
    <cellStyle name="Normal 5 5 2 2 4 2 3" xfId="29304" xr:uid="{F1073D56-E2D6-4C1C-981A-475027946157}"/>
    <cellStyle name="Normal 5 5 2 2 4 2 4" xfId="20875" xr:uid="{418CB084-5B99-4C41-BB36-EB2B2E7B3E17}"/>
    <cellStyle name="Normal 5 5 2 2 4 2 5" xfId="37733" xr:uid="{B80CF454-64B3-400E-BF6B-229831425D0B}"/>
    <cellStyle name="Normal 5 5 2 2 4 2 6" xfId="12440" xr:uid="{5203CFD4-507D-4B28-89DD-527F6C07B56D}"/>
    <cellStyle name="Normal 5 5 2 2 4 3" xfId="6078" xr:uid="{00000000-0005-0000-0000-00005A1B0000}"/>
    <cellStyle name="Normal 5 5 2 2 4 3 2" xfId="31377" xr:uid="{BF6E186B-8835-40C4-866B-ADDC405A6D94}"/>
    <cellStyle name="Normal 5 5 2 2 4 3 3" xfId="22948" xr:uid="{009B12F8-2EE2-40A0-94BC-2371888313B7}"/>
    <cellStyle name="Normal 5 5 2 2 4 3 4" xfId="39805" xr:uid="{0089DDDC-DE08-40E0-BA9C-D68CFADE8BE2}"/>
    <cellStyle name="Normal 5 5 2 2 4 3 5" xfId="14513" xr:uid="{20839058-5879-4293-928A-9ED5CB544B63}"/>
    <cellStyle name="Normal 5 5 2 2 4 4" xfId="27159" xr:uid="{892D2FC3-1D27-45D5-B4CD-EE4E7DB1527D}"/>
    <cellStyle name="Normal 5 5 2 2 4 5" xfId="18730" xr:uid="{BD12CA9B-3B71-488E-9B8F-B985752774CB}"/>
    <cellStyle name="Normal 5 5 2 2 4 6" xfId="35588" xr:uid="{2C44DC55-AB42-47AC-8DB8-97E148823DF3}"/>
    <cellStyle name="Normal 5 5 2 2 4 7" xfId="10295" xr:uid="{FD18F211-E598-4F30-9AD9-20B00438061D}"/>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33935" xr:uid="{C9AE8FB4-2E6C-4255-91E7-467D6AF43FBB}"/>
    <cellStyle name="Normal 5 5 2 2 5 2 2 3" xfId="25506" xr:uid="{2F58B060-E39E-4270-83BD-7793CE1F94A8}"/>
    <cellStyle name="Normal 5 5 2 2 5 2 2 4" xfId="42363" xr:uid="{A17463A7-0B17-42F0-A92D-50340C2D6416}"/>
    <cellStyle name="Normal 5 5 2 2 5 2 2 5" xfId="17071" xr:uid="{F2A18940-686A-4906-B5E2-230A6A5176C1}"/>
    <cellStyle name="Normal 5 5 2 2 5 2 3" xfId="29717" xr:uid="{2C3DA8F5-91E5-4141-AEE0-C85203B7B93A}"/>
    <cellStyle name="Normal 5 5 2 2 5 2 4" xfId="21288" xr:uid="{D9AC606D-E2DD-427D-A3D0-1F0DCC1DB610}"/>
    <cellStyle name="Normal 5 5 2 2 5 2 5" xfId="38146" xr:uid="{D4F6A9AA-4D93-4ACB-B6DD-4AB62FD34E8F}"/>
    <cellStyle name="Normal 5 5 2 2 5 2 6" xfId="12853" xr:uid="{590EA155-688C-4213-B609-D991A8185366}"/>
    <cellStyle name="Normal 5 5 2 2 5 3" xfId="6491" xr:uid="{00000000-0005-0000-0000-00005E1B0000}"/>
    <cellStyle name="Normal 5 5 2 2 5 3 2" xfId="31790" xr:uid="{AD911EA6-76FE-425A-A664-6889FAB95569}"/>
    <cellStyle name="Normal 5 5 2 2 5 3 3" xfId="23361" xr:uid="{2E5E3CFC-17B0-4685-B6DA-C0517AA1964B}"/>
    <cellStyle name="Normal 5 5 2 2 5 3 4" xfId="40218" xr:uid="{6ED85FC3-4AB6-4382-8CDC-1F2AE0932B2F}"/>
    <cellStyle name="Normal 5 5 2 2 5 3 5" xfId="14926" xr:uid="{8A9A0E64-2A77-486F-9F00-ADB2557027DB}"/>
    <cellStyle name="Normal 5 5 2 2 5 4" xfId="27572" xr:uid="{AB6CA1EC-C676-42FF-A941-58A6EC4EFB29}"/>
    <cellStyle name="Normal 5 5 2 2 5 5" xfId="19143" xr:uid="{81B2280E-7D46-491F-AD7A-1498BA3269BD}"/>
    <cellStyle name="Normal 5 5 2 2 5 6" xfId="36001" xr:uid="{01BA0AFC-13B8-42EF-86BB-C2E4E8452B3A}"/>
    <cellStyle name="Normal 5 5 2 2 5 7" xfId="10708" xr:uid="{C3D03B85-3207-4B8B-B921-7EF6238D71A9}"/>
    <cellStyle name="Normal 5 5 2 2 6" xfId="2620" xr:uid="{00000000-0005-0000-0000-00005F1B0000}"/>
    <cellStyle name="Normal 5 5 2 2 6 2" xfId="6904" xr:uid="{00000000-0005-0000-0000-0000601B0000}"/>
    <cellStyle name="Normal 5 5 2 2 6 2 2" xfId="32203" xr:uid="{3D2907E2-825A-4632-B122-4A2D5B61A2B6}"/>
    <cellStyle name="Normal 5 5 2 2 6 2 3" xfId="23774" xr:uid="{857254C8-1FAC-4B8C-A2E8-C223AC7C0135}"/>
    <cellStyle name="Normal 5 5 2 2 6 2 4" xfId="40631" xr:uid="{09333769-5C32-4BC6-BDE9-4207DEE5D7E1}"/>
    <cellStyle name="Normal 5 5 2 2 6 2 5" xfId="15339" xr:uid="{D9432604-0B10-46D0-B554-08A7A674CE54}"/>
    <cellStyle name="Normal 5 5 2 2 6 3" xfId="27985" xr:uid="{39E76130-35DD-4EA7-8350-229FFEC5C615}"/>
    <cellStyle name="Normal 5 5 2 2 6 4" xfId="19556" xr:uid="{8498FFEB-44C4-4AC7-A6BF-B6DB34900521}"/>
    <cellStyle name="Normal 5 5 2 2 6 5" xfId="36414" xr:uid="{CA7EEF6C-8C62-4C28-BC43-CB816ABB3CA4}"/>
    <cellStyle name="Normal 5 5 2 2 6 6" xfId="11121" xr:uid="{FC4E7D90-BE10-4CEC-B8FB-F438C809D416}"/>
    <cellStyle name="Normal 5 5 2 2 7" xfId="4839" xr:uid="{00000000-0005-0000-0000-0000611B0000}"/>
    <cellStyle name="Normal 5 5 2 2 7 2" xfId="30138" xr:uid="{832E6366-9699-4B4E-9F1B-945FBA047AF8}"/>
    <cellStyle name="Normal 5 5 2 2 7 3" xfId="21709" xr:uid="{C42D9417-B71B-404C-840C-C65AB4D58B16}"/>
    <cellStyle name="Normal 5 5 2 2 7 4" xfId="38566" xr:uid="{97D06481-2783-41BC-89AA-A7830A241201}"/>
    <cellStyle name="Normal 5 5 2 2 7 5" xfId="13274" xr:uid="{4819A6C4-F66E-4570-BF84-6E8730391B6A}"/>
    <cellStyle name="Normal 5 5 2 2 8" xfId="25920" xr:uid="{AA999109-D162-4BC9-BF41-7EC9596AD5B7}"/>
    <cellStyle name="Normal 5 5 2 2 9" xfId="17491" xr:uid="{9605AC06-05A8-4D8A-922F-E5BDE6362E20}"/>
    <cellStyle name="Normal 5 5 2 3" xfId="939" xr:uid="{00000000-0005-0000-0000-0000621B0000}"/>
    <cellStyle name="Normal 5 5 2 3 2" xfId="3173" xr:uid="{00000000-0005-0000-0000-0000631B0000}"/>
    <cellStyle name="Normal 5 5 2 3 2 2" xfId="7396" xr:uid="{00000000-0005-0000-0000-0000641B0000}"/>
    <cellStyle name="Normal 5 5 2 3 2 2 2" xfId="32695" xr:uid="{9F6F062C-0EC7-4442-BCE6-3BC07C754484}"/>
    <cellStyle name="Normal 5 5 2 3 2 2 3" xfId="24266" xr:uid="{A9844F44-44E7-48EA-B927-93854614A30B}"/>
    <cellStyle name="Normal 5 5 2 3 2 2 4" xfId="41123" xr:uid="{E3429DAA-F27C-460C-B173-41D06C74FD40}"/>
    <cellStyle name="Normal 5 5 2 3 2 2 5" xfId="15831" xr:uid="{675B78D2-9929-4DC8-BFC7-6DF91125578F}"/>
    <cellStyle name="Normal 5 5 2 3 2 3" xfId="28477" xr:uid="{4368A926-146C-498C-8FDE-8A1BF3A003F9}"/>
    <cellStyle name="Normal 5 5 2 3 2 4" xfId="20048" xr:uid="{0CC877B3-74E9-4B0E-AF81-9CC15BD0300C}"/>
    <cellStyle name="Normal 5 5 2 3 2 5" xfId="36906" xr:uid="{E513284A-3E20-4A0F-BFFD-D07B5E78E8B1}"/>
    <cellStyle name="Normal 5 5 2 3 2 6" xfId="11613" xr:uid="{D1CE13AB-08DD-48A9-A722-7D6C4C2C9FF5}"/>
    <cellStyle name="Normal 5 5 2 3 3" xfId="5251" xr:uid="{00000000-0005-0000-0000-0000651B0000}"/>
    <cellStyle name="Normal 5 5 2 3 3 2" xfId="30550" xr:uid="{70E09B39-24A5-4967-BF7A-4D33EA0EE2D1}"/>
    <cellStyle name="Normal 5 5 2 3 3 3" xfId="22121" xr:uid="{6DFC1CA0-7537-4F52-8307-1F20616077E7}"/>
    <cellStyle name="Normal 5 5 2 3 3 4" xfId="38978" xr:uid="{CB76149E-E221-4C99-B4BC-FED8D22D0B89}"/>
    <cellStyle name="Normal 5 5 2 3 3 5" xfId="13686" xr:uid="{04F337A9-E98E-47F6-ADFB-CC22D3461F56}"/>
    <cellStyle name="Normal 5 5 2 3 4" xfId="26332" xr:uid="{41E81AFA-D6E7-424D-B79C-42A5AAC5D594}"/>
    <cellStyle name="Normal 5 5 2 3 5" xfId="17903" xr:uid="{50E2B53B-C207-4051-98AB-12D21041A93C}"/>
    <cellStyle name="Normal 5 5 2 3 6" xfId="34761" xr:uid="{5F2B9364-0477-4C8B-ADBD-3F62C307A2A6}"/>
    <cellStyle name="Normal 5 5 2 3 7" xfId="9468" xr:uid="{12BE2BA3-0B93-415D-87F0-0AAD30B173E2}"/>
    <cellStyle name="Normal 5 5 2 4" xfId="1356" xr:uid="{00000000-0005-0000-0000-0000661B0000}"/>
    <cellStyle name="Normal 5 5 2 4 2" xfId="3586" xr:uid="{00000000-0005-0000-0000-0000671B0000}"/>
    <cellStyle name="Normal 5 5 2 4 2 2" xfId="7809" xr:uid="{00000000-0005-0000-0000-0000681B0000}"/>
    <cellStyle name="Normal 5 5 2 4 2 2 2" xfId="33108" xr:uid="{54CA8E61-4D93-409F-95EA-F019DF1BFB79}"/>
    <cellStyle name="Normal 5 5 2 4 2 2 3" xfId="24679" xr:uid="{1F704141-20DB-4838-A28F-38C33702D619}"/>
    <cellStyle name="Normal 5 5 2 4 2 2 4" xfId="41536" xr:uid="{8694A55D-A35A-454F-AFA6-92F321F484A2}"/>
    <cellStyle name="Normal 5 5 2 4 2 2 5" xfId="16244" xr:uid="{B309C9C4-E31F-4332-A644-6CBE9B004DDE}"/>
    <cellStyle name="Normal 5 5 2 4 2 3" xfId="28890" xr:uid="{D5145697-278E-4FF4-8CBC-578B9616E292}"/>
    <cellStyle name="Normal 5 5 2 4 2 4" xfId="20461" xr:uid="{72A192A1-2883-40BD-AAF7-A10995EDF382}"/>
    <cellStyle name="Normal 5 5 2 4 2 5" xfId="37319" xr:uid="{16D2175B-074A-42FB-B795-7D0537915785}"/>
    <cellStyle name="Normal 5 5 2 4 2 6" xfId="12026" xr:uid="{BB08A080-6AA6-4213-BB81-FCAF14872B58}"/>
    <cellStyle name="Normal 5 5 2 4 3" xfId="5664" xr:uid="{00000000-0005-0000-0000-0000691B0000}"/>
    <cellStyle name="Normal 5 5 2 4 3 2" xfId="30963" xr:uid="{36DC3115-231C-4297-A0A0-B55C1DAF65A2}"/>
    <cellStyle name="Normal 5 5 2 4 3 3" xfId="22534" xr:uid="{29DE0EEF-4697-417E-9481-7F38973E5AC9}"/>
    <cellStyle name="Normal 5 5 2 4 3 4" xfId="39391" xr:uid="{789AC408-0CA4-4410-BABD-5AF33AFEE840}"/>
    <cellStyle name="Normal 5 5 2 4 3 5" xfId="14099" xr:uid="{A76EFC65-A63B-40A2-8491-FF075D1FC83E}"/>
    <cellStyle name="Normal 5 5 2 4 4" xfId="26745" xr:uid="{09B949C2-7BAD-49AE-8B15-4C1303748A67}"/>
    <cellStyle name="Normal 5 5 2 4 5" xfId="18316" xr:uid="{B10257D0-2C92-40E4-9779-A14F15D2597F}"/>
    <cellStyle name="Normal 5 5 2 4 6" xfId="35174" xr:uid="{07D4B3BB-2417-41B8-8F3D-7AF8C80693C8}"/>
    <cellStyle name="Normal 5 5 2 4 7" xfId="9881" xr:uid="{72DBFBA6-7C1C-49CE-9B32-C84D9A69B225}"/>
    <cellStyle name="Normal 5 5 2 5" xfId="1769" xr:uid="{00000000-0005-0000-0000-00006A1B0000}"/>
    <cellStyle name="Normal 5 5 2 5 2" xfId="3999" xr:uid="{00000000-0005-0000-0000-00006B1B0000}"/>
    <cellStyle name="Normal 5 5 2 5 2 2" xfId="8222" xr:uid="{00000000-0005-0000-0000-00006C1B0000}"/>
    <cellStyle name="Normal 5 5 2 5 2 2 2" xfId="33521" xr:uid="{3C010751-30A7-4DD0-8AAA-519C1D7D501A}"/>
    <cellStyle name="Normal 5 5 2 5 2 2 3" xfId="25092" xr:uid="{865C9FA5-81CE-469A-B045-498AB0B79F7A}"/>
    <cellStyle name="Normal 5 5 2 5 2 2 4" xfId="41949" xr:uid="{F32FB3B9-79C4-4B8F-ADA7-CE73E608A47B}"/>
    <cellStyle name="Normal 5 5 2 5 2 2 5" xfId="16657" xr:uid="{269C1C96-F06F-4EAB-8833-401A4BDCBFD5}"/>
    <cellStyle name="Normal 5 5 2 5 2 3" xfId="29303" xr:uid="{E516CF73-B7A2-4EAA-8A99-8FDFB31D3AB2}"/>
    <cellStyle name="Normal 5 5 2 5 2 4" xfId="20874" xr:uid="{5455BD14-ACC1-4254-848D-BF514EC6CF05}"/>
    <cellStyle name="Normal 5 5 2 5 2 5" xfId="37732" xr:uid="{5C7CC8BF-6457-4831-95AD-D8F4F0A71EDC}"/>
    <cellStyle name="Normal 5 5 2 5 2 6" xfId="12439" xr:uid="{421ED662-0F62-4D62-B128-383023882275}"/>
    <cellStyle name="Normal 5 5 2 5 3" xfId="6077" xr:uid="{00000000-0005-0000-0000-00006D1B0000}"/>
    <cellStyle name="Normal 5 5 2 5 3 2" xfId="31376" xr:uid="{DD738B65-1410-4323-A6CC-284E410DC491}"/>
    <cellStyle name="Normal 5 5 2 5 3 3" xfId="22947" xr:uid="{91F1CD45-630C-4A17-9479-2DACBBB3BB7C}"/>
    <cellStyle name="Normal 5 5 2 5 3 4" xfId="39804" xr:uid="{BBE60FAA-71B8-4A8A-B6F3-72BF9896E459}"/>
    <cellStyle name="Normal 5 5 2 5 3 5" xfId="14512" xr:uid="{9C030327-D3E7-4402-B10B-E6DF2ECC8F32}"/>
    <cellStyle name="Normal 5 5 2 5 4" xfId="27158" xr:uid="{9CB79D7F-B439-42CC-A64B-2AF78D006339}"/>
    <cellStyle name="Normal 5 5 2 5 5" xfId="18729" xr:uid="{9EC3AA4B-802D-45C0-9CE1-DB5DE2D4997C}"/>
    <cellStyle name="Normal 5 5 2 5 6" xfId="35587" xr:uid="{E5FA9609-4DFD-4DB7-8D7D-153DC92F4A2A}"/>
    <cellStyle name="Normal 5 5 2 5 7" xfId="10294" xr:uid="{F88644B8-6852-4E9A-A5E1-555BF043CDFB}"/>
    <cellStyle name="Normal 5 5 2 6" xfId="2183" xr:uid="{00000000-0005-0000-0000-00006E1B0000}"/>
    <cellStyle name="Normal 5 5 2 6 2" xfId="4412" xr:uid="{00000000-0005-0000-0000-00006F1B0000}"/>
    <cellStyle name="Normal 5 5 2 6 2 2" xfId="8635" xr:uid="{00000000-0005-0000-0000-0000701B0000}"/>
    <cellStyle name="Normal 5 5 2 6 2 2 2" xfId="33934" xr:uid="{EC8196B6-3A41-4339-9FB6-A5B17F1BAF84}"/>
    <cellStyle name="Normal 5 5 2 6 2 2 3" xfId="25505" xr:uid="{F51DDA58-33BF-4698-92EF-793F4E2E1CE2}"/>
    <cellStyle name="Normal 5 5 2 6 2 2 4" xfId="42362" xr:uid="{ADEAE60E-D6E1-4CFC-AB00-DC2B605168F0}"/>
    <cellStyle name="Normal 5 5 2 6 2 2 5" xfId="17070" xr:uid="{BE00A3C0-64A8-4111-B9C9-58653404865F}"/>
    <cellStyle name="Normal 5 5 2 6 2 3" xfId="29716" xr:uid="{91C3E328-B590-4171-84FF-936AEE71B80A}"/>
    <cellStyle name="Normal 5 5 2 6 2 4" xfId="21287" xr:uid="{75B09F9E-F747-49FC-A2DB-263C591A50C8}"/>
    <cellStyle name="Normal 5 5 2 6 2 5" xfId="38145" xr:uid="{11D04F9B-A513-499A-A9FD-8BCD2F2F95D5}"/>
    <cellStyle name="Normal 5 5 2 6 2 6" xfId="12852" xr:uid="{FBDD27B9-7531-42F7-8240-54D5BA806D54}"/>
    <cellStyle name="Normal 5 5 2 6 3" xfId="6490" xr:uid="{00000000-0005-0000-0000-0000711B0000}"/>
    <cellStyle name="Normal 5 5 2 6 3 2" xfId="31789" xr:uid="{45229BA3-3554-4D26-AF88-432F838A815A}"/>
    <cellStyle name="Normal 5 5 2 6 3 3" xfId="23360" xr:uid="{20EA8CBF-1717-404B-9147-EEAE3323EA74}"/>
    <cellStyle name="Normal 5 5 2 6 3 4" xfId="40217" xr:uid="{FE6C1A6B-57C4-4E8A-B5D0-9F84C7501D27}"/>
    <cellStyle name="Normal 5 5 2 6 3 5" xfId="14925" xr:uid="{F37D6541-B1CC-413E-8C87-74B7A0515401}"/>
    <cellStyle name="Normal 5 5 2 6 4" xfId="27571" xr:uid="{54E25E1E-FC76-4ABF-A198-547852331F26}"/>
    <cellStyle name="Normal 5 5 2 6 5" xfId="19142" xr:uid="{BAE44B51-16A9-4B80-9243-6453CEC79C0C}"/>
    <cellStyle name="Normal 5 5 2 6 6" xfId="36000" xr:uid="{5BFED72A-7A6F-44CC-A0D7-0FB774727AFF}"/>
    <cellStyle name="Normal 5 5 2 6 7" xfId="10707" xr:uid="{03F5E52A-2DB0-4ED3-9915-08E985A66451}"/>
    <cellStyle name="Normal 5 5 2 7" xfId="2619" xr:uid="{00000000-0005-0000-0000-0000721B0000}"/>
    <cellStyle name="Normal 5 5 2 7 2" xfId="6903" xr:uid="{00000000-0005-0000-0000-0000731B0000}"/>
    <cellStyle name="Normal 5 5 2 7 2 2" xfId="32202" xr:uid="{349F4A65-87D2-470F-A377-0DC3D8461E06}"/>
    <cellStyle name="Normal 5 5 2 7 2 3" xfId="23773" xr:uid="{BE12CCAA-F134-4966-84BA-D4D528B82D66}"/>
    <cellStyle name="Normal 5 5 2 7 2 4" xfId="40630" xr:uid="{8E463D2F-1891-42BF-B17B-720FDD41A640}"/>
    <cellStyle name="Normal 5 5 2 7 2 5" xfId="15338" xr:uid="{1C0E1E1C-5C7A-46DC-945C-7EEB30C56AF5}"/>
    <cellStyle name="Normal 5 5 2 7 3" xfId="27984" xr:uid="{22B80790-B624-4CCB-9161-FF677C98C820}"/>
    <cellStyle name="Normal 5 5 2 7 4" xfId="19555" xr:uid="{7F69F97D-D01F-4E25-9CDD-BC7AE4CD5542}"/>
    <cellStyle name="Normal 5 5 2 7 5" xfId="36413" xr:uid="{0A18A2F9-EE28-4BD3-9983-CEC255D62635}"/>
    <cellStyle name="Normal 5 5 2 7 6" xfId="11120" xr:uid="{5A752827-6843-4503-95F7-F8331E0B7EB1}"/>
    <cellStyle name="Normal 5 5 2 8" xfId="4838" xr:uid="{00000000-0005-0000-0000-0000741B0000}"/>
    <cellStyle name="Normal 5 5 2 8 2" xfId="30137" xr:uid="{218494D0-9375-4C6B-B6CE-E7F171B89484}"/>
    <cellStyle name="Normal 5 5 2 8 3" xfId="21708" xr:uid="{5C785FE8-AD13-4ECE-B454-7D39D50C0773}"/>
    <cellStyle name="Normal 5 5 2 8 4" xfId="38565" xr:uid="{BFC7E7CB-EEF0-4AC9-8E1B-77D2609FB926}"/>
    <cellStyle name="Normal 5 5 2 8 5" xfId="13273" xr:uid="{1053471A-9A99-49D3-88CB-0ABC2B90FEBC}"/>
    <cellStyle name="Normal 5 5 2 9" xfId="25919" xr:uid="{DD55CEF2-15F6-4FC9-896A-42ECA87F5A8E}"/>
    <cellStyle name="Normal 5 5 3" xfId="467" xr:uid="{00000000-0005-0000-0000-0000751B0000}"/>
    <cellStyle name="Normal 5 5 3 10" xfId="34350" xr:uid="{28CF7421-F045-4C42-9C00-FFFC0EAF6A18}"/>
    <cellStyle name="Normal 5 5 3 11" xfId="9057" xr:uid="{D1939976-C523-47C2-9C75-1B0EE150C0EB}"/>
    <cellStyle name="Normal 5 5 3 2" xfId="941" xr:uid="{00000000-0005-0000-0000-0000761B0000}"/>
    <cellStyle name="Normal 5 5 3 2 2" xfId="3175" xr:uid="{00000000-0005-0000-0000-0000771B0000}"/>
    <cellStyle name="Normal 5 5 3 2 2 2" xfId="7398" xr:uid="{00000000-0005-0000-0000-0000781B0000}"/>
    <cellStyle name="Normal 5 5 3 2 2 2 2" xfId="32697" xr:uid="{D9FA54BC-DE8E-452E-BA71-B2033FEECC5F}"/>
    <cellStyle name="Normal 5 5 3 2 2 2 3" xfId="24268" xr:uid="{09DCA2F4-0EA4-4D78-9AEF-855BF5C9673D}"/>
    <cellStyle name="Normal 5 5 3 2 2 2 4" xfId="41125" xr:uid="{7677C5B9-DE2C-467E-8DBC-BC90A15FB609}"/>
    <cellStyle name="Normal 5 5 3 2 2 2 5" xfId="15833" xr:uid="{7C3CDBF1-5DC9-491E-A3EE-8333F35BF7D3}"/>
    <cellStyle name="Normal 5 5 3 2 2 3" xfId="28479" xr:uid="{14FDB29F-F26A-42E6-985F-13694256044B}"/>
    <cellStyle name="Normal 5 5 3 2 2 4" xfId="20050" xr:uid="{20AC1087-244B-4B24-8DC2-092B97884D26}"/>
    <cellStyle name="Normal 5 5 3 2 2 5" xfId="36908" xr:uid="{A2D55630-28AD-4AA6-A2A8-0C3B8DBB8673}"/>
    <cellStyle name="Normal 5 5 3 2 2 6" xfId="11615" xr:uid="{422D8FB4-A162-4333-94FE-482DA0A67B71}"/>
    <cellStyle name="Normal 5 5 3 2 3" xfId="5253" xr:uid="{00000000-0005-0000-0000-0000791B0000}"/>
    <cellStyle name="Normal 5 5 3 2 3 2" xfId="30552" xr:uid="{8E23457E-4A56-4717-B7BF-AD9CFFB02597}"/>
    <cellStyle name="Normal 5 5 3 2 3 3" xfId="22123" xr:uid="{AD5946FC-E557-43D2-BF9E-F1015B1A4F51}"/>
    <cellStyle name="Normal 5 5 3 2 3 4" xfId="38980" xr:uid="{45696A9F-2611-4DF0-963C-7213C304925E}"/>
    <cellStyle name="Normal 5 5 3 2 3 5" xfId="13688" xr:uid="{A6F1BAFA-A823-4FF2-B704-E66D6FF92229}"/>
    <cellStyle name="Normal 5 5 3 2 4" xfId="26334" xr:uid="{B5AECE38-B49D-4371-B033-45B9B0B6D724}"/>
    <cellStyle name="Normal 5 5 3 2 5" xfId="17905" xr:uid="{F2661CBE-F290-47CE-8773-437CE9C25D7A}"/>
    <cellStyle name="Normal 5 5 3 2 6" xfId="34763" xr:uid="{DB9D581F-8096-4669-8BEF-CC00FB25E033}"/>
    <cellStyle name="Normal 5 5 3 2 7" xfId="9470" xr:uid="{F77CC392-B1D9-4158-BF75-DDCA46582C99}"/>
    <cellStyle name="Normal 5 5 3 3" xfId="1358" xr:uid="{00000000-0005-0000-0000-00007A1B0000}"/>
    <cellStyle name="Normal 5 5 3 3 2" xfId="3588" xr:uid="{00000000-0005-0000-0000-00007B1B0000}"/>
    <cellStyle name="Normal 5 5 3 3 2 2" xfId="7811" xr:uid="{00000000-0005-0000-0000-00007C1B0000}"/>
    <cellStyle name="Normal 5 5 3 3 2 2 2" xfId="33110" xr:uid="{3B5E232A-0964-43D9-BD81-727C8B121050}"/>
    <cellStyle name="Normal 5 5 3 3 2 2 3" xfId="24681" xr:uid="{048D1B58-6D87-4372-9877-647D1502705C}"/>
    <cellStyle name="Normal 5 5 3 3 2 2 4" xfId="41538" xr:uid="{F86A0A7C-E30A-48B5-975F-96649C8C9EF8}"/>
    <cellStyle name="Normal 5 5 3 3 2 2 5" xfId="16246" xr:uid="{94080945-53E2-465E-8D52-8598547E5188}"/>
    <cellStyle name="Normal 5 5 3 3 2 3" xfId="28892" xr:uid="{7B4B4CA8-B852-4D34-9BD9-2F15C3CD9FD6}"/>
    <cellStyle name="Normal 5 5 3 3 2 4" xfId="20463" xr:uid="{C70AB9AF-7638-4973-9EF3-8207D4327D9E}"/>
    <cellStyle name="Normal 5 5 3 3 2 5" xfId="37321" xr:uid="{F7D90C5B-56A9-4FD9-9F5F-EAE5019B5E1F}"/>
    <cellStyle name="Normal 5 5 3 3 2 6" xfId="12028" xr:uid="{742C40B1-1C0C-424A-992B-B458E04EF8DA}"/>
    <cellStyle name="Normal 5 5 3 3 3" xfId="5666" xr:uid="{00000000-0005-0000-0000-00007D1B0000}"/>
    <cellStyle name="Normal 5 5 3 3 3 2" xfId="30965" xr:uid="{82329A1C-D14C-460B-A4F7-4FAA7415638F}"/>
    <cellStyle name="Normal 5 5 3 3 3 3" xfId="22536" xr:uid="{CCDF09AF-E220-4FBA-AB7E-859126C0909E}"/>
    <cellStyle name="Normal 5 5 3 3 3 4" xfId="39393" xr:uid="{B10108BC-D677-4CCE-84BD-17C36515549F}"/>
    <cellStyle name="Normal 5 5 3 3 3 5" xfId="14101" xr:uid="{9406F05D-B843-4785-A796-A73988566CD2}"/>
    <cellStyle name="Normal 5 5 3 3 4" xfId="26747" xr:uid="{7052A9C9-5D25-43FA-81CF-318B745182E1}"/>
    <cellStyle name="Normal 5 5 3 3 5" xfId="18318" xr:uid="{43822CAD-5A76-413C-977C-523EF7960E04}"/>
    <cellStyle name="Normal 5 5 3 3 6" xfId="35176" xr:uid="{2F3C9941-3703-4007-9DE6-431AEEF9AFDA}"/>
    <cellStyle name="Normal 5 5 3 3 7" xfId="9883" xr:uid="{51994F3F-1B09-49B9-B85B-474FE77D859E}"/>
    <cellStyle name="Normal 5 5 3 4" xfId="1771" xr:uid="{00000000-0005-0000-0000-00007E1B0000}"/>
    <cellStyle name="Normal 5 5 3 4 2" xfId="4001" xr:uid="{00000000-0005-0000-0000-00007F1B0000}"/>
    <cellStyle name="Normal 5 5 3 4 2 2" xfId="8224" xr:uid="{00000000-0005-0000-0000-0000801B0000}"/>
    <cellStyle name="Normal 5 5 3 4 2 2 2" xfId="33523" xr:uid="{9429B273-5E6D-44E9-8BA2-169B632329C1}"/>
    <cellStyle name="Normal 5 5 3 4 2 2 3" xfId="25094" xr:uid="{32127F94-C33B-4979-A296-BFEEE56D6828}"/>
    <cellStyle name="Normal 5 5 3 4 2 2 4" xfId="41951" xr:uid="{9468E76E-2202-4539-B6F1-6A0FB9DD5DED}"/>
    <cellStyle name="Normal 5 5 3 4 2 2 5" xfId="16659" xr:uid="{95E38FFA-01E1-4C16-B809-D4D607C7B30C}"/>
    <cellStyle name="Normal 5 5 3 4 2 3" xfId="29305" xr:uid="{55CFE913-927D-41C3-B27D-AD096E0FC21C}"/>
    <cellStyle name="Normal 5 5 3 4 2 4" xfId="20876" xr:uid="{D01E7C5A-8D0B-4BDC-808B-89C69B8C785D}"/>
    <cellStyle name="Normal 5 5 3 4 2 5" xfId="37734" xr:uid="{818B1CB3-F15D-4CC4-971F-02E3613284AA}"/>
    <cellStyle name="Normal 5 5 3 4 2 6" xfId="12441" xr:uid="{CC63766B-AC1E-410A-BB9C-1066F1E80C49}"/>
    <cellStyle name="Normal 5 5 3 4 3" xfId="6079" xr:uid="{00000000-0005-0000-0000-0000811B0000}"/>
    <cellStyle name="Normal 5 5 3 4 3 2" xfId="31378" xr:uid="{F74F9B98-3977-41B3-98E4-EBA309A4CB3C}"/>
    <cellStyle name="Normal 5 5 3 4 3 3" xfId="22949" xr:uid="{8E5A9DFF-BA39-4ADE-AA5E-E0713FD3444C}"/>
    <cellStyle name="Normal 5 5 3 4 3 4" xfId="39806" xr:uid="{184DA37F-7FBE-49D4-9F2C-5BDE835AAF01}"/>
    <cellStyle name="Normal 5 5 3 4 3 5" xfId="14514" xr:uid="{7E44AC4A-3C67-4B6C-A7D0-EF160BC6DBF7}"/>
    <cellStyle name="Normal 5 5 3 4 4" xfId="27160" xr:uid="{B1EB31E1-F71B-4187-89CD-9CEBB2AD2662}"/>
    <cellStyle name="Normal 5 5 3 4 5" xfId="18731" xr:uid="{2C14D1C5-F322-47F2-8F7F-F88CEB889C0E}"/>
    <cellStyle name="Normal 5 5 3 4 6" xfId="35589" xr:uid="{88172ABA-63AF-4156-85B7-F019E76EE65E}"/>
    <cellStyle name="Normal 5 5 3 4 7" xfId="10296" xr:uid="{AB9A52A7-945A-483B-BB85-BD49E1783A65}"/>
    <cellStyle name="Normal 5 5 3 5" xfId="2185" xr:uid="{00000000-0005-0000-0000-0000821B0000}"/>
    <cellStyle name="Normal 5 5 3 5 2" xfId="4414" xr:uid="{00000000-0005-0000-0000-0000831B0000}"/>
    <cellStyle name="Normal 5 5 3 5 2 2" xfId="8637" xr:uid="{00000000-0005-0000-0000-0000841B0000}"/>
    <cellStyle name="Normal 5 5 3 5 2 2 2" xfId="33936" xr:uid="{1D8AECD1-3A96-470C-82D1-009DED97A3B2}"/>
    <cellStyle name="Normal 5 5 3 5 2 2 3" xfId="25507" xr:uid="{927DF262-BECB-4D00-AF5A-A4540D91B060}"/>
    <cellStyle name="Normal 5 5 3 5 2 2 4" xfId="42364" xr:uid="{FF4C5009-609E-4B23-AC21-3C6697212078}"/>
    <cellStyle name="Normal 5 5 3 5 2 2 5" xfId="17072" xr:uid="{D19FF407-16CD-497C-9480-2BA09D7B8BFD}"/>
    <cellStyle name="Normal 5 5 3 5 2 3" xfId="29718" xr:uid="{689AD9A6-DD5F-497A-9698-6EDFC26979EF}"/>
    <cellStyle name="Normal 5 5 3 5 2 4" xfId="21289" xr:uid="{54D7A094-D48D-4E31-AB96-9424D2B0D13E}"/>
    <cellStyle name="Normal 5 5 3 5 2 5" xfId="38147" xr:uid="{3BFBDB77-658C-4675-9DFA-C89736684D33}"/>
    <cellStyle name="Normal 5 5 3 5 2 6" xfId="12854" xr:uid="{97358A84-E639-4DBF-A9E5-7D1899EF6ACE}"/>
    <cellStyle name="Normal 5 5 3 5 3" xfId="6492" xr:uid="{00000000-0005-0000-0000-0000851B0000}"/>
    <cellStyle name="Normal 5 5 3 5 3 2" xfId="31791" xr:uid="{CF1D3E7A-02FB-44AE-8B67-AFEAC090329C}"/>
    <cellStyle name="Normal 5 5 3 5 3 3" xfId="23362" xr:uid="{0257E6BF-7158-40EE-BDBB-65D95314543E}"/>
    <cellStyle name="Normal 5 5 3 5 3 4" xfId="40219" xr:uid="{AD280BA6-2BC4-4C3C-A701-38BE613B4861}"/>
    <cellStyle name="Normal 5 5 3 5 3 5" xfId="14927" xr:uid="{E168D415-2C05-4B2C-934D-D1F28EBEE73C}"/>
    <cellStyle name="Normal 5 5 3 5 4" xfId="27573" xr:uid="{FEF20E5B-FCDE-4EA5-B6C4-B225E35D7061}"/>
    <cellStyle name="Normal 5 5 3 5 5" xfId="19144" xr:uid="{CDB7751F-6A83-466D-87DD-87DADE3BCC8D}"/>
    <cellStyle name="Normal 5 5 3 5 6" xfId="36002" xr:uid="{FC0C2092-94AE-4389-B153-DC345B598405}"/>
    <cellStyle name="Normal 5 5 3 5 7" xfId="10709" xr:uid="{04139913-512E-4400-855C-AA5AA0C578DB}"/>
    <cellStyle name="Normal 5 5 3 6" xfId="2621" xr:uid="{00000000-0005-0000-0000-0000861B0000}"/>
    <cellStyle name="Normal 5 5 3 6 2" xfId="6905" xr:uid="{00000000-0005-0000-0000-0000871B0000}"/>
    <cellStyle name="Normal 5 5 3 6 2 2" xfId="32204" xr:uid="{5FCDA626-19EC-449F-B3BB-EACD941FFB21}"/>
    <cellStyle name="Normal 5 5 3 6 2 3" xfId="23775" xr:uid="{87239FEB-6229-4B79-9FB9-3B05666F192D}"/>
    <cellStyle name="Normal 5 5 3 6 2 4" xfId="40632" xr:uid="{101DEA6E-A446-44DD-97BB-870356859029}"/>
    <cellStyle name="Normal 5 5 3 6 2 5" xfId="15340" xr:uid="{EAEF1EF6-7099-4068-932E-31C1FC1A0724}"/>
    <cellStyle name="Normal 5 5 3 6 3" xfId="27986" xr:uid="{BF4AB016-4589-4927-AA38-820B25DAC63C}"/>
    <cellStyle name="Normal 5 5 3 6 4" xfId="19557" xr:uid="{DDD1D398-575A-499F-8E85-CE1480BFFEB7}"/>
    <cellStyle name="Normal 5 5 3 6 5" xfId="36415" xr:uid="{C7BFAD45-8F6A-46A1-9503-BEE9E2B7F6D4}"/>
    <cellStyle name="Normal 5 5 3 6 6" xfId="11122" xr:uid="{3B0FB57F-4684-4D32-A2F4-04C76E723C7F}"/>
    <cellStyle name="Normal 5 5 3 7" xfId="4840" xr:uid="{00000000-0005-0000-0000-0000881B0000}"/>
    <cellStyle name="Normal 5 5 3 7 2" xfId="30139" xr:uid="{9FE2E631-58DF-4645-B4FE-E0108D9F7A0B}"/>
    <cellStyle name="Normal 5 5 3 7 3" xfId="21710" xr:uid="{1E78408A-AB57-4345-B409-A2D3666C6FC1}"/>
    <cellStyle name="Normal 5 5 3 7 4" xfId="38567" xr:uid="{3558FC2E-2A45-43DE-9378-9437DBAC2AB5}"/>
    <cellStyle name="Normal 5 5 3 7 5" xfId="13275" xr:uid="{3F054F8A-AEF5-4AD4-9938-B53221CFBD51}"/>
    <cellStyle name="Normal 5 5 3 8" xfId="25921" xr:uid="{26868659-D3E0-42D1-86D0-02D5E4463FC7}"/>
    <cellStyle name="Normal 5 5 3 9" xfId="17492" xr:uid="{E9394C34-1B4A-4C01-9F1D-6924C5983544}"/>
    <cellStyle name="Normal 5 5 4" xfId="938" xr:uid="{00000000-0005-0000-0000-0000891B0000}"/>
    <cellStyle name="Normal 5 5 4 2" xfId="3172" xr:uid="{00000000-0005-0000-0000-00008A1B0000}"/>
    <cellStyle name="Normal 5 5 4 2 2" xfId="7395" xr:uid="{00000000-0005-0000-0000-00008B1B0000}"/>
    <cellStyle name="Normal 5 5 4 2 2 2" xfId="32694" xr:uid="{2A51E1E2-4045-4A05-8456-1DBD895E89C5}"/>
    <cellStyle name="Normal 5 5 4 2 2 3" xfId="24265" xr:uid="{A3C87FDB-1915-4F7B-9784-FDE6EFF0C761}"/>
    <cellStyle name="Normal 5 5 4 2 2 4" xfId="41122" xr:uid="{8957DD9F-609D-470D-AF71-8554BFFF3143}"/>
    <cellStyle name="Normal 5 5 4 2 2 5" xfId="15830" xr:uid="{B00A1F1C-A2EF-4604-9B99-B24FDDCEC844}"/>
    <cellStyle name="Normal 5 5 4 2 3" xfId="28476" xr:uid="{D327900C-29DB-47F6-8336-CF5130BB916C}"/>
    <cellStyle name="Normal 5 5 4 2 4" xfId="20047" xr:uid="{7F3969D6-BA17-4F26-B9DC-0070C7AB8408}"/>
    <cellStyle name="Normal 5 5 4 2 5" xfId="36905" xr:uid="{5550C6D2-4D04-4ED6-8273-6176D610B1FB}"/>
    <cellStyle name="Normal 5 5 4 2 6" xfId="11612" xr:uid="{934BF721-9BEB-454C-AFA3-61D33A70CA81}"/>
    <cellStyle name="Normal 5 5 4 3" xfId="5250" xr:uid="{00000000-0005-0000-0000-00008C1B0000}"/>
    <cellStyle name="Normal 5 5 4 3 2" xfId="30549" xr:uid="{FA9D7499-E339-41CE-8558-59353EF83A8B}"/>
    <cellStyle name="Normal 5 5 4 3 3" xfId="22120" xr:uid="{1E816ABB-A331-4C71-8163-A813A7DAC618}"/>
    <cellStyle name="Normal 5 5 4 3 4" xfId="38977" xr:uid="{97876835-EB6F-41C0-B5D6-918E4B90820F}"/>
    <cellStyle name="Normal 5 5 4 3 5" xfId="13685" xr:uid="{4B980B6E-653E-4605-8A0A-748BED26DFC7}"/>
    <cellStyle name="Normal 5 5 4 4" xfId="26331" xr:uid="{E09D58F5-3615-4806-B077-8D98D4A93762}"/>
    <cellStyle name="Normal 5 5 4 5" xfId="17902" xr:uid="{02FC84BA-F44F-41DC-B6BB-9A1C6397F70C}"/>
    <cellStyle name="Normal 5 5 4 6" xfId="34760" xr:uid="{1AA05CB5-CA88-4BEA-A102-12578BF7D2B4}"/>
    <cellStyle name="Normal 5 5 4 7" xfId="9467" xr:uid="{57A9C2C8-E231-48C9-8D9D-5DA3A3A2DF2F}"/>
    <cellStyle name="Normal 5 5 5" xfId="1355" xr:uid="{00000000-0005-0000-0000-00008D1B0000}"/>
    <cellStyle name="Normal 5 5 5 2" xfId="3585" xr:uid="{00000000-0005-0000-0000-00008E1B0000}"/>
    <cellStyle name="Normal 5 5 5 2 2" xfId="7808" xr:uid="{00000000-0005-0000-0000-00008F1B0000}"/>
    <cellStyle name="Normal 5 5 5 2 2 2" xfId="33107" xr:uid="{E0BFD05C-AE75-42A1-A6A9-74DB6A8257BB}"/>
    <cellStyle name="Normal 5 5 5 2 2 3" xfId="24678" xr:uid="{6CEC23D6-4723-437E-B59C-8E37595636F9}"/>
    <cellStyle name="Normal 5 5 5 2 2 4" xfId="41535" xr:uid="{5F76B337-529A-46B5-B32B-4D22A5BE21A4}"/>
    <cellStyle name="Normal 5 5 5 2 2 5" xfId="16243" xr:uid="{2549191C-1219-4336-8283-954C33102233}"/>
    <cellStyle name="Normal 5 5 5 2 3" xfId="28889" xr:uid="{49CBEA59-C443-49AA-9590-C37B1D5AD620}"/>
    <cellStyle name="Normal 5 5 5 2 4" xfId="20460" xr:uid="{CA9E4446-1FBE-4AF4-8BF3-B0D64E27F01B}"/>
    <cellStyle name="Normal 5 5 5 2 5" xfId="37318" xr:uid="{7ED31EB3-FF71-4242-A4BB-3B37EEB0EAAB}"/>
    <cellStyle name="Normal 5 5 5 2 6" xfId="12025" xr:uid="{6BEF9AE6-1908-4316-AFD5-3D678BA0AB0B}"/>
    <cellStyle name="Normal 5 5 5 3" xfId="5663" xr:uid="{00000000-0005-0000-0000-0000901B0000}"/>
    <cellStyle name="Normal 5 5 5 3 2" xfId="30962" xr:uid="{BB3E1155-BE46-4579-BE24-5E48FAA6280C}"/>
    <cellStyle name="Normal 5 5 5 3 3" xfId="22533" xr:uid="{E4727413-0364-42EA-B5D0-D1AC9DBB6D2D}"/>
    <cellStyle name="Normal 5 5 5 3 4" xfId="39390" xr:uid="{8037FDA5-68AB-4A52-9B46-F7D5A93F27B7}"/>
    <cellStyle name="Normal 5 5 5 3 5" xfId="14098" xr:uid="{498DE86D-BC97-4F6D-A894-2ED283CD2CCB}"/>
    <cellStyle name="Normal 5 5 5 4" xfId="26744" xr:uid="{379A3D69-322B-45E3-B899-31E0DAAA8F91}"/>
    <cellStyle name="Normal 5 5 5 5" xfId="18315" xr:uid="{81EB94EA-35A7-4392-89F0-9B62B76F5B8E}"/>
    <cellStyle name="Normal 5 5 5 6" xfId="35173" xr:uid="{2636943D-D7FB-4898-96F4-BEF7642F7D6B}"/>
    <cellStyle name="Normal 5 5 5 7" xfId="9880" xr:uid="{B262A420-7CA2-4A8F-8D70-3C0337C34D39}"/>
    <cellStyle name="Normal 5 5 6" xfId="1768" xr:uid="{00000000-0005-0000-0000-0000911B0000}"/>
    <cellStyle name="Normal 5 5 6 2" xfId="3998" xr:uid="{00000000-0005-0000-0000-0000921B0000}"/>
    <cellStyle name="Normal 5 5 6 2 2" xfId="8221" xr:uid="{00000000-0005-0000-0000-0000931B0000}"/>
    <cellStyle name="Normal 5 5 6 2 2 2" xfId="33520" xr:uid="{227398AF-42DC-4AF0-BB02-9B64CA75942D}"/>
    <cellStyle name="Normal 5 5 6 2 2 3" xfId="25091" xr:uid="{723BD831-7009-487C-B5A0-5A11D26573D1}"/>
    <cellStyle name="Normal 5 5 6 2 2 4" xfId="41948" xr:uid="{0A2E1CC0-07E3-4C28-89BF-47940D73471D}"/>
    <cellStyle name="Normal 5 5 6 2 2 5" xfId="16656" xr:uid="{31C7E80B-F7AB-4435-912C-5E68F9AB56E5}"/>
    <cellStyle name="Normal 5 5 6 2 3" xfId="29302" xr:uid="{5AA84050-A6A7-4B2F-A3A6-F9DD134E6978}"/>
    <cellStyle name="Normal 5 5 6 2 4" xfId="20873" xr:uid="{60D1A979-E22D-4066-909F-299F39212890}"/>
    <cellStyle name="Normal 5 5 6 2 5" xfId="37731" xr:uid="{32099C5A-0A39-42DE-8FE2-FF14CB6C066E}"/>
    <cellStyle name="Normal 5 5 6 2 6" xfId="12438" xr:uid="{43E97AAC-D5F7-4E28-901A-28CB61380B36}"/>
    <cellStyle name="Normal 5 5 6 3" xfId="6076" xr:uid="{00000000-0005-0000-0000-0000941B0000}"/>
    <cellStyle name="Normal 5 5 6 3 2" xfId="31375" xr:uid="{D2E825A5-6DE2-4D7F-B133-0E5C95DF0C22}"/>
    <cellStyle name="Normal 5 5 6 3 3" xfId="22946" xr:uid="{6C75F3F4-CF28-41C2-8B7C-6D0670EF8B13}"/>
    <cellStyle name="Normal 5 5 6 3 4" xfId="39803" xr:uid="{8F1789D5-64A5-485F-B189-8B0E5120F4A5}"/>
    <cellStyle name="Normal 5 5 6 3 5" xfId="14511" xr:uid="{72D33B65-B758-47A5-BFCC-E3EDEC69B435}"/>
    <cellStyle name="Normal 5 5 6 4" xfId="27157" xr:uid="{4B562CA5-2F26-430C-81AC-E3A8C61355AC}"/>
    <cellStyle name="Normal 5 5 6 5" xfId="18728" xr:uid="{683EEE6B-B317-409D-836B-1F7457E3B380}"/>
    <cellStyle name="Normal 5 5 6 6" xfId="35586" xr:uid="{90C9E40F-A231-440C-8D7F-E5A018DB7FD8}"/>
    <cellStyle name="Normal 5 5 6 7" xfId="10293" xr:uid="{D0AF4D07-8F1F-4558-AC2F-A784A85435F9}"/>
    <cellStyle name="Normal 5 5 7" xfId="2182" xr:uid="{00000000-0005-0000-0000-0000951B0000}"/>
    <cellStyle name="Normal 5 5 7 2" xfId="4411" xr:uid="{00000000-0005-0000-0000-0000961B0000}"/>
    <cellStyle name="Normal 5 5 7 2 2" xfId="8634" xr:uid="{00000000-0005-0000-0000-0000971B0000}"/>
    <cellStyle name="Normal 5 5 7 2 2 2" xfId="33933" xr:uid="{AF2741AF-1BAD-4F35-BCD3-9549C0BE9F85}"/>
    <cellStyle name="Normal 5 5 7 2 2 3" xfId="25504" xr:uid="{B13A04B9-811D-4492-A2AD-6AAA9F5DC4B6}"/>
    <cellStyle name="Normal 5 5 7 2 2 4" xfId="42361" xr:uid="{5914B474-D8EF-4D58-A275-23C22B96BC42}"/>
    <cellStyle name="Normal 5 5 7 2 2 5" xfId="17069" xr:uid="{E11BFD1C-0B27-4B3E-A1B6-7285F46257ED}"/>
    <cellStyle name="Normal 5 5 7 2 3" xfId="29715" xr:uid="{427227ED-6155-4E3A-A4CA-16BF194890BA}"/>
    <cellStyle name="Normal 5 5 7 2 4" xfId="21286" xr:uid="{10678152-C89A-4C55-B132-D6558FD6EF9D}"/>
    <cellStyle name="Normal 5 5 7 2 5" xfId="38144" xr:uid="{2FB5C6BE-0049-42DF-9305-89404E23B2F9}"/>
    <cellStyle name="Normal 5 5 7 2 6" xfId="12851" xr:uid="{B0D1EA59-3D31-4E42-B399-98C65ED2FA47}"/>
    <cellStyle name="Normal 5 5 7 3" xfId="6489" xr:uid="{00000000-0005-0000-0000-0000981B0000}"/>
    <cellStyle name="Normal 5 5 7 3 2" xfId="31788" xr:uid="{7AD57224-F58C-4A06-9AFD-C9E22DECAFC8}"/>
    <cellStyle name="Normal 5 5 7 3 3" xfId="23359" xr:uid="{F65BDC24-F9D5-41DC-9182-D7A64D3F67E7}"/>
    <cellStyle name="Normal 5 5 7 3 4" xfId="40216" xr:uid="{BF42CAD2-A123-4B34-BBA8-23D79B9440AC}"/>
    <cellStyle name="Normal 5 5 7 3 5" xfId="14924" xr:uid="{949750EA-E240-4E51-AB10-163E74684FDA}"/>
    <cellStyle name="Normal 5 5 7 4" xfId="27570" xr:uid="{2E188968-16F0-4959-999E-D9B938EA95E0}"/>
    <cellStyle name="Normal 5 5 7 5" xfId="19141" xr:uid="{ED78FEA8-BE66-43E7-842B-C8A58D205894}"/>
    <cellStyle name="Normal 5 5 7 6" xfId="35999" xr:uid="{07505289-5589-4BDF-BA7A-701B8292DC7C}"/>
    <cellStyle name="Normal 5 5 7 7" xfId="10706" xr:uid="{536B64B2-4E11-4B5E-924F-8ED07ADE1D88}"/>
    <cellStyle name="Normal 5 5 8" xfId="2618" xr:uid="{00000000-0005-0000-0000-0000991B0000}"/>
    <cellStyle name="Normal 5 5 8 2" xfId="6902" xr:uid="{00000000-0005-0000-0000-00009A1B0000}"/>
    <cellStyle name="Normal 5 5 8 2 2" xfId="32201" xr:uid="{9ADD2DF6-5C34-4374-90A9-85C191CC096B}"/>
    <cellStyle name="Normal 5 5 8 2 3" xfId="23772" xr:uid="{02565F1C-0629-4F29-B325-F058EC5427E5}"/>
    <cellStyle name="Normal 5 5 8 2 4" xfId="40629" xr:uid="{5939C607-CF72-48F0-A105-43818B72A15F}"/>
    <cellStyle name="Normal 5 5 8 2 5" xfId="15337" xr:uid="{31386841-881A-4FC2-945F-C9C2EE00AE17}"/>
    <cellStyle name="Normal 5 5 8 3" xfId="27983" xr:uid="{435C1682-F49D-4D27-86CD-BEDA1B96DE86}"/>
    <cellStyle name="Normal 5 5 8 4" xfId="19554" xr:uid="{A6931E5E-EB22-4A4C-A20A-B9C25A791C78}"/>
    <cellStyle name="Normal 5 5 8 5" xfId="36412" xr:uid="{B0933740-6A4C-4021-94E3-F6B15A534572}"/>
    <cellStyle name="Normal 5 5 8 6" xfId="11119" xr:uid="{06C1F527-B363-449C-B768-EB609DAC4397}"/>
    <cellStyle name="Normal 5 5 9" xfId="4837" xr:uid="{00000000-0005-0000-0000-00009B1B0000}"/>
    <cellStyle name="Normal 5 5 9 2" xfId="30136" xr:uid="{4D835ADE-5ED7-4494-BE76-98ABB6DB7991}"/>
    <cellStyle name="Normal 5 5 9 3" xfId="21707" xr:uid="{4BF97E55-5220-4A22-99E0-C3C3D6E0BCD2}"/>
    <cellStyle name="Normal 5 5 9 4" xfId="38564" xr:uid="{8ACB4C2B-082A-432E-A777-1FC3B206234C}"/>
    <cellStyle name="Normal 5 5 9 5" xfId="13272" xr:uid="{04E524F1-F628-47F5-B696-7E4140684899}"/>
    <cellStyle name="Normal 5 6" xfId="468" xr:uid="{00000000-0005-0000-0000-00009C1B0000}"/>
    <cellStyle name="Normal 5 6 10" xfId="17493" xr:uid="{65CF81BB-120A-4D3F-B270-2EC7C1EBC2BA}"/>
    <cellStyle name="Normal 5 6 11" xfId="34351" xr:uid="{57708F0F-37C0-4A0E-99E7-7BD71C1CC87B}"/>
    <cellStyle name="Normal 5 6 12" xfId="9058" xr:uid="{85AA6EBF-6C02-4CD8-A28E-F69066622487}"/>
    <cellStyle name="Normal 5 6 2" xfId="469" xr:uid="{00000000-0005-0000-0000-00009D1B0000}"/>
    <cellStyle name="Normal 5 6 2 10" xfId="34352" xr:uid="{7E350478-21A3-48A3-8DF7-DE97B9FE0D71}"/>
    <cellStyle name="Normal 5 6 2 11" xfId="9059" xr:uid="{287A9994-B9DB-4A7E-9C5E-AE064514B7E6}"/>
    <cellStyle name="Normal 5 6 2 2" xfId="943" xr:uid="{00000000-0005-0000-0000-00009E1B0000}"/>
    <cellStyle name="Normal 5 6 2 2 2" xfId="3177" xr:uid="{00000000-0005-0000-0000-00009F1B0000}"/>
    <cellStyle name="Normal 5 6 2 2 2 2" xfId="7400" xr:uid="{00000000-0005-0000-0000-0000A01B0000}"/>
    <cellStyle name="Normal 5 6 2 2 2 2 2" xfId="32699" xr:uid="{E35FBFC9-C0FB-49AF-A9D5-22F5A300BA1C}"/>
    <cellStyle name="Normal 5 6 2 2 2 2 3" xfId="24270" xr:uid="{5A64F827-891A-4BAC-868F-973719893216}"/>
    <cellStyle name="Normal 5 6 2 2 2 2 4" xfId="41127" xr:uid="{77963B2D-BA81-4226-AF31-D620FB0F89B2}"/>
    <cellStyle name="Normal 5 6 2 2 2 2 5" xfId="15835" xr:uid="{907F1B1F-1474-427E-BE5F-107C2AA803C6}"/>
    <cellStyle name="Normal 5 6 2 2 2 3" xfId="28481" xr:uid="{27A56C6A-DB5F-4A3F-9BAB-FB3E8986A58C}"/>
    <cellStyle name="Normal 5 6 2 2 2 4" xfId="20052" xr:uid="{9F974131-7E93-407A-AEEE-E430DEA5B4F7}"/>
    <cellStyle name="Normal 5 6 2 2 2 5" xfId="36910" xr:uid="{9F51BBF5-0915-4F8C-93C8-37E8EE471CFA}"/>
    <cellStyle name="Normal 5 6 2 2 2 6" xfId="11617" xr:uid="{79D61EF9-2FE4-4877-A1FA-A36B06DF1A2F}"/>
    <cellStyle name="Normal 5 6 2 2 3" xfId="5255" xr:uid="{00000000-0005-0000-0000-0000A11B0000}"/>
    <cellStyle name="Normal 5 6 2 2 3 2" xfId="30554" xr:uid="{B8D7BAA5-9350-4839-9753-4CCB8AEC0BE6}"/>
    <cellStyle name="Normal 5 6 2 2 3 3" xfId="22125" xr:uid="{230BF1F7-B0A3-4C35-8CFB-36F7B7AC8ADC}"/>
    <cellStyle name="Normal 5 6 2 2 3 4" xfId="38982" xr:uid="{62C90C67-E92E-475D-8B80-27387E070F11}"/>
    <cellStyle name="Normal 5 6 2 2 3 5" xfId="13690" xr:uid="{8179D2E7-9E7F-43A1-B27B-D05BD83D73BB}"/>
    <cellStyle name="Normal 5 6 2 2 4" xfId="26336" xr:uid="{24B136A3-6AD9-4893-9248-F1932C663876}"/>
    <cellStyle name="Normal 5 6 2 2 5" xfId="17907" xr:uid="{4E60699F-CDAE-484D-89B7-6C38CE9D4C32}"/>
    <cellStyle name="Normal 5 6 2 2 6" xfId="34765" xr:uid="{ED20AC86-02CD-4BAC-A97C-BB10773D1B45}"/>
    <cellStyle name="Normal 5 6 2 2 7" xfId="9472" xr:uid="{BD1F3987-CDDF-40B4-9CBB-27DC8F1CB4EC}"/>
    <cellStyle name="Normal 5 6 2 3" xfId="1360" xr:uid="{00000000-0005-0000-0000-0000A21B0000}"/>
    <cellStyle name="Normal 5 6 2 3 2" xfId="3590" xr:uid="{00000000-0005-0000-0000-0000A31B0000}"/>
    <cellStyle name="Normal 5 6 2 3 2 2" xfId="7813" xr:uid="{00000000-0005-0000-0000-0000A41B0000}"/>
    <cellStyle name="Normal 5 6 2 3 2 2 2" xfId="33112" xr:uid="{18E84620-0534-46D5-8709-077C7C028D0C}"/>
    <cellStyle name="Normal 5 6 2 3 2 2 3" xfId="24683" xr:uid="{B79DD665-B627-4863-931F-5DD5F6634B16}"/>
    <cellStyle name="Normal 5 6 2 3 2 2 4" xfId="41540" xr:uid="{78F66536-B615-49AA-B146-F3952E0B7DA2}"/>
    <cellStyle name="Normal 5 6 2 3 2 2 5" xfId="16248" xr:uid="{39949FE9-9DCA-44CE-A5E0-8C8A9E158E76}"/>
    <cellStyle name="Normal 5 6 2 3 2 3" xfId="28894" xr:uid="{C5157847-EFBD-4A7D-80AA-EDAF8B76A20B}"/>
    <cellStyle name="Normal 5 6 2 3 2 4" xfId="20465" xr:uid="{33F75B03-B699-495D-9D60-0FE73CD801FE}"/>
    <cellStyle name="Normal 5 6 2 3 2 5" xfId="37323" xr:uid="{9A895D6F-CF06-46CE-A4BC-E120C26D1647}"/>
    <cellStyle name="Normal 5 6 2 3 2 6" xfId="12030" xr:uid="{192F8530-8F49-480A-B013-272A5DC31454}"/>
    <cellStyle name="Normal 5 6 2 3 3" xfId="5668" xr:uid="{00000000-0005-0000-0000-0000A51B0000}"/>
    <cellStyle name="Normal 5 6 2 3 3 2" xfId="30967" xr:uid="{93620B00-222D-43A6-822B-0B9A5B7888F2}"/>
    <cellStyle name="Normal 5 6 2 3 3 3" xfId="22538" xr:uid="{6194055A-02DE-4AD6-B934-B785855FEEBD}"/>
    <cellStyle name="Normal 5 6 2 3 3 4" xfId="39395" xr:uid="{059C6483-2312-4C2E-B77F-3576EC4104FC}"/>
    <cellStyle name="Normal 5 6 2 3 3 5" xfId="14103" xr:uid="{BE7D266E-B210-44A4-AA8F-3BE309B0282C}"/>
    <cellStyle name="Normal 5 6 2 3 4" xfId="26749" xr:uid="{35C182F0-52BA-4F75-82C1-D6AD7F384788}"/>
    <cellStyle name="Normal 5 6 2 3 5" xfId="18320" xr:uid="{A0D834F5-1489-49EA-95B7-54FD8626CF4F}"/>
    <cellStyle name="Normal 5 6 2 3 6" xfId="35178" xr:uid="{3BE2FDF6-1A87-4E13-8CC4-A894B627BA7A}"/>
    <cellStyle name="Normal 5 6 2 3 7" xfId="9885" xr:uid="{EB0BA25B-CB8B-4539-99A9-430C578578A3}"/>
    <cellStyle name="Normal 5 6 2 4" xfId="1773" xr:uid="{00000000-0005-0000-0000-0000A61B0000}"/>
    <cellStyle name="Normal 5 6 2 4 2" xfId="4003" xr:uid="{00000000-0005-0000-0000-0000A71B0000}"/>
    <cellStyle name="Normal 5 6 2 4 2 2" xfId="8226" xr:uid="{00000000-0005-0000-0000-0000A81B0000}"/>
    <cellStyle name="Normal 5 6 2 4 2 2 2" xfId="33525" xr:uid="{BFD91598-8D27-4C5F-A815-05890AA538DE}"/>
    <cellStyle name="Normal 5 6 2 4 2 2 3" xfId="25096" xr:uid="{8390E6D8-A285-41CE-BDF8-7AF1037AB7A3}"/>
    <cellStyle name="Normal 5 6 2 4 2 2 4" xfId="41953" xr:uid="{7EAEB927-FAB5-4EF8-B4F5-374AB73E105D}"/>
    <cellStyle name="Normal 5 6 2 4 2 2 5" xfId="16661" xr:uid="{07D30922-5FCE-4F42-9BD0-B9CBD1B50BA4}"/>
    <cellStyle name="Normal 5 6 2 4 2 3" xfId="29307" xr:uid="{782003C5-79EF-4F44-96EC-138FB9CA94B9}"/>
    <cellStyle name="Normal 5 6 2 4 2 4" xfId="20878" xr:uid="{C5C86A7C-AF16-49DD-AA2F-F42E2225F806}"/>
    <cellStyle name="Normal 5 6 2 4 2 5" xfId="37736" xr:uid="{3B63892C-125E-4352-A774-2214734FD37A}"/>
    <cellStyle name="Normal 5 6 2 4 2 6" xfId="12443" xr:uid="{9BEFB23D-3CAC-42EF-853F-7C3ED335D6F7}"/>
    <cellStyle name="Normal 5 6 2 4 3" xfId="6081" xr:uid="{00000000-0005-0000-0000-0000A91B0000}"/>
    <cellStyle name="Normal 5 6 2 4 3 2" xfId="31380" xr:uid="{F833FB59-3AB5-4F28-A562-F986719A2FDE}"/>
    <cellStyle name="Normal 5 6 2 4 3 3" xfId="22951" xr:uid="{FED42F57-4B80-43DD-81C4-5466C4ACD39D}"/>
    <cellStyle name="Normal 5 6 2 4 3 4" xfId="39808" xr:uid="{003449A7-A760-4B5A-B6E7-4659B7D54C70}"/>
    <cellStyle name="Normal 5 6 2 4 3 5" xfId="14516" xr:uid="{348DB74C-237F-4D88-B7A6-E67234BBC477}"/>
    <cellStyle name="Normal 5 6 2 4 4" xfId="27162" xr:uid="{89B38CA1-AA38-46C4-B491-4C4F89653742}"/>
    <cellStyle name="Normal 5 6 2 4 5" xfId="18733" xr:uid="{8EDF1FE8-AFCA-4317-A831-1B09A9AE303E}"/>
    <cellStyle name="Normal 5 6 2 4 6" xfId="35591" xr:uid="{02728642-E77C-4CA2-AC5D-C75B3D4A859C}"/>
    <cellStyle name="Normal 5 6 2 4 7" xfId="10298" xr:uid="{69C60E3D-1B37-42BC-9CF5-50D24F7CD046}"/>
    <cellStyle name="Normal 5 6 2 5" xfId="2187" xr:uid="{00000000-0005-0000-0000-0000AA1B0000}"/>
    <cellStyle name="Normal 5 6 2 5 2" xfId="4416" xr:uid="{00000000-0005-0000-0000-0000AB1B0000}"/>
    <cellStyle name="Normal 5 6 2 5 2 2" xfId="8639" xr:uid="{00000000-0005-0000-0000-0000AC1B0000}"/>
    <cellStyle name="Normal 5 6 2 5 2 2 2" xfId="33938" xr:uid="{923FF195-69C2-4BFA-9FCA-D7119DCD6BA3}"/>
    <cellStyle name="Normal 5 6 2 5 2 2 3" xfId="25509" xr:uid="{43F3C30F-9515-4F80-A425-381D447388FB}"/>
    <cellStyle name="Normal 5 6 2 5 2 2 4" xfId="42366" xr:uid="{649BAC6B-13E3-4E2D-BC46-3B70CCC28020}"/>
    <cellStyle name="Normal 5 6 2 5 2 2 5" xfId="17074" xr:uid="{3412FB3D-C2EB-494A-A2B2-45BC575FF7C0}"/>
    <cellStyle name="Normal 5 6 2 5 2 3" xfId="29720" xr:uid="{2B66A451-73C6-4D8B-85EA-40B9BD1B5C92}"/>
    <cellStyle name="Normal 5 6 2 5 2 4" xfId="21291" xr:uid="{5BAE4B13-23AC-41A0-A82D-B2C5DD07C081}"/>
    <cellStyle name="Normal 5 6 2 5 2 5" xfId="38149" xr:uid="{EBDB0059-637C-46DF-ACC0-95E95CD65D8E}"/>
    <cellStyle name="Normal 5 6 2 5 2 6" xfId="12856" xr:uid="{1FD6B82F-B2D0-4D5B-8949-A25584987582}"/>
    <cellStyle name="Normal 5 6 2 5 3" xfId="6494" xr:uid="{00000000-0005-0000-0000-0000AD1B0000}"/>
    <cellStyle name="Normal 5 6 2 5 3 2" xfId="31793" xr:uid="{DB3DA8E1-E0CA-496A-9899-0E44A5CB0F4D}"/>
    <cellStyle name="Normal 5 6 2 5 3 3" xfId="23364" xr:uid="{310344D4-5A4D-405E-8538-DC359309EA64}"/>
    <cellStyle name="Normal 5 6 2 5 3 4" xfId="40221" xr:uid="{5E790F61-F233-4D22-BE6E-BACB0BB82ACB}"/>
    <cellStyle name="Normal 5 6 2 5 3 5" xfId="14929" xr:uid="{C6935C30-5536-425B-BB23-A4F69FFD21F6}"/>
    <cellStyle name="Normal 5 6 2 5 4" xfId="27575" xr:uid="{9782AAE6-CC41-4278-BF36-75AA17767B8B}"/>
    <cellStyle name="Normal 5 6 2 5 5" xfId="19146" xr:uid="{56259BB2-922A-4B4A-B52B-DBA875CB3DA3}"/>
    <cellStyle name="Normal 5 6 2 5 6" xfId="36004" xr:uid="{090D3C9A-3BE7-47B1-9785-28659B12C96A}"/>
    <cellStyle name="Normal 5 6 2 5 7" xfId="10711" xr:uid="{7BCBEDC3-5712-4C18-B13C-96E92A935357}"/>
    <cellStyle name="Normal 5 6 2 6" xfId="2623" xr:uid="{00000000-0005-0000-0000-0000AE1B0000}"/>
    <cellStyle name="Normal 5 6 2 6 2" xfId="6907" xr:uid="{00000000-0005-0000-0000-0000AF1B0000}"/>
    <cellStyle name="Normal 5 6 2 6 2 2" xfId="32206" xr:uid="{50BF50EE-8EA2-4BF7-86F8-D8E0A63EE2B0}"/>
    <cellStyle name="Normal 5 6 2 6 2 3" xfId="23777" xr:uid="{98CF2A64-8753-4FE6-9866-5ECACF876852}"/>
    <cellStyle name="Normal 5 6 2 6 2 4" xfId="40634" xr:uid="{AF33F7B3-67F8-4743-BB49-580C6BF4E20E}"/>
    <cellStyle name="Normal 5 6 2 6 2 5" xfId="15342" xr:uid="{E6E1290A-961F-4ADB-8DF3-5F5A7141123B}"/>
    <cellStyle name="Normal 5 6 2 6 3" xfId="27988" xr:uid="{46696720-563B-4B47-ACD4-4D8D14B794CA}"/>
    <cellStyle name="Normal 5 6 2 6 4" xfId="19559" xr:uid="{29B742F0-3A76-4548-B82E-C912FBC5A30A}"/>
    <cellStyle name="Normal 5 6 2 6 5" xfId="36417" xr:uid="{B4E0FC7A-26D9-4DBE-B436-02FF82996AA1}"/>
    <cellStyle name="Normal 5 6 2 6 6" xfId="11124" xr:uid="{7A65E22D-F0AD-4A16-A585-34107A8345B0}"/>
    <cellStyle name="Normal 5 6 2 7" xfId="4842" xr:uid="{00000000-0005-0000-0000-0000B01B0000}"/>
    <cellStyle name="Normal 5 6 2 7 2" xfId="30141" xr:uid="{C4D20347-6912-4805-AD75-5D52E092960A}"/>
    <cellStyle name="Normal 5 6 2 7 3" xfId="21712" xr:uid="{0D8C272E-1CF3-4F7B-9B3C-E67710B6BFA8}"/>
    <cellStyle name="Normal 5 6 2 7 4" xfId="38569" xr:uid="{B27EF07F-7E95-407C-9DB4-756B4C7235B6}"/>
    <cellStyle name="Normal 5 6 2 7 5" xfId="13277" xr:uid="{7BAF6E3F-E567-44FB-BD8C-ABFFBBD4E308}"/>
    <cellStyle name="Normal 5 6 2 8" xfId="25923" xr:uid="{BFCDFEAA-FE92-4C60-8123-F20C6C0998F4}"/>
    <cellStyle name="Normal 5 6 2 9" xfId="17494" xr:uid="{A5B96B6B-2DBD-47E2-B574-D7B3671290A6}"/>
    <cellStyle name="Normal 5 6 3" xfId="942" xr:uid="{00000000-0005-0000-0000-0000B11B0000}"/>
    <cellStyle name="Normal 5 6 3 2" xfId="3176" xr:uid="{00000000-0005-0000-0000-0000B21B0000}"/>
    <cellStyle name="Normal 5 6 3 2 2" xfId="7399" xr:uid="{00000000-0005-0000-0000-0000B31B0000}"/>
    <cellStyle name="Normal 5 6 3 2 2 2" xfId="32698" xr:uid="{FCD22A19-3446-4701-8B38-7D367FBF3C2B}"/>
    <cellStyle name="Normal 5 6 3 2 2 3" xfId="24269" xr:uid="{E9E33AFE-F66C-4A34-AA38-181BDA6F7AD3}"/>
    <cellStyle name="Normal 5 6 3 2 2 4" xfId="41126" xr:uid="{F19096D2-6904-4087-A54A-0D9AAE39A580}"/>
    <cellStyle name="Normal 5 6 3 2 2 5" xfId="15834" xr:uid="{804D62C1-2FE9-4A59-9DA6-02A53DA82DBF}"/>
    <cellStyle name="Normal 5 6 3 2 3" xfId="28480" xr:uid="{A2746084-410F-4822-B443-7F5B0E12014D}"/>
    <cellStyle name="Normal 5 6 3 2 4" xfId="20051" xr:uid="{16AD6BD7-CC6B-4BA9-B7A3-F6CBEF631B7B}"/>
    <cellStyle name="Normal 5 6 3 2 5" xfId="36909" xr:uid="{F8C7B01B-A26C-4673-83EB-1DF6296A8FD6}"/>
    <cellStyle name="Normal 5 6 3 2 6" xfId="11616" xr:uid="{0B837E41-8EE3-43CE-8A54-93C820212F36}"/>
    <cellStyle name="Normal 5 6 3 3" xfId="5254" xr:uid="{00000000-0005-0000-0000-0000B41B0000}"/>
    <cellStyle name="Normal 5 6 3 3 2" xfId="30553" xr:uid="{D6FDA345-E5D3-4577-A784-95424CCC1A43}"/>
    <cellStyle name="Normal 5 6 3 3 3" xfId="22124" xr:uid="{38BA8F41-B6C7-4A5F-8507-A35759430194}"/>
    <cellStyle name="Normal 5 6 3 3 4" xfId="38981" xr:uid="{075F4EE3-1A92-4D61-BC18-EFA1038DEA98}"/>
    <cellStyle name="Normal 5 6 3 3 5" xfId="13689" xr:uid="{4BC3A552-8188-4E18-8E7F-AE486A7A1D3B}"/>
    <cellStyle name="Normal 5 6 3 4" xfId="26335" xr:uid="{ABF45521-9916-4BFE-AE3C-F5B18397A659}"/>
    <cellStyle name="Normal 5 6 3 5" xfId="17906" xr:uid="{F6606EA6-1A7B-47D8-B020-71EB6C986043}"/>
    <cellStyle name="Normal 5 6 3 6" xfId="34764" xr:uid="{5F1067BA-6D8D-424C-9104-2E0E2C0871A4}"/>
    <cellStyle name="Normal 5 6 3 7" xfId="9471" xr:uid="{5E54D760-DBF3-49AE-A958-025F5D399FD9}"/>
    <cellStyle name="Normal 5 6 4" xfId="1359" xr:uid="{00000000-0005-0000-0000-0000B51B0000}"/>
    <cellStyle name="Normal 5 6 4 2" xfId="3589" xr:uid="{00000000-0005-0000-0000-0000B61B0000}"/>
    <cellStyle name="Normal 5 6 4 2 2" xfId="7812" xr:uid="{00000000-0005-0000-0000-0000B71B0000}"/>
    <cellStyle name="Normal 5 6 4 2 2 2" xfId="33111" xr:uid="{E1C23C8B-6A8F-4829-8ADD-5F35DDB4DBEF}"/>
    <cellStyle name="Normal 5 6 4 2 2 3" xfId="24682" xr:uid="{07308604-98D4-4450-9B29-0CE9B49A7E7D}"/>
    <cellStyle name="Normal 5 6 4 2 2 4" xfId="41539" xr:uid="{D9F3DDA1-DA84-4D05-AC70-AEDFC78C54DE}"/>
    <cellStyle name="Normal 5 6 4 2 2 5" xfId="16247" xr:uid="{9CDC25AB-69DB-43D4-9EBA-6AE8F0134E93}"/>
    <cellStyle name="Normal 5 6 4 2 3" xfId="28893" xr:uid="{DC341806-906D-46BD-B8D9-6F16C2AF017B}"/>
    <cellStyle name="Normal 5 6 4 2 4" xfId="20464" xr:uid="{BCEA685F-B2B4-4E8F-AEC1-4817DED61F45}"/>
    <cellStyle name="Normal 5 6 4 2 5" xfId="37322" xr:uid="{B19BB8C8-C037-43B3-9AF2-DD3A6D644BB0}"/>
    <cellStyle name="Normal 5 6 4 2 6" xfId="12029" xr:uid="{A7B89D6C-BD27-4DC9-9F1C-C9154C0743CE}"/>
    <cellStyle name="Normal 5 6 4 3" xfId="5667" xr:uid="{00000000-0005-0000-0000-0000B81B0000}"/>
    <cellStyle name="Normal 5 6 4 3 2" xfId="30966" xr:uid="{24A25C82-A25F-484D-9F13-E12C0D3E390F}"/>
    <cellStyle name="Normal 5 6 4 3 3" xfId="22537" xr:uid="{83850AE5-9854-4451-AB69-228D20DAC129}"/>
    <cellStyle name="Normal 5 6 4 3 4" xfId="39394" xr:uid="{F52ADE3C-1682-4305-A2DE-95C5526E4EA6}"/>
    <cellStyle name="Normal 5 6 4 3 5" xfId="14102" xr:uid="{60C1DAF2-8AA6-4D53-8D34-83389DBDF69D}"/>
    <cellStyle name="Normal 5 6 4 4" xfId="26748" xr:uid="{3968F46C-D010-48CB-A471-77063184B46A}"/>
    <cellStyle name="Normal 5 6 4 5" xfId="18319" xr:uid="{660C2E65-1F4B-471D-ACA6-C15FA91AA32B}"/>
    <cellStyle name="Normal 5 6 4 6" xfId="35177" xr:uid="{67A8A452-6938-4077-B856-59847489A507}"/>
    <cellStyle name="Normal 5 6 4 7" xfId="9884" xr:uid="{F5038D7F-ED91-4995-BA75-03C9DC6EDDF6}"/>
    <cellStyle name="Normal 5 6 5" xfId="1772" xr:uid="{00000000-0005-0000-0000-0000B91B0000}"/>
    <cellStyle name="Normal 5 6 5 2" xfId="4002" xr:uid="{00000000-0005-0000-0000-0000BA1B0000}"/>
    <cellStyle name="Normal 5 6 5 2 2" xfId="8225" xr:uid="{00000000-0005-0000-0000-0000BB1B0000}"/>
    <cellStyle name="Normal 5 6 5 2 2 2" xfId="33524" xr:uid="{4774C123-F4DD-4C2A-9ED3-15FEA17526E1}"/>
    <cellStyle name="Normal 5 6 5 2 2 3" xfId="25095" xr:uid="{6C49677F-8E02-4D27-ACD2-C470AB3FE074}"/>
    <cellStyle name="Normal 5 6 5 2 2 4" xfId="41952" xr:uid="{6C5B0D1A-BE3A-4DA1-980F-00FA6432220A}"/>
    <cellStyle name="Normal 5 6 5 2 2 5" xfId="16660" xr:uid="{B188E18C-6785-4602-BA09-756417CC1233}"/>
    <cellStyle name="Normal 5 6 5 2 3" xfId="29306" xr:uid="{8E00ACAB-2FE2-4940-A518-F8B6BC73CAFF}"/>
    <cellStyle name="Normal 5 6 5 2 4" xfId="20877" xr:uid="{4F9FC072-1F8A-44C3-80C9-D90BBFE836AB}"/>
    <cellStyle name="Normal 5 6 5 2 5" xfId="37735" xr:uid="{6B218543-483A-4758-A3E8-3C682FCC5F2A}"/>
    <cellStyle name="Normal 5 6 5 2 6" xfId="12442" xr:uid="{6ED3A00B-F12A-4783-8301-A5FA62CA344A}"/>
    <cellStyle name="Normal 5 6 5 3" xfId="6080" xr:uid="{00000000-0005-0000-0000-0000BC1B0000}"/>
    <cellStyle name="Normal 5 6 5 3 2" xfId="31379" xr:uid="{640A1406-847A-4623-B33F-044AC30A89FC}"/>
    <cellStyle name="Normal 5 6 5 3 3" xfId="22950" xr:uid="{C8F91E9B-4AFE-4B79-8858-94AACAC96D76}"/>
    <cellStyle name="Normal 5 6 5 3 4" xfId="39807" xr:uid="{AF1F23D7-E6D4-4EA6-91F4-E79AAEB9D47D}"/>
    <cellStyle name="Normal 5 6 5 3 5" xfId="14515" xr:uid="{6A8778DF-EDC8-4ECB-BF56-E2DA57CE5045}"/>
    <cellStyle name="Normal 5 6 5 4" xfId="27161" xr:uid="{780C402C-8FCE-47A3-B727-01DCB82BC72D}"/>
    <cellStyle name="Normal 5 6 5 5" xfId="18732" xr:uid="{A78E2A55-3EF7-453E-8BBA-7983227D332B}"/>
    <cellStyle name="Normal 5 6 5 6" xfId="35590" xr:uid="{150E4A23-9307-4B52-A1EC-455D61EAAB2D}"/>
    <cellStyle name="Normal 5 6 5 7" xfId="10297" xr:uid="{3BCB1779-BF2E-4F80-8060-EB9182E43257}"/>
    <cellStyle name="Normal 5 6 6" xfId="2186" xr:uid="{00000000-0005-0000-0000-0000BD1B0000}"/>
    <cellStyle name="Normal 5 6 6 2" xfId="4415" xr:uid="{00000000-0005-0000-0000-0000BE1B0000}"/>
    <cellStyle name="Normal 5 6 6 2 2" xfId="8638" xr:uid="{00000000-0005-0000-0000-0000BF1B0000}"/>
    <cellStyle name="Normal 5 6 6 2 2 2" xfId="33937" xr:uid="{F41A7798-EF55-4CAD-88A6-E0D340262012}"/>
    <cellStyle name="Normal 5 6 6 2 2 3" xfId="25508" xr:uid="{F87DA695-98BD-4B9D-8848-7B79EE58FB79}"/>
    <cellStyle name="Normal 5 6 6 2 2 4" xfId="42365" xr:uid="{AEA380D2-3177-419E-9338-FB377DDFB4B3}"/>
    <cellStyle name="Normal 5 6 6 2 2 5" xfId="17073" xr:uid="{64F026C8-FF13-4DC2-8084-AEC7040FE894}"/>
    <cellStyle name="Normal 5 6 6 2 3" xfId="29719" xr:uid="{F3D3444B-7832-4F2B-B774-BB67C9D82D96}"/>
    <cellStyle name="Normal 5 6 6 2 4" xfId="21290" xr:uid="{C7DEE5DA-2CB9-401A-805D-EA5ABBAA7A40}"/>
    <cellStyle name="Normal 5 6 6 2 5" xfId="38148" xr:uid="{0FAF0C5F-1148-4E64-B90C-1321F75443FA}"/>
    <cellStyle name="Normal 5 6 6 2 6" xfId="12855" xr:uid="{B8C28BF8-19B4-4628-ABEC-D17DCB504E4B}"/>
    <cellStyle name="Normal 5 6 6 3" xfId="6493" xr:uid="{00000000-0005-0000-0000-0000C01B0000}"/>
    <cellStyle name="Normal 5 6 6 3 2" xfId="31792" xr:uid="{6AE64E40-E18F-48A9-9D79-91F2F88F2894}"/>
    <cellStyle name="Normal 5 6 6 3 3" xfId="23363" xr:uid="{210D8E0B-6926-4E48-89CB-9F2F7F1D69EB}"/>
    <cellStyle name="Normal 5 6 6 3 4" xfId="40220" xr:uid="{643C2598-9D18-4BC7-A19E-1DB3C7FB067D}"/>
    <cellStyle name="Normal 5 6 6 3 5" xfId="14928" xr:uid="{9688656F-7F89-40A9-8A86-C3EB78DF6CB7}"/>
    <cellStyle name="Normal 5 6 6 4" xfId="27574" xr:uid="{DAC0F7D0-001F-4DE2-8C2A-6520DD15C14B}"/>
    <cellStyle name="Normal 5 6 6 5" xfId="19145" xr:uid="{B06B0F8E-5617-468D-B196-4BF7EB2C5A5B}"/>
    <cellStyle name="Normal 5 6 6 6" xfId="36003" xr:uid="{7E78099E-1D70-4497-BFA2-D64AFD0BD8F8}"/>
    <cellStyle name="Normal 5 6 6 7" xfId="10710" xr:uid="{54399A22-E1D8-4A67-BB85-FB121CF23DF6}"/>
    <cellStyle name="Normal 5 6 7" xfId="2622" xr:uid="{00000000-0005-0000-0000-0000C11B0000}"/>
    <cellStyle name="Normal 5 6 7 2" xfId="6906" xr:uid="{00000000-0005-0000-0000-0000C21B0000}"/>
    <cellStyle name="Normal 5 6 7 2 2" xfId="32205" xr:uid="{641F32AF-4F0E-4C99-BA76-4A0270805FFA}"/>
    <cellStyle name="Normal 5 6 7 2 3" xfId="23776" xr:uid="{B341CC79-E5AF-4AC4-920E-96EC019015B9}"/>
    <cellStyle name="Normal 5 6 7 2 4" xfId="40633" xr:uid="{C9D6A538-8328-42F7-BC02-FD59628E58F3}"/>
    <cellStyle name="Normal 5 6 7 2 5" xfId="15341" xr:uid="{FB87D1BD-8DD6-4C28-91A5-644C554F3C9F}"/>
    <cellStyle name="Normal 5 6 7 3" xfId="27987" xr:uid="{091D7A23-5D7F-445B-97A5-7288DF6F6063}"/>
    <cellStyle name="Normal 5 6 7 4" xfId="19558" xr:uid="{19E121B2-F208-41C0-9F94-078AF579ED92}"/>
    <cellStyle name="Normal 5 6 7 5" xfId="36416" xr:uid="{2C7048DB-F740-4318-B833-BA741DCBF520}"/>
    <cellStyle name="Normal 5 6 7 6" xfId="11123" xr:uid="{3D823147-52C1-4CC9-9EAD-09ED1EA531F7}"/>
    <cellStyle name="Normal 5 6 8" xfId="4841" xr:uid="{00000000-0005-0000-0000-0000C31B0000}"/>
    <cellStyle name="Normal 5 6 8 2" xfId="30140" xr:uid="{46811502-FBA8-4A78-8FE4-3EFE1A713DD0}"/>
    <cellStyle name="Normal 5 6 8 3" xfId="21711" xr:uid="{FEF52ABB-08CB-4262-9BD1-D8EB04BDFFD5}"/>
    <cellStyle name="Normal 5 6 8 4" xfId="38568" xr:uid="{3045CAD2-4C8A-4C49-9319-60C3B42989B1}"/>
    <cellStyle name="Normal 5 6 8 5" xfId="13276" xr:uid="{5DCB2E10-CE52-45B3-9A38-2B6EB13D508E}"/>
    <cellStyle name="Normal 5 6 9" xfId="25922" xr:uid="{5E5039FF-95ED-4A50-80FC-41F9633CEF1E}"/>
    <cellStyle name="Normal 5 7" xfId="470" xr:uid="{00000000-0005-0000-0000-0000C41B0000}"/>
    <cellStyle name="Normal 5 7 10" xfId="34353" xr:uid="{01DE80FA-0E23-4A5C-8A25-6A28CC78DB3D}"/>
    <cellStyle name="Normal 5 7 11" xfId="9060" xr:uid="{488B3C2A-F46C-4E95-A6F1-E07A0AAEB240}"/>
    <cellStyle name="Normal 5 7 2" xfId="944" xr:uid="{00000000-0005-0000-0000-0000C51B0000}"/>
    <cellStyle name="Normal 5 7 2 2" xfId="3178" xr:uid="{00000000-0005-0000-0000-0000C61B0000}"/>
    <cellStyle name="Normal 5 7 2 2 2" xfId="7401" xr:uid="{00000000-0005-0000-0000-0000C71B0000}"/>
    <cellStyle name="Normal 5 7 2 2 2 2" xfId="32700" xr:uid="{41550C7D-DDC5-4D7B-AF98-76B8D6855748}"/>
    <cellStyle name="Normal 5 7 2 2 2 3" xfId="24271" xr:uid="{BB3DBBED-7084-4820-A047-2117B0EC2608}"/>
    <cellStyle name="Normal 5 7 2 2 2 4" xfId="41128" xr:uid="{F60D73B1-96B1-426E-B603-334C57957681}"/>
    <cellStyle name="Normal 5 7 2 2 2 5" xfId="15836" xr:uid="{6F6D1281-9B85-4D14-835B-DBC1E51598D0}"/>
    <cellStyle name="Normal 5 7 2 2 3" xfId="28482" xr:uid="{BFB0B3B0-4EBD-4CED-BF86-AD17D0F9B594}"/>
    <cellStyle name="Normal 5 7 2 2 4" xfId="20053" xr:uid="{20288913-9EBF-472B-ADBE-799B02DBF4AE}"/>
    <cellStyle name="Normal 5 7 2 2 5" xfId="36911" xr:uid="{6D25796C-4BBB-4EC4-B82D-B8E72BF2484B}"/>
    <cellStyle name="Normal 5 7 2 2 6" xfId="11618" xr:uid="{F94522DE-9A9A-495A-AD22-E393863FF9C1}"/>
    <cellStyle name="Normal 5 7 2 3" xfId="5256" xr:uid="{00000000-0005-0000-0000-0000C81B0000}"/>
    <cellStyle name="Normal 5 7 2 3 2" xfId="30555" xr:uid="{ABD02AA1-0161-4727-93C6-295B8EC0F0A5}"/>
    <cellStyle name="Normal 5 7 2 3 3" xfId="22126" xr:uid="{B28719B1-1622-457F-BA5F-B0CCBEFCCE1B}"/>
    <cellStyle name="Normal 5 7 2 3 4" xfId="38983" xr:uid="{FA57F70B-2D8D-4AF9-B833-BE458B756AE3}"/>
    <cellStyle name="Normal 5 7 2 3 5" xfId="13691" xr:uid="{82B98E8D-AD17-4440-9F39-29B6C051142E}"/>
    <cellStyle name="Normal 5 7 2 4" xfId="26337" xr:uid="{B41B013F-37DD-47AF-B2FE-BFC2728AEC1E}"/>
    <cellStyle name="Normal 5 7 2 5" xfId="17908" xr:uid="{7DD16DE3-4E31-417E-8C41-02ECC156881E}"/>
    <cellStyle name="Normal 5 7 2 6" xfId="34766" xr:uid="{E64C182F-63D3-416E-AC66-94DFEB8AB96B}"/>
    <cellStyle name="Normal 5 7 2 7" xfId="9473" xr:uid="{644A0E9D-4562-473C-B847-1678B135FC28}"/>
    <cellStyle name="Normal 5 7 3" xfId="1361" xr:uid="{00000000-0005-0000-0000-0000C91B0000}"/>
    <cellStyle name="Normal 5 7 3 2" xfId="3591" xr:uid="{00000000-0005-0000-0000-0000CA1B0000}"/>
    <cellStyle name="Normal 5 7 3 2 2" xfId="7814" xr:uid="{00000000-0005-0000-0000-0000CB1B0000}"/>
    <cellStyle name="Normal 5 7 3 2 2 2" xfId="33113" xr:uid="{814DC43D-B190-4B0B-9386-C41C76C6F6E4}"/>
    <cellStyle name="Normal 5 7 3 2 2 3" xfId="24684" xr:uid="{F8397F78-AE3B-47D2-BBC2-EE0FDC2CD6A7}"/>
    <cellStyle name="Normal 5 7 3 2 2 4" xfId="41541" xr:uid="{B6227CE4-05F2-4427-9246-2B1C5A410630}"/>
    <cellStyle name="Normal 5 7 3 2 2 5" xfId="16249" xr:uid="{A9E94479-2374-4E06-8201-CCB73FCBD2FB}"/>
    <cellStyle name="Normal 5 7 3 2 3" xfId="28895" xr:uid="{6E9168BA-8459-41AA-BBC3-96D9776B7F14}"/>
    <cellStyle name="Normal 5 7 3 2 4" xfId="20466" xr:uid="{8C8D1032-FA28-4089-8A6E-ADF22CAC12C4}"/>
    <cellStyle name="Normal 5 7 3 2 5" xfId="37324" xr:uid="{1810BC28-A2B8-44AB-827B-356ED4058735}"/>
    <cellStyle name="Normal 5 7 3 2 6" xfId="12031" xr:uid="{F5644C23-0CE3-419F-A7A2-55398C3AA209}"/>
    <cellStyle name="Normal 5 7 3 3" xfId="5669" xr:uid="{00000000-0005-0000-0000-0000CC1B0000}"/>
    <cellStyle name="Normal 5 7 3 3 2" xfId="30968" xr:uid="{6BC1AB25-2AD6-49AE-BCAA-F02470E851E9}"/>
    <cellStyle name="Normal 5 7 3 3 3" xfId="22539" xr:uid="{18C492DC-02E9-41C9-9783-F31699143A7D}"/>
    <cellStyle name="Normal 5 7 3 3 4" xfId="39396" xr:uid="{8E97F9C5-E237-4AFB-9AAD-52476DDC12A7}"/>
    <cellStyle name="Normal 5 7 3 3 5" xfId="14104" xr:uid="{D8972F7D-EC6A-422B-91CF-874910D0AC3F}"/>
    <cellStyle name="Normal 5 7 3 4" xfId="26750" xr:uid="{73A324CB-6E09-46DC-BF29-283942A1E7D4}"/>
    <cellStyle name="Normal 5 7 3 5" xfId="18321" xr:uid="{0718E580-A142-4864-AABE-821B1155D074}"/>
    <cellStyle name="Normal 5 7 3 6" xfId="35179" xr:uid="{EA11C810-3B59-44FE-A47C-5D295B664A55}"/>
    <cellStyle name="Normal 5 7 3 7" xfId="9886" xr:uid="{345232A6-7C89-4984-B3A4-ED6471F18C41}"/>
    <cellStyle name="Normal 5 7 4" xfId="1774" xr:uid="{00000000-0005-0000-0000-0000CD1B0000}"/>
    <cellStyle name="Normal 5 7 4 2" xfId="4004" xr:uid="{00000000-0005-0000-0000-0000CE1B0000}"/>
    <cellStyle name="Normal 5 7 4 2 2" xfId="8227" xr:uid="{00000000-0005-0000-0000-0000CF1B0000}"/>
    <cellStyle name="Normal 5 7 4 2 2 2" xfId="33526" xr:uid="{C03F783E-592D-4CDA-A5F3-7D471CC53200}"/>
    <cellStyle name="Normal 5 7 4 2 2 3" xfId="25097" xr:uid="{4DDB93AE-A7C8-489A-89EF-D7538ABB2DE1}"/>
    <cellStyle name="Normal 5 7 4 2 2 4" xfId="41954" xr:uid="{8430818A-0961-4892-BEA3-67E158C19B3E}"/>
    <cellStyle name="Normal 5 7 4 2 2 5" xfId="16662" xr:uid="{646C98E3-45D4-4372-9567-18DB306A4C7D}"/>
    <cellStyle name="Normal 5 7 4 2 3" xfId="29308" xr:uid="{5F2AB34E-6447-48A0-98E4-D56E7F46F39B}"/>
    <cellStyle name="Normal 5 7 4 2 4" xfId="20879" xr:uid="{E5582E61-F83D-40EF-82D8-A5D70A1D8B8B}"/>
    <cellStyle name="Normal 5 7 4 2 5" xfId="37737" xr:uid="{16BAA1B3-434D-4A70-B23D-F994668DB63F}"/>
    <cellStyle name="Normal 5 7 4 2 6" xfId="12444" xr:uid="{AEFBF4EC-2501-41D4-A291-D483ED5E3F61}"/>
    <cellStyle name="Normal 5 7 4 3" xfId="6082" xr:uid="{00000000-0005-0000-0000-0000D01B0000}"/>
    <cellStyle name="Normal 5 7 4 3 2" xfId="31381" xr:uid="{D1416135-C04F-496F-A714-E6B401EB35D5}"/>
    <cellStyle name="Normal 5 7 4 3 3" xfId="22952" xr:uid="{872B06A4-43D8-4800-848C-43758FB522CB}"/>
    <cellStyle name="Normal 5 7 4 3 4" xfId="39809" xr:uid="{C97D4C0D-DBCF-4171-AC3D-1BA2DB910990}"/>
    <cellStyle name="Normal 5 7 4 3 5" xfId="14517" xr:uid="{91A99ECA-2F15-4923-A065-9883C4D9AED0}"/>
    <cellStyle name="Normal 5 7 4 4" xfId="27163" xr:uid="{48FFB8E9-B3A8-4301-B843-9B03E6F0C8A3}"/>
    <cellStyle name="Normal 5 7 4 5" xfId="18734" xr:uid="{3071DBFF-5E19-4908-8113-09B22CEBA55E}"/>
    <cellStyle name="Normal 5 7 4 6" xfId="35592" xr:uid="{EA178FFC-A2B4-4DBB-B22F-672507568AD1}"/>
    <cellStyle name="Normal 5 7 4 7" xfId="10299" xr:uid="{3F1C8F58-125F-4FFA-9845-AD678EC28F75}"/>
    <cellStyle name="Normal 5 7 5" xfId="2188" xr:uid="{00000000-0005-0000-0000-0000D11B0000}"/>
    <cellStyle name="Normal 5 7 5 2" xfId="4417" xr:uid="{00000000-0005-0000-0000-0000D21B0000}"/>
    <cellStyle name="Normal 5 7 5 2 2" xfId="8640" xr:uid="{00000000-0005-0000-0000-0000D31B0000}"/>
    <cellStyle name="Normal 5 7 5 2 2 2" xfId="33939" xr:uid="{EAB0E177-206C-497F-9399-BC796ADBA8B5}"/>
    <cellStyle name="Normal 5 7 5 2 2 3" xfId="25510" xr:uid="{D86F3178-4603-49BE-B50D-849345710C87}"/>
    <cellStyle name="Normal 5 7 5 2 2 4" xfId="42367" xr:uid="{0CBB4FE9-DEA5-4B49-8936-D20BF6B36329}"/>
    <cellStyle name="Normal 5 7 5 2 2 5" xfId="17075" xr:uid="{720E0D6E-80F6-4102-B2D5-29493AD347A0}"/>
    <cellStyle name="Normal 5 7 5 2 3" xfId="29721" xr:uid="{554410CA-8BD1-4352-9F67-14E81FCDEA3C}"/>
    <cellStyle name="Normal 5 7 5 2 4" xfId="21292" xr:uid="{A277D0C2-519F-4CF6-9589-AE3AAF8C8D08}"/>
    <cellStyle name="Normal 5 7 5 2 5" xfId="38150" xr:uid="{9409EFE7-94EC-4F16-A920-53AE515E577D}"/>
    <cellStyle name="Normal 5 7 5 2 6" xfId="12857" xr:uid="{BAECEA8D-6499-4DA3-A6F2-1C1316D5AC4C}"/>
    <cellStyle name="Normal 5 7 5 3" xfId="6495" xr:uid="{00000000-0005-0000-0000-0000D41B0000}"/>
    <cellStyle name="Normal 5 7 5 3 2" xfId="31794" xr:uid="{6C9A2FA7-1A90-4EFA-89A1-16C9477FC1F2}"/>
    <cellStyle name="Normal 5 7 5 3 3" xfId="23365" xr:uid="{0CDE7AB2-9DAD-4C6D-B825-94A3D2BA88E4}"/>
    <cellStyle name="Normal 5 7 5 3 4" xfId="40222" xr:uid="{94BE1142-4FA2-4D33-9DA1-A179E6693D89}"/>
    <cellStyle name="Normal 5 7 5 3 5" xfId="14930" xr:uid="{FADDF4E6-2772-44E6-B536-FF6D7D975EA3}"/>
    <cellStyle name="Normal 5 7 5 4" xfId="27576" xr:uid="{F2545323-4714-4506-934B-C5C7D8A2C9F4}"/>
    <cellStyle name="Normal 5 7 5 5" xfId="19147" xr:uid="{68613F57-99B0-43F4-B168-26F2BB318C5D}"/>
    <cellStyle name="Normal 5 7 5 6" xfId="36005" xr:uid="{2F54BDA9-EF2B-45F6-B09C-D037B1105D43}"/>
    <cellStyle name="Normal 5 7 5 7" xfId="10712" xr:uid="{48A953EA-062C-478F-BF94-F3A98C557F0D}"/>
    <cellStyle name="Normal 5 7 6" xfId="2624" xr:uid="{00000000-0005-0000-0000-0000D51B0000}"/>
    <cellStyle name="Normal 5 7 6 2" xfId="6908" xr:uid="{00000000-0005-0000-0000-0000D61B0000}"/>
    <cellStyle name="Normal 5 7 6 2 2" xfId="32207" xr:uid="{1A2B6FF9-6D78-4210-91C4-F0AE54A3F1F1}"/>
    <cellStyle name="Normal 5 7 6 2 3" xfId="23778" xr:uid="{BBE1D896-9FAD-49E1-9450-93DF656DB5B1}"/>
    <cellStyle name="Normal 5 7 6 2 4" xfId="40635" xr:uid="{34C77EC2-5B6F-4986-AFBF-FDFA732A8015}"/>
    <cellStyle name="Normal 5 7 6 2 5" xfId="15343" xr:uid="{8E165C41-C18A-494F-946F-B87F7111320A}"/>
    <cellStyle name="Normal 5 7 6 3" xfId="27989" xr:uid="{8C4E5D3B-0EA9-4EE1-9FB3-E1694867D714}"/>
    <cellStyle name="Normal 5 7 6 4" xfId="19560" xr:uid="{DA9FEF02-0A92-4D3E-8B3E-C79D68691FE7}"/>
    <cellStyle name="Normal 5 7 6 5" xfId="36418" xr:uid="{B807E5A3-68CC-4B91-8042-6C950D056C8D}"/>
    <cellStyle name="Normal 5 7 6 6" xfId="11125" xr:uid="{3DFDCDD8-6CB2-42E0-BBB4-39135F4F46B5}"/>
    <cellStyle name="Normal 5 7 7" xfId="4843" xr:uid="{00000000-0005-0000-0000-0000D71B0000}"/>
    <cellStyle name="Normal 5 7 7 2" xfId="30142" xr:uid="{8ACD364B-ECEA-435C-A3FD-940EE174112E}"/>
    <cellStyle name="Normal 5 7 7 3" xfId="21713" xr:uid="{BCA26579-0B5C-4A3A-B0E8-9DE64BEF9AED}"/>
    <cellStyle name="Normal 5 7 7 4" xfId="38570" xr:uid="{97083029-F255-4FE1-A5AD-45258BF86822}"/>
    <cellStyle name="Normal 5 7 7 5" xfId="13278" xr:uid="{B769EEB8-0E1E-4930-843B-D440BA038209}"/>
    <cellStyle name="Normal 5 7 8" xfId="25924" xr:uid="{71CACE9E-1D6E-4E2B-8F7F-5B537228CB2F}"/>
    <cellStyle name="Normal 5 7 9" xfId="17495" xr:uid="{09DC9269-5EE6-4216-92FB-D62D9F942B15}"/>
    <cellStyle name="Normal 5 8" xfId="880" xr:uid="{00000000-0005-0000-0000-0000D81B0000}"/>
    <cellStyle name="Normal 5 8 2" xfId="3115" xr:uid="{00000000-0005-0000-0000-0000D91B0000}"/>
    <cellStyle name="Normal 5 8 2 2" xfId="7338" xr:uid="{00000000-0005-0000-0000-0000DA1B0000}"/>
    <cellStyle name="Normal 5 8 2 2 2" xfId="32637" xr:uid="{D8D00688-E5E2-4069-B430-759E8A28BCF3}"/>
    <cellStyle name="Normal 5 8 2 2 3" xfId="24208" xr:uid="{60A2C9FF-7D6D-4D5A-99AF-91B72A7B28E8}"/>
    <cellStyle name="Normal 5 8 2 2 4" xfId="41065" xr:uid="{8E1A771A-147C-4388-BDFC-21C36CCA6048}"/>
    <cellStyle name="Normal 5 8 2 2 5" xfId="15773" xr:uid="{50177349-329C-45A6-ADD4-DC8D63C4A116}"/>
    <cellStyle name="Normal 5 8 2 3" xfId="28419" xr:uid="{B926A1BF-ABB5-444A-AC59-D58D5DE918A1}"/>
    <cellStyle name="Normal 5 8 2 4" xfId="19990" xr:uid="{EB69CDE5-2AE9-4340-8217-2DA7E108F226}"/>
    <cellStyle name="Normal 5 8 2 5" xfId="36848" xr:uid="{12470373-76CC-4579-889C-DB4F3751D310}"/>
    <cellStyle name="Normal 5 8 2 6" xfId="11555" xr:uid="{DAF113F9-81F8-4C25-830C-1B5ED16CC19F}"/>
    <cellStyle name="Normal 5 8 3" xfId="5193" xr:uid="{00000000-0005-0000-0000-0000DB1B0000}"/>
    <cellStyle name="Normal 5 8 3 2" xfId="30492" xr:uid="{E469DCD4-0D71-40C8-9D0B-492049E60E22}"/>
    <cellStyle name="Normal 5 8 3 3" xfId="22063" xr:uid="{EBADAA37-A8C6-440E-B4ED-000BA27AC918}"/>
    <cellStyle name="Normal 5 8 3 4" xfId="38920" xr:uid="{E6028F4E-99F9-4957-AD82-4CBE00E651DC}"/>
    <cellStyle name="Normal 5 8 3 5" xfId="13628" xr:uid="{82DA050D-7912-4451-8AA8-55EE26498533}"/>
    <cellStyle name="Normal 5 8 4" xfId="26274" xr:uid="{C6D78F51-7772-459F-9991-94B11B66F41A}"/>
    <cellStyle name="Normal 5 8 5" xfId="17845" xr:uid="{71886DF6-6928-46DD-9385-6297BC3ADC58}"/>
    <cellStyle name="Normal 5 8 6" xfId="34703" xr:uid="{4C685C83-1E69-48D9-9CAB-7CCC09A62E57}"/>
    <cellStyle name="Normal 5 8 7" xfId="9410" xr:uid="{C2447A4A-B187-43FC-8F07-80E1E4839786}"/>
    <cellStyle name="Normal 5 9" xfId="1298" xr:uid="{00000000-0005-0000-0000-0000DC1B0000}"/>
    <cellStyle name="Normal 5 9 2" xfId="3528" xr:uid="{00000000-0005-0000-0000-0000DD1B0000}"/>
    <cellStyle name="Normal 5 9 2 2" xfId="7751" xr:uid="{00000000-0005-0000-0000-0000DE1B0000}"/>
    <cellStyle name="Normal 5 9 2 2 2" xfId="33050" xr:uid="{FCD1346A-5BD6-4399-AF96-0E5870973CD3}"/>
    <cellStyle name="Normal 5 9 2 2 3" xfId="24621" xr:uid="{A6E7807D-63EF-47EB-84E9-45ABFAF1F80F}"/>
    <cellStyle name="Normal 5 9 2 2 4" xfId="41478" xr:uid="{A6980688-62A1-478C-8C6F-1E34A433D4C5}"/>
    <cellStyle name="Normal 5 9 2 2 5" xfId="16186" xr:uid="{6024931D-DD8C-49C5-A7E2-9F8F06321DF9}"/>
    <cellStyle name="Normal 5 9 2 3" xfId="28832" xr:uid="{99EB81E1-F537-41BF-A8DD-21FAB42AE84D}"/>
    <cellStyle name="Normal 5 9 2 4" xfId="20403" xr:uid="{6F5F8E59-EF67-4898-836E-DFACE302E788}"/>
    <cellStyle name="Normal 5 9 2 5" xfId="37261" xr:uid="{CB9BFBC3-2FEE-414D-8654-803E20ABE9BA}"/>
    <cellStyle name="Normal 5 9 2 6" xfId="11968" xr:uid="{E47BF0F8-B86B-41DA-A6B6-335C8026E192}"/>
    <cellStyle name="Normal 5 9 3" xfId="5606" xr:uid="{00000000-0005-0000-0000-0000DF1B0000}"/>
    <cellStyle name="Normal 5 9 3 2" xfId="30905" xr:uid="{B1D7A037-DC6F-4BE0-BC0A-6E79E68DF8BD}"/>
    <cellStyle name="Normal 5 9 3 3" xfId="22476" xr:uid="{79428D7E-9A4D-40E2-801A-B75A3E5E03CC}"/>
    <cellStyle name="Normal 5 9 3 4" xfId="39333" xr:uid="{7FED99D3-047C-4B94-AB85-93FE635DD1BC}"/>
    <cellStyle name="Normal 5 9 3 5" xfId="14041" xr:uid="{6C3117A2-CB53-46C8-B315-AC351181FDE7}"/>
    <cellStyle name="Normal 5 9 4" xfId="26687" xr:uid="{FF6CBC6F-EDC6-44F9-A823-24B35146EF35}"/>
    <cellStyle name="Normal 5 9 5" xfId="18258" xr:uid="{32430A8F-528D-4123-8C71-AC29F0B3BC27}"/>
    <cellStyle name="Normal 5 9 6" xfId="35116" xr:uid="{900992E3-D995-4825-BB41-46F82214DD87}"/>
    <cellStyle name="Normal 5 9 7" xfId="9823" xr:uid="{CC56BCF2-D0C5-4685-A400-32982CB1E80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33940" xr:uid="{399079E1-ABE8-43D1-8D2A-23A5D2C732E4}"/>
    <cellStyle name="Normal 8 10 2 2 3" xfId="25511" xr:uid="{CB02EBB1-27C6-43D6-AC9D-94AD9197AB67}"/>
    <cellStyle name="Normal 8 10 2 2 4" xfId="42368" xr:uid="{D6574052-5293-49C3-9804-C90A922F61B0}"/>
    <cellStyle name="Normal 8 10 2 2 5" xfId="17076" xr:uid="{B4BA1D6E-9869-4BFA-9F00-E30DA2E3454F}"/>
    <cellStyle name="Normal 8 10 2 3" xfId="29722" xr:uid="{18B04C54-2343-47CF-B4F5-4BCC0881FD94}"/>
    <cellStyle name="Normal 8 10 2 4" xfId="21293" xr:uid="{9545723A-BB31-4106-9D94-67370E144F52}"/>
    <cellStyle name="Normal 8 10 2 5" xfId="38151" xr:uid="{D273ACF3-8D3C-4CA6-8430-CB1CB81AF03D}"/>
    <cellStyle name="Normal 8 10 2 6" xfId="12858" xr:uid="{B9E96085-1CE2-4AA5-B386-8266C9B0479F}"/>
    <cellStyle name="Normal 8 10 3" xfId="6496" xr:uid="{00000000-0005-0000-0000-0000EB1B0000}"/>
    <cellStyle name="Normal 8 10 3 2" xfId="31795" xr:uid="{CB5F8F67-BC8E-4E8C-8BA4-AFD63B7AEE4A}"/>
    <cellStyle name="Normal 8 10 3 3" xfId="23366" xr:uid="{7D9AAAF9-7CB1-4013-9246-A96020E54D3B}"/>
    <cellStyle name="Normal 8 10 3 4" xfId="40223" xr:uid="{8D6FAF7F-1835-4064-8203-9EAFAB3B41EA}"/>
    <cellStyle name="Normal 8 10 3 5" xfId="14931" xr:uid="{F89F8B03-69E3-4906-9019-7F3ACEB4620F}"/>
    <cellStyle name="Normal 8 10 4" xfId="27577" xr:uid="{2B7CDD06-E1DA-4440-90E4-0CA6CA4A115D}"/>
    <cellStyle name="Normal 8 10 5" xfId="19148" xr:uid="{EE01C08B-88D6-4A94-98B2-A81ED8238F45}"/>
    <cellStyle name="Normal 8 10 6" xfId="36006" xr:uid="{638B0A70-CA2D-42DA-9670-22211D35429E}"/>
    <cellStyle name="Normal 8 10 7" xfId="10713" xr:uid="{A6BBB203-44A2-4A73-96AF-CB5AE79ACAE9}"/>
    <cellStyle name="Normal 8 11" xfId="2625" xr:uid="{00000000-0005-0000-0000-0000EC1B0000}"/>
    <cellStyle name="Normal 8 11 2" xfId="6909" xr:uid="{00000000-0005-0000-0000-0000ED1B0000}"/>
    <cellStyle name="Normal 8 11 2 2" xfId="32208" xr:uid="{05DC482D-325E-4032-8F81-4B65E167343D}"/>
    <cellStyle name="Normal 8 11 2 3" xfId="23779" xr:uid="{DE3259A7-B869-44C3-ADC3-62CA8CEB1364}"/>
    <cellStyle name="Normal 8 11 2 4" xfId="40636" xr:uid="{9FF2C8DB-CF22-43D5-B425-411ABDB35CFA}"/>
    <cellStyle name="Normal 8 11 2 5" xfId="15344" xr:uid="{DCE82E5D-3708-4B7F-AB49-922516AC83B9}"/>
    <cellStyle name="Normal 8 11 3" xfId="27990" xr:uid="{397DFFF5-BC64-4091-AFF3-AF7E1F25C6C8}"/>
    <cellStyle name="Normal 8 11 4" xfId="19561" xr:uid="{575B4C41-4830-45CE-837D-FD81A28535C3}"/>
    <cellStyle name="Normal 8 11 5" xfId="36419" xr:uid="{FFD0F7B9-70BA-440C-B534-20DC20DCBBAA}"/>
    <cellStyle name="Normal 8 11 6" xfId="11126" xr:uid="{23C13F82-0CA4-49BE-9AE2-D4A3B148A1D2}"/>
    <cellStyle name="Normal 8 12" xfId="4844" xr:uid="{00000000-0005-0000-0000-0000EE1B0000}"/>
    <cellStyle name="Normal 8 12 2" xfId="30143" xr:uid="{F46182F7-1BB6-4CFE-9112-3AEFC278A592}"/>
    <cellStyle name="Normal 8 12 3" xfId="21714" xr:uid="{7A732C6B-B8D1-41E4-96C7-72DFA49406AD}"/>
    <cellStyle name="Normal 8 12 4" xfId="38571" xr:uid="{0447726E-BE08-4B72-8E45-9998B0E9F294}"/>
    <cellStyle name="Normal 8 12 5" xfId="13279" xr:uid="{68C0B5A9-5CAC-4751-BA4B-AAA58B8D63EF}"/>
    <cellStyle name="Normal 8 13" xfId="25925" xr:uid="{2EF47DC0-52AC-45DD-93FC-479835BB66B0}"/>
    <cellStyle name="Normal 8 14" xfId="17496" xr:uid="{4799BBC0-9D18-467B-9927-802649633A7A}"/>
    <cellStyle name="Normal 8 15" xfId="34354" xr:uid="{82DFD583-AB10-4B4C-8E0E-79AF737E91A7}"/>
    <cellStyle name="Normal 8 16" xfId="9061" xr:uid="{649D5823-A7E3-40B6-973D-EBC922636BE4}"/>
    <cellStyle name="Normal 8 2" xfId="479" xr:uid="{00000000-0005-0000-0000-0000EF1B0000}"/>
    <cellStyle name="Normal 8 2 10" xfId="2626" xr:uid="{00000000-0005-0000-0000-0000F01B0000}"/>
    <cellStyle name="Normal 8 2 10 2" xfId="6910" xr:uid="{00000000-0005-0000-0000-0000F11B0000}"/>
    <cellStyle name="Normal 8 2 10 2 2" xfId="32209" xr:uid="{E73284AF-C989-4D5A-94BF-8968561CEA92}"/>
    <cellStyle name="Normal 8 2 10 2 3" xfId="23780" xr:uid="{7BF5DC6B-695A-495B-897A-937446EE2256}"/>
    <cellStyle name="Normal 8 2 10 2 4" xfId="40637" xr:uid="{1B0A82CB-A69C-4765-9462-F263BAE2703A}"/>
    <cellStyle name="Normal 8 2 10 2 5" xfId="15345" xr:uid="{1819AF18-6A4A-4C4B-8F21-6DD4577ACC49}"/>
    <cellStyle name="Normal 8 2 10 3" xfId="27991" xr:uid="{244E1063-9AEE-44D7-A10C-0EE97BB20BF8}"/>
    <cellStyle name="Normal 8 2 10 4" xfId="19562" xr:uid="{D110CB3E-481F-4114-8179-E99C362ED1E2}"/>
    <cellStyle name="Normal 8 2 10 5" xfId="36420" xr:uid="{67B892FC-7DFB-4564-BA20-379D13E86B9A}"/>
    <cellStyle name="Normal 8 2 10 6" xfId="11127" xr:uid="{63329F29-5C28-41F9-A5CD-0AD20B0AA8CB}"/>
    <cellStyle name="Normal 8 2 11" xfId="4845" xr:uid="{00000000-0005-0000-0000-0000F21B0000}"/>
    <cellStyle name="Normal 8 2 11 2" xfId="30144" xr:uid="{706A4BE9-EA57-46FA-BAD5-CF66C9903632}"/>
    <cellStyle name="Normal 8 2 11 3" xfId="21715" xr:uid="{FD969881-08BD-4131-BBB8-AF106CAD8C0A}"/>
    <cellStyle name="Normal 8 2 11 4" xfId="38572" xr:uid="{5EEFEAF5-3EC4-49C4-9A41-0B148C75F614}"/>
    <cellStyle name="Normal 8 2 11 5" xfId="13280" xr:uid="{97A5501B-F91D-4CB8-AAFA-35C95CBD5E7D}"/>
    <cellStyle name="Normal 8 2 12" xfId="25926" xr:uid="{5669363C-042E-44D8-94A3-91D357B4898F}"/>
    <cellStyle name="Normal 8 2 13" xfId="17497" xr:uid="{C548DD50-B42F-4C9A-82D1-FE4479A633E5}"/>
    <cellStyle name="Normal 8 2 14" xfId="34355" xr:uid="{0C2DC1C7-035F-4FE7-8669-56078AD94141}"/>
    <cellStyle name="Normal 8 2 15" xfId="9062" xr:uid="{5DB43338-CD83-4743-AA88-BDBA9055A23C}"/>
    <cellStyle name="Normal 8 2 2" xfId="480" xr:uid="{00000000-0005-0000-0000-0000F31B0000}"/>
    <cellStyle name="Normal 8 2 2 10" xfId="4846" xr:uid="{00000000-0005-0000-0000-0000F41B0000}"/>
    <cellStyle name="Normal 8 2 2 10 2" xfId="30145" xr:uid="{9B5B8454-B19D-446D-B694-5B7EE9DE5E68}"/>
    <cellStyle name="Normal 8 2 2 10 3" xfId="21716" xr:uid="{A9C45AF5-BE37-4AC5-A15B-708259F5A333}"/>
    <cellStyle name="Normal 8 2 2 10 4" xfId="38573" xr:uid="{DBD7A2FE-DBDE-46FB-BD12-871ED7A1BCA1}"/>
    <cellStyle name="Normal 8 2 2 10 5" xfId="13281" xr:uid="{A57876AB-1E08-4354-BE8C-DC57642BE728}"/>
    <cellStyle name="Normal 8 2 2 11" xfId="25927" xr:uid="{81EB1E52-46AF-457B-BBC8-8C063DC38F1F}"/>
    <cellStyle name="Normal 8 2 2 12" xfId="17498" xr:uid="{A79AF49B-638B-4575-A0FE-E63C78B67348}"/>
    <cellStyle name="Normal 8 2 2 13" xfId="34356" xr:uid="{621870D1-E543-4E7D-B7D3-7A75D05454B9}"/>
    <cellStyle name="Normal 8 2 2 14" xfId="9063" xr:uid="{38223C29-3FB9-43C0-B868-862322E13E78}"/>
    <cellStyle name="Normal 8 2 2 2" xfId="481" xr:uid="{00000000-0005-0000-0000-0000F51B0000}"/>
    <cellStyle name="Normal 8 2 2 2 10" xfId="25928" xr:uid="{FA950776-E806-4130-BBE3-0F77CA829C65}"/>
    <cellStyle name="Normal 8 2 2 2 11" xfId="17499" xr:uid="{ED63943F-E31C-42BE-9A8C-89CA9167846B}"/>
    <cellStyle name="Normal 8 2 2 2 12" xfId="34357" xr:uid="{E0BA7F66-C682-43F0-9E1A-445152D3DD72}"/>
    <cellStyle name="Normal 8 2 2 2 13" xfId="9064" xr:uid="{FD9E6C34-04B6-4B94-917E-452061594840}"/>
    <cellStyle name="Normal 8 2 2 2 2" xfId="482" xr:uid="{00000000-0005-0000-0000-0000F61B0000}"/>
    <cellStyle name="Normal 8 2 2 2 2 10" xfId="17500" xr:uid="{45937767-9F9B-4BCD-BEDB-E75EDC56771D}"/>
    <cellStyle name="Normal 8 2 2 2 2 11" xfId="34358" xr:uid="{E51FE4A9-5826-404F-BE00-3959125CBF89}"/>
    <cellStyle name="Normal 8 2 2 2 2 12" xfId="9065" xr:uid="{8B54822F-F4EF-40F8-9D15-58E9AD2F4AF9}"/>
    <cellStyle name="Normal 8 2 2 2 2 2" xfId="483" xr:uid="{00000000-0005-0000-0000-0000F71B0000}"/>
    <cellStyle name="Normal 8 2 2 2 2 2 10" xfId="34359" xr:uid="{E6CB7F06-AF59-4642-B541-A2744613F246}"/>
    <cellStyle name="Normal 8 2 2 2 2 2 11" xfId="9066" xr:uid="{CC64E575-B78C-4DA2-A2C7-F936A2EF35B7}"/>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32706" xr:uid="{C2794041-5921-4082-9A20-895B71C6D8A4}"/>
    <cellStyle name="Normal 8 2 2 2 2 2 2 2 2 3" xfId="24277" xr:uid="{1481CCA8-6A1D-45D8-9219-0B8A0775AD66}"/>
    <cellStyle name="Normal 8 2 2 2 2 2 2 2 2 4" xfId="41134" xr:uid="{FC2CA436-1729-4380-A01C-6B5D841C0DC8}"/>
    <cellStyle name="Normal 8 2 2 2 2 2 2 2 2 5" xfId="15842" xr:uid="{56236CC0-35F1-4B59-A297-0FCEFBC67204}"/>
    <cellStyle name="Normal 8 2 2 2 2 2 2 2 3" xfId="28488" xr:uid="{D8FB29B1-1245-4C78-8429-1CA56D7D44B7}"/>
    <cellStyle name="Normal 8 2 2 2 2 2 2 2 4" xfId="20059" xr:uid="{0BB2609C-DE8F-4FD1-9CD4-388D1A6F248F}"/>
    <cellStyle name="Normal 8 2 2 2 2 2 2 2 5" xfId="36917" xr:uid="{6FF4990A-ABEC-40E7-9904-7707704A5A0B}"/>
    <cellStyle name="Normal 8 2 2 2 2 2 2 2 6" xfId="11624" xr:uid="{7FFCF7D2-FE5F-4252-8012-0F03F6535FBA}"/>
    <cellStyle name="Normal 8 2 2 2 2 2 2 3" xfId="5262" xr:uid="{00000000-0005-0000-0000-0000FB1B0000}"/>
    <cellStyle name="Normal 8 2 2 2 2 2 2 3 2" xfId="30561" xr:uid="{B0F0DD13-EC5D-4DFB-98B5-ACB4097624C8}"/>
    <cellStyle name="Normal 8 2 2 2 2 2 2 3 3" xfId="22132" xr:uid="{C30FE252-FEFE-4D55-88E1-E03432507032}"/>
    <cellStyle name="Normal 8 2 2 2 2 2 2 3 4" xfId="38989" xr:uid="{3EB60E68-1E2A-4B29-87C9-3C0CBA3CDF68}"/>
    <cellStyle name="Normal 8 2 2 2 2 2 2 3 5" xfId="13697" xr:uid="{577CA7B2-C9CA-4783-8336-2A5879A81A2E}"/>
    <cellStyle name="Normal 8 2 2 2 2 2 2 4" xfId="26343" xr:uid="{525D1E49-9791-4B26-872F-90BDD8995658}"/>
    <cellStyle name="Normal 8 2 2 2 2 2 2 5" xfId="17914" xr:uid="{EC2A8430-DE74-44FE-8364-EF2A32899212}"/>
    <cellStyle name="Normal 8 2 2 2 2 2 2 6" xfId="34772" xr:uid="{C8E52BBD-CD4E-423B-B346-9B5775DD7723}"/>
    <cellStyle name="Normal 8 2 2 2 2 2 2 7" xfId="9479" xr:uid="{1EDC5D0A-9AEF-4040-BB72-5CFDAEBF7F9D}"/>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33119" xr:uid="{8EF33F21-C98F-4AA4-811B-24AE0222624B}"/>
    <cellStyle name="Normal 8 2 2 2 2 2 3 2 2 3" xfId="24690" xr:uid="{CF1ABC08-235A-4F84-9D22-D86874938F24}"/>
    <cellStyle name="Normal 8 2 2 2 2 2 3 2 2 4" xfId="41547" xr:uid="{1C6036DD-4530-4D18-994C-A7E0F1C2755F}"/>
    <cellStyle name="Normal 8 2 2 2 2 2 3 2 2 5" xfId="16255" xr:uid="{761312DE-F5E9-4A0A-A82A-8ECC88A939FF}"/>
    <cellStyle name="Normal 8 2 2 2 2 2 3 2 3" xfId="28901" xr:uid="{EC169BFB-2DE2-4752-8C41-12EDFF88D33B}"/>
    <cellStyle name="Normal 8 2 2 2 2 2 3 2 4" xfId="20472" xr:uid="{95DDBDA7-0893-4765-B68D-44DAFC2A73F9}"/>
    <cellStyle name="Normal 8 2 2 2 2 2 3 2 5" xfId="37330" xr:uid="{8112EEE6-250E-489A-8278-18499A6A5B02}"/>
    <cellStyle name="Normal 8 2 2 2 2 2 3 2 6" xfId="12037" xr:uid="{7A3169D4-D59B-4CF1-A82C-718236FCD540}"/>
    <cellStyle name="Normal 8 2 2 2 2 2 3 3" xfId="5675" xr:uid="{00000000-0005-0000-0000-0000FF1B0000}"/>
    <cellStyle name="Normal 8 2 2 2 2 2 3 3 2" xfId="30974" xr:uid="{0FB7C2C8-3D70-4630-8214-9F5C8A22AC1A}"/>
    <cellStyle name="Normal 8 2 2 2 2 2 3 3 3" xfId="22545" xr:uid="{1EC3A43F-B5B5-41FE-BF32-88EEFDFCAF15}"/>
    <cellStyle name="Normal 8 2 2 2 2 2 3 3 4" xfId="39402" xr:uid="{AFC45375-BD88-48E4-A51F-55CFF24C8B90}"/>
    <cellStyle name="Normal 8 2 2 2 2 2 3 3 5" xfId="14110" xr:uid="{BC9499FC-A7E0-486A-80D8-088F096E812E}"/>
    <cellStyle name="Normal 8 2 2 2 2 2 3 4" xfId="26756" xr:uid="{50CEA778-27CA-4697-86FB-787E4AA24EB6}"/>
    <cellStyle name="Normal 8 2 2 2 2 2 3 5" xfId="18327" xr:uid="{59A9E7C3-6D6B-4EC0-A352-9197C0625358}"/>
    <cellStyle name="Normal 8 2 2 2 2 2 3 6" xfId="35185" xr:uid="{B605789E-514D-4DE2-8A12-2246E1B4D192}"/>
    <cellStyle name="Normal 8 2 2 2 2 2 3 7" xfId="9892" xr:uid="{2D7F24A1-5526-4313-B41F-ABC6AB95F997}"/>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33532" xr:uid="{311D853A-AE06-48D1-BADF-A4E7DDE533D1}"/>
    <cellStyle name="Normal 8 2 2 2 2 2 4 2 2 3" xfId="25103" xr:uid="{E38A6037-7059-414B-A09A-520DD5C4E563}"/>
    <cellStyle name="Normal 8 2 2 2 2 2 4 2 2 4" xfId="41960" xr:uid="{F2E40432-1F51-484E-A1E5-0E8F2F17C036}"/>
    <cellStyle name="Normal 8 2 2 2 2 2 4 2 2 5" xfId="16668" xr:uid="{4595365C-0EC1-4934-88BC-65E748C37DB2}"/>
    <cellStyle name="Normal 8 2 2 2 2 2 4 2 3" xfId="29314" xr:uid="{57E7E8D2-BC10-4340-9CAC-FFCC05DF32C1}"/>
    <cellStyle name="Normal 8 2 2 2 2 2 4 2 4" xfId="20885" xr:uid="{1B816DBF-B635-4F7E-89D4-3BA642AEEE6D}"/>
    <cellStyle name="Normal 8 2 2 2 2 2 4 2 5" xfId="37743" xr:uid="{68DC6C0D-C24B-4D0C-ADA7-56322F77406B}"/>
    <cellStyle name="Normal 8 2 2 2 2 2 4 2 6" xfId="12450" xr:uid="{1EAD0ECD-2658-4EE6-8089-18B8259D8D1F}"/>
    <cellStyle name="Normal 8 2 2 2 2 2 4 3" xfId="6088" xr:uid="{00000000-0005-0000-0000-0000031C0000}"/>
    <cellStyle name="Normal 8 2 2 2 2 2 4 3 2" xfId="31387" xr:uid="{82E3BB78-264C-4848-9171-2D21ED65CB3C}"/>
    <cellStyle name="Normal 8 2 2 2 2 2 4 3 3" xfId="22958" xr:uid="{2F8BE4E5-4206-4C05-8C4C-E716E1DEE34B}"/>
    <cellStyle name="Normal 8 2 2 2 2 2 4 3 4" xfId="39815" xr:uid="{994D3916-D4FA-43F7-B4CA-A8AE4F88F004}"/>
    <cellStyle name="Normal 8 2 2 2 2 2 4 3 5" xfId="14523" xr:uid="{E37087D4-E784-4A77-9329-66441A090562}"/>
    <cellStyle name="Normal 8 2 2 2 2 2 4 4" xfId="27169" xr:uid="{149FB3A3-E531-4CFF-A67B-35457F1687E3}"/>
    <cellStyle name="Normal 8 2 2 2 2 2 4 5" xfId="18740" xr:uid="{1D18768B-8EA3-441E-AC80-5B165F7F83FF}"/>
    <cellStyle name="Normal 8 2 2 2 2 2 4 6" xfId="35598" xr:uid="{02E96AF4-425A-4385-8C7B-116E02DAE404}"/>
    <cellStyle name="Normal 8 2 2 2 2 2 4 7" xfId="10305" xr:uid="{B4C60D1E-A9D5-4E19-B8D9-0B0F06F3E5AD}"/>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33945" xr:uid="{0C560C23-2D29-4BAD-9301-BDD92CD047D2}"/>
    <cellStyle name="Normal 8 2 2 2 2 2 5 2 2 3" xfId="25516" xr:uid="{7112BD12-4B55-48D2-A116-5ECFA7E551C6}"/>
    <cellStyle name="Normal 8 2 2 2 2 2 5 2 2 4" xfId="42373" xr:uid="{83FBB594-19D6-4B55-8D20-0998D5830B4B}"/>
    <cellStyle name="Normal 8 2 2 2 2 2 5 2 2 5" xfId="17081" xr:uid="{5A99F8F2-6F86-4E06-B998-9A6ABF73D150}"/>
    <cellStyle name="Normal 8 2 2 2 2 2 5 2 3" xfId="29727" xr:uid="{340E2108-FD47-48AD-84C5-AA471E89A872}"/>
    <cellStyle name="Normal 8 2 2 2 2 2 5 2 4" xfId="21298" xr:uid="{7ABBA55E-249F-4D7D-8212-4064DB866398}"/>
    <cellStyle name="Normal 8 2 2 2 2 2 5 2 5" xfId="38156" xr:uid="{A62E4874-5BBC-4E2F-9870-C1048B6F2BD2}"/>
    <cellStyle name="Normal 8 2 2 2 2 2 5 2 6" xfId="12863" xr:uid="{E46B0DE8-5802-4085-A3EA-99A4D65A6A68}"/>
    <cellStyle name="Normal 8 2 2 2 2 2 5 3" xfId="6501" xr:uid="{00000000-0005-0000-0000-0000071C0000}"/>
    <cellStyle name="Normal 8 2 2 2 2 2 5 3 2" xfId="31800" xr:uid="{4098510C-2CBF-4BB9-ACFE-3902222FD125}"/>
    <cellStyle name="Normal 8 2 2 2 2 2 5 3 3" xfId="23371" xr:uid="{8CB4E4F1-3535-4D45-AECD-9441EB07FDEF}"/>
    <cellStyle name="Normal 8 2 2 2 2 2 5 3 4" xfId="40228" xr:uid="{CF729B62-A37C-4546-BB91-18BB05DEDC3B}"/>
    <cellStyle name="Normal 8 2 2 2 2 2 5 3 5" xfId="14936" xr:uid="{E2BA7D43-DAC6-49B1-B5FC-10F4BDB0D0A2}"/>
    <cellStyle name="Normal 8 2 2 2 2 2 5 4" xfId="27582" xr:uid="{2FE53B03-5C6B-490C-BD59-65BFE0AB624E}"/>
    <cellStyle name="Normal 8 2 2 2 2 2 5 5" xfId="19153" xr:uid="{74A20026-C695-435C-911D-E0FE21344069}"/>
    <cellStyle name="Normal 8 2 2 2 2 2 5 6" xfId="36011" xr:uid="{5EC510F4-3B7F-4B6A-A4BF-D7294A954AC9}"/>
    <cellStyle name="Normal 8 2 2 2 2 2 5 7" xfId="10718" xr:uid="{8D9B231E-6D81-4B6E-9770-00435F2E30B1}"/>
    <cellStyle name="Normal 8 2 2 2 2 2 6" xfId="2630" xr:uid="{00000000-0005-0000-0000-0000081C0000}"/>
    <cellStyle name="Normal 8 2 2 2 2 2 6 2" xfId="6914" xr:uid="{00000000-0005-0000-0000-0000091C0000}"/>
    <cellStyle name="Normal 8 2 2 2 2 2 6 2 2" xfId="32213" xr:uid="{47B7579B-3A1F-4B79-8AB1-E852D19D4BCD}"/>
    <cellStyle name="Normal 8 2 2 2 2 2 6 2 3" xfId="23784" xr:uid="{24550332-42C6-4CA1-B2CD-85733B5CE865}"/>
    <cellStyle name="Normal 8 2 2 2 2 2 6 2 4" xfId="40641" xr:uid="{6A2CF039-6635-4856-AEBB-54CB565361F4}"/>
    <cellStyle name="Normal 8 2 2 2 2 2 6 2 5" xfId="15349" xr:uid="{C2B56610-3C22-4997-B000-2E87F76DF194}"/>
    <cellStyle name="Normal 8 2 2 2 2 2 6 3" xfId="27995" xr:uid="{13F6ED82-9D09-465D-8F80-94F4CDAF52A3}"/>
    <cellStyle name="Normal 8 2 2 2 2 2 6 4" xfId="19566" xr:uid="{0D9B34B5-C5EA-408A-8D8A-AD976915B205}"/>
    <cellStyle name="Normal 8 2 2 2 2 2 6 5" xfId="36424" xr:uid="{946C4070-EA9A-49AB-BCCB-A1B0984F28D6}"/>
    <cellStyle name="Normal 8 2 2 2 2 2 6 6" xfId="11131" xr:uid="{9B663923-B600-4A2A-9991-BC2903399E97}"/>
    <cellStyle name="Normal 8 2 2 2 2 2 7" xfId="4849" xr:uid="{00000000-0005-0000-0000-00000A1C0000}"/>
    <cellStyle name="Normal 8 2 2 2 2 2 7 2" xfId="30148" xr:uid="{5FC58B17-41D2-43AC-BAB2-2A998325E6EE}"/>
    <cellStyle name="Normal 8 2 2 2 2 2 7 3" xfId="21719" xr:uid="{53DC4B4D-5678-4ADB-8358-8EBB5FF7C58F}"/>
    <cellStyle name="Normal 8 2 2 2 2 2 7 4" xfId="38576" xr:uid="{1E6D4D18-9291-4BF6-9AB2-092FFD13C168}"/>
    <cellStyle name="Normal 8 2 2 2 2 2 7 5" xfId="13284" xr:uid="{59F83FD2-E7ED-41EE-8537-01B88AFBD8D7}"/>
    <cellStyle name="Normal 8 2 2 2 2 2 8" xfId="25930" xr:uid="{7CCA4814-4AA2-4F5B-8D04-4464570C72CD}"/>
    <cellStyle name="Normal 8 2 2 2 2 2 9" xfId="17501" xr:uid="{D0B4CD67-7F3E-4ED4-9DA4-F624B3DFBA16}"/>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32705" xr:uid="{20C7DF78-9FC1-4704-B0F1-5F438E5D0FDF}"/>
    <cellStyle name="Normal 8 2 2 2 2 3 2 2 3" xfId="24276" xr:uid="{3EDEE72F-5BDF-483E-8C4B-95C1938FCCB5}"/>
    <cellStyle name="Normal 8 2 2 2 2 3 2 2 4" xfId="41133" xr:uid="{F56E1819-2DDA-4CBE-9F6A-D9256D65E5DF}"/>
    <cellStyle name="Normal 8 2 2 2 2 3 2 2 5" xfId="15841" xr:uid="{06A7484E-B865-4ED7-9B88-B38EA220A591}"/>
    <cellStyle name="Normal 8 2 2 2 2 3 2 3" xfId="28487" xr:uid="{289F22EB-77AA-4338-B64E-3F172480F4DA}"/>
    <cellStyle name="Normal 8 2 2 2 2 3 2 4" xfId="20058" xr:uid="{DD2FD728-742A-4D07-941B-D780B09AB31E}"/>
    <cellStyle name="Normal 8 2 2 2 2 3 2 5" xfId="36916" xr:uid="{1B1BC841-FDD4-4CE3-8EF9-FC2B27D79C3B}"/>
    <cellStyle name="Normal 8 2 2 2 2 3 2 6" xfId="11623" xr:uid="{C8FE1C5C-F6A3-4CB6-91E5-3B1D39C7BD5F}"/>
    <cellStyle name="Normal 8 2 2 2 2 3 3" xfId="5261" xr:uid="{00000000-0005-0000-0000-00000E1C0000}"/>
    <cellStyle name="Normal 8 2 2 2 2 3 3 2" xfId="30560" xr:uid="{EB038AC5-4D02-493D-A16F-AAB6F26325B1}"/>
    <cellStyle name="Normal 8 2 2 2 2 3 3 3" xfId="22131" xr:uid="{36F05E9D-DF60-4E10-8EA2-1C7F49C204CB}"/>
    <cellStyle name="Normal 8 2 2 2 2 3 3 4" xfId="38988" xr:uid="{B45217C6-0823-4ABF-9A5F-9CEA92DF3DDB}"/>
    <cellStyle name="Normal 8 2 2 2 2 3 3 5" xfId="13696" xr:uid="{BB4A8D88-16E7-4A50-949A-FF7C87A27D6E}"/>
    <cellStyle name="Normal 8 2 2 2 2 3 4" xfId="26342" xr:uid="{BE22382A-1D6F-41D6-B522-BF38578C2BDD}"/>
    <cellStyle name="Normal 8 2 2 2 2 3 5" xfId="17913" xr:uid="{4EA55618-286A-4C7A-86F1-A9E46693A153}"/>
    <cellStyle name="Normal 8 2 2 2 2 3 6" xfId="34771" xr:uid="{92B16D61-B8D2-4913-AF24-FE63E5E46D1C}"/>
    <cellStyle name="Normal 8 2 2 2 2 3 7" xfId="9478" xr:uid="{FF8792E9-F7AE-4B59-9897-45169586B8C3}"/>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33118" xr:uid="{5E6AD887-9F9A-441B-BF7E-E5035D867EA6}"/>
    <cellStyle name="Normal 8 2 2 2 2 4 2 2 3" xfId="24689" xr:uid="{F1E92053-1CFB-4E6A-B489-6EB96C0AC313}"/>
    <cellStyle name="Normal 8 2 2 2 2 4 2 2 4" xfId="41546" xr:uid="{3EDF64E0-380D-4F4D-B4EF-ED640752CA44}"/>
    <cellStyle name="Normal 8 2 2 2 2 4 2 2 5" xfId="16254" xr:uid="{1EA0BA0A-1324-4D7F-BFA4-5D5704618A00}"/>
    <cellStyle name="Normal 8 2 2 2 2 4 2 3" xfId="28900" xr:uid="{00C17AA9-5520-47EA-A4B9-50A76E6EE666}"/>
    <cellStyle name="Normal 8 2 2 2 2 4 2 4" xfId="20471" xr:uid="{D4DE827D-F0D8-4EF4-9E2E-72E798898351}"/>
    <cellStyle name="Normal 8 2 2 2 2 4 2 5" xfId="37329" xr:uid="{E69B8BBF-02C6-4B4C-B31B-06CEC9251EBB}"/>
    <cellStyle name="Normal 8 2 2 2 2 4 2 6" xfId="12036" xr:uid="{FC1598F5-4B71-4F11-B831-770C32C8308B}"/>
    <cellStyle name="Normal 8 2 2 2 2 4 3" xfId="5674" xr:uid="{00000000-0005-0000-0000-0000121C0000}"/>
    <cellStyle name="Normal 8 2 2 2 2 4 3 2" xfId="30973" xr:uid="{5AE223F6-E306-4B32-85BE-BC045F9E6A72}"/>
    <cellStyle name="Normal 8 2 2 2 2 4 3 3" xfId="22544" xr:uid="{FD328EFE-D350-45C9-9ABB-3DD98E1CD167}"/>
    <cellStyle name="Normal 8 2 2 2 2 4 3 4" xfId="39401" xr:uid="{BA529447-4BE4-4FE3-AFE5-960857C9CE4A}"/>
    <cellStyle name="Normal 8 2 2 2 2 4 3 5" xfId="14109" xr:uid="{DD92F9AB-25CE-43CE-9939-D6832C6EFB35}"/>
    <cellStyle name="Normal 8 2 2 2 2 4 4" xfId="26755" xr:uid="{2BF14EBD-3A48-4BE0-B8BC-B53CF2A0DBE3}"/>
    <cellStyle name="Normal 8 2 2 2 2 4 5" xfId="18326" xr:uid="{803D2053-C90F-4E53-B1F3-022F4A42C3E2}"/>
    <cellStyle name="Normal 8 2 2 2 2 4 6" xfId="35184" xr:uid="{9BDEC9CA-C2E1-43DD-AA9A-FEC8CC9D845A}"/>
    <cellStyle name="Normal 8 2 2 2 2 4 7" xfId="9891" xr:uid="{D8F8B04E-5EBF-480F-A094-75A7DCC37E59}"/>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33531" xr:uid="{969AA8E4-6815-451A-8ABA-DD3F83BD3BDC}"/>
    <cellStyle name="Normal 8 2 2 2 2 5 2 2 3" xfId="25102" xr:uid="{5AF3ECCC-DA60-4651-B56D-C9A5E106427E}"/>
    <cellStyle name="Normal 8 2 2 2 2 5 2 2 4" xfId="41959" xr:uid="{8497A15C-E37C-43F3-9E22-E9B87C2B1713}"/>
    <cellStyle name="Normal 8 2 2 2 2 5 2 2 5" xfId="16667" xr:uid="{2C606727-677C-467D-94B5-F36556CBD2AA}"/>
    <cellStyle name="Normal 8 2 2 2 2 5 2 3" xfId="29313" xr:uid="{3C027A39-5E13-48D1-8605-7358368E61B5}"/>
    <cellStyle name="Normal 8 2 2 2 2 5 2 4" xfId="20884" xr:uid="{4D0CBF6F-7092-4ABA-B847-684E5F11D194}"/>
    <cellStyle name="Normal 8 2 2 2 2 5 2 5" xfId="37742" xr:uid="{9187AD42-9393-4594-9025-A01997055B28}"/>
    <cellStyle name="Normal 8 2 2 2 2 5 2 6" xfId="12449" xr:uid="{1D83836D-6F92-49B7-83E0-73F723B600F6}"/>
    <cellStyle name="Normal 8 2 2 2 2 5 3" xfId="6087" xr:uid="{00000000-0005-0000-0000-0000161C0000}"/>
    <cellStyle name="Normal 8 2 2 2 2 5 3 2" xfId="31386" xr:uid="{FE97C2EB-6F28-4CAF-ACEC-46CF2A6252A2}"/>
    <cellStyle name="Normal 8 2 2 2 2 5 3 3" xfId="22957" xr:uid="{1E83A2B1-82C1-4121-982F-B2634B665EA3}"/>
    <cellStyle name="Normal 8 2 2 2 2 5 3 4" xfId="39814" xr:uid="{B0DA623B-5C58-4BDB-AD52-2E736932290D}"/>
    <cellStyle name="Normal 8 2 2 2 2 5 3 5" xfId="14522" xr:uid="{81F64AD2-8958-4A2F-840C-230FE2946F1E}"/>
    <cellStyle name="Normal 8 2 2 2 2 5 4" xfId="27168" xr:uid="{BEF03962-BC5C-47F4-A54C-57385E44D4A0}"/>
    <cellStyle name="Normal 8 2 2 2 2 5 5" xfId="18739" xr:uid="{E103AF20-F509-4C5C-9E42-2169B16B554E}"/>
    <cellStyle name="Normal 8 2 2 2 2 5 6" xfId="35597" xr:uid="{70EA1B18-4F6A-4CAA-9726-A0A5C2775FC0}"/>
    <cellStyle name="Normal 8 2 2 2 2 5 7" xfId="10304" xr:uid="{03B3F4FE-6F14-4131-A6AE-1EEDC6D23F52}"/>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33944" xr:uid="{A1BB4F8E-95D5-4F0E-A635-911D95677D16}"/>
    <cellStyle name="Normal 8 2 2 2 2 6 2 2 3" xfId="25515" xr:uid="{1514927A-B497-4D2A-9B1B-8008CF7F9F56}"/>
    <cellStyle name="Normal 8 2 2 2 2 6 2 2 4" xfId="42372" xr:uid="{1C52B2AC-8F0F-41E0-82EC-CCD1884607AE}"/>
    <cellStyle name="Normal 8 2 2 2 2 6 2 2 5" xfId="17080" xr:uid="{1AEC74FD-CFD7-4A4E-9657-FB9677270C91}"/>
    <cellStyle name="Normal 8 2 2 2 2 6 2 3" xfId="29726" xr:uid="{00B9EFDE-B67F-4987-A294-7E83DFA5A076}"/>
    <cellStyle name="Normal 8 2 2 2 2 6 2 4" xfId="21297" xr:uid="{3F4FBB0F-2CA4-43B9-8158-43E417EE6023}"/>
    <cellStyle name="Normal 8 2 2 2 2 6 2 5" xfId="38155" xr:uid="{F3AE9043-F254-42AB-9C35-541D3D196D1E}"/>
    <cellStyle name="Normal 8 2 2 2 2 6 2 6" xfId="12862" xr:uid="{AB6E7FC7-D265-4288-AC6A-6005F5E3ADC6}"/>
    <cellStyle name="Normal 8 2 2 2 2 6 3" xfId="6500" xr:uid="{00000000-0005-0000-0000-00001A1C0000}"/>
    <cellStyle name="Normal 8 2 2 2 2 6 3 2" xfId="31799" xr:uid="{4C82433C-542A-44A8-A759-873F0284E738}"/>
    <cellStyle name="Normal 8 2 2 2 2 6 3 3" xfId="23370" xr:uid="{4374870D-06E4-4A0B-BC20-7D6BB7077524}"/>
    <cellStyle name="Normal 8 2 2 2 2 6 3 4" xfId="40227" xr:uid="{08A7E0EE-10D8-496D-9F13-A00A4D1AFAF8}"/>
    <cellStyle name="Normal 8 2 2 2 2 6 3 5" xfId="14935" xr:uid="{A80F0F78-5700-4562-9DF9-4773FD1D3795}"/>
    <cellStyle name="Normal 8 2 2 2 2 6 4" xfId="27581" xr:uid="{0C73B1B7-85F3-410A-921F-0373FEE30657}"/>
    <cellStyle name="Normal 8 2 2 2 2 6 5" xfId="19152" xr:uid="{ADFBCBF3-10C7-4C17-AA10-D374C2F1DF52}"/>
    <cellStyle name="Normal 8 2 2 2 2 6 6" xfId="36010" xr:uid="{BD006759-2E8A-4449-83BE-70875BB94A1D}"/>
    <cellStyle name="Normal 8 2 2 2 2 6 7" xfId="10717" xr:uid="{B188A2E4-10A0-4118-AB6B-3C33C6E6EBE6}"/>
    <cellStyle name="Normal 8 2 2 2 2 7" xfId="2629" xr:uid="{00000000-0005-0000-0000-00001B1C0000}"/>
    <cellStyle name="Normal 8 2 2 2 2 7 2" xfId="6913" xr:uid="{00000000-0005-0000-0000-00001C1C0000}"/>
    <cellStyle name="Normal 8 2 2 2 2 7 2 2" xfId="32212" xr:uid="{BA2DB5FE-4B52-4F00-99EC-57DB4C3A5A66}"/>
    <cellStyle name="Normal 8 2 2 2 2 7 2 3" xfId="23783" xr:uid="{8341580F-2E3E-4BDE-8657-215E5820E555}"/>
    <cellStyle name="Normal 8 2 2 2 2 7 2 4" xfId="40640" xr:uid="{0EA4ADF8-8070-437E-80A0-2D65678AA053}"/>
    <cellStyle name="Normal 8 2 2 2 2 7 2 5" xfId="15348" xr:uid="{1478CDB4-6B53-4A83-9743-28B0F113DF22}"/>
    <cellStyle name="Normal 8 2 2 2 2 7 3" xfId="27994" xr:uid="{5CEA0175-0263-4F51-AD18-FB14C2A7E8A4}"/>
    <cellStyle name="Normal 8 2 2 2 2 7 4" xfId="19565" xr:uid="{949E4877-FC03-4599-9D4E-3B0B379B9DFE}"/>
    <cellStyle name="Normal 8 2 2 2 2 7 5" xfId="36423" xr:uid="{3EFE5E00-F704-4809-AD54-142A6AD5A33B}"/>
    <cellStyle name="Normal 8 2 2 2 2 7 6" xfId="11130" xr:uid="{AC531189-D761-4029-A2B1-D782A15EAC9C}"/>
    <cellStyle name="Normal 8 2 2 2 2 8" xfId="4848" xr:uid="{00000000-0005-0000-0000-00001D1C0000}"/>
    <cellStyle name="Normal 8 2 2 2 2 8 2" xfId="30147" xr:uid="{E40A5192-9813-4077-907C-D8A65CA00718}"/>
    <cellStyle name="Normal 8 2 2 2 2 8 3" xfId="21718" xr:uid="{2CC69F6C-5BFC-4CFE-A3A1-85383FA697E8}"/>
    <cellStyle name="Normal 8 2 2 2 2 8 4" xfId="38575" xr:uid="{C9C8D522-7283-4DAD-A202-853F6D466E69}"/>
    <cellStyle name="Normal 8 2 2 2 2 8 5" xfId="13283" xr:uid="{846849D2-52E1-4204-8C20-600F0280755C}"/>
    <cellStyle name="Normal 8 2 2 2 2 9" xfId="25929" xr:uid="{742E8EE8-17BF-428D-9B9D-CD21912BCD64}"/>
    <cellStyle name="Normal 8 2 2 2 3" xfId="484" xr:uid="{00000000-0005-0000-0000-00001E1C0000}"/>
    <cellStyle name="Normal 8 2 2 2 3 10" xfId="34360" xr:uid="{57DAE4C5-43E6-491E-95AA-FCB9A631DD30}"/>
    <cellStyle name="Normal 8 2 2 2 3 11" xfId="9067" xr:uid="{9677ACAE-149A-4D54-B514-7B71A8B305FF}"/>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32707" xr:uid="{F2A0D7E2-E229-40CE-B12F-B7E964DE1E2D}"/>
    <cellStyle name="Normal 8 2 2 2 3 2 2 2 3" xfId="24278" xr:uid="{B947BC9C-453E-4076-BC15-F563C14FED3F}"/>
    <cellStyle name="Normal 8 2 2 2 3 2 2 2 4" xfId="41135" xr:uid="{141F729A-8A1B-4FF2-A693-975D5C743BBA}"/>
    <cellStyle name="Normal 8 2 2 2 3 2 2 2 5" xfId="15843" xr:uid="{0312DA41-8D12-4993-9985-39DE3C69BF16}"/>
    <cellStyle name="Normal 8 2 2 2 3 2 2 3" xfId="28489" xr:uid="{E2F7F017-617B-4996-B0BD-E265BA357B8E}"/>
    <cellStyle name="Normal 8 2 2 2 3 2 2 4" xfId="20060" xr:uid="{01BE98C7-D502-4DD9-B786-D104BC6563F3}"/>
    <cellStyle name="Normal 8 2 2 2 3 2 2 5" xfId="36918" xr:uid="{65381F81-FB0D-41C5-AE01-F0C0CA2386E7}"/>
    <cellStyle name="Normal 8 2 2 2 3 2 2 6" xfId="11625" xr:uid="{63280F0E-D2DD-412A-A9FA-69FB6296F61E}"/>
    <cellStyle name="Normal 8 2 2 2 3 2 3" xfId="5263" xr:uid="{00000000-0005-0000-0000-0000221C0000}"/>
    <cellStyle name="Normal 8 2 2 2 3 2 3 2" xfId="30562" xr:uid="{B2F3FACF-3445-4C81-8CD2-1BCA558CE4DB}"/>
    <cellStyle name="Normal 8 2 2 2 3 2 3 3" xfId="22133" xr:uid="{D9CAF6B5-61F6-48B2-99D0-32BF8744796C}"/>
    <cellStyle name="Normal 8 2 2 2 3 2 3 4" xfId="38990" xr:uid="{7B5ECF69-5CE8-453F-9F26-8A9AECA536E6}"/>
    <cellStyle name="Normal 8 2 2 2 3 2 3 5" xfId="13698" xr:uid="{41FA9A3B-F7BC-4731-9B9F-52E536C7483B}"/>
    <cellStyle name="Normal 8 2 2 2 3 2 4" xfId="26344" xr:uid="{1D162804-6F4E-4D58-9D77-8AFB9AC51B5F}"/>
    <cellStyle name="Normal 8 2 2 2 3 2 5" xfId="17915" xr:uid="{93466F4B-2C13-4346-BE11-35C3DB64A539}"/>
    <cellStyle name="Normal 8 2 2 2 3 2 6" xfId="34773" xr:uid="{79B569A7-EF19-4B1D-8167-16E7A6F7371E}"/>
    <cellStyle name="Normal 8 2 2 2 3 2 7" xfId="9480" xr:uid="{4F053E41-3CBE-48B9-ACC1-82B4C0ECFB2E}"/>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33120" xr:uid="{D6F9A864-9464-4F74-BFB9-26DE6B3E02D9}"/>
    <cellStyle name="Normal 8 2 2 2 3 3 2 2 3" xfId="24691" xr:uid="{7F61C76E-CE33-4FC2-B605-B0CDF201E4EF}"/>
    <cellStyle name="Normal 8 2 2 2 3 3 2 2 4" xfId="41548" xr:uid="{6784F958-A70B-4AB2-BA99-3E500D32C07F}"/>
    <cellStyle name="Normal 8 2 2 2 3 3 2 2 5" xfId="16256" xr:uid="{CC6E018E-0A63-439A-8907-50D079CCF34E}"/>
    <cellStyle name="Normal 8 2 2 2 3 3 2 3" xfId="28902" xr:uid="{C88F34DA-4134-4059-BE79-623421A8188F}"/>
    <cellStyle name="Normal 8 2 2 2 3 3 2 4" xfId="20473" xr:uid="{E4330F66-B678-41F5-BF75-87703D1252C8}"/>
    <cellStyle name="Normal 8 2 2 2 3 3 2 5" xfId="37331" xr:uid="{B491D9BA-141B-4740-A3A8-50DFF75B498D}"/>
    <cellStyle name="Normal 8 2 2 2 3 3 2 6" xfId="12038" xr:uid="{C4345930-0AED-4908-AAA2-BEA2C348562A}"/>
    <cellStyle name="Normal 8 2 2 2 3 3 3" xfId="5676" xr:uid="{00000000-0005-0000-0000-0000261C0000}"/>
    <cellStyle name="Normal 8 2 2 2 3 3 3 2" xfId="30975" xr:uid="{2151CB7B-4E4F-4C36-8CEB-3E3DAB5E5E36}"/>
    <cellStyle name="Normal 8 2 2 2 3 3 3 3" xfId="22546" xr:uid="{CA0FB7E1-26F1-4EC1-8120-2FC9CA48405C}"/>
    <cellStyle name="Normal 8 2 2 2 3 3 3 4" xfId="39403" xr:uid="{20D96B8B-DF20-4010-891A-91A9EE2C0965}"/>
    <cellStyle name="Normal 8 2 2 2 3 3 3 5" xfId="14111" xr:uid="{CAF88FC2-DC07-4B3E-BEC4-AB1472890B24}"/>
    <cellStyle name="Normal 8 2 2 2 3 3 4" xfId="26757" xr:uid="{9DD2E351-2ACC-480E-A54D-9BC43E90922E}"/>
    <cellStyle name="Normal 8 2 2 2 3 3 5" xfId="18328" xr:uid="{80C8F185-C17B-4973-AB2F-095CC9DA20E8}"/>
    <cellStyle name="Normal 8 2 2 2 3 3 6" xfId="35186" xr:uid="{06C43BFD-A17A-46FE-A8CE-0BA6B57A3A81}"/>
    <cellStyle name="Normal 8 2 2 2 3 3 7" xfId="9893" xr:uid="{DE2ED07B-B4DB-400C-8129-232FBFC8DB4E}"/>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33533" xr:uid="{BA7F1047-4CE1-459A-B383-69BD369E00E5}"/>
    <cellStyle name="Normal 8 2 2 2 3 4 2 2 3" xfId="25104" xr:uid="{20ECFAE1-9012-4D0F-A16D-76A987285BD6}"/>
    <cellStyle name="Normal 8 2 2 2 3 4 2 2 4" xfId="41961" xr:uid="{B2552CE3-2110-4707-8290-014D8F3317A5}"/>
    <cellStyle name="Normal 8 2 2 2 3 4 2 2 5" xfId="16669" xr:uid="{CAD3D725-FC78-4BFC-AF67-BA166C17C8AE}"/>
    <cellStyle name="Normal 8 2 2 2 3 4 2 3" xfId="29315" xr:uid="{D006A9D2-A80D-4CCC-8431-D2F4096FF6F1}"/>
    <cellStyle name="Normal 8 2 2 2 3 4 2 4" xfId="20886" xr:uid="{6EAAF44A-E22F-414F-8DAB-D8B993100E94}"/>
    <cellStyle name="Normal 8 2 2 2 3 4 2 5" xfId="37744" xr:uid="{B2DDA2B0-A2F8-403E-815B-E3B89B3771CA}"/>
    <cellStyle name="Normal 8 2 2 2 3 4 2 6" xfId="12451" xr:uid="{FB20E470-11AA-4006-B4DA-C61DB8D8FA2B}"/>
    <cellStyle name="Normal 8 2 2 2 3 4 3" xfId="6089" xr:uid="{00000000-0005-0000-0000-00002A1C0000}"/>
    <cellStyle name="Normal 8 2 2 2 3 4 3 2" xfId="31388" xr:uid="{4AA0CD5F-955E-45D7-B7BE-73083E87F62D}"/>
    <cellStyle name="Normal 8 2 2 2 3 4 3 3" xfId="22959" xr:uid="{C389C3F4-702D-46E6-AB5B-4F8F156372E0}"/>
    <cellStyle name="Normal 8 2 2 2 3 4 3 4" xfId="39816" xr:uid="{FDC0D702-9366-4B81-A88F-4D6426467549}"/>
    <cellStyle name="Normal 8 2 2 2 3 4 3 5" xfId="14524" xr:uid="{CEF227ED-A46E-42BE-83A6-11472366449E}"/>
    <cellStyle name="Normal 8 2 2 2 3 4 4" xfId="27170" xr:uid="{8D65ACC3-A980-442B-A62C-3423EC33D363}"/>
    <cellStyle name="Normal 8 2 2 2 3 4 5" xfId="18741" xr:uid="{72227E23-7555-4647-A190-C9CB0BF3EC1C}"/>
    <cellStyle name="Normal 8 2 2 2 3 4 6" xfId="35599" xr:uid="{2927D7A5-CE3D-4556-95F6-E024FC404867}"/>
    <cellStyle name="Normal 8 2 2 2 3 4 7" xfId="10306" xr:uid="{7D104B4D-437A-46E0-B687-71C7FAAB2A8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33946" xr:uid="{3DEAB22D-58BB-4D2D-A6C0-C8E8B723F2C4}"/>
    <cellStyle name="Normal 8 2 2 2 3 5 2 2 3" xfId="25517" xr:uid="{3D2C1286-1FDF-4BA5-BE47-D920372F6993}"/>
    <cellStyle name="Normal 8 2 2 2 3 5 2 2 4" xfId="42374" xr:uid="{3FFEE4F2-E935-4737-939B-2879BE0900A5}"/>
    <cellStyle name="Normal 8 2 2 2 3 5 2 2 5" xfId="17082" xr:uid="{F7172797-F340-4EB1-BAC2-FA1EB007D8B7}"/>
    <cellStyle name="Normal 8 2 2 2 3 5 2 3" xfId="29728" xr:uid="{2497E497-650C-4269-AEBE-B4071CFD2DF8}"/>
    <cellStyle name="Normal 8 2 2 2 3 5 2 4" xfId="21299" xr:uid="{45A5DA13-1DC6-436E-BC37-DDD6CA48985C}"/>
    <cellStyle name="Normal 8 2 2 2 3 5 2 5" xfId="38157" xr:uid="{F5191312-88BF-4B31-BBFC-22E66FF8E63A}"/>
    <cellStyle name="Normal 8 2 2 2 3 5 2 6" xfId="12864" xr:uid="{5C3E24EE-6F92-4C13-A722-07081761A977}"/>
    <cellStyle name="Normal 8 2 2 2 3 5 3" xfId="6502" xr:uid="{00000000-0005-0000-0000-00002E1C0000}"/>
    <cellStyle name="Normal 8 2 2 2 3 5 3 2" xfId="31801" xr:uid="{F63A1166-159C-4035-B378-2AD2CBD42919}"/>
    <cellStyle name="Normal 8 2 2 2 3 5 3 3" xfId="23372" xr:uid="{43DFAD20-B849-4BAB-ABFF-E1069F5488DA}"/>
    <cellStyle name="Normal 8 2 2 2 3 5 3 4" xfId="40229" xr:uid="{D5C2B5FE-F5FC-4B29-B8AD-8D58A0A672CE}"/>
    <cellStyle name="Normal 8 2 2 2 3 5 3 5" xfId="14937" xr:uid="{30078BF2-66FD-467A-8FCE-9A2D092B2ED7}"/>
    <cellStyle name="Normal 8 2 2 2 3 5 4" xfId="27583" xr:uid="{1923C3EC-259E-4A6D-8B77-AE4EC4F84F28}"/>
    <cellStyle name="Normal 8 2 2 2 3 5 5" xfId="19154" xr:uid="{6E422BB2-13CD-40FF-90F2-E5E872D46F0C}"/>
    <cellStyle name="Normal 8 2 2 2 3 5 6" xfId="36012" xr:uid="{5AAC89C0-2F19-4088-B7D7-EEEE8F29173B}"/>
    <cellStyle name="Normal 8 2 2 2 3 5 7" xfId="10719" xr:uid="{ECB69FE7-2FC6-40A8-BFD9-AC5BE78F02D5}"/>
    <cellStyle name="Normal 8 2 2 2 3 6" xfId="2631" xr:uid="{00000000-0005-0000-0000-00002F1C0000}"/>
    <cellStyle name="Normal 8 2 2 2 3 6 2" xfId="6915" xr:uid="{00000000-0005-0000-0000-0000301C0000}"/>
    <cellStyle name="Normal 8 2 2 2 3 6 2 2" xfId="32214" xr:uid="{3AC73D3A-DF4C-4FC7-9C4B-FEBBE6829827}"/>
    <cellStyle name="Normal 8 2 2 2 3 6 2 3" xfId="23785" xr:uid="{A54C9409-E244-4C75-AC61-578E98C20076}"/>
    <cellStyle name="Normal 8 2 2 2 3 6 2 4" xfId="40642" xr:uid="{FD2D12AF-5B16-45CC-8ED4-599D37D5CEE8}"/>
    <cellStyle name="Normal 8 2 2 2 3 6 2 5" xfId="15350" xr:uid="{16ACEA1F-E736-4780-9CB1-6936D2041171}"/>
    <cellStyle name="Normal 8 2 2 2 3 6 3" xfId="27996" xr:uid="{E63535D0-6402-404D-B91B-C5D1CA8CC8C5}"/>
    <cellStyle name="Normal 8 2 2 2 3 6 4" xfId="19567" xr:uid="{C18C2634-4120-48EB-8E6F-3E34419AC199}"/>
    <cellStyle name="Normal 8 2 2 2 3 6 5" xfId="36425" xr:uid="{03E7BA0E-E16A-4DFB-BD7F-45B229E6737B}"/>
    <cellStyle name="Normal 8 2 2 2 3 6 6" xfId="11132" xr:uid="{691E8D6E-4562-450D-9D9D-4B4DC81C9B5D}"/>
    <cellStyle name="Normal 8 2 2 2 3 7" xfId="4850" xr:uid="{00000000-0005-0000-0000-0000311C0000}"/>
    <cellStyle name="Normal 8 2 2 2 3 7 2" xfId="30149" xr:uid="{BA0E14E6-B4CD-4576-93F7-8F8AAF5BE6EF}"/>
    <cellStyle name="Normal 8 2 2 2 3 7 3" xfId="21720" xr:uid="{572C3E13-6431-422F-B01B-8876547061A7}"/>
    <cellStyle name="Normal 8 2 2 2 3 7 4" xfId="38577" xr:uid="{0A4C057A-6AE1-41AC-8EC3-28D6602F1113}"/>
    <cellStyle name="Normal 8 2 2 2 3 7 5" xfId="13285" xr:uid="{AD9A682B-C476-4DC4-A9C6-B71B8CFD8321}"/>
    <cellStyle name="Normal 8 2 2 2 3 8" xfId="25931" xr:uid="{4E897316-DB53-48AB-98AD-F4B00342C9E5}"/>
    <cellStyle name="Normal 8 2 2 2 3 9" xfId="17502" xr:uid="{1C04CBD8-FEF1-4EDF-98BD-69DF02CBB787}"/>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32704" xr:uid="{772EFA7D-DBDA-4C41-9CE2-4747D8CC199C}"/>
    <cellStyle name="Normal 8 2 2 2 4 2 2 3" xfId="24275" xr:uid="{E3606EC8-4CE6-4E19-9577-630D01A52993}"/>
    <cellStyle name="Normal 8 2 2 2 4 2 2 4" xfId="41132" xr:uid="{7CAF47DF-F5AC-4DF6-ADDF-C34E58A29DCF}"/>
    <cellStyle name="Normal 8 2 2 2 4 2 2 5" xfId="15840" xr:uid="{ECD6E061-3C5D-46F1-8978-37D66283FB7D}"/>
    <cellStyle name="Normal 8 2 2 2 4 2 3" xfId="28486" xr:uid="{9CA200C7-E569-4F12-9ED6-9973AB3A646B}"/>
    <cellStyle name="Normal 8 2 2 2 4 2 4" xfId="20057" xr:uid="{5D3E7260-6974-4164-A6A0-232F92534C77}"/>
    <cellStyle name="Normal 8 2 2 2 4 2 5" xfId="36915" xr:uid="{34E6A486-BCB6-47F6-AC86-28922DE87C95}"/>
    <cellStyle name="Normal 8 2 2 2 4 2 6" xfId="11622" xr:uid="{1873A1BE-658B-4384-84F3-62E113781F7D}"/>
    <cellStyle name="Normal 8 2 2 2 4 3" xfId="5260" xr:uid="{00000000-0005-0000-0000-0000351C0000}"/>
    <cellStyle name="Normal 8 2 2 2 4 3 2" xfId="30559" xr:uid="{4537C8DD-297F-4043-9983-F63BA527412D}"/>
    <cellStyle name="Normal 8 2 2 2 4 3 3" xfId="22130" xr:uid="{1AC7069D-8C40-4287-975D-6DE5010B232A}"/>
    <cellStyle name="Normal 8 2 2 2 4 3 4" xfId="38987" xr:uid="{3108F476-E163-415C-AC9B-0E57F4E10ABC}"/>
    <cellStyle name="Normal 8 2 2 2 4 3 5" xfId="13695" xr:uid="{5A52869A-8B2D-4383-AFD4-73DE4E5653CA}"/>
    <cellStyle name="Normal 8 2 2 2 4 4" xfId="26341" xr:uid="{6093F2C0-ECC5-490C-8207-D85F4D94441F}"/>
    <cellStyle name="Normal 8 2 2 2 4 5" xfId="17912" xr:uid="{E225C4B9-CE36-427B-89BD-BB3F566C57E3}"/>
    <cellStyle name="Normal 8 2 2 2 4 6" xfId="34770" xr:uid="{F520E1F7-7ABA-4689-AAF4-E38035B1EEA8}"/>
    <cellStyle name="Normal 8 2 2 2 4 7" xfId="9477" xr:uid="{0018344B-A8A8-47D8-A7D0-38FA5B373A89}"/>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33117" xr:uid="{4E74346C-34EF-4145-B6BF-5BCDEBF07A82}"/>
    <cellStyle name="Normal 8 2 2 2 5 2 2 3" xfId="24688" xr:uid="{B7282C53-0510-495F-A815-2506D609401F}"/>
    <cellStyle name="Normal 8 2 2 2 5 2 2 4" xfId="41545" xr:uid="{96260DC2-7A10-4E75-8CE5-31AFCFB100FC}"/>
    <cellStyle name="Normal 8 2 2 2 5 2 2 5" xfId="16253" xr:uid="{5B4DBA55-6C35-4B6B-8A1B-29C8DB4DB249}"/>
    <cellStyle name="Normal 8 2 2 2 5 2 3" xfId="28899" xr:uid="{D7C34E00-6ACE-4844-9069-F95E05D96EC2}"/>
    <cellStyle name="Normal 8 2 2 2 5 2 4" xfId="20470" xr:uid="{7D28ECEA-8C80-43C8-8C35-46F7A0012EB6}"/>
    <cellStyle name="Normal 8 2 2 2 5 2 5" xfId="37328" xr:uid="{D5416BB3-444D-4A68-A7F6-D5954DD07AE3}"/>
    <cellStyle name="Normal 8 2 2 2 5 2 6" xfId="12035" xr:uid="{7B9FFB82-17F8-4FD1-B767-3ADBD2F4DC60}"/>
    <cellStyle name="Normal 8 2 2 2 5 3" xfId="5673" xr:uid="{00000000-0005-0000-0000-0000391C0000}"/>
    <cellStyle name="Normal 8 2 2 2 5 3 2" xfId="30972" xr:uid="{94F7193E-1038-402B-BBD9-9689329C0073}"/>
    <cellStyle name="Normal 8 2 2 2 5 3 3" xfId="22543" xr:uid="{579C9DDE-DE4C-4443-9D75-0D8E785EF8A5}"/>
    <cellStyle name="Normal 8 2 2 2 5 3 4" xfId="39400" xr:uid="{1DBDE55A-136D-4147-832F-813A965B9AB4}"/>
    <cellStyle name="Normal 8 2 2 2 5 3 5" xfId="14108" xr:uid="{7D1BC5E9-3406-4B43-96BB-D91F6FCA4492}"/>
    <cellStyle name="Normal 8 2 2 2 5 4" xfId="26754" xr:uid="{BB49D3DE-32CB-498B-BF07-0C1E37D060C0}"/>
    <cellStyle name="Normal 8 2 2 2 5 5" xfId="18325" xr:uid="{FE73920E-A5F5-41BF-9E73-79863B941936}"/>
    <cellStyle name="Normal 8 2 2 2 5 6" xfId="35183" xr:uid="{37B525E4-0362-4784-AE8C-36C35CDE19C8}"/>
    <cellStyle name="Normal 8 2 2 2 5 7" xfId="9890" xr:uid="{2E652C2C-B28C-43AA-A5B0-8FCC90B4DC65}"/>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33530" xr:uid="{E00DF93C-4EEA-47F0-924C-DA52776C4D74}"/>
    <cellStyle name="Normal 8 2 2 2 6 2 2 3" xfId="25101" xr:uid="{48CB23D0-5B7A-43D9-8C8F-81E539F59896}"/>
    <cellStyle name="Normal 8 2 2 2 6 2 2 4" xfId="41958" xr:uid="{1A1D3373-1FE2-49CB-9C02-03029DABF740}"/>
    <cellStyle name="Normal 8 2 2 2 6 2 2 5" xfId="16666" xr:uid="{050C651F-C762-4366-95F4-B497511B2E43}"/>
    <cellStyle name="Normal 8 2 2 2 6 2 3" xfId="29312" xr:uid="{735EB0C9-B630-40C5-905C-ECD6AAEB854C}"/>
    <cellStyle name="Normal 8 2 2 2 6 2 4" xfId="20883" xr:uid="{88265EE6-A98A-4F0A-ACAB-F36EF733A366}"/>
    <cellStyle name="Normal 8 2 2 2 6 2 5" xfId="37741" xr:uid="{71585FA6-285E-45FA-9AB4-228DE2958947}"/>
    <cellStyle name="Normal 8 2 2 2 6 2 6" xfId="12448" xr:uid="{6F8B5609-BD4F-49A7-96D1-567BEAE9E745}"/>
    <cellStyle name="Normal 8 2 2 2 6 3" xfId="6086" xr:uid="{00000000-0005-0000-0000-00003D1C0000}"/>
    <cellStyle name="Normal 8 2 2 2 6 3 2" xfId="31385" xr:uid="{2D95107C-BAE0-4264-94AE-1782834E0D6F}"/>
    <cellStyle name="Normal 8 2 2 2 6 3 3" xfId="22956" xr:uid="{CAF0DBFA-9C46-409A-9FF2-62F70419101E}"/>
    <cellStyle name="Normal 8 2 2 2 6 3 4" xfId="39813" xr:uid="{39184653-7F41-470F-A7EB-7A86DD179736}"/>
    <cellStyle name="Normal 8 2 2 2 6 3 5" xfId="14521" xr:uid="{FC14A31C-950C-44E5-98F2-05D27523368D}"/>
    <cellStyle name="Normal 8 2 2 2 6 4" xfId="27167" xr:uid="{465B5402-2714-4977-8C1F-DD49F344033C}"/>
    <cellStyle name="Normal 8 2 2 2 6 5" xfId="18738" xr:uid="{039F05EE-CFA6-4C25-847A-08D8586701A2}"/>
    <cellStyle name="Normal 8 2 2 2 6 6" xfId="35596" xr:uid="{64B5B73A-1C68-4F06-B73D-3517E0169BB2}"/>
    <cellStyle name="Normal 8 2 2 2 6 7" xfId="10303" xr:uid="{84841E7F-EDBA-4361-A09B-C57E1AE2B06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33943" xr:uid="{A8A62BA4-6086-4916-AA6D-B8948DDC946E}"/>
    <cellStyle name="Normal 8 2 2 2 7 2 2 3" xfId="25514" xr:uid="{6B2625F4-1052-40A4-8F30-8873FAA2557A}"/>
    <cellStyle name="Normal 8 2 2 2 7 2 2 4" xfId="42371" xr:uid="{8FABB0FA-7877-445E-82A5-F2B0E9980B97}"/>
    <cellStyle name="Normal 8 2 2 2 7 2 2 5" xfId="17079" xr:uid="{AD9F5997-F4B3-4038-ADA1-3572259CA243}"/>
    <cellStyle name="Normal 8 2 2 2 7 2 3" xfId="29725" xr:uid="{51E61F14-A5A4-4F76-A549-932D82D0CDC5}"/>
    <cellStyle name="Normal 8 2 2 2 7 2 4" xfId="21296" xr:uid="{33369459-6A13-4BC2-94AD-893443BA01AB}"/>
    <cellStyle name="Normal 8 2 2 2 7 2 5" xfId="38154" xr:uid="{4E55B50D-AFFE-4920-92EB-C0BA6B73FCD4}"/>
    <cellStyle name="Normal 8 2 2 2 7 2 6" xfId="12861" xr:uid="{6158187C-185D-4575-BF32-61133E87E9A7}"/>
    <cellStyle name="Normal 8 2 2 2 7 3" xfId="6499" xr:uid="{00000000-0005-0000-0000-0000411C0000}"/>
    <cellStyle name="Normal 8 2 2 2 7 3 2" xfId="31798" xr:uid="{93D275AD-8E15-4C1C-B8B7-C7E0D64D0F51}"/>
    <cellStyle name="Normal 8 2 2 2 7 3 3" xfId="23369" xr:uid="{5A2F0848-CBF8-4507-9CDA-53C402F5B65E}"/>
    <cellStyle name="Normal 8 2 2 2 7 3 4" xfId="40226" xr:uid="{2B9E3E20-202E-4357-80C6-F13F1B46B753}"/>
    <cellStyle name="Normal 8 2 2 2 7 3 5" xfId="14934" xr:uid="{1B118925-A08E-44F0-A500-F37B05A03807}"/>
    <cellStyle name="Normal 8 2 2 2 7 4" xfId="27580" xr:uid="{BE9400F5-8C93-40A3-BE89-EE87A61F572E}"/>
    <cellStyle name="Normal 8 2 2 2 7 5" xfId="19151" xr:uid="{65E16A49-D5C1-473B-A661-5000BA269EF5}"/>
    <cellStyle name="Normal 8 2 2 2 7 6" xfId="36009" xr:uid="{2A91EFFA-6C23-4093-B9E2-2BD432875539}"/>
    <cellStyle name="Normal 8 2 2 2 7 7" xfId="10716" xr:uid="{5E6D0A0C-68AE-46C3-8BFD-036296C8A095}"/>
    <cellStyle name="Normal 8 2 2 2 8" xfId="2628" xr:uid="{00000000-0005-0000-0000-0000421C0000}"/>
    <cellStyle name="Normal 8 2 2 2 8 2" xfId="6912" xr:uid="{00000000-0005-0000-0000-0000431C0000}"/>
    <cellStyle name="Normal 8 2 2 2 8 2 2" xfId="32211" xr:uid="{E4AE2CDA-0E6D-4CB4-BC2B-6179FCED3B76}"/>
    <cellStyle name="Normal 8 2 2 2 8 2 3" xfId="23782" xr:uid="{D681A12E-5B9B-496E-AA00-15066B933007}"/>
    <cellStyle name="Normal 8 2 2 2 8 2 4" xfId="40639" xr:uid="{FC63B828-4E5C-449D-A0BC-AB81AC2915C2}"/>
    <cellStyle name="Normal 8 2 2 2 8 2 5" xfId="15347" xr:uid="{FE137EDE-F938-483F-A672-86D7A76793FA}"/>
    <cellStyle name="Normal 8 2 2 2 8 3" xfId="27993" xr:uid="{054414C7-174B-4FFE-BB28-BC454B4EFFFB}"/>
    <cellStyle name="Normal 8 2 2 2 8 4" xfId="19564" xr:uid="{6DBADE96-4DC7-41A0-A7BD-6A49A4239EF5}"/>
    <cellStyle name="Normal 8 2 2 2 8 5" xfId="36422" xr:uid="{2BBA799C-F2AD-4B7B-9F6B-9795501B8890}"/>
    <cellStyle name="Normal 8 2 2 2 8 6" xfId="11129" xr:uid="{4659A396-74DB-4703-86F7-343B8DB16F12}"/>
    <cellStyle name="Normal 8 2 2 2 9" xfId="4847" xr:uid="{00000000-0005-0000-0000-0000441C0000}"/>
    <cellStyle name="Normal 8 2 2 2 9 2" xfId="30146" xr:uid="{A88DDB9E-E073-4F9D-86FC-7D0D3318F410}"/>
    <cellStyle name="Normal 8 2 2 2 9 3" xfId="21717" xr:uid="{D66D4D35-3B5D-47FE-91FC-88B590C5CC06}"/>
    <cellStyle name="Normal 8 2 2 2 9 4" xfId="38574" xr:uid="{3178C6EC-2BE7-42FF-AC1A-0410FC81FD80}"/>
    <cellStyle name="Normal 8 2 2 2 9 5" xfId="13282" xr:uid="{29157569-3EDB-49EA-8279-F2C18E3BD65B}"/>
    <cellStyle name="Normal 8 2 2 3" xfId="485" xr:uid="{00000000-0005-0000-0000-0000451C0000}"/>
    <cellStyle name="Normal 8 2 2 3 10" xfId="17503" xr:uid="{D733669E-14F9-446A-AED4-60F46DD0E1AA}"/>
    <cellStyle name="Normal 8 2 2 3 11" xfId="34361" xr:uid="{3DDCC425-7626-4283-9C56-9D1BE588CC7F}"/>
    <cellStyle name="Normal 8 2 2 3 12" xfId="9068" xr:uid="{408A1350-A05D-4561-A687-D1B65720BFFA}"/>
    <cellStyle name="Normal 8 2 2 3 2" xfId="486" xr:uid="{00000000-0005-0000-0000-0000461C0000}"/>
    <cellStyle name="Normal 8 2 2 3 2 10" xfId="34362" xr:uid="{52D203E0-C1D3-4071-8D2F-8AE3140A434A}"/>
    <cellStyle name="Normal 8 2 2 3 2 11" xfId="9069" xr:uid="{ECDF82E4-A7B6-400E-9E26-921EFCBD5BC2}"/>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32709" xr:uid="{8BE29FC5-6FFD-4A77-BB1E-E76421FB95A1}"/>
    <cellStyle name="Normal 8 2 2 3 2 2 2 2 3" xfId="24280" xr:uid="{10CA3513-D91B-423A-A1E7-546811540648}"/>
    <cellStyle name="Normal 8 2 2 3 2 2 2 2 4" xfId="41137" xr:uid="{B5565577-274C-4FC5-88CE-B1C9E92D59F7}"/>
    <cellStyle name="Normal 8 2 2 3 2 2 2 2 5" xfId="15845" xr:uid="{DD3FB2FE-ECA5-4383-91E0-88EB539758C9}"/>
    <cellStyle name="Normal 8 2 2 3 2 2 2 3" xfId="28491" xr:uid="{3782FDF5-25AA-4DD8-9AF6-5169273E9FC5}"/>
    <cellStyle name="Normal 8 2 2 3 2 2 2 4" xfId="20062" xr:uid="{AAB773C2-31D6-4655-84D0-EDBE55CBC863}"/>
    <cellStyle name="Normal 8 2 2 3 2 2 2 5" xfId="36920" xr:uid="{E187B81D-5D68-438E-81FE-B5F370DD615E}"/>
    <cellStyle name="Normal 8 2 2 3 2 2 2 6" xfId="11627" xr:uid="{CF47ED05-7883-464E-9280-49EF3D670C2E}"/>
    <cellStyle name="Normal 8 2 2 3 2 2 3" xfId="5265" xr:uid="{00000000-0005-0000-0000-00004A1C0000}"/>
    <cellStyle name="Normal 8 2 2 3 2 2 3 2" xfId="30564" xr:uid="{9D7EE684-613A-4299-A403-F5E176D018FF}"/>
    <cellStyle name="Normal 8 2 2 3 2 2 3 3" xfId="22135" xr:uid="{A0ED54D5-E915-4ACB-9135-8A7AD7E808F0}"/>
    <cellStyle name="Normal 8 2 2 3 2 2 3 4" xfId="38992" xr:uid="{2F3DDF77-DCD0-4EA8-A570-49AACC7D5400}"/>
    <cellStyle name="Normal 8 2 2 3 2 2 3 5" xfId="13700" xr:uid="{E73AC918-C902-4047-A246-AD50714DBF30}"/>
    <cellStyle name="Normal 8 2 2 3 2 2 4" xfId="26346" xr:uid="{616626A3-7AE7-4614-A280-7DAAEC881833}"/>
    <cellStyle name="Normal 8 2 2 3 2 2 5" xfId="17917" xr:uid="{0CE36935-44C7-4765-9133-8E011AD12D13}"/>
    <cellStyle name="Normal 8 2 2 3 2 2 6" xfId="34775" xr:uid="{F0223E05-62F2-47AC-9EC6-02089C79EA46}"/>
    <cellStyle name="Normal 8 2 2 3 2 2 7" xfId="9482" xr:uid="{1DD05683-F798-41A0-8401-A73264072956}"/>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33122" xr:uid="{22AEC78C-8582-45C2-98A3-48442BE8AE91}"/>
    <cellStyle name="Normal 8 2 2 3 2 3 2 2 3" xfId="24693" xr:uid="{EF8CA7C1-FE22-4109-BCBB-9EFC071B9C83}"/>
    <cellStyle name="Normal 8 2 2 3 2 3 2 2 4" xfId="41550" xr:uid="{02C5572B-A267-4D9B-9E6C-70B46E7D8169}"/>
    <cellStyle name="Normal 8 2 2 3 2 3 2 2 5" xfId="16258" xr:uid="{0767931A-5C97-491E-A172-56EB3168C26E}"/>
    <cellStyle name="Normal 8 2 2 3 2 3 2 3" xfId="28904" xr:uid="{9059B7B3-ABB0-4C2F-8DC4-04844D3D7205}"/>
    <cellStyle name="Normal 8 2 2 3 2 3 2 4" xfId="20475" xr:uid="{AD071E48-7975-4830-AF3D-F34D4F91C660}"/>
    <cellStyle name="Normal 8 2 2 3 2 3 2 5" xfId="37333" xr:uid="{2C64BBCB-24F2-45A2-9F93-978C22DE7EA0}"/>
    <cellStyle name="Normal 8 2 2 3 2 3 2 6" xfId="12040" xr:uid="{B1A65641-9435-49F4-978A-C8AA93B4A888}"/>
    <cellStyle name="Normal 8 2 2 3 2 3 3" xfId="5678" xr:uid="{00000000-0005-0000-0000-00004E1C0000}"/>
    <cellStyle name="Normal 8 2 2 3 2 3 3 2" xfId="30977" xr:uid="{053A13F3-B912-4CD6-A23C-AB1A168247E9}"/>
    <cellStyle name="Normal 8 2 2 3 2 3 3 3" xfId="22548" xr:uid="{90F26413-5332-469B-866B-F0099DA36320}"/>
    <cellStyle name="Normal 8 2 2 3 2 3 3 4" xfId="39405" xr:uid="{4C8D5D7C-5125-41CE-B8CB-2546BAE19219}"/>
    <cellStyle name="Normal 8 2 2 3 2 3 3 5" xfId="14113" xr:uid="{C570E2F8-6981-4BA9-96C2-1B7E17C24A74}"/>
    <cellStyle name="Normal 8 2 2 3 2 3 4" xfId="26759" xr:uid="{5F754F5C-D21B-4602-8DF8-EE68B3D515B1}"/>
    <cellStyle name="Normal 8 2 2 3 2 3 5" xfId="18330" xr:uid="{D776BE1A-D47F-408F-93A9-DB699FC617E9}"/>
    <cellStyle name="Normal 8 2 2 3 2 3 6" xfId="35188" xr:uid="{D3E47F38-06B3-4DAA-9CCE-E1E28DB5943D}"/>
    <cellStyle name="Normal 8 2 2 3 2 3 7" xfId="9895" xr:uid="{43455B03-6C21-4692-91F6-3639DBC3B132}"/>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33535" xr:uid="{45CEA35E-A0F5-476A-831B-328022B968FB}"/>
    <cellStyle name="Normal 8 2 2 3 2 4 2 2 3" xfId="25106" xr:uid="{C9BDE379-D813-42E0-AB6A-E0AF0F914885}"/>
    <cellStyle name="Normal 8 2 2 3 2 4 2 2 4" xfId="41963" xr:uid="{948E38F9-6004-4CB0-A1F0-C85424CD8A3E}"/>
    <cellStyle name="Normal 8 2 2 3 2 4 2 2 5" xfId="16671" xr:uid="{76674E68-9F8C-49A1-B957-BC901B75914C}"/>
    <cellStyle name="Normal 8 2 2 3 2 4 2 3" xfId="29317" xr:uid="{B02332CB-2092-4765-BD36-A1D894BF90D8}"/>
    <cellStyle name="Normal 8 2 2 3 2 4 2 4" xfId="20888" xr:uid="{B8B935B7-4178-4599-9816-B2AC72E18BEF}"/>
    <cellStyle name="Normal 8 2 2 3 2 4 2 5" xfId="37746" xr:uid="{30F1D9A1-2E09-492C-96A1-0A53B2A31DA1}"/>
    <cellStyle name="Normal 8 2 2 3 2 4 2 6" xfId="12453" xr:uid="{27200769-5440-4938-92FB-35D96E478619}"/>
    <cellStyle name="Normal 8 2 2 3 2 4 3" xfId="6091" xr:uid="{00000000-0005-0000-0000-0000521C0000}"/>
    <cellStyle name="Normal 8 2 2 3 2 4 3 2" xfId="31390" xr:uid="{60986C83-936A-4680-AC5E-46A6F57D997C}"/>
    <cellStyle name="Normal 8 2 2 3 2 4 3 3" xfId="22961" xr:uid="{CA5084B8-9AC8-48AC-91E8-AC0EFFDD3E85}"/>
    <cellStyle name="Normal 8 2 2 3 2 4 3 4" xfId="39818" xr:uid="{AC8424A9-F7BE-43AF-B25C-91C55E4A92A6}"/>
    <cellStyle name="Normal 8 2 2 3 2 4 3 5" xfId="14526" xr:uid="{58B5C295-AC59-4254-9E45-84C63DD790BE}"/>
    <cellStyle name="Normal 8 2 2 3 2 4 4" xfId="27172" xr:uid="{666D4829-E76E-4153-85D1-278F398BB255}"/>
    <cellStyle name="Normal 8 2 2 3 2 4 5" xfId="18743" xr:uid="{D0C9C0E5-2F3C-4E8F-A42D-8B4B9D376DA5}"/>
    <cellStyle name="Normal 8 2 2 3 2 4 6" xfId="35601" xr:uid="{A9333596-6FDA-4870-8873-F1F149843CAD}"/>
    <cellStyle name="Normal 8 2 2 3 2 4 7" xfId="10308" xr:uid="{6479C8AB-FE49-4E13-A5FB-43B9C0A65ACB}"/>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33948" xr:uid="{D65E202B-31F1-4D63-A88F-4AE2604AC6DE}"/>
    <cellStyle name="Normal 8 2 2 3 2 5 2 2 3" xfId="25519" xr:uid="{6D0E4499-D115-4A51-9DD1-C4E9E7FEBFC9}"/>
    <cellStyle name="Normal 8 2 2 3 2 5 2 2 4" xfId="42376" xr:uid="{CF84263D-0F60-464B-9CEC-94B42683022F}"/>
    <cellStyle name="Normal 8 2 2 3 2 5 2 2 5" xfId="17084" xr:uid="{8AACFCFF-40E0-4BC0-82EF-B92DB189D73D}"/>
    <cellStyle name="Normal 8 2 2 3 2 5 2 3" xfId="29730" xr:uid="{F2A2408A-E41F-4DD8-BC02-FD64B0CB5892}"/>
    <cellStyle name="Normal 8 2 2 3 2 5 2 4" xfId="21301" xr:uid="{34A07EDC-F869-4703-88F3-EACF9F290E13}"/>
    <cellStyle name="Normal 8 2 2 3 2 5 2 5" xfId="38159" xr:uid="{DF5FD75C-9753-4A33-9BF3-54D941759B8C}"/>
    <cellStyle name="Normal 8 2 2 3 2 5 2 6" xfId="12866" xr:uid="{B4219073-DF65-4770-8EFC-13A3EFDAEC8F}"/>
    <cellStyle name="Normal 8 2 2 3 2 5 3" xfId="6504" xr:uid="{00000000-0005-0000-0000-0000561C0000}"/>
    <cellStyle name="Normal 8 2 2 3 2 5 3 2" xfId="31803" xr:uid="{1594B89A-CD9C-4F34-9EE9-9D0C3E8D2317}"/>
    <cellStyle name="Normal 8 2 2 3 2 5 3 3" xfId="23374" xr:uid="{735A53C7-522E-4E62-AC21-81AB90DC7731}"/>
    <cellStyle name="Normal 8 2 2 3 2 5 3 4" xfId="40231" xr:uid="{4B1FD9A3-C200-4222-91FA-E718D8B1AFA8}"/>
    <cellStyle name="Normal 8 2 2 3 2 5 3 5" xfId="14939" xr:uid="{C2301C46-ED02-409C-BE64-C526A396F06D}"/>
    <cellStyle name="Normal 8 2 2 3 2 5 4" xfId="27585" xr:uid="{08D9149F-6979-4AA2-96F9-365DA05E3466}"/>
    <cellStyle name="Normal 8 2 2 3 2 5 5" xfId="19156" xr:uid="{9C617E9E-71BD-4692-8BF9-5083B4A91D49}"/>
    <cellStyle name="Normal 8 2 2 3 2 5 6" xfId="36014" xr:uid="{35EAB863-DC7B-47AF-A531-CEFFF3D52824}"/>
    <cellStyle name="Normal 8 2 2 3 2 5 7" xfId="10721" xr:uid="{CF711835-C4D2-457C-8493-0562372D7873}"/>
    <cellStyle name="Normal 8 2 2 3 2 6" xfId="2633" xr:uid="{00000000-0005-0000-0000-0000571C0000}"/>
    <cellStyle name="Normal 8 2 2 3 2 6 2" xfId="6917" xr:uid="{00000000-0005-0000-0000-0000581C0000}"/>
    <cellStyle name="Normal 8 2 2 3 2 6 2 2" xfId="32216" xr:uid="{FA97C124-5F9D-4B6B-A28C-1C7E988E5AAE}"/>
    <cellStyle name="Normal 8 2 2 3 2 6 2 3" xfId="23787" xr:uid="{3A1B25F5-39DF-4CBF-A1FB-8882FABD99FB}"/>
    <cellStyle name="Normal 8 2 2 3 2 6 2 4" xfId="40644" xr:uid="{78D2F752-BE67-4E0B-859F-C8DADCC7D627}"/>
    <cellStyle name="Normal 8 2 2 3 2 6 2 5" xfId="15352" xr:uid="{879B65EA-91A9-4492-B4EC-D12612291ECB}"/>
    <cellStyle name="Normal 8 2 2 3 2 6 3" xfId="27998" xr:uid="{3CFB2AAA-FF8B-4C53-ADD7-8E02D35F136C}"/>
    <cellStyle name="Normal 8 2 2 3 2 6 4" xfId="19569" xr:uid="{B67AA383-01C7-4321-AA36-158CEAA8ACD2}"/>
    <cellStyle name="Normal 8 2 2 3 2 6 5" xfId="36427" xr:uid="{6DA967F7-6D72-4A30-8D1D-81A22A31CFBF}"/>
    <cellStyle name="Normal 8 2 2 3 2 6 6" xfId="11134" xr:uid="{A17B0CF4-8E1A-4268-B4D0-6CF3574BCB10}"/>
    <cellStyle name="Normal 8 2 2 3 2 7" xfId="4852" xr:uid="{00000000-0005-0000-0000-0000591C0000}"/>
    <cellStyle name="Normal 8 2 2 3 2 7 2" xfId="30151" xr:uid="{2B60943E-DDBB-4B20-875F-531687FFAA54}"/>
    <cellStyle name="Normal 8 2 2 3 2 7 3" xfId="21722" xr:uid="{26D6F6A2-76EC-44B4-A6D3-1E0518311EDA}"/>
    <cellStyle name="Normal 8 2 2 3 2 7 4" xfId="38579" xr:uid="{F0A5DB84-1CD4-4F47-95A7-885AAFA18CC9}"/>
    <cellStyle name="Normal 8 2 2 3 2 7 5" xfId="13287" xr:uid="{452020B5-7CB9-4D53-8609-31860E52330A}"/>
    <cellStyle name="Normal 8 2 2 3 2 8" xfId="25933" xr:uid="{2A6E2EF1-D450-4703-BCCA-CF31B8405205}"/>
    <cellStyle name="Normal 8 2 2 3 2 9" xfId="17504" xr:uid="{83EFF256-BE21-402D-B267-29D9AC6DD237}"/>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32708" xr:uid="{C6F3B90A-44E5-45C3-BC61-563FF357BD72}"/>
    <cellStyle name="Normal 8 2 2 3 3 2 2 3" xfId="24279" xr:uid="{BC987880-9360-41A2-9F85-7F299992CB16}"/>
    <cellStyle name="Normal 8 2 2 3 3 2 2 4" xfId="41136" xr:uid="{DD308995-035F-4D29-B4A6-832656B81DB4}"/>
    <cellStyle name="Normal 8 2 2 3 3 2 2 5" xfId="15844" xr:uid="{F27DCAB0-34FB-4D67-8A29-A5B72019AE39}"/>
    <cellStyle name="Normal 8 2 2 3 3 2 3" xfId="28490" xr:uid="{9929F894-EED4-4B1B-AF23-95A421847540}"/>
    <cellStyle name="Normal 8 2 2 3 3 2 4" xfId="20061" xr:uid="{7583B0A0-F738-4EE4-BFE3-D1A8DA2F0984}"/>
    <cellStyle name="Normal 8 2 2 3 3 2 5" xfId="36919" xr:uid="{FBBB3A55-F6C2-4675-A373-DD12F1FBB2F2}"/>
    <cellStyle name="Normal 8 2 2 3 3 2 6" xfId="11626" xr:uid="{8C8F48FD-E6F1-4124-ABA6-44F014148652}"/>
    <cellStyle name="Normal 8 2 2 3 3 3" xfId="5264" xr:uid="{00000000-0005-0000-0000-00005D1C0000}"/>
    <cellStyle name="Normal 8 2 2 3 3 3 2" xfId="30563" xr:uid="{FA317788-8B3A-4615-A3B7-0F7965F5EEE7}"/>
    <cellStyle name="Normal 8 2 2 3 3 3 3" xfId="22134" xr:uid="{08367534-B4BC-4577-BBAF-22E1BED9B2E1}"/>
    <cellStyle name="Normal 8 2 2 3 3 3 4" xfId="38991" xr:uid="{A283BE17-AA94-4FAE-B6DE-D8EF0589694D}"/>
    <cellStyle name="Normal 8 2 2 3 3 3 5" xfId="13699" xr:uid="{A95A5F0C-BCA4-48B4-A0D2-8397AE9A78C8}"/>
    <cellStyle name="Normal 8 2 2 3 3 4" xfId="26345" xr:uid="{38C51208-7598-4FBE-AE00-0CE56476063F}"/>
    <cellStyle name="Normal 8 2 2 3 3 5" xfId="17916" xr:uid="{AA5E2E42-BE0A-49F0-B6E2-B154D75345F1}"/>
    <cellStyle name="Normal 8 2 2 3 3 6" xfId="34774" xr:uid="{32FF745D-BA26-486A-84D4-554D0C7D3751}"/>
    <cellStyle name="Normal 8 2 2 3 3 7" xfId="9481" xr:uid="{FFE46522-645A-4780-8DB5-268D15CC3C82}"/>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33121" xr:uid="{3F76DDFF-9402-4FDE-94FE-315197A853A1}"/>
    <cellStyle name="Normal 8 2 2 3 4 2 2 3" xfId="24692" xr:uid="{8BA37EB5-FA5A-4A03-A3C9-A2B9E1F7D8D7}"/>
    <cellStyle name="Normal 8 2 2 3 4 2 2 4" xfId="41549" xr:uid="{F9B4565C-187C-4E98-B58B-D429C6EEDDD8}"/>
    <cellStyle name="Normal 8 2 2 3 4 2 2 5" xfId="16257" xr:uid="{F99695FC-3A6D-4DBC-8DB8-915FEB52C735}"/>
    <cellStyle name="Normal 8 2 2 3 4 2 3" xfId="28903" xr:uid="{8A9FABDC-E734-4FD2-917B-BB6CFA6B1F3A}"/>
    <cellStyle name="Normal 8 2 2 3 4 2 4" xfId="20474" xr:uid="{E2A4A1B4-D8E0-4EDF-A3E3-9EDE78AB5921}"/>
    <cellStyle name="Normal 8 2 2 3 4 2 5" xfId="37332" xr:uid="{83DF43DC-817B-450D-946B-8092D6FCEC64}"/>
    <cellStyle name="Normal 8 2 2 3 4 2 6" xfId="12039" xr:uid="{C2EB84A1-C0F0-4A9F-B844-E4796A8AFE7C}"/>
    <cellStyle name="Normal 8 2 2 3 4 3" xfId="5677" xr:uid="{00000000-0005-0000-0000-0000611C0000}"/>
    <cellStyle name="Normal 8 2 2 3 4 3 2" xfId="30976" xr:uid="{5C61F0D6-12A1-4887-A787-FCCFA63A8A7A}"/>
    <cellStyle name="Normal 8 2 2 3 4 3 3" xfId="22547" xr:uid="{FBA6D108-D86F-4E49-ACCF-2B20FCE1C9DB}"/>
    <cellStyle name="Normal 8 2 2 3 4 3 4" xfId="39404" xr:uid="{6E7FEF4E-2B04-4148-9739-44D658D0A704}"/>
    <cellStyle name="Normal 8 2 2 3 4 3 5" xfId="14112" xr:uid="{91225258-CE7B-4965-8B60-6A23227B4BF4}"/>
    <cellStyle name="Normal 8 2 2 3 4 4" xfId="26758" xr:uid="{D75DEDA3-A657-4DFE-9EB4-CC9A8F65C891}"/>
    <cellStyle name="Normal 8 2 2 3 4 5" xfId="18329" xr:uid="{E664571F-7FE6-4EF8-BE9F-A4280FFB4BE3}"/>
    <cellStyle name="Normal 8 2 2 3 4 6" xfId="35187" xr:uid="{5B0E6DD3-060E-4A5A-A2F9-6FC5FC3B2AB1}"/>
    <cellStyle name="Normal 8 2 2 3 4 7" xfId="9894" xr:uid="{39C53EB2-BD02-4888-ACA3-21B78AD94999}"/>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33534" xr:uid="{F3A08EC5-9B52-4F3C-9786-39CFA3C306AA}"/>
    <cellStyle name="Normal 8 2 2 3 5 2 2 3" xfId="25105" xr:uid="{A20A4896-9371-439F-82E6-363BECCEE3E8}"/>
    <cellStyle name="Normal 8 2 2 3 5 2 2 4" xfId="41962" xr:uid="{FB7BFBEE-B9B9-4995-B46C-E314689C771D}"/>
    <cellStyle name="Normal 8 2 2 3 5 2 2 5" xfId="16670" xr:uid="{A723562E-63B0-43A4-A1C8-7630E4FA7D6E}"/>
    <cellStyle name="Normal 8 2 2 3 5 2 3" xfId="29316" xr:uid="{6E6A25A8-8232-4F39-A8A8-DD3238693006}"/>
    <cellStyle name="Normal 8 2 2 3 5 2 4" xfId="20887" xr:uid="{75E422E4-F025-4CEB-B131-83E321584DE6}"/>
    <cellStyle name="Normal 8 2 2 3 5 2 5" xfId="37745" xr:uid="{A72CA13F-9B02-4882-A958-09F1C86DFD6F}"/>
    <cellStyle name="Normal 8 2 2 3 5 2 6" xfId="12452" xr:uid="{37032C22-CD54-4D4C-9908-07049C9CE341}"/>
    <cellStyle name="Normal 8 2 2 3 5 3" xfId="6090" xr:uid="{00000000-0005-0000-0000-0000651C0000}"/>
    <cellStyle name="Normal 8 2 2 3 5 3 2" xfId="31389" xr:uid="{CB0F571B-BB0C-4562-A506-B0DAB3C502B7}"/>
    <cellStyle name="Normal 8 2 2 3 5 3 3" xfId="22960" xr:uid="{AB0B7642-EF0E-4E8E-B8A7-BE4FBEAA68D7}"/>
    <cellStyle name="Normal 8 2 2 3 5 3 4" xfId="39817" xr:uid="{DF924B4A-6B8A-4E6E-81AB-B5D3904A050E}"/>
    <cellStyle name="Normal 8 2 2 3 5 3 5" xfId="14525" xr:uid="{53735024-002A-45A6-AB9A-2E9C232BEE53}"/>
    <cellStyle name="Normal 8 2 2 3 5 4" xfId="27171" xr:uid="{B59337E1-E30B-4EE5-8EBC-6EFE50015E3A}"/>
    <cellStyle name="Normal 8 2 2 3 5 5" xfId="18742" xr:uid="{9050D627-7711-41FA-9C36-81AF44C2442D}"/>
    <cellStyle name="Normal 8 2 2 3 5 6" xfId="35600" xr:uid="{465DB375-AEF5-4C2C-9EE6-0F0931F78874}"/>
    <cellStyle name="Normal 8 2 2 3 5 7" xfId="10307" xr:uid="{E9F3AC78-99BE-4EAA-A362-7C283B8C7CA9}"/>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33947" xr:uid="{5339C5EC-A716-4603-9C86-7D4AE6AF25B4}"/>
    <cellStyle name="Normal 8 2 2 3 6 2 2 3" xfId="25518" xr:uid="{51992EEC-1480-44F3-8AD8-D311AB1DE7E0}"/>
    <cellStyle name="Normal 8 2 2 3 6 2 2 4" xfId="42375" xr:uid="{93788A92-5908-401D-8C2E-51E34AC86CF0}"/>
    <cellStyle name="Normal 8 2 2 3 6 2 2 5" xfId="17083" xr:uid="{927AB9DD-6241-4E2C-80F5-466FEB18824D}"/>
    <cellStyle name="Normal 8 2 2 3 6 2 3" xfId="29729" xr:uid="{EB9F90AB-D0B8-4CE5-B5AE-9185FF2349E8}"/>
    <cellStyle name="Normal 8 2 2 3 6 2 4" xfId="21300" xr:uid="{046608E5-9C32-479E-A947-BD92AFD04D70}"/>
    <cellStyle name="Normal 8 2 2 3 6 2 5" xfId="38158" xr:uid="{D0FC9855-E1FE-49E5-BF4D-73B019B291FC}"/>
    <cellStyle name="Normal 8 2 2 3 6 2 6" xfId="12865" xr:uid="{3DAD74B4-B03A-49B6-9A8C-84FAE2E4BBDF}"/>
    <cellStyle name="Normal 8 2 2 3 6 3" xfId="6503" xr:uid="{00000000-0005-0000-0000-0000691C0000}"/>
    <cellStyle name="Normal 8 2 2 3 6 3 2" xfId="31802" xr:uid="{AED1F14A-65AA-4603-9C58-E303C49DD1A0}"/>
    <cellStyle name="Normal 8 2 2 3 6 3 3" xfId="23373" xr:uid="{EBFB3FCC-7855-49FF-B5D6-71567417896D}"/>
    <cellStyle name="Normal 8 2 2 3 6 3 4" xfId="40230" xr:uid="{424B8504-C1F4-49E5-81F2-4EF5F120AD90}"/>
    <cellStyle name="Normal 8 2 2 3 6 3 5" xfId="14938" xr:uid="{0206385C-AFBC-4388-AD1D-60F2530DDFA7}"/>
    <cellStyle name="Normal 8 2 2 3 6 4" xfId="27584" xr:uid="{9880349F-2793-4B44-A828-94616E5BB168}"/>
    <cellStyle name="Normal 8 2 2 3 6 5" xfId="19155" xr:uid="{63AE940C-F5A0-465A-A536-6CBB47A84F99}"/>
    <cellStyle name="Normal 8 2 2 3 6 6" xfId="36013" xr:uid="{D446D565-3F66-4C74-B07A-C84C670AD907}"/>
    <cellStyle name="Normal 8 2 2 3 6 7" xfId="10720" xr:uid="{B8D7BD66-22B0-45D3-A27A-6043091A8A5D}"/>
    <cellStyle name="Normal 8 2 2 3 7" xfId="2632" xr:uid="{00000000-0005-0000-0000-00006A1C0000}"/>
    <cellStyle name="Normal 8 2 2 3 7 2" xfId="6916" xr:uid="{00000000-0005-0000-0000-00006B1C0000}"/>
    <cellStyle name="Normal 8 2 2 3 7 2 2" xfId="32215" xr:uid="{595E7C8D-BF08-4596-89A9-2CBC36EC87A0}"/>
    <cellStyle name="Normal 8 2 2 3 7 2 3" xfId="23786" xr:uid="{AD6DA2C1-A009-4232-A01E-7358A704F111}"/>
    <cellStyle name="Normal 8 2 2 3 7 2 4" xfId="40643" xr:uid="{A7850FDE-50CB-4A9C-BFBE-40A6CCDFC955}"/>
    <cellStyle name="Normal 8 2 2 3 7 2 5" xfId="15351" xr:uid="{1D97E182-9313-4A58-9EA7-86EDB8AD043C}"/>
    <cellStyle name="Normal 8 2 2 3 7 3" xfId="27997" xr:uid="{5655D05A-84C7-415D-A094-3B10B679ED5F}"/>
    <cellStyle name="Normal 8 2 2 3 7 4" xfId="19568" xr:uid="{BB6C30AF-2EAE-48D1-9ABD-C66453AC6E58}"/>
    <cellStyle name="Normal 8 2 2 3 7 5" xfId="36426" xr:uid="{3738B7B4-9D52-419A-8342-09704A7B646B}"/>
    <cellStyle name="Normal 8 2 2 3 7 6" xfId="11133" xr:uid="{54079E13-F08B-4874-9613-4717E9A3856B}"/>
    <cellStyle name="Normal 8 2 2 3 8" xfId="4851" xr:uid="{00000000-0005-0000-0000-00006C1C0000}"/>
    <cellStyle name="Normal 8 2 2 3 8 2" xfId="30150" xr:uid="{FDC688A5-48C1-4891-BE3A-04197E8738E6}"/>
    <cellStyle name="Normal 8 2 2 3 8 3" xfId="21721" xr:uid="{0CAFB512-5102-4A78-8363-6BEE6512BA83}"/>
    <cellStyle name="Normal 8 2 2 3 8 4" xfId="38578" xr:uid="{AAB6777C-04FF-4BBC-80AC-5C686F79DBB4}"/>
    <cellStyle name="Normal 8 2 2 3 8 5" xfId="13286" xr:uid="{19D1B8FC-3D3F-446E-B32F-14857034430C}"/>
    <cellStyle name="Normal 8 2 2 3 9" xfId="25932" xr:uid="{C46914BA-3495-45CE-9EC8-46CCD07754B9}"/>
    <cellStyle name="Normal 8 2 2 4" xfId="487" xr:uid="{00000000-0005-0000-0000-00006D1C0000}"/>
    <cellStyle name="Normal 8 2 2 4 10" xfId="34363" xr:uid="{19B12301-370A-499F-AE4F-DDFAAF671F31}"/>
    <cellStyle name="Normal 8 2 2 4 11" xfId="9070" xr:uid="{A32AB8A6-472B-4CB2-9992-D5DDB886D2BA}"/>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32710" xr:uid="{12CAE8FC-869E-4745-A216-96480E40AB36}"/>
    <cellStyle name="Normal 8 2 2 4 2 2 2 3" xfId="24281" xr:uid="{06D2193F-C691-4EDE-9D28-5ED40C206FDD}"/>
    <cellStyle name="Normal 8 2 2 4 2 2 2 4" xfId="41138" xr:uid="{AF695319-5E6C-4E16-9B9C-DB1BFD99B48B}"/>
    <cellStyle name="Normal 8 2 2 4 2 2 2 5" xfId="15846" xr:uid="{6B91704A-146F-4E68-AC2E-9668952142D2}"/>
    <cellStyle name="Normal 8 2 2 4 2 2 3" xfId="28492" xr:uid="{8CAFAA32-0B04-4420-9DF7-EC36629B846A}"/>
    <cellStyle name="Normal 8 2 2 4 2 2 4" xfId="20063" xr:uid="{4804005E-BD70-481A-B6EC-E902877AEE8E}"/>
    <cellStyle name="Normal 8 2 2 4 2 2 5" xfId="36921" xr:uid="{C5840905-B6C1-47C0-B4B0-7B6110E632DB}"/>
    <cellStyle name="Normal 8 2 2 4 2 2 6" xfId="11628" xr:uid="{E191CAF8-BD51-4D30-ADB5-67A82DF95BAE}"/>
    <cellStyle name="Normal 8 2 2 4 2 3" xfId="5266" xr:uid="{00000000-0005-0000-0000-0000711C0000}"/>
    <cellStyle name="Normal 8 2 2 4 2 3 2" xfId="30565" xr:uid="{AB47CDA5-C121-45D9-A0DB-877090C8CFD3}"/>
    <cellStyle name="Normal 8 2 2 4 2 3 3" xfId="22136" xr:uid="{1FA10162-0F87-4F9A-A1BF-5ABA0BB4ECC8}"/>
    <cellStyle name="Normal 8 2 2 4 2 3 4" xfId="38993" xr:uid="{94B191CC-05CD-4136-B4E3-AF143D74E365}"/>
    <cellStyle name="Normal 8 2 2 4 2 3 5" xfId="13701" xr:uid="{3B526649-5718-4AAB-8438-77ACEA163396}"/>
    <cellStyle name="Normal 8 2 2 4 2 4" xfId="26347" xr:uid="{3A90B1A5-F7DB-44D7-B1A2-DF50DC1E79A8}"/>
    <cellStyle name="Normal 8 2 2 4 2 5" xfId="17918" xr:uid="{29C6B11B-251E-4507-B987-369E261B2F7B}"/>
    <cellStyle name="Normal 8 2 2 4 2 6" xfId="34776" xr:uid="{55CC9B24-DDEB-4280-AC91-8935BAD2A57B}"/>
    <cellStyle name="Normal 8 2 2 4 2 7" xfId="9483" xr:uid="{3B333375-6202-44AA-A775-4378FEBC7F2B}"/>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33123" xr:uid="{7C68B915-C297-402F-BA56-1BEC34974984}"/>
    <cellStyle name="Normal 8 2 2 4 3 2 2 3" xfId="24694" xr:uid="{E14CB6F7-7524-47FA-97B2-224A691CEE7F}"/>
    <cellStyle name="Normal 8 2 2 4 3 2 2 4" xfId="41551" xr:uid="{30CB395D-8735-4479-8DC6-92EE771CED3C}"/>
    <cellStyle name="Normal 8 2 2 4 3 2 2 5" xfId="16259" xr:uid="{77C57F86-5934-43DE-8BBC-19BD01B3DC53}"/>
    <cellStyle name="Normal 8 2 2 4 3 2 3" xfId="28905" xr:uid="{CA594810-81C2-43AB-B0D4-AC017FEA646E}"/>
    <cellStyle name="Normal 8 2 2 4 3 2 4" xfId="20476" xr:uid="{04BF9620-B25A-470E-A10B-DC8CA2EE3F25}"/>
    <cellStyle name="Normal 8 2 2 4 3 2 5" xfId="37334" xr:uid="{F115AF96-CB05-4910-99CC-BADB76E31E49}"/>
    <cellStyle name="Normal 8 2 2 4 3 2 6" xfId="12041" xr:uid="{6D783043-3B12-438D-BD73-66CD78416213}"/>
    <cellStyle name="Normal 8 2 2 4 3 3" xfId="5679" xr:uid="{00000000-0005-0000-0000-0000751C0000}"/>
    <cellStyle name="Normal 8 2 2 4 3 3 2" xfId="30978" xr:uid="{F6DBF939-FAD4-439E-AEB7-1ADE6D6816B7}"/>
    <cellStyle name="Normal 8 2 2 4 3 3 3" xfId="22549" xr:uid="{4FDD2E84-F8F3-4589-A415-E076A5A75B24}"/>
    <cellStyle name="Normal 8 2 2 4 3 3 4" xfId="39406" xr:uid="{D6DC49A0-CDF0-47E9-8E8B-CFAECDDBD309}"/>
    <cellStyle name="Normal 8 2 2 4 3 3 5" xfId="14114" xr:uid="{C74366B0-5310-4115-94EF-04FE9A2FB24C}"/>
    <cellStyle name="Normal 8 2 2 4 3 4" xfId="26760" xr:uid="{E24786C1-9192-4155-BEB6-7642CF752682}"/>
    <cellStyle name="Normal 8 2 2 4 3 5" xfId="18331" xr:uid="{A816D5E9-798A-457D-ACE9-B7F293CA6287}"/>
    <cellStyle name="Normal 8 2 2 4 3 6" xfId="35189" xr:uid="{0F80DEC8-E576-4644-B11C-6F291F8C9A5A}"/>
    <cellStyle name="Normal 8 2 2 4 3 7" xfId="9896" xr:uid="{FF8BB452-9DB5-414D-BC4A-05165D704CDE}"/>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33536" xr:uid="{2A6DB68B-B494-4F22-B8AD-433559003713}"/>
    <cellStyle name="Normal 8 2 2 4 4 2 2 3" xfId="25107" xr:uid="{D606A493-A79B-408F-A420-97ED70EDF735}"/>
    <cellStyle name="Normal 8 2 2 4 4 2 2 4" xfId="41964" xr:uid="{A7B9D0E4-02A8-4FC5-9F50-1B4DA333260F}"/>
    <cellStyle name="Normal 8 2 2 4 4 2 2 5" xfId="16672" xr:uid="{E5FCC67B-1F22-45BB-BE23-CF2E1B989219}"/>
    <cellStyle name="Normal 8 2 2 4 4 2 3" xfId="29318" xr:uid="{9CE41D66-C736-4388-B3B0-4CE25D4F7067}"/>
    <cellStyle name="Normal 8 2 2 4 4 2 4" xfId="20889" xr:uid="{7E64433E-B17A-46E0-80A3-E5E48B7DC959}"/>
    <cellStyle name="Normal 8 2 2 4 4 2 5" xfId="37747" xr:uid="{80BBFB76-5CC1-4E8B-AEC8-F4E1E2C54A7E}"/>
    <cellStyle name="Normal 8 2 2 4 4 2 6" xfId="12454" xr:uid="{B9CE1ECD-8E14-4AB2-B710-11E30D156CA5}"/>
    <cellStyle name="Normal 8 2 2 4 4 3" xfId="6092" xr:uid="{00000000-0005-0000-0000-0000791C0000}"/>
    <cellStyle name="Normal 8 2 2 4 4 3 2" xfId="31391" xr:uid="{E37A5451-59E9-46D4-B159-79120776E7E9}"/>
    <cellStyle name="Normal 8 2 2 4 4 3 3" xfId="22962" xr:uid="{30714DC7-B72D-427B-9747-BC576BA2B60D}"/>
    <cellStyle name="Normal 8 2 2 4 4 3 4" xfId="39819" xr:uid="{1097C064-77B7-4E67-9152-958A4B1DE7A5}"/>
    <cellStyle name="Normal 8 2 2 4 4 3 5" xfId="14527" xr:uid="{F4B0821C-4EBF-476B-848C-1691249A62E4}"/>
    <cellStyle name="Normal 8 2 2 4 4 4" xfId="27173" xr:uid="{22F4D0E1-4278-4F20-B02B-54A0BB67EDC5}"/>
    <cellStyle name="Normal 8 2 2 4 4 5" xfId="18744" xr:uid="{A98A8D00-710D-4467-BABA-D92FDB745A5D}"/>
    <cellStyle name="Normal 8 2 2 4 4 6" xfId="35602" xr:uid="{634F8F88-B7A4-48F6-B6F5-CAC95D5D888D}"/>
    <cellStyle name="Normal 8 2 2 4 4 7" xfId="10309" xr:uid="{C1CF5240-2B09-41F8-B2C7-213106BE23EF}"/>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33949" xr:uid="{E0B14D2F-7313-486A-8964-24EC6A2A74D5}"/>
    <cellStyle name="Normal 8 2 2 4 5 2 2 3" xfId="25520" xr:uid="{8CA21128-A596-402C-92E8-75EDFE792FD4}"/>
    <cellStyle name="Normal 8 2 2 4 5 2 2 4" xfId="42377" xr:uid="{29F9ED38-657F-4974-91AA-5419E35A0233}"/>
    <cellStyle name="Normal 8 2 2 4 5 2 2 5" xfId="17085" xr:uid="{713962AB-3D84-45DA-AEDD-646B8E27F3D8}"/>
    <cellStyle name="Normal 8 2 2 4 5 2 3" xfId="29731" xr:uid="{05F24845-0476-43EE-B4D2-8110495EB97C}"/>
    <cellStyle name="Normal 8 2 2 4 5 2 4" xfId="21302" xr:uid="{82AEE52C-8017-4AC2-9031-2AD0DD2B5C15}"/>
    <cellStyle name="Normal 8 2 2 4 5 2 5" xfId="38160" xr:uid="{05B6CCDC-B083-4A9B-B738-46169E88F2C7}"/>
    <cellStyle name="Normal 8 2 2 4 5 2 6" xfId="12867" xr:uid="{F35794FB-DD4A-4284-B3C2-DA894DAD160D}"/>
    <cellStyle name="Normal 8 2 2 4 5 3" xfId="6505" xr:uid="{00000000-0005-0000-0000-00007D1C0000}"/>
    <cellStyle name="Normal 8 2 2 4 5 3 2" xfId="31804" xr:uid="{465B8293-FF24-4CC6-A70C-01719FC3DB04}"/>
    <cellStyle name="Normal 8 2 2 4 5 3 3" xfId="23375" xr:uid="{E3B7B199-9603-4FFF-9232-7BB0AACDAD77}"/>
    <cellStyle name="Normal 8 2 2 4 5 3 4" xfId="40232" xr:uid="{B14F713F-8A38-4099-B81C-2620E1413C04}"/>
    <cellStyle name="Normal 8 2 2 4 5 3 5" xfId="14940" xr:uid="{67B538BF-D2A7-453F-86BF-9B651297D17B}"/>
    <cellStyle name="Normal 8 2 2 4 5 4" xfId="27586" xr:uid="{C74D19DF-1C97-4C13-AB19-204E14BB846F}"/>
    <cellStyle name="Normal 8 2 2 4 5 5" xfId="19157" xr:uid="{1415921F-7811-4CC8-9474-A47A640170F6}"/>
    <cellStyle name="Normal 8 2 2 4 5 6" xfId="36015" xr:uid="{D1D00443-636B-46B2-82F9-C76BF28A91AE}"/>
    <cellStyle name="Normal 8 2 2 4 5 7" xfId="10722" xr:uid="{AD3679BE-DDCE-4446-8B88-BC2CB6BB2977}"/>
    <cellStyle name="Normal 8 2 2 4 6" xfId="2634" xr:uid="{00000000-0005-0000-0000-00007E1C0000}"/>
    <cellStyle name="Normal 8 2 2 4 6 2" xfId="6918" xr:uid="{00000000-0005-0000-0000-00007F1C0000}"/>
    <cellStyle name="Normal 8 2 2 4 6 2 2" xfId="32217" xr:uid="{5F68E92F-1E67-4558-9090-A4C9C9296901}"/>
    <cellStyle name="Normal 8 2 2 4 6 2 3" xfId="23788" xr:uid="{1AC5908E-89E6-4E86-9D46-9CEA9B2D5DA8}"/>
    <cellStyle name="Normal 8 2 2 4 6 2 4" xfId="40645" xr:uid="{0C904F75-C9C8-425C-9C81-C235C4AE4E3D}"/>
    <cellStyle name="Normal 8 2 2 4 6 2 5" xfId="15353" xr:uid="{5C7EF0A8-9254-4EEF-90BE-754335D1E055}"/>
    <cellStyle name="Normal 8 2 2 4 6 3" xfId="27999" xr:uid="{2F316AB9-6BEF-4E6E-92E7-B3CF0BC2F3F4}"/>
    <cellStyle name="Normal 8 2 2 4 6 4" xfId="19570" xr:uid="{4EA0FA44-B86E-435C-87D6-EA9D6809CE1D}"/>
    <cellStyle name="Normal 8 2 2 4 6 5" xfId="36428" xr:uid="{445F1B4C-6DA0-4FD2-A98C-67F574CEEB18}"/>
    <cellStyle name="Normal 8 2 2 4 6 6" xfId="11135" xr:uid="{9EE1E393-86C8-417C-BEAA-FDB6D1F13C89}"/>
    <cellStyle name="Normal 8 2 2 4 7" xfId="4853" xr:uid="{00000000-0005-0000-0000-0000801C0000}"/>
    <cellStyle name="Normal 8 2 2 4 7 2" xfId="30152" xr:uid="{2C2FFDE0-9B95-47B0-9974-A151E517F66F}"/>
    <cellStyle name="Normal 8 2 2 4 7 3" xfId="21723" xr:uid="{FA9E275A-4927-4BD9-A946-0187925AB2A1}"/>
    <cellStyle name="Normal 8 2 2 4 7 4" xfId="38580" xr:uid="{5955E7C5-88B4-49E3-88A4-E95E404BAA2E}"/>
    <cellStyle name="Normal 8 2 2 4 7 5" xfId="13288" xr:uid="{8688E090-6AD5-4B8F-B62A-4D16E230D645}"/>
    <cellStyle name="Normal 8 2 2 4 8" xfId="25934" xr:uid="{91AA438A-BB23-4389-8243-E87652BE3B27}"/>
    <cellStyle name="Normal 8 2 2 4 9" xfId="17505" xr:uid="{03214459-E878-4DAB-B445-BB19FDCE7449}"/>
    <cellStyle name="Normal 8 2 2 5" xfId="947" xr:uid="{00000000-0005-0000-0000-0000811C0000}"/>
    <cellStyle name="Normal 8 2 2 5 2" xfId="3181" xr:uid="{00000000-0005-0000-0000-0000821C0000}"/>
    <cellStyle name="Normal 8 2 2 5 2 2" xfId="7404" xr:uid="{00000000-0005-0000-0000-0000831C0000}"/>
    <cellStyle name="Normal 8 2 2 5 2 2 2" xfId="32703" xr:uid="{9246F4C5-5AEF-4ACE-8C3F-1A9E8F429F6E}"/>
    <cellStyle name="Normal 8 2 2 5 2 2 3" xfId="24274" xr:uid="{95B269B0-340F-47E6-8B17-4E91C2343D7C}"/>
    <cellStyle name="Normal 8 2 2 5 2 2 4" xfId="41131" xr:uid="{4058227F-ECED-46C8-AED3-C69D63819C81}"/>
    <cellStyle name="Normal 8 2 2 5 2 2 5" xfId="15839" xr:uid="{40942447-BB66-4E6D-B59C-AB2A0AF284A5}"/>
    <cellStyle name="Normal 8 2 2 5 2 3" xfId="28485" xr:uid="{CDEFAD77-0078-4CCF-BA48-EB53617C53FB}"/>
    <cellStyle name="Normal 8 2 2 5 2 4" xfId="20056" xr:uid="{589CCD8A-47B8-45A6-9425-2C349DC98070}"/>
    <cellStyle name="Normal 8 2 2 5 2 5" xfId="36914" xr:uid="{0F0A3A4B-3F94-4375-9D3E-9A7C535565D2}"/>
    <cellStyle name="Normal 8 2 2 5 2 6" xfId="11621" xr:uid="{1F4B676E-7572-4EDC-BD0C-B07B01C5E429}"/>
    <cellStyle name="Normal 8 2 2 5 3" xfId="5259" xr:uid="{00000000-0005-0000-0000-0000841C0000}"/>
    <cellStyle name="Normal 8 2 2 5 3 2" xfId="30558" xr:uid="{0E42D492-4935-43D6-B344-BE24D95443F3}"/>
    <cellStyle name="Normal 8 2 2 5 3 3" xfId="22129" xr:uid="{E6C4A544-FC13-4E84-856C-0FAC3514855B}"/>
    <cellStyle name="Normal 8 2 2 5 3 4" xfId="38986" xr:uid="{DF59B33B-6666-4CBE-916B-4F696C60F4C5}"/>
    <cellStyle name="Normal 8 2 2 5 3 5" xfId="13694" xr:uid="{2860BE7E-D5D6-4200-A882-C69D85215B68}"/>
    <cellStyle name="Normal 8 2 2 5 4" xfId="26340" xr:uid="{808894AD-02E2-4EB6-8D34-16D8484202B8}"/>
    <cellStyle name="Normal 8 2 2 5 5" xfId="17911" xr:uid="{AAF711DF-1104-4A15-A243-0EAC7219165B}"/>
    <cellStyle name="Normal 8 2 2 5 6" xfId="34769" xr:uid="{01DB0F04-B6D0-45AE-84C1-1708EEA1570F}"/>
    <cellStyle name="Normal 8 2 2 5 7" xfId="9476" xr:uid="{2F30B995-CD48-4710-B610-6AAA530200E2}"/>
    <cellStyle name="Normal 8 2 2 6" xfId="1364" xr:uid="{00000000-0005-0000-0000-0000851C0000}"/>
    <cellStyle name="Normal 8 2 2 6 2" xfId="3594" xr:uid="{00000000-0005-0000-0000-0000861C0000}"/>
    <cellStyle name="Normal 8 2 2 6 2 2" xfId="7817" xr:uid="{00000000-0005-0000-0000-0000871C0000}"/>
    <cellStyle name="Normal 8 2 2 6 2 2 2" xfId="33116" xr:uid="{F1274226-1296-4317-80B7-2714861F8651}"/>
    <cellStyle name="Normal 8 2 2 6 2 2 3" xfId="24687" xr:uid="{1FC63CB6-C13C-459F-B2F6-A851EFFE70BB}"/>
    <cellStyle name="Normal 8 2 2 6 2 2 4" xfId="41544" xr:uid="{AEA68790-87DA-4A97-9723-F66F39523ECA}"/>
    <cellStyle name="Normal 8 2 2 6 2 2 5" xfId="16252" xr:uid="{7A41AFE4-A38F-4BC9-949B-B62EECFF341A}"/>
    <cellStyle name="Normal 8 2 2 6 2 3" xfId="28898" xr:uid="{E0116475-5861-4405-A919-22963C08242C}"/>
    <cellStyle name="Normal 8 2 2 6 2 4" xfId="20469" xr:uid="{143AF8F6-95F5-4083-99AA-66662734EB5E}"/>
    <cellStyle name="Normal 8 2 2 6 2 5" xfId="37327" xr:uid="{B13D324E-65CF-4EA6-8E11-F89887A98D01}"/>
    <cellStyle name="Normal 8 2 2 6 2 6" xfId="12034" xr:uid="{B9871571-E164-4D00-8E47-CD12D02981AB}"/>
    <cellStyle name="Normal 8 2 2 6 3" xfId="5672" xr:uid="{00000000-0005-0000-0000-0000881C0000}"/>
    <cellStyle name="Normal 8 2 2 6 3 2" xfId="30971" xr:uid="{798C1068-2E41-4070-AC1D-467634D563B8}"/>
    <cellStyle name="Normal 8 2 2 6 3 3" xfId="22542" xr:uid="{557DA867-DF48-4059-BF41-24BC4DB65823}"/>
    <cellStyle name="Normal 8 2 2 6 3 4" xfId="39399" xr:uid="{14414A0F-EA9C-4B01-9550-7892ADA623E9}"/>
    <cellStyle name="Normal 8 2 2 6 3 5" xfId="14107" xr:uid="{6A88EDBA-80E3-440E-AF54-36AEF158E835}"/>
    <cellStyle name="Normal 8 2 2 6 4" xfId="26753" xr:uid="{D49A0A0A-25E5-463B-8132-CB64BDCAA996}"/>
    <cellStyle name="Normal 8 2 2 6 5" xfId="18324" xr:uid="{240D5942-CF1F-4A75-89EF-79169362D66D}"/>
    <cellStyle name="Normal 8 2 2 6 6" xfId="35182" xr:uid="{7AD96A8F-1855-40DE-9B49-5610DFF45B1C}"/>
    <cellStyle name="Normal 8 2 2 6 7" xfId="9889" xr:uid="{A600561F-EFFB-451B-A6C3-6FE7D01D09CE}"/>
    <cellStyle name="Normal 8 2 2 7" xfId="1777" xr:uid="{00000000-0005-0000-0000-0000891C0000}"/>
    <cellStyle name="Normal 8 2 2 7 2" xfId="4007" xr:uid="{00000000-0005-0000-0000-00008A1C0000}"/>
    <cellStyle name="Normal 8 2 2 7 2 2" xfId="8230" xr:uid="{00000000-0005-0000-0000-00008B1C0000}"/>
    <cellStyle name="Normal 8 2 2 7 2 2 2" xfId="33529" xr:uid="{A30AB946-1D6E-4A23-81C8-4FD562E90B78}"/>
    <cellStyle name="Normal 8 2 2 7 2 2 3" xfId="25100" xr:uid="{F195EDEA-B9EF-49DF-A088-60CBC968E155}"/>
    <cellStyle name="Normal 8 2 2 7 2 2 4" xfId="41957" xr:uid="{2E4A644E-3340-4BAC-B881-43FD76A30C4F}"/>
    <cellStyle name="Normal 8 2 2 7 2 2 5" xfId="16665" xr:uid="{62B93C10-9B94-4728-9DB8-F21DF7F5FD8E}"/>
    <cellStyle name="Normal 8 2 2 7 2 3" xfId="29311" xr:uid="{EB42CC79-5E15-4952-8FD8-D6C1909657B3}"/>
    <cellStyle name="Normal 8 2 2 7 2 4" xfId="20882" xr:uid="{92E0412A-8C2A-4F6A-AA9E-81224479C118}"/>
    <cellStyle name="Normal 8 2 2 7 2 5" xfId="37740" xr:uid="{14989681-6004-4E60-81FA-793A074BEF38}"/>
    <cellStyle name="Normal 8 2 2 7 2 6" xfId="12447" xr:uid="{DD9200D2-ACC6-41F7-8D30-118BC0FADF83}"/>
    <cellStyle name="Normal 8 2 2 7 3" xfId="6085" xr:uid="{00000000-0005-0000-0000-00008C1C0000}"/>
    <cellStyle name="Normal 8 2 2 7 3 2" xfId="31384" xr:uid="{07C35E59-7B2F-4BC3-A49A-4E36799DB7E0}"/>
    <cellStyle name="Normal 8 2 2 7 3 3" xfId="22955" xr:uid="{AA96A88C-1834-4927-BCC8-2274DD578B5C}"/>
    <cellStyle name="Normal 8 2 2 7 3 4" xfId="39812" xr:uid="{F3E7941C-B0DC-489D-B6D1-7AE96C355925}"/>
    <cellStyle name="Normal 8 2 2 7 3 5" xfId="14520" xr:uid="{E8EAFAA6-F455-4E19-8571-6C0A29CA6CED}"/>
    <cellStyle name="Normal 8 2 2 7 4" xfId="27166" xr:uid="{3B5CAE7C-69F7-4A1B-B298-83D979420676}"/>
    <cellStyle name="Normal 8 2 2 7 5" xfId="18737" xr:uid="{51B2E6EE-65E0-4193-8DDB-96717031D00F}"/>
    <cellStyle name="Normal 8 2 2 7 6" xfId="35595" xr:uid="{0A088B0A-4264-476C-900C-027682DF47C4}"/>
    <cellStyle name="Normal 8 2 2 7 7" xfId="10302" xr:uid="{2905E3F4-4A65-42B1-BB14-915D13534D02}"/>
    <cellStyle name="Normal 8 2 2 8" xfId="2191" xr:uid="{00000000-0005-0000-0000-00008D1C0000}"/>
    <cellStyle name="Normal 8 2 2 8 2" xfId="4420" xr:uid="{00000000-0005-0000-0000-00008E1C0000}"/>
    <cellStyle name="Normal 8 2 2 8 2 2" xfId="8643" xr:uid="{00000000-0005-0000-0000-00008F1C0000}"/>
    <cellStyle name="Normal 8 2 2 8 2 2 2" xfId="33942" xr:uid="{897D4607-3DEF-4FF1-812C-1AA76FD01D30}"/>
    <cellStyle name="Normal 8 2 2 8 2 2 3" xfId="25513" xr:uid="{0699E3BE-36F6-4782-9CAC-502BA8BA5E84}"/>
    <cellStyle name="Normal 8 2 2 8 2 2 4" xfId="42370" xr:uid="{B7BCEBC4-B434-4C5C-9CF0-39FA64773316}"/>
    <cellStyle name="Normal 8 2 2 8 2 2 5" xfId="17078" xr:uid="{EB360FA3-6CFC-41B8-B7F4-CE46A8EA3CF0}"/>
    <cellStyle name="Normal 8 2 2 8 2 3" xfId="29724" xr:uid="{723F037E-16A1-41C1-9721-2072C34CB884}"/>
    <cellStyle name="Normal 8 2 2 8 2 4" xfId="21295" xr:uid="{2E79FD0B-F747-4522-97A9-231F4C59E3C6}"/>
    <cellStyle name="Normal 8 2 2 8 2 5" xfId="38153" xr:uid="{12D1CC76-11EA-45D2-9C7A-5F5CA33C6DF9}"/>
    <cellStyle name="Normal 8 2 2 8 2 6" xfId="12860" xr:uid="{44C4692A-9325-4D15-BEA4-25FFA66E9650}"/>
    <cellStyle name="Normal 8 2 2 8 3" xfId="6498" xr:uid="{00000000-0005-0000-0000-0000901C0000}"/>
    <cellStyle name="Normal 8 2 2 8 3 2" xfId="31797" xr:uid="{CB8FDE25-A069-4FA1-A3A6-B07D4E213216}"/>
    <cellStyle name="Normal 8 2 2 8 3 3" xfId="23368" xr:uid="{636CF975-F002-49A6-A828-366F78E536D0}"/>
    <cellStyle name="Normal 8 2 2 8 3 4" xfId="40225" xr:uid="{37EAEF84-5B0A-489C-B91F-5B4072D68F64}"/>
    <cellStyle name="Normal 8 2 2 8 3 5" xfId="14933" xr:uid="{C0501136-B5BD-4B3C-9EFC-9CCF83489132}"/>
    <cellStyle name="Normal 8 2 2 8 4" xfId="27579" xr:uid="{3C29BB47-023D-4B6E-8424-F509EDECDAB8}"/>
    <cellStyle name="Normal 8 2 2 8 5" xfId="19150" xr:uid="{38925391-8FEA-4DAA-83CF-4AAA08B958C1}"/>
    <cellStyle name="Normal 8 2 2 8 6" xfId="36008" xr:uid="{4A849A6A-0207-4154-857E-FC37E2CE9CCF}"/>
    <cellStyle name="Normal 8 2 2 8 7" xfId="10715" xr:uid="{0CE57373-86DD-43A2-9F2D-E4F78B03DE5C}"/>
    <cellStyle name="Normal 8 2 2 9" xfId="2627" xr:uid="{00000000-0005-0000-0000-0000911C0000}"/>
    <cellStyle name="Normal 8 2 2 9 2" xfId="6911" xr:uid="{00000000-0005-0000-0000-0000921C0000}"/>
    <cellStyle name="Normal 8 2 2 9 2 2" xfId="32210" xr:uid="{42694E8D-68A2-4E99-8DA0-0362F8AEF90A}"/>
    <cellStyle name="Normal 8 2 2 9 2 3" xfId="23781" xr:uid="{96A2BF5E-DBE6-4A4E-B931-1042419A1432}"/>
    <cellStyle name="Normal 8 2 2 9 2 4" xfId="40638" xr:uid="{4306DF35-0826-4F8C-B950-ABF8DCC6DE21}"/>
    <cellStyle name="Normal 8 2 2 9 2 5" xfId="15346" xr:uid="{66C8670F-A026-4679-AB70-C7F920E1F4E1}"/>
    <cellStyle name="Normal 8 2 2 9 3" xfId="27992" xr:uid="{BCF14413-F48B-41A5-8B06-FBDED50B38EF}"/>
    <cellStyle name="Normal 8 2 2 9 4" xfId="19563" xr:uid="{86E0299A-5540-4398-96FA-43D2CB7CB1B1}"/>
    <cellStyle name="Normal 8 2 2 9 5" xfId="36421" xr:uid="{E7442D04-9D96-4E8D-A947-9E142FCFE156}"/>
    <cellStyle name="Normal 8 2 2 9 6" xfId="11128" xr:uid="{042C98C1-A1B4-4A92-90A7-414A93725CE6}"/>
    <cellStyle name="Normal 8 2 3" xfId="488" xr:uid="{00000000-0005-0000-0000-0000931C0000}"/>
    <cellStyle name="Normal 8 2 3 10" xfId="25935" xr:uid="{B51C49B0-B6D1-4C22-8649-CED230440A29}"/>
    <cellStyle name="Normal 8 2 3 11" xfId="17506" xr:uid="{E07A47A8-EDC0-4C79-8FCD-52823981EBB5}"/>
    <cellStyle name="Normal 8 2 3 12" xfId="34364" xr:uid="{0257A4B8-E71E-4173-982B-0BB7704AFF7B}"/>
    <cellStyle name="Normal 8 2 3 13" xfId="9071" xr:uid="{A39E7CC8-4339-4E15-82EC-8A3EC9E78A3A}"/>
    <cellStyle name="Normal 8 2 3 2" xfId="489" xr:uid="{00000000-0005-0000-0000-0000941C0000}"/>
    <cellStyle name="Normal 8 2 3 2 10" xfId="17507" xr:uid="{3CDBBBDE-1C2C-4EB1-A4CC-B46A1403733F}"/>
    <cellStyle name="Normal 8 2 3 2 11" xfId="34365" xr:uid="{71BEDB75-F2AB-491E-A646-98D0045B3E31}"/>
    <cellStyle name="Normal 8 2 3 2 12" xfId="9072" xr:uid="{D95F8567-EE79-4223-B0DA-382BFFA7E9DE}"/>
    <cellStyle name="Normal 8 2 3 2 2" xfId="490" xr:uid="{00000000-0005-0000-0000-0000951C0000}"/>
    <cellStyle name="Normal 8 2 3 2 2 10" xfId="34366" xr:uid="{42AF06C3-F3A5-45E0-88BA-8ED3B149CD9E}"/>
    <cellStyle name="Normal 8 2 3 2 2 11" xfId="9073" xr:uid="{E69AA4C5-546F-4AF8-A833-95595CB87794}"/>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32713" xr:uid="{39A31F9F-4269-49C2-B376-78B34C3E6BEA}"/>
    <cellStyle name="Normal 8 2 3 2 2 2 2 2 3" xfId="24284" xr:uid="{DF4F4790-F9C7-4C9A-AD45-0119DE90FB3A}"/>
    <cellStyle name="Normal 8 2 3 2 2 2 2 2 4" xfId="41141" xr:uid="{D709A833-00D4-4DC1-851F-BC0BBD58AE0B}"/>
    <cellStyle name="Normal 8 2 3 2 2 2 2 2 5" xfId="15849" xr:uid="{82E6AAF0-A188-4EE3-9222-DA856304049E}"/>
    <cellStyle name="Normal 8 2 3 2 2 2 2 3" xfId="28495" xr:uid="{17AC5A31-DF26-4E17-95E5-BB159D25B883}"/>
    <cellStyle name="Normal 8 2 3 2 2 2 2 4" xfId="20066" xr:uid="{487E2576-B9D4-4B40-AD72-78254F368B98}"/>
    <cellStyle name="Normal 8 2 3 2 2 2 2 5" xfId="36924" xr:uid="{E6A58A81-59FF-4D36-A480-8580BFFE5744}"/>
    <cellStyle name="Normal 8 2 3 2 2 2 2 6" xfId="11631" xr:uid="{2CC5488C-3AC0-4A53-8742-756E808928A3}"/>
    <cellStyle name="Normal 8 2 3 2 2 2 3" xfId="5269" xr:uid="{00000000-0005-0000-0000-0000991C0000}"/>
    <cellStyle name="Normal 8 2 3 2 2 2 3 2" xfId="30568" xr:uid="{FAA2971C-27DC-4AC1-9247-AFFAD6B44FEC}"/>
    <cellStyle name="Normal 8 2 3 2 2 2 3 3" xfId="22139" xr:uid="{B191EC4D-A2B3-4879-8A5D-069D433A8326}"/>
    <cellStyle name="Normal 8 2 3 2 2 2 3 4" xfId="38996" xr:uid="{AC136A0F-2137-4B6A-9636-7BC9917E17DE}"/>
    <cellStyle name="Normal 8 2 3 2 2 2 3 5" xfId="13704" xr:uid="{026E9F90-C4AE-43A2-B2FA-DBD39A8E78FD}"/>
    <cellStyle name="Normal 8 2 3 2 2 2 4" xfId="26350" xr:uid="{A1CB48A5-139E-4B2F-9C6F-35F5FCF0451A}"/>
    <cellStyle name="Normal 8 2 3 2 2 2 5" xfId="17921" xr:uid="{F03F3D7A-0D5B-4071-9656-EBBE4CE7A3A0}"/>
    <cellStyle name="Normal 8 2 3 2 2 2 6" xfId="34779" xr:uid="{9E1EED21-489A-4895-9587-CD6EF91782F6}"/>
    <cellStyle name="Normal 8 2 3 2 2 2 7" xfId="9486" xr:uid="{C2E56968-7AC9-4519-8024-32DD777BCC53}"/>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33126" xr:uid="{5CD7D486-B4E6-41EA-A91E-E5F7FFD2B723}"/>
    <cellStyle name="Normal 8 2 3 2 2 3 2 2 3" xfId="24697" xr:uid="{37FC9B4C-5A14-44F9-88C1-A31AC31DC97B}"/>
    <cellStyle name="Normal 8 2 3 2 2 3 2 2 4" xfId="41554" xr:uid="{74ACACD7-D39E-4D1F-941C-4658822F0A0A}"/>
    <cellStyle name="Normal 8 2 3 2 2 3 2 2 5" xfId="16262" xr:uid="{BD5CE104-0C13-4DF8-9E8A-AE331427E3EE}"/>
    <cellStyle name="Normal 8 2 3 2 2 3 2 3" xfId="28908" xr:uid="{C78B71B1-A38F-4BBD-8BF8-CB012E7AB50B}"/>
    <cellStyle name="Normal 8 2 3 2 2 3 2 4" xfId="20479" xr:uid="{031F6007-28D9-4843-B879-52CF5289E9AF}"/>
    <cellStyle name="Normal 8 2 3 2 2 3 2 5" xfId="37337" xr:uid="{B540253A-D79A-4EB8-B631-D0119180660D}"/>
    <cellStyle name="Normal 8 2 3 2 2 3 2 6" xfId="12044" xr:uid="{57D934E4-867A-4D25-8FC3-A084CF849E05}"/>
    <cellStyle name="Normal 8 2 3 2 2 3 3" xfId="5682" xr:uid="{00000000-0005-0000-0000-00009D1C0000}"/>
    <cellStyle name="Normal 8 2 3 2 2 3 3 2" xfId="30981" xr:uid="{F6D7463B-5F10-4D33-8C7C-CFDF171BE457}"/>
    <cellStyle name="Normal 8 2 3 2 2 3 3 3" xfId="22552" xr:uid="{5F7F22B6-CA0A-4DED-8408-CF3D3D6F16F6}"/>
    <cellStyle name="Normal 8 2 3 2 2 3 3 4" xfId="39409" xr:uid="{C3BE7923-E86B-40E0-879C-742AE418E271}"/>
    <cellStyle name="Normal 8 2 3 2 2 3 3 5" xfId="14117" xr:uid="{8FD780B1-B928-483D-B896-84CE47C8DD8C}"/>
    <cellStyle name="Normal 8 2 3 2 2 3 4" xfId="26763" xr:uid="{15B6931B-17FE-4BAE-9D88-64BD04BC0D99}"/>
    <cellStyle name="Normal 8 2 3 2 2 3 5" xfId="18334" xr:uid="{DE28E8F1-1FE4-4934-859D-DA49CF92F852}"/>
    <cellStyle name="Normal 8 2 3 2 2 3 6" xfId="35192" xr:uid="{41FF659C-C806-47DE-BE8D-AD526C3C3317}"/>
    <cellStyle name="Normal 8 2 3 2 2 3 7" xfId="9899" xr:uid="{CFC11269-0DD5-4705-8BD8-76A2017CFC41}"/>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33539" xr:uid="{3F6D3874-990A-45F6-89EC-1F7580BACF0B}"/>
    <cellStyle name="Normal 8 2 3 2 2 4 2 2 3" xfId="25110" xr:uid="{3755F8DD-FE2D-4C0A-8CD1-ED6EE559FB3E}"/>
    <cellStyle name="Normal 8 2 3 2 2 4 2 2 4" xfId="41967" xr:uid="{92E5DA59-1A4F-474B-84C1-3ED323D3AC81}"/>
    <cellStyle name="Normal 8 2 3 2 2 4 2 2 5" xfId="16675" xr:uid="{B6A11382-7E98-4D18-A145-149DEA8AC4F8}"/>
    <cellStyle name="Normal 8 2 3 2 2 4 2 3" xfId="29321" xr:uid="{2B406957-1B54-43BC-85C8-6B0783F708F5}"/>
    <cellStyle name="Normal 8 2 3 2 2 4 2 4" xfId="20892" xr:uid="{342C2F54-E21A-40EF-8482-D28BF9D34B7E}"/>
    <cellStyle name="Normal 8 2 3 2 2 4 2 5" xfId="37750" xr:uid="{EFA771BB-DE02-41AA-9981-6560DA97716A}"/>
    <cellStyle name="Normal 8 2 3 2 2 4 2 6" xfId="12457" xr:uid="{67BA582D-287D-4069-9332-DDFD4994DE8F}"/>
    <cellStyle name="Normal 8 2 3 2 2 4 3" xfId="6095" xr:uid="{00000000-0005-0000-0000-0000A11C0000}"/>
    <cellStyle name="Normal 8 2 3 2 2 4 3 2" xfId="31394" xr:uid="{BD9D6F4B-CB88-4F07-B389-910E3B92516E}"/>
    <cellStyle name="Normal 8 2 3 2 2 4 3 3" xfId="22965" xr:uid="{AFDC5C58-A065-4323-82F9-978FAA37F169}"/>
    <cellStyle name="Normal 8 2 3 2 2 4 3 4" xfId="39822" xr:uid="{3CD42BBF-FEBA-405E-B6F3-B6D224332090}"/>
    <cellStyle name="Normal 8 2 3 2 2 4 3 5" xfId="14530" xr:uid="{9F0BE79C-EBC2-49FF-B568-50A90C732A39}"/>
    <cellStyle name="Normal 8 2 3 2 2 4 4" xfId="27176" xr:uid="{21483226-3743-4759-92A1-263D70E07487}"/>
    <cellStyle name="Normal 8 2 3 2 2 4 5" xfId="18747" xr:uid="{54826D19-B4DA-49D7-A41E-632E4EF98F1E}"/>
    <cellStyle name="Normal 8 2 3 2 2 4 6" xfId="35605" xr:uid="{8183C220-5D08-4E14-8DB5-EA4DDC792B8E}"/>
    <cellStyle name="Normal 8 2 3 2 2 4 7" xfId="10312" xr:uid="{61D2EAE9-BCAE-4EEF-8682-F1E15BE94A56}"/>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33952" xr:uid="{E658609E-5B97-4DF5-ADB6-6680CEFCCFEE}"/>
    <cellStyle name="Normal 8 2 3 2 2 5 2 2 3" xfId="25523" xr:uid="{DED285BE-9CB7-4253-A472-AA4081C327DD}"/>
    <cellStyle name="Normal 8 2 3 2 2 5 2 2 4" xfId="42380" xr:uid="{D13FE998-1030-43B5-A19E-765C573F9BBD}"/>
    <cellStyle name="Normal 8 2 3 2 2 5 2 2 5" xfId="17088" xr:uid="{C793A9C4-6914-4FE8-AA92-9D0CEDF0E05A}"/>
    <cellStyle name="Normal 8 2 3 2 2 5 2 3" xfId="29734" xr:uid="{5D880BD5-4C90-4B8B-8172-337B79A99C1B}"/>
    <cellStyle name="Normal 8 2 3 2 2 5 2 4" xfId="21305" xr:uid="{9E7C591B-B7C6-4AE1-9EFB-907DD08C5B4E}"/>
    <cellStyle name="Normal 8 2 3 2 2 5 2 5" xfId="38163" xr:uid="{BC0B1380-2DBB-4883-B58E-110542BE2EEB}"/>
    <cellStyle name="Normal 8 2 3 2 2 5 2 6" xfId="12870" xr:uid="{269B9DAC-6DEE-49E9-821D-4B8A1033A75A}"/>
    <cellStyle name="Normal 8 2 3 2 2 5 3" xfId="6508" xr:uid="{00000000-0005-0000-0000-0000A51C0000}"/>
    <cellStyle name="Normal 8 2 3 2 2 5 3 2" xfId="31807" xr:uid="{4237DDA9-6AED-4FDD-9CA2-13F3D618ED33}"/>
    <cellStyle name="Normal 8 2 3 2 2 5 3 3" xfId="23378" xr:uid="{A58450B4-F3F7-4D02-8307-335751B0DA1D}"/>
    <cellStyle name="Normal 8 2 3 2 2 5 3 4" xfId="40235" xr:uid="{49657CA9-FAA9-4C60-B338-35BF12841B62}"/>
    <cellStyle name="Normal 8 2 3 2 2 5 3 5" xfId="14943" xr:uid="{1C3E70A1-65A7-47C5-BB6F-AC34E22A911C}"/>
    <cellStyle name="Normal 8 2 3 2 2 5 4" xfId="27589" xr:uid="{D3B8D998-E5EE-49D8-9461-9A4F6C5D173C}"/>
    <cellStyle name="Normal 8 2 3 2 2 5 5" xfId="19160" xr:uid="{137D4315-9272-4D41-894F-C136E1543F19}"/>
    <cellStyle name="Normal 8 2 3 2 2 5 6" xfId="36018" xr:uid="{BCACCCE9-D8BA-4481-B4A9-F80D91ED55C3}"/>
    <cellStyle name="Normal 8 2 3 2 2 5 7" xfId="10725" xr:uid="{CAAA38C6-9C81-4EC1-A61A-BF9661149D82}"/>
    <cellStyle name="Normal 8 2 3 2 2 6" xfId="2637" xr:uid="{00000000-0005-0000-0000-0000A61C0000}"/>
    <cellStyle name="Normal 8 2 3 2 2 6 2" xfId="6921" xr:uid="{00000000-0005-0000-0000-0000A71C0000}"/>
    <cellStyle name="Normal 8 2 3 2 2 6 2 2" xfId="32220" xr:uid="{027E752C-0D30-446C-B88F-1CA147E935E5}"/>
    <cellStyle name="Normal 8 2 3 2 2 6 2 3" xfId="23791" xr:uid="{A371C551-253C-4877-8B6C-FAE8EEDC2B06}"/>
    <cellStyle name="Normal 8 2 3 2 2 6 2 4" xfId="40648" xr:uid="{B500A5F3-C805-4C5A-8E0D-90D3507D608D}"/>
    <cellStyle name="Normal 8 2 3 2 2 6 2 5" xfId="15356" xr:uid="{D0BE21FA-6C47-4FF1-BDA1-1B8E7620430A}"/>
    <cellStyle name="Normal 8 2 3 2 2 6 3" xfId="28002" xr:uid="{253D18E6-DA43-4E2A-B95B-82BC2A6304DB}"/>
    <cellStyle name="Normal 8 2 3 2 2 6 4" xfId="19573" xr:uid="{E3ADBC5D-AA10-4631-81C6-2A5CB9D158F4}"/>
    <cellStyle name="Normal 8 2 3 2 2 6 5" xfId="36431" xr:uid="{2022AFB5-F243-4174-9216-EB501026EB06}"/>
    <cellStyle name="Normal 8 2 3 2 2 6 6" xfId="11138" xr:uid="{E65211ED-C0C8-4370-B8F6-7F3424C36F56}"/>
    <cellStyle name="Normal 8 2 3 2 2 7" xfId="4856" xr:uid="{00000000-0005-0000-0000-0000A81C0000}"/>
    <cellStyle name="Normal 8 2 3 2 2 7 2" xfId="30155" xr:uid="{545DC444-2EC6-428E-B90B-74D434A442D2}"/>
    <cellStyle name="Normal 8 2 3 2 2 7 3" xfId="21726" xr:uid="{DCF12875-91EB-478D-ACE9-9D9DF2E2F248}"/>
    <cellStyle name="Normal 8 2 3 2 2 7 4" xfId="38583" xr:uid="{C5F20F38-17B3-45B9-A3F3-D0BD6AF12D64}"/>
    <cellStyle name="Normal 8 2 3 2 2 7 5" xfId="13291" xr:uid="{3C099B0E-0F67-4464-B092-D7732795988F}"/>
    <cellStyle name="Normal 8 2 3 2 2 8" xfId="25937" xr:uid="{76FFE0C2-3BFF-4868-93E6-F68DD69CE6C5}"/>
    <cellStyle name="Normal 8 2 3 2 2 9" xfId="17508" xr:uid="{FC9D4459-F884-4EED-9EAB-F6202E7FFB94}"/>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32712" xr:uid="{ED4E7718-EF3D-476D-BB43-32139FE31A01}"/>
    <cellStyle name="Normal 8 2 3 2 3 2 2 3" xfId="24283" xr:uid="{911DE74B-FF8E-47BB-A591-A0AF9FB0F0D1}"/>
    <cellStyle name="Normal 8 2 3 2 3 2 2 4" xfId="41140" xr:uid="{5B818FF6-D9A7-4B14-8B24-C2EDDA3EE7B7}"/>
    <cellStyle name="Normal 8 2 3 2 3 2 2 5" xfId="15848" xr:uid="{D5AB5D22-5CA2-4064-971F-8C842A5791C6}"/>
    <cellStyle name="Normal 8 2 3 2 3 2 3" xfId="28494" xr:uid="{66E93EE4-AF40-4829-8BB9-1F23AC97CAA9}"/>
    <cellStyle name="Normal 8 2 3 2 3 2 4" xfId="20065" xr:uid="{3FD5359E-E3B3-4F2C-A3C5-9ACCF992B48F}"/>
    <cellStyle name="Normal 8 2 3 2 3 2 5" xfId="36923" xr:uid="{AAC3CBC7-E311-4D2C-AE04-00163D5F6F14}"/>
    <cellStyle name="Normal 8 2 3 2 3 2 6" xfId="11630" xr:uid="{D2F898A2-2E82-432F-B360-1DA4812885A0}"/>
    <cellStyle name="Normal 8 2 3 2 3 3" xfId="5268" xr:uid="{00000000-0005-0000-0000-0000AC1C0000}"/>
    <cellStyle name="Normal 8 2 3 2 3 3 2" xfId="30567" xr:uid="{0C78D174-F3BE-47EC-9735-F54149112D40}"/>
    <cellStyle name="Normal 8 2 3 2 3 3 3" xfId="22138" xr:uid="{70499DD3-64BE-490A-9EE7-3438192B204D}"/>
    <cellStyle name="Normal 8 2 3 2 3 3 4" xfId="38995" xr:uid="{99AC7597-4207-4765-B67A-31BE58E3AD84}"/>
    <cellStyle name="Normal 8 2 3 2 3 3 5" xfId="13703" xr:uid="{D727211B-C906-4A37-9C58-BE0843308386}"/>
    <cellStyle name="Normal 8 2 3 2 3 4" xfId="26349" xr:uid="{F4E15502-9AF3-4D8D-BF59-FE8397D8E78C}"/>
    <cellStyle name="Normal 8 2 3 2 3 5" xfId="17920" xr:uid="{19152FF0-30BC-4277-BD21-B2ADD782129D}"/>
    <cellStyle name="Normal 8 2 3 2 3 6" xfId="34778" xr:uid="{04109B3A-C211-4323-9407-F9D816C276F2}"/>
    <cellStyle name="Normal 8 2 3 2 3 7" xfId="9485" xr:uid="{DA53F7B8-3AB7-4BB5-BD91-E35BF14FFD6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33125" xr:uid="{C1FC2608-4AEE-4FC1-A95F-2E7E3B7B7D39}"/>
    <cellStyle name="Normal 8 2 3 2 4 2 2 3" xfId="24696" xr:uid="{FCB62CDB-B520-46C7-B45A-316A149CC845}"/>
    <cellStyle name="Normal 8 2 3 2 4 2 2 4" xfId="41553" xr:uid="{E8CE4DE9-6BA4-47D6-9A8A-7E583C49FE7A}"/>
    <cellStyle name="Normal 8 2 3 2 4 2 2 5" xfId="16261" xr:uid="{A2CF5F87-EF78-4DD0-B086-A8C71304D1F0}"/>
    <cellStyle name="Normal 8 2 3 2 4 2 3" xfId="28907" xr:uid="{492C7418-37E0-4EA0-8683-0385922C9D35}"/>
    <cellStyle name="Normal 8 2 3 2 4 2 4" xfId="20478" xr:uid="{F84C70D1-C496-4FB2-B069-CD231257A0C1}"/>
    <cellStyle name="Normal 8 2 3 2 4 2 5" xfId="37336" xr:uid="{4B741D1E-270A-48D5-9B28-A64060288424}"/>
    <cellStyle name="Normal 8 2 3 2 4 2 6" xfId="12043" xr:uid="{A68B143E-F431-4C21-8C12-9B930BF9F3DC}"/>
    <cellStyle name="Normal 8 2 3 2 4 3" xfId="5681" xr:uid="{00000000-0005-0000-0000-0000B01C0000}"/>
    <cellStyle name="Normal 8 2 3 2 4 3 2" xfId="30980" xr:uid="{0CE7C685-5134-4108-9C38-4B1FA0B4F0CB}"/>
    <cellStyle name="Normal 8 2 3 2 4 3 3" xfId="22551" xr:uid="{DAE2AE9D-8535-4379-A9A3-6DD674B15D74}"/>
    <cellStyle name="Normal 8 2 3 2 4 3 4" xfId="39408" xr:uid="{9D36C108-31C9-493E-9384-D1B7AF499286}"/>
    <cellStyle name="Normal 8 2 3 2 4 3 5" xfId="14116" xr:uid="{AED36AC1-0D5D-4C2B-B1EA-C61B1357052F}"/>
    <cellStyle name="Normal 8 2 3 2 4 4" xfId="26762" xr:uid="{467BE62D-8263-440B-8750-4EA03B5EAC80}"/>
    <cellStyle name="Normal 8 2 3 2 4 5" xfId="18333" xr:uid="{E0E708B6-3CCA-478E-874E-98D6C83C5E4B}"/>
    <cellStyle name="Normal 8 2 3 2 4 6" xfId="35191" xr:uid="{7E635A35-CF0F-4637-8E20-5C8B103FBB98}"/>
    <cellStyle name="Normal 8 2 3 2 4 7" xfId="9898" xr:uid="{1B14054A-D6A6-430B-8B48-A51672EE8E59}"/>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33538" xr:uid="{90B4CEE7-67BB-434D-B22E-6C1557129CAD}"/>
    <cellStyle name="Normal 8 2 3 2 5 2 2 3" xfId="25109" xr:uid="{0C556B61-D947-4019-9D66-03FFECD5782B}"/>
    <cellStyle name="Normal 8 2 3 2 5 2 2 4" xfId="41966" xr:uid="{FD7E3BA3-F334-4F5C-97E9-73B384178D94}"/>
    <cellStyle name="Normal 8 2 3 2 5 2 2 5" xfId="16674" xr:uid="{74089C76-ADF1-4B63-915D-36A87B4BF635}"/>
    <cellStyle name="Normal 8 2 3 2 5 2 3" xfId="29320" xr:uid="{AE85E10E-0E2C-4E4C-83CA-D9D07849063A}"/>
    <cellStyle name="Normal 8 2 3 2 5 2 4" xfId="20891" xr:uid="{D8EE659B-0744-444B-8850-DC1A3E85CA57}"/>
    <cellStyle name="Normal 8 2 3 2 5 2 5" xfId="37749" xr:uid="{FF581342-D20D-4F4A-AA17-1D268174E837}"/>
    <cellStyle name="Normal 8 2 3 2 5 2 6" xfId="12456" xr:uid="{071277A2-1DB2-40F4-8FD7-C74FE972D2BA}"/>
    <cellStyle name="Normal 8 2 3 2 5 3" xfId="6094" xr:uid="{00000000-0005-0000-0000-0000B41C0000}"/>
    <cellStyle name="Normal 8 2 3 2 5 3 2" xfId="31393" xr:uid="{E69CBEA6-6192-4E66-81B0-37C3FC77773B}"/>
    <cellStyle name="Normal 8 2 3 2 5 3 3" xfId="22964" xr:uid="{D6B8D05F-1EB7-41EC-A926-EEE2D80F8DE9}"/>
    <cellStyle name="Normal 8 2 3 2 5 3 4" xfId="39821" xr:uid="{8CAA8EBF-FC17-4F04-8F2B-2AA0BEBF5D63}"/>
    <cellStyle name="Normal 8 2 3 2 5 3 5" xfId="14529" xr:uid="{674167FC-7D30-425F-888A-45A6E06304CE}"/>
    <cellStyle name="Normal 8 2 3 2 5 4" xfId="27175" xr:uid="{17C357EE-FE41-4E81-97CB-DEB3F27089A7}"/>
    <cellStyle name="Normal 8 2 3 2 5 5" xfId="18746" xr:uid="{3AA5F719-8E26-4B47-ACBE-BD6A668FAAE1}"/>
    <cellStyle name="Normal 8 2 3 2 5 6" xfId="35604" xr:uid="{41CEA2AE-678A-423E-A6C2-7E72C993CB7F}"/>
    <cellStyle name="Normal 8 2 3 2 5 7" xfId="10311" xr:uid="{3E84A134-69AD-4A01-8A30-07D15B434F3F}"/>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33951" xr:uid="{7FD5CA3B-DD78-4B1E-B000-EAE1D13EC549}"/>
    <cellStyle name="Normal 8 2 3 2 6 2 2 3" xfId="25522" xr:uid="{A6966C8A-95CD-4461-8109-8C3B72C7D722}"/>
    <cellStyle name="Normal 8 2 3 2 6 2 2 4" xfId="42379" xr:uid="{88420C9C-5A3D-47C5-9B08-EF0057CE9327}"/>
    <cellStyle name="Normal 8 2 3 2 6 2 2 5" xfId="17087" xr:uid="{76E70BB6-4F26-46D2-9F44-2F58DD12A7ED}"/>
    <cellStyle name="Normal 8 2 3 2 6 2 3" xfId="29733" xr:uid="{9FF983F0-50A4-4C8C-9118-D06F64FE0E9A}"/>
    <cellStyle name="Normal 8 2 3 2 6 2 4" xfId="21304" xr:uid="{1CFFDB8C-D5BD-4F14-AFB4-C0B0D657C3C8}"/>
    <cellStyle name="Normal 8 2 3 2 6 2 5" xfId="38162" xr:uid="{4967006D-63B3-43F6-B46F-6B589DAABA3A}"/>
    <cellStyle name="Normal 8 2 3 2 6 2 6" xfId="12869" xr:uid="{6F80FB86-6591-4176-AA61-D6ED11D566FE}"/>
    <cellStyle name="Normal 8 2 3 2 6 3" xfId="6507" xr:uid="{00000000-0005-0000-0000-0000B81C0000}"/>
    <cellStyle name="Normal 8 2 3 2 6 3 2" xfId="31806" xr:uid="{E1BB92F2-28A9-46E9-BADE-2B993222C5BA}"/>
    <cellStyle name="Normal 8 2 3 2 6 3 3" xfId="23377" xr:uid="{03B879A3-BE8D-464E-A797-7BD674A4CA38}"/>
    <cellStyle name="Normal 8 2 3 2 6 3 4" xfId="40234" xr:uid="{77FB7202-AE0D-41B2-BA23-65E024683979}"/>
    <cellStyle name="Normal 8 2 3 2 6 3 5" xfId="14942" xr:uid="{60B1B7A1-F7CD-48BA-AF46-07FFA42120ED}"/>
    <cellStyle name="Normal 8 2 3 2 6 4" xfId="27588" xr:uid="{37B1A923-3BE7-4A06-8040-3B15DF8E209D}"/>
    <cellStyle name="Normal 8 2 3 2 6 5" xfId="19159" xr:uid="{60DFE61C-BB63-44C4-9739-BDC4AAD60F35}"/>
    <cellStyle name="Normal 8 2 3 2 6 6" xfId="36017" xr:uid="{DB3277B0-EB07-4F0E-8C9A-C50DED13C9CC}"/>
    <cellStyle name="Normal 8 2 3 2 6 7" xfId="10724" xr:uid="{A83B6CCD-48A1-4DB0-B793-7167F0F57FFA}"/>
    <cellStyle name="Normal 8 2 3 2 7" xfId="2636" xr:uid="{00000000-0005-0000-0000-0000B91C0000}"/>
    <cellStyle name="Normal 8 2 3 2 7 2" xfId="6920" xr:uid="{00000000-0005-0000-0000-0000BA1C0000}"/>
    <cellStyle name="Normal 8 2 3 2 7 2 2" xfId="32219" xr:uid="{90EAF6B2-2736-4430-BC7D-4633DB25CDEB}"/>
    <cellStyle name="Normal 8 2 3 2 7 2 3" xfId="23790" xr:uid="{7D7C0ACF-C928-494E-8FC4-720AEC86BAD2}"/>
    <cellStyle name="Normal 8 2 3 2 7 2 4" xfId="40647" xr:uid="{DE2F1F21-7ADB-4951-A4D1-CBDD426D22D0}"/>
    <cellStyle name="Normal 8 2 3 2 7 2 5" xfId="15355" xr:uid="{024C8612-6A45-4BB5-82E0-98C0938E5375}"/>
    <cellStyle name="Normal 8 2 3 2 7 3" xfId="28001" xr:uid="{00AF210E-8C9D-4371-9FA5-120B360FE69B}"/>
    <cellStyle name="Normal 8 2 3 2 7 4" xfId="19572" xr:uid="{FB70D892-E776-4C3E-88F9-6FD4D1A88EE2}"/>
    <cellStyle name="Normal 8 2 3 2 7 5" xfId="36430" xr:uid="{AB7BE6E6-A21D-4AAC-97B8-721381A1049C}"/>
    <cellStyle name="Normal 8 2 3 2 7 6" xfId="11137" xr:uid="{DEE8E639-67A3-4F18-B5EB-7CF205D5FB6D}"/>
    <cellStyle name="Normal 8 2 3 2 8" xfId="4855" xr:uid="{00000000-0005-0000-0000-0000BB1C0000}"/>
    <cellStyle name="Normal 8 2 3 2 8 2" xfId="30154" xr:uid="{09A49D6F-635F-4187-A905-36C52E5D0C9A}"/>
    <cellStyle name="Normal 8 2 3 2 8 3" xfId="21725" xr:uid="{1B4C3FF7-43EE-47C8-947F-852191BACE4E}"/>
    <cellStyle name="Normal 8 2 3 2 8 4" xfId="38582" xr:uid="{28550E5D-EFE3-40C5-B975-0C6DB82C744E}"/>
    <cellStyle name="Normal 8 2 3 2 8 5" xfId="13290" xr:uid="{D08605A9-DA92-4248-BFB4-9D2B5170580C}"/>
    <cellStyle name="Normal 8 2 3 2 9" xfId="25936" xr:uid="{FC683AE4-F5ED-4D9D-88BB-D23C36762505}"/>
    <cellStyle name="Normal 8 2 3 3" xfId="491" xr:uid="{00000000-0005-0000-0000-0000BC1C0000}"/>
    <cellStyle name="Normal 8 2 3 3 10" xfId="34367" xr:uid="{3B450021-FFD2-46B2-BC54-8451EA32AE94}"/>
    <cellStyle name="Normal 8 2 3 3 11" xfId="9074" xr:uid="{64F15FD2-B9F7-4098-BEC6-B98C7784B0DF}"/>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32714" xr:uid="{2A2BB4FE-D444-48D0-B07D-D9ED0CC21F97}"/>
    <cellStyle name="Normal 8 2 3 3 2 2 2 3" xfId="24285" xr:uid="{4045A93E-CE4A-4751-9781-9F2DAB329497}"/>
    <cellStyle name="Normal 8 2 3 3 2 2 2 4" xfId="41142" xr:uid="{5676A44F-0F44-4C0E-9706-CFB6D078BC94}"/>
    <cellStyle name="Normal 8 2 3 3 2 2 2 5" xfId="15850" xr:uid="{386E0104-2F89-46D3-9506-9A2F1A829054}"/>
    <cellStyle name="Normal 8 2 3 3 2 2 3" xfId="28496" xr:uid="{00D6B1C5-4C3E-441C-9FCE-B8A3B8623AFD}"/>
    <cellStyle name="Normal 8 2 3 3 2 2 4" xfId="20067" xr:uid="{C71015B7-EBD2-4E6B-83D8-B0366E0A2E2C}"/>
    <cellStyle name="Normal 8 2 3 3 2 2 5" xfId="36925" xr:uid="{FB7544B0-748E-4C82-86CF-118B19C5D602}"/>
    <cellStyle name="Normal 8 2 3 3 2 2 6" xfId="11632" xr:uid="{0985E698-113B-4758-BA94-BDCC604879F9}"/>
    <cellStyle name="Normal 8 2 3 3 2 3" xfId="5270" xr:uid="{00000000-0005-0000-0000-0000C01C0000}"/>
    <cellStyle name="Normal 8 2 3 3 2 3 2" xfId="30569" xr:uid="{58D448C8-7D68-4F45-921C-50EA7F446E86}"/>
    <cellStyle name="Normal 8 2 3 3 2 3 3" xfId="22140" xr:uid="{3B8DA1F2-EE94-4CCD-8569-1E91FCC47209}"/>
    <cellStyle name="Normal 8 2 3 3 2 3 4" xfId="38997" xr:uid="{96C1DDC8-27F0-478F-8FFF-A993A063F8DF}"/>
    <cellStyle name="Normal 8 2 3 3 2 3 5" xfId="13705" xr:uid="{D703CF6C-DE2E-489B-AF4F-7801D0090D12}"/>
    <cellStyle name="Normal 8 2 3 3 2 4" xfId="26351" xr:uid="{9C9A40A4-6E03-4A5E-865D-75F0A3BE18ED}"/>
    <cellStyle name="Normal 8 2 3 3 2 5" xfId="17922" xr:uid="{24B8D199-7C0F-4ABE-ABD5-7186A775F4E2}"/>
    <cellStyle name="Normal 8 2 3 3 2 6" xfId="34780" xr:uid="{83D33C4A-D14D-4D79-8548-92A288DA000A}"/>
    <cellStyle name="Normal 8 2 3 3 2 7" xfId="9487" xr:uid="{BB07C1A0-8A79-4D4E-A2F2-43097072D816}"/>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33127" xr:uid="{3D10299E-5C8E-4063-8CE8-0610760C039D}"/>
    <cellStyle name="Normal 8 2 3 3 3 2 2 3" xfId="24698" xr:uid="{3996E9DD-BB6F-432C-B34E-7AD230E3D5CB}"/>
    <cellStyle name="Normal 8 2 3 3 3 2 2 4" xfId="41555" xr:uid="{79B3DCB7-6F62-4EE0-B3D3-0AB2AA469236}"/>
    <cellStyle name="Normal 8 2 3 3 3 2 2 5" xfId="16263" xr:uid="{0E3695A8-5AEC-42B3-95EC-3F7F047EFB7B}"/>
    <cellStyle name="Normal 8 2 3 3 3 2 3" xfId="28909" xr:uid="{2D1CFDC5-11ED-463E-ADB0-1FE8F969B4BD}"/>
    <cellStyle name="Normal 8 2 3 3 3 2 4" xfId="20480" xr:uid="{934D2594-4FC5-467E-ADFB-68962CD984EF}"/>
    <cellStyle name="Normal 8 2 3 3 3 2 5" xfId="37338" xr:uid="{4C902078-63E9-46F8-B6BF-73F76A779A52}"/>
    <cellStyle name="Normal 8 2 3 3 3 2 6" xfId="12045" xr:uid="{60139BB2-89DD-404A-A298-B8AC2CEE7CCF}"/>
    <cellStyle name="Normal 8 2 3 3 3 3" xfId="5683" xr:uid="{00000000-0005-0000-0000-0000C41C0000}"/>
    <cellStyle name="Normal 8 2 3 3 3 3 2" xfId="30982" xr:uid="{B34B7B59-F93D-4336-A026-E052D3DF0FB1}"/>
    <cellStyle name="Normal 8 2 3 3 3 3 3" xfId="22553" xr:uid="{F30567F7-EBA5-4261-A7E8-47DF51BB8D5D}"/>
    <cellStyle name="Normal 8 2 3 3 3 3 4" xfId="39410" xr:uid="{FD14C267-5A1B-40B4-A49B-19E6197E5BA4}"/>
    <cellStyle name="Normal 8 2 3 3 3 3 5" xfId="14118" xr:uid="{07551086-73CD-40E0-9151-46D1760EFFE6}"/>
    <cellStyle name="Normal 8 2 3 3 3 4" xfId="26764" xr:uid="{6988FE35-501A-4FBF-8D5E-88F87C7E360C}"/>
    <cellStyle name="Normal 8 2 3 3 3 5" xfId="18335" xr:uid="{7CCF1CD5-B76D-4135-922C-550508F2D591}"/>
    <cellStyle name="Normal 8 2 3 3 3 6" xfId="35193" xr:uid="{9CFCF7DE-1821-4F21-A5A4-A0A041CE98D0}"/>
    <cellStyle name="Normal 8 2 3 3 3 7" xfId="9900" xr:uid="{AF6233CD-68A6-480C-90E2-F0250041468A}"/>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33540" xr:uid="{DA9DCED4-178D-43C5-A44C-67777F46AB2C}"/>
    <cellStyle name="Normal 8 2 3 3 4 2 2 3" xfId="25111" xr:uid="{3CFD2E2E-9626-47A5-AAED-A5BA2314DAE7}"/>
    <cellStyle name="Normal 8 2 3 3 4 2 2 4" xfId="41968" xr:uid="{6ABA2B24-3196-4F13-A6F1-B80507735F10}"/>
    <cellStyle name="Normal 8 2 3 3 4 2 2 5" xfId="16676" xr:uid="{D8179800-767E-4752-B232-E5B71068C5DB}"/>
    <cellStyle name="Normal 8 2 3 3 4 2 3" xfId="29322" xr:uid="{1EB17163-5C27-40E7-99C4-E5B6E4053048}"/>
    <cellStyle name="Normal 8 2 3 3 4 2 4" xfId="20893" xr:uid="{9B44B84C-CF22-4BE9-8402-14D8E1472853}"/>
    <cellStyle name="Normal 8 2 3 3 4 2 5" xfId="37751" xr:uid="{86DFEFDD-612E-4F15-BB36-B303FB274038}"/>
    <cellStyle name="Normal 8 2 3 3 4 2 6" xfId="12458" xr:uid="{C6F2EFE6-0AFB-42C6-8C2D-0B98617C369D}"/>
    <cellStyle name="Normal 8 2 3 3 4 3" xfId="6096" xr:uid="{00000000-0005-0000-0000-0000C81C0000}"/>
    <cellStyle name="Normal 8 2 3 3 4 3 2" xfId="31395" xr:uid="{F079EAA8-CC35-4FC7-9D9D-F5B21B59C070}"/>
    <cellStyle name="Normal 8 2 3 3 4 3 3" xfId="22966" xr:uid="{0913BBDB-E832-44F8-8D26-1BEAAF04EF7E}"/>
    <cellStyle name="Normal 8 2 3 3 4 3 4" xfId="39823" xr:uid="{CEF59E9A-A95F-46A1-BB4F-1255541D674B}"/>
    <cellStyle name="Normal 8 2 3 3 4 3 5" xfId="14531" xr:uid="{C7A6724B-1010-421A-B016-6FEACE8C374D}"/>
    <cellStyle name="Normal 8 2 3 3 4 4" xfId="27177" xr:uid="{A1CEFFBE-A586-4C5B-9D98-B871C3E0AE31}"/>
    <cellStyle name="Normal 8 2 3 3 4 5" xfId="18748" xr:uid="{734935DA-1904-4B6E-82B8-E55A7AC68FD5}"/>
    <cellStyle name="Normal 8 2 3 3 4 6" xfId="35606" xr:uid="{7CEEB4AF-26A5-44B5-9A92-CD11A27E94F5}"/>
    <cellStyle name="Normal 8 2 3 3 4 7" xfId="10313" xr:uid="{3903582A-5221-48FB-83DD-A7D4B97448E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33953" xr:uid="{54BA3AB7-582E-4D6D-9F42-94A909E19E46}"/>
    <cellStyle name="Normal 8 2 3 3 5 2 2 3" xfId="25524" xr:uid="{4FC00D6C-83C9-43A3-B958-5B6E2885A0D1}"/>
    <cellStyle name="Normal 8 2 3 3 5 2 2 4" xfId="42381" xr:uid="{2AE6622D-7A88-45A8-85E0-582C017F16EC}"/>
    <cellStyle name="Normal 8 2 3 3 5 2 2 5" xfId="17089" xr:uid="{C237E2A8-F5D2-4814-96BB-A8F4513C76A0}"/>
    <cellStyle name="Normal 8 2 3 3 5 2 3" xfId="29735" xr:uid="{5DED3F9E-8219-46C5-A9E1-ECAC019E0A24}"/>
    <cellStyle name="Normal 8 2 3 3 5 2 4" xfId="21306" xr:uid="{ECB8E55F-6FC3-471E-B59F-3DFDBD25FCA3}"/>
    <cellStyle name="Normal 8 2 3 3 5 2 5" xfId="38164" xr:uid="{6B21E6F0-C85D-44F2-B67C-A3483BBD354C}"/>
    <cellStyle name="Normal 8 2 3 3 5 2 6" xfId="12871" xr:uid="{08537C22-A66E-4589-AFBE-EF2BAE55507E}"/>
    <cellStyle name="Normal 8 2 3 3 5 3" xfId="6509" xr:uid="{00000000-0005-0000-0000-0000CC1C0000}"/>
    <cellStyle name="Normal 8 2 3 3 5 3 2" xfId="31808" xr:uid="{57642B96-1D2A-43A0-8D60-DEA53B8AEB9A}"/>
    <cellStyle name="Normal 8 2 3 3 5 3 3" xfId="23379" xr:uid="{2D949912-7355-4148-940B-11180D8880FB}"/>
    <cellStyle name="Normal 8 2 3 3 5 3 4" xfId="40236" xr:uid="{D071F5E9-6794-4A83-B531-482C002335E9}"/>
    <cellStyle name="Normal 8 2 3 3 5 3 5" xfId="14944" xr:uid="{DA0B27D5-C2AB-4010-AA1D-96FA38622000}"/>
    <cellStyle name="Normal 8 2 3 3 5 4" xfId="27590" xr:uid="{81668323-8DFB-4A5F-B24A-353C873A11EA}"/>
    <cellStyle name="Normal 8 2 3 3 5 5" xfId="19161" xr:uid="{7875C6BC-9796-4CA1-AF9A-8CACBDE42452}"/>
    <cellStyle name="Normal 8 2 3 3 5 6" xfId="36019" xr:uid="{ED3A5461-FF57-40AA-BFE4-3FD8F556160A}"/>
    <cellStyle name="Normal 8 2 3 3 5 7" xfId="10726" xr:uid="{8CAE0A63-359E-4CDA-9EB6-94FF4929C2C3}"/>
    <cellStyle name="Normal 8 2 3 3 6" xfId="2638" xr:uid="{00000000-0005-0000-0000-0000CD1C0000}"/>
    <cellStyle name="Normal 8 2 3 3 6 2" xfId="6922" xr:uid="{00000000-0005-0000-0000-0000CE1C0000}"/>
    <cellStyle name="Normal 8 2 3 3 6 2 2" xfId="32221" xr:uid="{BC4EEFDF-15F8-425E-9BD2-2C34FB11D31D}"/>
    <cellStyle name="Normal 8 2 3 3 6 2 3" xfId="23792" xr:uid="{527F8E80-2B42-46FD-9FF3-DEFC70CE5D83}"/>
    <cellStyle name="Normal 8 2 3 3 6 2 4" xfId="40649" xr:uid="{4112C2CB-C665-4451-A43C-847B4BE3135D}"/>
    <cellStyle name="Normal 8 2 3 3 6 2 5" xfId="15357" xr:uid="{CE47D79A-3BC7-4B7C-BF83-477ED199FD24}"/>
    <cellStyle name="Normal 8 2 3 3 6 3" xfId="28003" xr:uid="{C009D4EF-00BD-46D6-84A8-AC0232FFEFB4}"/>
    <cellStyle name="Normal 8 2 3 3 6 4" xfId="19574" xr:uid="{3070F1BD-13DA-4976-925E-BF838216C823}"/>
    <cellStyle name="Normal 8 2 3 3 6 5" xfId="36432" xr:uid="{ED7CD97C-3C0A-4524-84BB-BD4D1610BEE7}"/>
    <cellStyle name="Normal 8 2 3 3 6 6" xfId="11139" xr:uid="{BD5EC041-BDF5-4E8B-B5A0-158AE8C11FA4}"/>
    <cellStyle name="Normal 8 2 3 3 7" xfId="4857" xr:uid="{00000000-0005-0000-0000-0000CF1C0000}"/>
    <cellStyle name="Normal 8 2 3 3 7 2" xfId="30156" xr:uid="{76256559-09F0-4CFA-AB52-5325AA57469B}"/>
    <cellStyle name="Normal 8 2 3 3 7 3" xfId="21727" xr:uid="{A0DFA9B1-425F-48C0-92A4-FA1DCCCF1D41}"/>
    <cellStyle name="Normal 8 2 3 3 7 4" xfId="38584" xr:uid="{AC488102-2082-4DF5-8E47-9DE877876302}"/>
    <cellStyle name="Normal 8 2 3 3 7 5" xfId="13292" xr:uid="{928B3D1A-EB2B-4B7F-AF77-A5324E9C6A77}"/>
    <cellStyle name="Normal 8 2 3 3 8" xfId="25938" xr:uid="{D8E717BC-FD49-4443-A513-1BA6FF5A7319}"/>
    <cellStyle name="Normal 8 2 3 3 9" xfId="17509" xr:uid="{EE468899-C8C0-45C7-A1E7-7B932DA9CD56}"/>
    <cellStyle name="Normal 8 2 3 4" xfId="955" xr:uid="{00000000-0005-0000-0000-0000D01C0000}"/>
    <cellStyle name="Normal 8 2 3 4 2" xfId="3189" xr:uid="{00000000-0005-0000-0000-0000D11C0000}"/>
    <cellStyle name="Normal 8 2 3 4 2 2" xfId="7412" xr:uid="{00000000-0005-0000-0000-0000D21C0000}"/>
    <cellStyle name="Normal 8 2 3 4 2 2 2" xfId="32711" xr:uid="{46B2F68C-6309-440F-B326-74F87CD255D5}"/>
    <cellStyle name="Normal 8 2 3 4 2 2 3" xfId="24282" xr:uid="{9D82D171-7D55-48F7-9D6B-3412F0E15AFC}"/>
    <cellStyle name="Normal 8 2 3 4 2 2 4" xfId="41139" xr:uid="{3727FBA8-6BC0-465D-9B79-4B62E21BDB9F}"/>
    <cellStyle name="Normal 8 2 3 4 2 2 5" xfId="15847" xr:uid="{EC78D19A-7718-4BCB-A304-53B4412ABE69}"/>
    <cellStyle name="Normal 8 2 3 4 2 3" xfId="28493" xr:uid="{A9C6DAF1-1AD7-4832-8B9F-9CAF7446556F}"/>
    <cellStyle name="Normal 8 2 3 4 2 4" xfId="20064" xr:uid="{6DD0B6A7-791F-457D-8FCE-515C79384677}"/>
    <cellStyle name="Normal 8 2 3 4 2 5" xfId="36922" xr:uid="{32AD8843-441E-4D9A-B5B3-B6B9FE8DF421}"/>
    <cellStyle name="Normal 8 2 3 4 2 6" xfId="11629" xr:uid="{42B8444F-914B-4017-9A5E-16C43F0EBDFC}"/>
    <cellStyle name="Normal 8 2 3 4 3" xfId="5267" xr:uid="{00000000-0005-0000-0000-0000D31C0000}"/>
    <cellStyle name="Normal 8 2 3 4 3 2" xfId="30566" xr:uid="{A19C23A4-2CBD-4078-9434-BAB00FE2B87A}"/>
    <cellStyle name="Normal 8 2 3 4 3 3" xfId="22137" xr:uid="{D838F8A1-391B-4088-9879-0E0F8002F0FD}"/>
    <cellStyle name="Normal 8 2 3 4 3 4" xfId="38994" xr:uid="{B5BC28E8-2B2B-4C23-AC4C-1C7BAF0453F8}"/>
    <cellStyle name="Normal 8 2 3 4 3 5" xfId="13702" xr:uid="{F8C70B26-8ED2-4461-B136-9C992FC53542}"/>
    <cellStyle name="Normal 8 2 3 4 4" xfId="26348" xr:uid="{C28E4C47-C9E9-4502-9BD4-3F759485DF7B}"/>
    <cellStyle name="Normal 8 2 3 4 5" xfId="17919" xr:uid="{DE5C9712-DECE-497E-A69F-5FE7CAB86FEA}"/>
    <cellStyle name="Normal 8 2 3 4 6" xfId="34777" xr:uid="{22A8ACD8-3B70-4E21-91AE-5C348E19F540}"/>
    <cellStyle name="Normal 8 2 3 4 7" xfId="9484" xr:uid="{050912A8-C362-4D47-9A2A-35307B6E795B}"/>
    <cellStyle name="Normal 8 2 3 5" xfId="1372" xr:uid="{00000000-0005-0000-0000-0000D41C0000}"/>
    <cellStyle name="Normal 8 2 3 5 2" xfId="3602" xr:uid="{00000000-0005-0000-0000-0000D51C0000}"/>
    <cellStyle name="Normal 8 2 3 5 2 2" xfId="7825" xr:uid="{00000000-0005-0000-0000-0000D61C0000}"/>
    <cellStyle name="Normal 8 2 3 5 2 2 2" xfId="33124" xr:uid="{434B7DAF-E5ED-4E5F-BF2C-336C3489F848}"/>
    <cellStyle name="Normal 8 2 3 5 2 2 3" xfId="24695" xr:uid="{4280D092-569B-4BA1-98D0-1A9A722CF059}"/>
    <cellStyle name="Normal 8 2 3 5 2 2 4" xfId="41552" xr:uid="{CB277511-021F-4C43-9508-9CC00AAADBCB}"/>
    <cellStyle name="Normal 8 2 3 5 2 2 5" xfId="16260" xr:uid="{67CD9D62-83F1-42B1-A8FD-E6B47E116F2E}"/>
    <cellStyle name="Normal 8 2 3 5 2 3" xfId="28906" xr:uid="{CDCF2E47-309C-41AA-BAED-2E80AF147871}"/>
    <cellStyle name="Normal 8 2 3 5 2 4" xfId="20477" xr:uid="{1D39DA5F-922E-4BD1-B1B6-B49DA06737D3}"/>
    <cellStyle name="Normal 8 2 3 5 2 5" xfId="37335" xr:uid="{565A47DE-1B39-4A1F-A9EC-252160E6C851}"/>
    <cellStyle name="Normal 8 2 3 5 2 6" xfId="12042" xr:uid="{D1B16516-F358-41C8-A85C-38E7865AA8CE}"/>
    <cellStyle name="Normal 8 2 3 5 3" xfId="5680" xr:uid="{00000000-0005-0000-0000-0000D71C0000}"/>
    <cellStyle name="Normal 8 2 3 5 3 2" xfId="30979" xr:uid="{5F4FD3D8-1D4A-4567-9077-6697D3443CB4}"/>
    <cellStyle name="Normal 8 2 3 5 3 3" xfId="22550" xr:uid="{AEDB3D29-4525-4FF8-A79F-9598578283D8}"/>
    <cellStyle name="Normal 8 2 3 5 3 4" xfId="39407" xr:uid="{2E050DE9-FC21-48C8-A326-DB0906CB282F}"/>
    <cellStyle name="Normal 8 2 3 5 3 5" xfId="14115" xr:uid="{04E92426-7396-49A5-B826-9F9165BED332}"/>
    <cellStyle name="Normal 8 2 3 5 4" xfId="26761" xr:uid="{CC23C0C2-9D66-43B2-ACBC-C1BED7C5B5B6}"/>
    <cellStyle name="Normal 8 2 3 5 5" xfId="18332" xr:uid="{EC44610B-11BD-439A-98E3-1D998F44635B}"/>
    <cellStyle name="Normal 8 2 3 5 6" xfId="35190" xr:uid="{7D160468-AADA-4C9E-9E03-23152BC1F525}"/>
    <cellStyle name="Normal 8 2 3 5 7" xfId="9897" xr:uid="{32F7C4D5-6A4E-4624-B6B4-5D11A37768E0}"/>
    <cellStyle name="Normal 8 2 3 6" xfId="1785" xr:uid="{00000000-0005-0000-0000-0000D81C0000}"/>
    <cellStyle name="Normal 8 2 3 6 2" xfId="4015" xr:uid="{00000000-0005-0000-0000-0000D91C0000}"/>
    <cellStyle name="Normal 8 2 3 6 2 2" xfId="8238" xr:uid="{00000000-0005-0000-0000-0000DA1C0000}"/>
    <cellStyle name="Normal 8 2 3 6 2 2 2" xfId="33537" xr:uid="{F1911708-1326-4037-9EFA-1E856D89B839}"/>
    <cellStyle name="Normal 8 2 3 6 2 2 3" xfId="25108" xr:uid="{B8F3FB26-6E73-49F9-9E92-4C6596137D7D}"/>
    <cellStyle name="Normal 8 2 3 6 2 2 4" xfId="41965" xr:uid="{CE49FC30-0144-4084-A55E-F870614B4F66}"/>
    <cellStyle name="Normal 8 2 3 6 2 2 5" xfId="16673" xr:uid="{092332F9-BC67-4A06-87E5-BD20C1509088}"/>
    <cellStyle name="Normal 8 2 3 6 2 3" xfId="29319" xr:uid="{83B9D067-3DD5-43C5-996A-312AD3E47A17}"/>
    <cellStyle name="Normal 8 2 3 6 2 4" xfId="20890" xr:uid="{DCB52E53-99E9-4A8E-A7B9-7E23681CE68A}"/>
    <cellStyle name="Normal 8 2 3 6 2 5" xfId="37748" xr:uid="{9CC7251F-779D-4D3E-88E4-0A3418D08C47}"/>
    <cellStyle name="Normal 8 2 3 6 2 6" xfId="12455" xr:uid="{C5CA6391-57F7-45D8-85CC-EBA7DDBC6F05}"/>
    <cellStyle name="Normal 8 2 3 6 3" xfId="6093" xr:uid="{00000000-0005-0000-0000-0000DB1C0000}"/>
    <cellStyle name="Normal 8 2 3 6 3 2" xfId="31392" xr:uid="{45D58C96-CB6F-4155-9741-0FF13580197B}"/>
    <cellStyle name="Normal 8 2 3 6 3 3" xfId="22963" xr:uid="{53521F39-74B6-4872-BAE1-C76C5A199799}"/>
    <cellStyle name="Normal 8 2 3 6 3 4" xfId="39820" xr:uid="{72107714-8CFE-4C31-A984-3B6CCCE5CF8D}"/>
    <cellStyle name="Normal 8 2 3 6 3 5" xfId="14528" xr:uid="{273FAADF-0CFA-4B6E-9A06-BE38A156CA92}"/>
    <cellStyle name="Normal 8 2 3 6 4" xfId="27174" xr:uid="{7DBDFD43-0CF8-4B43-844B-EF6C4005067C}"/>
    <cellStyle name="Normal 8 2 3 6 5" xfId="18745" xr:uid="{C3C252E3-2B2E-457F-A17F-3285F79441A0}"/>
    <cellStyle name="Normal 8 2 3 6 6" xfId="35603" xr:uid="{CBC4C2FD-CC56-4FB3-A51D-5722E407E134}"/>
    <cellStyle name="Normal 8 2 3 6 7" xfId="10310" xr:uid="{DE55FAFC-F0B5-4540-A3C0-ED715E6E15D4}"/>
    <cellStyle name="Normal 8 2 3 7" xfId="2199" xr:uid="{00000000-0005-0000-0000-0000DC1C0000}"/>
    <cellStyle name="Normal 8 2 3 7 2" xfId="4428" xr:uid="{00000000-0005-0000-0000-0000DD1C0000}"/>
    <cellStyle name="Normal 8 2 3 7 2 2" xfId="8651" xr:uid="{00000000-0005-0000-0000-0000DE1C0000}"/>
    <cellStyle name="Normal 8 2 3 7 2 2 2" xfId="33950" xr:uid="{A6F3D9FE-B387-4415-BE15-B91B02EFD58E}"/>
    <cellStyle name="Normal 8 2 3 7 2 2 3" xfId="25521" xr:uid="{40CBDF47-9624-47A4-BE8A-80ACC2DB5ECE}"/>
    <cellStyle name="Normal 8 2 3 7 2 2 4" xfId="42378" xr:uid="{906EB1EC-4F5D-42EB-9613-2D226C030928}"/>
    <cellStyle name="Normal 8 2 3 7 2 2 5" xfId="17086" xr:uid="{49053AE5-75E5-4AEC-BC58-A772C3634390}"/>
    <cellStyle name="Normal 8 2 3 7 2 3" xfId="29732" xr:uid="{A13B6EF0-2CA8-48F3-9446-6AE98FD64DF6}"/>
    <cellStyle name="Normal 8 2 3 7 2 4" xfId="21303" xr:uid="{3224BA4D-4620-4537-BD7F-A69462012081}"/>
    <cellStyle name="Normal 8 2 3 7 2 5" xfId="38161" xr:uid="{4DB79732-386B-461C-A147-C84ADEE1ED52}"/>
    <cellStyle name="Normal 8 2 3 7 2 6" xfId="12868" xr:uid="{F66A9285-4510-410E-809F-877AB80553D9}"/>
    <cellStyle name="Normal 8 2 3 7 3" xfId="6506" xr:uid="{00000000-0005-0000-0000-0000DF1C0000}"/>
    <cellStyle name="Normal 8 2 3 7 3 2" xfId="31805" xr:uid="{4122CD6A-5CD1-465B-BD6C-AB7DF6037336}"/>
    <cellStyle name="Normal 8 2 3 7 3 3" xfId="23376" xr:uid="{07BA6641-C31C-4748-9897-E2EC674A9F96}"/>
    <cellStyle name="Normal 8 2 3 7 3 4" xfId="40233" xr:uid="{64E3F694-F93E-40EA-AC35-BE6A5C6E10B3}"/>
    <cellStyle name="Normal 8 2 3 7 3 5" xfId="14941" xr:uid="{F21EECF6-9015-450B-BE62-C45EB5C65760}"/>
    <cellStyle name="Normal 8 2 3 7 4" xfId="27587" xr:uid="{0FC30615-EEBD-454F-8612-24EC6FCE2C67}"/>
    <cellStyle name="Normal 8 2 3 7 5" xfId="19158" xr:uid="{EC7E2A77-9C35-4A1D-A128-EC48A730A04B}"/>
    <cellStyle name="Normal 8 2 3 7 6" xfId="36016" xr:uid="{4D203099-8962-46A0-9AD2-7407A9701EFD}"/>
    <cellStyle name="Normal 8 2 3 7 7" xfId="10723" xr:uid="{FEE78ABB-61F9-4364-8412-C88A25231EC3}"/>
    <cellStyle name="Normal 8 2 3 8" xfId="2635" xr:uid="{00000000-0005-0000-0000-0000E01C0000}"/>
    <cellStyle name="Normal 8 2 3 8 2" xfId="6919" xr:uid="{00000000-0005-0000-0000-0000E11C0000}"/>
    <cellStyle name="Normal 8 2 3 8 2 2" xfId="32218" xr:uid="{F467F893-DD77-419A-9E18-5C63D690B47F}"/>
    <cellStyle name="Normal 8 2 3 8 2 3" xfId="23789" xr:uid="{D643AD04-64DC-4763-A1B6-AABC32428F32}"/>
    <cellStyle name="Normal 8 2 3 8 2 4" xfId="40646" xr:uid="{C060F9DD-5E2E-4DD4-9BC9-AC1BAECD52DD}"/>
    <cellStyle name="Normal 8 2 3 8 2 5" xfId="15354" xr:uid="{FC724C8D-852B-4A41-8994-046E0BD25906}"/>
    <cellStyle name="Normal 8 2 3 8 3" xfId="28000" xr:uid="{441763F5-44EE-42CF-AF30-570E30001390}"/>
    <cellStyle name="Normal 8 2 3 8 4" xfId="19571" xr:uid="{0065F973-4066-4DF2-B99E-B7FB44B439B8}"/>
    <cellStyle name="Normal 8 2 3 8 5" xfId="36429" xr:uid="{F3EC3668-49C4-436D-A3C8-5EF20F4DE3FB}"/>
    <cellStyle name="Normal 8 2 3 8 6" xfId="11136" xr:uid="{01C0AEF3-1AD6-4212-A375-70AEB2BB14C0}"/>
    <cellStyle name="Normal 8 2 3 9" xfId="4854" xr:uid="{00000000-0005-0000-0000-0000E21C0000}"/>
    <cellStyle name="Normal 8 2 3 9 2" xfId="30153" xr:uid="{AE039992-BB37-45DD-B182-268C8307DC6B}"/>
    <cellStyle name="Normal 8 2 3 9 3" xfId="21724" xr:uid="{C74B52BA-FF8B-444F-B14B-4DE3A82BA6AD}"/>
    <cellStyle name="Normal 8 2 3 9 4" xfId="38581" xr:uid="{125AB49B-B062-499A-9AF8-827B75601501}"/>
    <cellStyle name="Normal 8 2 3 9 5" xfId="13289" xr:uid="{89EC9857-92CF-4606-B9CF-3CE24A305A9E}"/>
    <cellStyle name="Normal 8 2 4" xfId="492" xr:uid="{00000000-0005-0000-0000-0000E31C0000}"/>
    <cellStyle name="Normal 8 2 4 10" xfId="17510" xr:uid="{745B80CE-CE6A-489C-8DBE-533E7DC9F4DB}"/>
    <cellStyle name="Normal 8 2 4 11" xfId="34368" xr:uid="{72E929A0-CE13-40AF-BF18-17E58ACE28E6}"/>
    <cellStyle name="Normal 8 2 4 12" xfId="9075" xr:uid="{58FF2C87-73C0-4EF3-B7D1-4FA7D92DBD2E}"/>
    <cellStyle name="Normal 8 2 4 2" xfId="493" xr:uid="{00000000-0005-0000-0000-0000E41C0000}"/>
    <cellStyle name="Normal 8 2 4 2 10" xfId="34369" xr:uid="{25258474-1C99-40BB-B284-4D120BB21719}"/>
    <cellStyle name="Normal 8 2 4 2 11" xfId="9076" xr:uid="{7AF817C5-1877-4386-8C37-FA5A6E1EE6B8}"/>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32716" xr:uid="{8CE0CDD0-D08C-4310-9CE4-6B4165601DA5}"/>
    <cellStyle name="Normal 8 2 4 2 2 2 2 3" xfId="24287" xr:uid="{80881D11-9F7A-47E9-8DC3-FB4CC78CA035}"/>
    <cellStyle name="Normal 8 2 4 2 2 2 2 4" xfId="41144" xr:uid="{58BEFF51-3B72-4BE1-81CC-E973D94EC02B}"/>
    <cellStyle name="Normal 8 2 4 2 2 2 2 5" xfId="15852" xr:uid="{663692CE-B3BA-4DB7-8172-E5D7F97621E5}"/>
    <cellStyle name="Normal 8 2 4 2 2 2 3" xfId="28498" xr:uid="{AD71DCBA-E21B-4080-982A-22B339CBC601}"/>
    <cellStyle name="Normal 8 2 4 2 2 2 4" xfId="20069" xr:uid="{4949B0EE-EF88-48D8-9B07-B6CCCDBF5B24}"/>
    <cellStyle name="Normal 8 2 4 2 2 2 5" xfId="36927" xr:uid="{76A9DA63-9752-4B46-A449-9D60592CAF09}"/>
    <cellStyle name="Normal 8 2 4 2 2 2 6" xfId="11634" xr:uid="{374B8672-AAC2-45EB-B7FF-76CC08F0119D}"/>
    <cellStyle name="Normal 8 2 4 2 2 3" xfId="5272" xr:uid="{00000000-0005-0000-0000-0000E81C0000}"/>
    <cellStyle name="Normal 8 2 4 2 2 3 2" xfId="30571" xr:uid="{0D07F0D7-5D7B-4E79-9C5E-17101622AFAD}"/>
    <cellStyle name="Normal 8 2 4 2 2 3 3" xfId="22142" xr:uid="{15B7E63A-29AF-4C64-A507-71771ED720C7}"/>
    <cellStyle name="Normal 8 2 4 2 2 3 4" xfId="38999" xr:uid="{7D3DBCC3-32AD-4BA0-8894-7A7E36B5D286}"/>
    <cellStyle name="Normal 8 2 4 2 2 3 5" xfId="13707" xr:uid="{590FD0E3-E3E2-4645-A67F-E9EC137D9D8F}"/>
    <cellStyle name="Normal 8 2 4 2 2 4" xfId="26353" xr:uid="{539C0DB2-40FD-4732-92A9-051128C29A80}"/>
    <cellStyle name="Normal 8 2 4 2 2 5" xfId="17924" xr:uid="{3B023985-C06F-4C30-8BBF-7260F3834A68}"/>
    <cellStyle name="Normal 8 2 4 2 2 6" xfId="34782" xr:uid="{FB16214E-B4EF-4C5C-A5B0-4EF2407F839F}"/>
    <cellStyle name="Normal 8 2 4 2 2 7" xfId="9489" xr:uid="{9C804702-691C-46AA-8E62-6BF5FD95C2A5}"/>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33129" xr:uid="{75BBB7AD-232E-4DCE-8C75-9C76A43DC021}"/>
    <cellStyle name="Normal 8 2 4 2 3 2 2 3" xfId="24700" xr:uid="{0FE57FFE-BF53-4CEB-B2A5-F0987C0D06AF}"/>
    <cellStyle name="Normal 8 2 4 2 3 2 2 4" xfId="41557" xr:uid="{A42AD41E-3FA4-42CC-AB9F-CFDAFB852DDE}"/>
    <cellStyle name="Normal 8 2 4 2 3 2 2 5" xfId="16265" xr:uid="{D0DB18B3-ABF6-48A0-85B2-D80232C6191F}"/>
    <cellStyle name="Normal 8 2 4 2 3 2 3" xfId="28911" xr:uid="{B1DEFCAA-A247-4817-84FF-63EA40F443B2}"/>
    <cellStyle name="Normal 8 2 4 2 3 2 4" xfId="20482" xr:uid="{409BD9E4-A273-4E0A-94BC-6435189B55E9}"/>
    <cellStyle name="Normal 8 2 4 2 3 2 5" xfId="37340" xr:uid="{BF9293EA-99CD-41CB-9EB3-71CAF7934D78}"/>
    <cellStyle name="Normal 8 2 4 2 3 2 6" xfId="12047" xr:uid="{438750F5-92B0-49B9-9CE8-49154CCD6F30}"/>
    <cellStyle name="Normal 8 2 4 2 3 3" xfId="5685" xr:uid="{00000000-0005-0000-0000-0000EC1C0000}"/>
    <cellStyle name="Normal 8 2 4 2 3 3 2" xfId="30984" xr:uid="{017DCF8F-DBF0-4E2F-9439-4E4B2DD56B43}"/>
    <cellStyle name="Normal 8 2 4 2 3 3 3" xfId="22555" xr:uid="{41D0554D-C0BF-4CA0-98E3-4C0FAE1AF6B2}"/>
    <cellStyle name="Normal 8 2 4 2 3 3 4" xfId="39412" xr:uid="{CE7DA2E6-F305-40F6-9BEB-A7CE0106381B}"/>
    <cellStyle name="Normal 8 2 4 2 3 3 5" xfId="14120" xr:uid="{02D5953B-5FA2-4ABA-819F-7831CC6DB083}"/>
    <cellStyle name="Normal 8 2 4 2 3 4" xfId="26766" xr:uid="{2A64FB71-E7A5-4EEB-8D0C-585D0F2BEFBF}"/>
    <cellStyle name="Normal 8 2 4 2 3 5" xfId="18337" xr:uid="{375497ED-077F-47E1-B28D-3D5B8741E4F4}"/>
    <cellStyle name="Normal 8 2 4 2 3 6" xfId="35195" xr:uid="{4C8E20ED-2E10-49AF-9B93-DA64A7486D33}"/>
    <cellStyle name="Normal 8 2 4 2 3 7" xfId="9902" xr:uid="{CB871EB8-9BCE-4341-AE8A-412573934CCC}"/>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33542" xr:uid="{8F6259D5-FE93-4574-91E9-D04DCE57C379}"/>
    <cellStyle name="Normal 8 2 4 2 4 2 2 3" xfId="25113" xr:uid="{02DC3124-0E68-4483-BCEB-2FEAF3EE01FD}"/>
    <cellStyle name="Normal 8 2 4 2 4 2 2 4" xfId="41970" xr:uid="{5D3DA5ED-BF64-4045-A67F-09EA293667CB}"/>
    <cellStyle name="Normal 8 2 4 2 4 2 2 5" xfId="16678" xr:uid="{B8EB4649-0EDA-43D4-BB93-4BD05552136E}"/>
    <cellStyle name="Normal 8 2 4 2 4 2 3" xfId="29324" xr:uid="{E2E08ED5-5E21-419C-8939-FD5573826E79}"/>
    <cellStyle name="Normal 8 2 4 2 4 2 4" xfId="20895" xr:uid="{13F2F373-2DD0-4FB3-8E64-049976EB538A}"/>
    <cellStyle name="Normal 8 2 4 2 4 2 5" xfId="37753" xr:uid="{82490121-767A-4DC2-AB0A-411EBB730B8F}"/>
    <cellStyle name="Normal 8 2 4 2 4 2 6" xfId="12460" xr:uid="{DE283919-8470-41AA-B47D-F0B1605CB7CC}"/>
    <cellStyle name="Normal 8 2 4 2 4 3" xfId="6098" xr:uid="{00000000-0005-0000-0000-0000F01C0000}"/>
    <cellStyle name="Normal 8 2 4 2 4 3 2" xfId="31397" xr:uid="{958548BA-9A9F-494D-B8F2-07E64ADD64CC}"/>
    <cellStyle name="Normal 8 2 4 2 4 3 3" xfId="22968" xr:uid="{A2D3FF19-4F0C-4552-AD28-9D182BB7742D}"/>
    <cellStyle name="Normal 8 2 4 2 4 3 4" xfId="39825" xr:uid="{9ADA0E30-F311-4778-9C9F-6A908A2E1CC8}"/>
    <cellStyle name="Normal 8 2 4 2 4 3 5" xfId="14533" xr:uid="{BC198531-9779-48BE-8B67-363E1FBA42B4}"/>
    <cellStyle name="Normal 8 2 4 2 4 4" xfId="27179" xr:uid="{58349CD7-10F7-45E8-9A58-DC8845D12C04}"/>
    <cellStyle name="Normal 8 2 4 2 4 5" xfId="18750" xr:uid="{32C0EC57-6364-4EE3-843A-92D2FC5E2F45}"/>
    <cellStyle name="Normal 8 2 4 2 4 6" xfId="35608" xr:uid="{6BD344C8-4CF5-4118-83C6-D606AD912DEB}"/>
    <cellStyle name="Normal 8 2 4 2 4 7" xfId="10315" xr:uid="{3F997198-48BB-49AB-B871-E254F4401C2C}"/>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33955" xr:uid="{112A6C94-8639-4364-96E6-316A25FBBE72}"/>
    <cellStyle name="Normal 8 2 4 2 5 2 2 3" xfId="25526" xr:uid="{EB3769B9-CF85-4F8B-B60C-29A752F0E187}"/>
    <cellStyle name="Normal 8 2 4 2 5 2 2 4" xfId="42383" xr:uid="{54244B4E-5EAC-498D-9F2A-A691488A001E}"/>
    <cellStyle name="Normal 8 2 4 2 5 2 2 5" xfId="17091" xr:uid="{49193205-E336-4C94-B079-B19B1D36A738}"/>
    <cellStyle name="Normal 8 2 4 2 5 2 3" xfId="29737" xr:uid="{A3110256-9990-40A9-A810-B46CF3F56381}"/>
    <cellStyle name="Normal 8 2 4 2 5 2 4" xfId="21308" xr:uid="{F05AF406-DE9A-47F5-9F79-EDAACDEA4D72}"/>
    <cellStyle name="Normal 8 2 4 2 5 2 5" xfId="38166" xr:uid="{C5DEC546-660D-4EF2-BF37-168D884896F5}"/>
    <cellStyle name="Normal 8 2 4 2 5 2 6" xfId="12873" xr:uid="{A5CE7595-87B9-409F-AFA8-7255EC628127}"/>
    <cellStyle name="Normal 8 2 4 2 5 3" xfId="6511" xr:uid="{00000000-0005-0000-0000-0000F41C0000}"/>
    <cellStyle name="Normal 8 2 4 2 5 3 2" xfId="31810" xr:uid="{B8CE8CC6-770B-48C9-A207-87ADD81ABF3A}"/>
    <cellStyle name="Normal 8 2 4 2 5 3 3" xfId="23381" xr:uid="{7FB16D04-CC7F-4B43-9BCA-7CB96968FBB8}"/>
    <cellStyle name="Normal 8 2 4 2 5 3 4" xfId="40238" xr:uid="{A2D526AD-69D3-4ABC-8AF6-D3F07DE3F9D1}"/>
    <cellStyle name="Normal 8 2 4 2 5 3 5" xfId="14946" xr:uid="{8B37E058-F913-433C-8228-CD9B1F380449}"/>
    <cellStyle name="Normal 8 2 4 2 5 4" xfId="27592" xr:uid="{F4E60787-E23C-49EE-A6F5-30CB7E3A4B50}"/>
    <cellStyle name="Normal 8 2 4 2 5 5" xfId="19163" xr:uid="{1285893B-4E28-437A-A5A3-7CBDDB4A9D37}"/>
    <cellStyle name="Normal 8 2 4 2 5 6" xfId="36021" xr:uid="{EE4F23D4-7FFF-4262-9131-43EC704A4E57}"/>
    <cellStyle name="Normal 8 2 4 2 5 7" xfId="10728" xr:uid="{71A87774-0DB0-404F-B0FD-84ECFBBAED15}"/>
    <cellStyle name="Normal 8 2 4 2 6" xfId="2640" xr:uid="{00000000-0005-0000-0000-0000F51C0000}"/>
    <cellStyle name="Normal 8 2 4 2 6 2" xfId="6924" xr:uid="{00000000-0005-0000-0000-0000F61C0000}"/>
    <cellStyle name="Normal 8 2 4 2 6 2 2" xfId="32223" xr:uid="{FF396C82-AD12-4DB7-A38E-98EB572C76DE}"/>
    <cellStyle name="Normal 8 2 4 2 6 2 3" xfId="23794" xr:uid="{CB2DD68A-0429-4E99-8B7A-921BFBC713F8}"/>
    <cellStyle name="Normal 8 2 4 2 6 2 4" xfId="40651" xr:uid="{41FA1CC2-DA33-4830-B468-803A1552AD00}"/>
    <cellStyle name="Normal 8 2 4 2 6 2 5" xfId="15359" xr:uid="{D15F0B71-6C91-4754-B6D8-1985956D71E5}"/>
    <cellStyle name="Normal 8 2 4 2 6 3" xfId="28005" xr:uid="{310DCEE9-9DC4-429C-B932-01A35EC9C621}"/>
    <cellStyle name="Normal 8 2 4 2 6 4" xfId="19576" xr:uid="{09CE09DA-8EE4-4887-A72D-7A967C9BCC47}"/>
    <cellStyle name="Normal 8 2 4 2 6 5" xfId="36434" xr:uid="{368FD2A7-28A0-4D89-95E1-0F34F00A2175}"/>
    <cellStyle name="Normal 8 2 4 2 6 6" xfId="11141" xr:uid="{370F5055-3F25-41E6-A51C-CED58BD4279F}"/>
    <cellStyle name="Normal 8 2 4 2 7" xfId="4859" xr:uid="{00000000-0005-0000-0000-0000F71C0000}"/>
    <cellStyle name="Normal 8 2 4 2 7 2" xfId="30158" xr:uid="{0DA8B962-0DD7-45A3-BAF0-4A6278343D80}"/>
    <cellStyle name="Normal 8 2 4 2 7 3" xfId="21729" xr:uid="{E3D41977-5FD5-4058-9B39-A78D0919D8CC}"/>
    <cellStyle name="Normal 8 2 4 2 7 4" xfId="38586" xr:uid="{F87EBF5A-A690-414E-9B25-9E2758885907}"/>
    <cellStyle name="Normal 8 2 4 2 7 5" xfId="13294" xr:uid="{277F831E-7765-49AE-AF53-552CBFECC9BF}"/>
    <cellStyle name="Normal 8 2 4 2 8" xfId="25940" xr:uid="{CE842D46-4073-4FB2-95AE-E96F2CF2FA3C}"/>
    <cellStyle name="Normal 8 2 4 2 9" xfId="17511" xr:uid="{021A44CF-C83F-454E-999A-005ED3C4B569}"/>
    <cellStyle name="Normal 8 2 4 3" xfId="959" xr:uid="{00000000-0005-0000-0000-0000F81C0000}"/>
    <cellStyle name="Normal 8 2 4 3 2" xfId="3193" xr:uid="{00000000-0005-0000-0000-0000F91C0000}"/>
    <cellStyle name="Normal 8 2 4 3 2 2" xfId="7416" xr:uid="{00000000-0005-0000-0000-0000FA1C0000}"/>
    <cellStyle name="Normal 8 2 4 3 2 2 2" xfId="32715" xr:uid="{46950204-D39C-4B29-9CA6-971CC67C4517}"/>
    <cellStyle name="Normal 8 2 4 3 2 2 3" xfId="24286" xr:uid="{6BAEC38F-CAE5-48BD-AD69-E9CC27248A64}"/>
    <cellStyle name="Normal 8 2 4 3 2 2 4" xfId="41143" xr:uid="{B11E0D0A-3B0D-4B40-A3CC-07453C92F381}"/>
    <cellStyle name="Normal 8 2 4 3 2 2 5" xfId="15851" xr:uid="{F1241552-E846-4979-BD4E-659E009B45D4}"/>
    <cellStyle name="Normal 8 2 4 3 2 3" xfId="28497" xr:uid="{9F039459-5873-4243-9ED8-E39684CBC0EF}"/>
    <cellStyle name="Normal 8 2 4 3 2 4" xfId="20068" xr:uid="{33696E8B-05F9-479B-BFA2-F8970C0D83DC}"/>
    <cellStyle name="Normal 8 2 4 3 2 5" xfId="36926" xr:uid="{3C341ECC-74F6-4819-A3F4-32F52871C827}"/>
    <cellStyle name="Normal 8 2 4 3 2 6" xfId="11633" xr:uid="{2D70436B-E75C-4D10-A3A8-D56773F3961D}"/>
    <cellStyle name="Normal 8 2 4 3 3" xfId="5271" xr:uid="{00000000-0005-0000-0000-0000FB1C0000}"/>
    <cellStyle name="Normal 8 2 4 3 3 2" xfId="30570" xr:uid="{4FCD2DA6-D249-49C1-9200-3BE1ABA5AB4E}"/>
    <cellStyle name="Normal 8 2 4 3 3 3" xfId="22141" xr:uid="{B93CF7EF-ED28-4A02-B150-46EB99CAB263}"/>
    <cellStyle name="Normal 8 2 4 3 3 4" xfId="38998" xr:uid="{50312402-281B-4A0E-9DEB-D7512271EEA3}"/>
    <cellStyle name="Normal 8 2 4 3 3 5" xfId="13706" xr:uid="{12ECDC05-5055-40C5-AC3D-AF9B53591415}"/>
    <cellStyle name="Normal 8 2 4 3 4" xfId="26352" xr:uid="{55A60E62-2BA1-468D-8EA6-0F64DE40671B}"/>
    <cellStyle name="Normal 8 2 4 3 5" xfId="17923" xr:uid="{3F7AFD08-2C39-4A32-8939-FD251F48DF08}"/>
    <cellStyle name="Normal 8 2 4 3 6" xfId="34781" xr:uid="{64436189-B635-447C-9EBB-55AC8CBCBB51}"/>
    <cellStyle name="Normal 8 2 4 3 7" xfId="9488" xr:uid="{344EEB84-9F1F-4D46-9CC5-08AF55D56EAF}"/>
    <cellStyle name="Normal 8 2 4 4" xfId="1376" xr:uid="{00000000-0005-0000-0000-0000FC1C0000}"/>
    <cellStyle name="Normal 8 2 4 4 2" xfId="3606" xr:uid="{00000000-0005-0000-0000-0000FD1C0000}"/>
    <cellStyle name="Normal 8 2 4 4 2 2" xfId="7829" xr:uid="{00000000-0005-0000-0000-0000FE1C0000}"/>
    <cellStyle name="Normal 8 2 4 4 2 2 2" xfId="33128" xr:uid="{72403114-CD5B-47ED-ABC9-6BFFAAC95947}"/>
    <cellStyle name="Normal 8 2 4 4 2 2 3" xfId="24699" xr:uid="{A176066A-9B93-404A-88FB-D32FE7DBE06D}"/>
    <cellStyle name="Normal 8 2 4 4 2 2 4" xfId="41556" xr:uid="{C819F9B0-39CC-48BD-A6B0-FBE1D76815AD}"/>
    <cellStyle name="Normal 8 2 4 4 2 2 5" xfId="16264" xr:uid="{05BE5845-622A-4898-8BAB-E3495B7FDF6C}"/>
    <cellStyle name="Normal 8 2 4 4 2 3" xfId="28910" xr:uid="{45576299-CDAD-48B9-A92A-EDE8FD2F84E6}"/>
    <cellStyle name="Normal 8 2 4 4 2 4" xfId="20481" xr:uid="{3263EF1E-A672-40DC-8979-0A9FCC8622F7}"/>
    <cellStyle name="Normal 8 2 4 4 2 5" xfId="37339" xr:uid="{9B1F077C-36E3-423E-9CA4-5F00C4BC6A11}"/>
    <cellStyle name="Normal 8 2 4 4 2 6" xfId="12046" xr:uid="{7646EB3C-D7BD-419D-8989-4F5B10528190}"/>
    <cellStyle name="Normal 8 2 4 4 3" xfId="5684" xr:uid="{00000000-0005-0000-0000-0000FF1C0000}"/>
    <cellStyle name="Normal 8 2 4 4 3 2" xfId="30983" xr:uid="{CE91C117-00A2-41A0-8C5F-368B6717E936}"/>
    <cellStyle name="Normal 8 2 4 4 3 3" xfId="22554" xr:uid="{CF7385D3-DFFE-4425-B37B-F3328FC4AED8}"/>
    <cellStyle name="Normal 8 2 4 4 3 4" xfId="39411" xr:uid="{9CC10745-6366-49B5-ABD0-8252B95FD15F}"/>
    <cellStyle name="Normal 8 2 4 4 3 5" xfId="14119" xr:uid="{D7FE3330-7F8C-4A00-B0C3-F386A36A1791}"/>
    <cellStyle name="Normal 8 2 4 4 4" xfId="26765" xr:uid="{F270D50B-4117-4F81-9E3C-3A6FE851B5A1}"/>
    <cellStyle name="Normal 8 2 4 4 5" xfId="18336" xr:uid="{92BCD076-3426-499C-8B60-7642CE3495F5}"/>
    <cellStyle name="Normal 8 2 4 4 6" xfId="35194" xr:uid="{CFCA599B-EE17-4620-9831-F9224CAB9712}"/>
    <cellStyle name="Normal 8 2 4 4 7" xfId="9901" xr:uid="{8FEC06D1-3B9E-43C0-8868-C65DC8836E24}"/>
    <cellStyle name="Normal 8 2 4 5" xfId="1789" xr:uid="{00000000-0005-0000-0000-0000001D0000}"/>
    <cellStyle name="Normal 8 2 4 5 2" xfId="4019" xr:uid="{00000000-0005-0000-0000-0000011D0000}"/>
    <cellStyle name="Normal 8 2 4 5 2 2" xfId="8242" xr:uid="{00000000-0005-0000-0000-0000021D0000}"/>
    <cellStyle name="Normal 8 2 4 5 2 2 2" xfId="33541" xr:uid="{C6980595-D47D-49D2-A5A5-FE9436626A00}"/>
    <cellStyle name="Normal 8 2 4 5 2 2 3" xfId="25112" xr:uid="{E07655F2-EE76-4CD7-8E43-64D0DCFDFD65}"/>
    <cellStyle name="Normal 8 2 4 5 2 2 4" xfId="41969" xr:uid="{550AE3EA-8EEE-4524-A02A-B42FA231A716}"/>
    <cellStyle name="Normal 8 2 4 5 2 2 5" xfId="16677" xr:uid="{1B3CE1F5-85B0-4282-89E6-753EDB26ACBC}"/>
    <cellStyle name="Normal 8 2 4 5 2 3" xfId="29323" xr:uid="{F427BA6B-0E3E-4CF9-AD95-7358A36980E5}"/>
    <cellStyle name="Normal 8 2 4 5 2 4" xfId="20894" xr:uid="{8D9CF314-F352-4B8B-9161-7DD3782A465D}"/>
    <cellStyle name="Normal 8 2 4 5 2 5" xfId="37752" xr:uid="{8640A81D-95B3-4D8B-BEBD-6B2D164F98D3}"/>
    <cellStyle name="Normal 8 2 4 5 2 6" xfId="12459" xr:uid="{AAAF49A8-C052-4392-B760-7D2B28A619E9}"/>
    <cellStyle name="Normal 8 2 4 5 3" xfId="6097" xr:uid="{00000000-0005-0000-0000-0000031D0000}"/>
    <cellStyle name="Normal 8 2 4 5 3 2" xfId="31396" xr:uid="{8AAF25E1-587B-438D-98A7-1065D479CE03}"/>
    <cellStyle name="Normal 8 2 4 5 3 3" xfId="22967" xr:uid="{80A2AD46-F197-40B3-BD9F-7C30285A7A03}"/>
    <cellStyle name="Normal 8 2 4 5 3 4" xfId="39824" xr:uid="{F89E4F37-3983-4400-9F18-10C3445659AB}"/>
    <cellStyle name="Normal 8 2 4 5 3 5" xfId="14532" xr:uid="{D69AA23F-104C-4BDE-B4D2-7C4914469765}"/>
    <cellStyle name="Normal 8 2 4 5 4" xfId="27178" xr:uid="{0BB8073A-7A12-47D8-AD0C-E98126D9F638}"/>
    <cellStyle name="Normal 8 2 4 5 5" xfId="18749" xr:uid="{65F6A857-14FC-409D-B892-F886C08A86CE}"/>
    <cellStyle name="Normal 8 2 4 5 6" xfId="35607" xr:uid="{68020FCE-58F7-4A29-A561-9BC2AEF4D997}"/>
    <cellStyle name="Normal 8 2 4 5 7" xfId="10314" xr:uid="{E116DB90-D3AD-413E-884D-9C8BBBE75F5D}"/>
    <cellStyle name="Normal 8 2 4 6" xfId="2203" xr:uid="{00000000-0005-0000-0000-0000041D0000}"/>
    <cellStyle name="Normal 8 2 4 6 2" xfId="4432" xr:uid="{00000000-0005-0000-0000-0000051D0000}"/>
    <cellStyle name="Normal 8 2 4 6 2 2" xfId="8655" xr:uid="{00000000-0005-0000-0000-0000061D0000}"/>
    <cellStyle name="Normal 8 2 4 6 2 2 2" xfId="33954" xr:uid="{D3732DF6-F966-4BD1-802D-26DCDB9AC04F}"/>
    <cellStyle name="Normal 8 2 4 6 2 2 3" xfId="25525" xr:uid="{862B5AC5-9024-4A3D-BF86-1382141522E6}"/>
    <cellStyle name="Normal 8 2 4 6 2 2 4" xfId="42382" xr:uid="{C35A9CB3-FB48-4FAB-AEA1-00811BD35FD5}"/>
    <cellStyle name="Normal 8 2 4 6 2 2 5" xfId="17090" xr:uid="{51CD1D00-1AF4-4EFC-A043-3FB7A6DB07E7}"/>
    <cellStyle name="Normal 8 2 4 6 2 3" xfId="29736" xr:uid="{36B127A0-6E21-4BEA-B9E8-CEC7A563D591}"/>
    <cellStyle name="Normal 8 2 4 6 2 4" xfId="21307" xr:uid="{941E5D98-9813-4775-A82F-A49C4DBD7B1B}"/>
    <cellStyle name="Normal 8 2 4 6 2 5" xfId="38165" xr:uid="{0E7DED41-219F-4ECA-8032-6D393DBFA557}"/>
    <cellStyle name="Normal 8 2 4 6 2 6" xfId="12872" xr:uid="{B22AF0E7-B255-420F-9FA0-C9AFDB1C3BC5}"/>
    <cellStyle name="Normal 8 2 4 6 3" xfId="6510" xr:uid="{00000000-0005-0000-0000-0000071D0000}"/>
    <cellStyle name="Normal 8 2 4 6 3 2" xfId="31809" xr:uid="{5EFDCA8D-5112-4343-A9F6-E94A25339CBD}"/>
    <cellStyle name="Normal 8 2 4 6 3 3" xfId="23380" xr:uid="{8653D6A1-393E-4C7A-B9E9-D8AE58E3D9D6}"/>
    <cellStyle name="Normal 8 2 4 6 3 4" xfId="40237" xr:uid="{BC3E809D-1A85-447B-91D7-E5C9E95BEDE3}"/>
    <cellStyle name="Normal 8 2 4 6 3 5" xfId="14945" xr:uid="{01280F38-A2A1-4D9A-83E9-433A9916E6C4}"/>
    <cellStyle name="Normal 8 2 4 6 4" xfId="27591" xr:uid="{CB86633E-0B2B-419B-93DB-B52CBA46E7CD}"/>
    <cellStyle name="Normal 8 2 4 6 5" xfId="19162" xr:uid="{F32CC73A-DBA2-4742-85BF-68B9331DDCC8}"/>
    <cellStyle name="Normal 8 2 4 6 6" xfId="36020" xr:uid="{5EAD41FC-05FA-48F5-9619-4AC77F76F6AD}"/>
    <cellStyle name="Normal 8 2 4 6 7" xfId="10727" xr:uid="{F9ED8DE4-EA9D-4F7E-BACB-F41F7A7CA36A}"/>
    <cellStyle name="Normal 8 2 4 7" xfId="2639" xr:uid="{00000000-0005-0000-0000-0000081D0000}"/>
    <cellStyle name="Normal 8 2 4 7 2" xfId="6923" xr:uid="{00000000-0005-0000-0000-0000091D0000}"/>
    <cellStyle name="Normal 8 2 4 7 2 2" xfId="32222" xr:uid="{B6EC38A1-5CAF-432F-BC54-BBBBD0494838}"/>
    <cellStyle name="Normal 8 2 4 7 2 3" xfId="23793" xr:uid="{EBC160C5-C001-4988-8B8D-B04D31F4FFA6}"/>
    <cellStyle name="Normal 8 2 4 7 2 4" xfId="40650" xr:uid="{B270624E-FF84-4D11-A2D3-5FC69864BD89}"/>
    <cellStyle name="Normal 8 2 4 7 2 5" xfId="15358" xr:uid="{5B0E42DC-A1F7-49F2-AB18-B4ED86C3966B}"/>
    <cellStyle name="Normal 8 2 4 7 3" xfId="28004" xr:uid="{CB363DD2-DBAC-4C22-A8F1-53F87DC56732}"/>
    <cellStyle name="Normal 8 2 4 7 4" xfId="19575" xr:uid="{6E0264D6-3B59-468B-BD20-407FF44163FC}"/>
    <cellStyle name="Normal 8 2 4 7 5" xfId="36433" xr:uid="{2D3E8B31-CBAA-44DD-AF83-37F49F85C111}"/>
    <cellStyle name="Normal 8 2 4 7 6" xfId="11140" xr:uid="{1B87FDE0-1C80-47F9-9AAB-D97FAC434422}"/>
    <cellStyle name="Normal 8 2 4 8" xfId="4858" xr:uid="{00000000-0005-0000-0000-00000A1D0000}"/>
    <cellStyle name="Normal 8 2 4 8 2" xfId="30157" xr:uid="{2A434A1F-B0BB-49EA-A52F-CFB43EA2E3CA}"/>
    <cellStyle name="Normal 8 2 4 8 3" xfId="21728" xr:uid="{A6EC087E-3B54-47E1-85E3-4E9E6B70D109}"/>
    <cellStyle name="Normal 8 2 4 8 4" xfId="38585" xr:uid="{E9B84FB6-59AE-4D18-A116-0C9725B53DF7}"/>
    <cellStyle name="Normal 8 2 4 8 5" xfId="13293" xr:uid="{E84289EE-CB72-4FA2-A315-39E56240C5F0}"/>
    <cellStyle name="Normal 8 2 4 9" xfId="25939" xr:uid="{A64E0D56-58BD-4253-B637-23CBDA51B58B}"/>
    <cellStyle name="Normal 8 2 5" xfId="494" xr:uid="{00000000-0005-0000-0000-00000B1D0000}"/>
    <cellStyle name="Normal 8 2 5 10" xfId="34370" xr:uid="{599E488E-CFB9-461A-968A-B06B4B9F219D}"/>
    <cellStyle name="Normal 8 2 5 11" xfId="9077" xr:uid="{CB2472A3-2B2D-47E8-8450-5D2B3952FA48}"/>
    <cellStyle name="Normal 8 2 5 2" xfId="961" xr:uid="{00000000-0005-0000-0000-00000C1D0000}"/>
    <cellStyle name="Normal 8 2 5 2 2" xfId="3195" xr:uid="{00000000-0005-0000-0000-00000D1D0000}"/>
    <cellStyle name="Normal 8 2 5 2 2 2" xfId="7418" xr:uid="{00000000-0005-0000-0000-00000E1D0000}"/>
    <cellStyle name="Normal 8 2 5 2 2 2 2" xfId="32717" xr:uid="{94BE6248-C47D-4B10-9AFE-09B648FBEEAF}"/>
    <cellStyle name="Normal 8 2 5 2 2 2 3" xfId="24288" xr:uid="{FB0F9AA9-9868-4D03-B22F-5C4CD71009AF}"/>
    <cellStyle name="Normal 8 2 5 2 2 2 4" xfId="41145" xr:uid="{6396CC0B-A816-40BE-96D6-7C805A000FDD}"/>
    <cellStyle name="Normal 8 2 5 2 2 2 5" xfId="15853" xr:uid="{CBBAAB29-EC0F-4E58-AFCE-F39AB741B21D}"/>
    <cellStyle name="Normal 8 2 5 2 2 3" xfId="28499" xr:uid="{B2428EC4-2DE8-427C-A221-F72F66AA66C8}"/>
    <cellStyle name="Normal 8 2 5 2 2 4" xfId="20070" xr:uid="{FD93E5DC-B787-4454-996F-EFBB06829768}"/>
    <cellStyle name="Normal 8 2 5 2 2 5" xfId="36928" xr:uid="{65669243-35FC-4F82-9595-B2F45AE90ED5}"/>
    <cellStyle name="Normal 8 2 5 2 2 6" xfId="11635" xr:uid="{9A4EB7DD-9E22-44CA-A7CA-C9C5D2674D3F}"/>
    <cellStyle name="Normal 8 2 5 2 3" xfId="5273" xr:uid="{00000000-0005-0000-0000-00000F1D0000}"/>
    <cellStyle name="Normal 8 2 5 2 3 2" xfId="30572" xr:uid="{E1D0484D-67F0-4281-9CA8-91CF08591E64}"/>
    <cellStyle name="Normal 8 2 5 2 3 3" xfId="22143" xr:uid="{BD267A70-8D3B-4C62-88E4-ADD878C38FFA}"/>
    <cellStyle name="Normal 8 2 5 2 3 4" xfId="39000" xr:uid="{A7EE5D8C-C27C-45C0-A24A-49A496B0ED28}"/>
    <cellStyle name="Normal 8 2 5 2 3 5" xfId="13708" xr:uid="{71121DE4-DD7E-4E10-A695-D76E133CB20C}"/>
    <cellStyle name="Normal 8 2 5 2 4" xfId="26354" xr:uid="{0C6AC3C0-7809-4E82-8F66-68DA6A568C2A}"/>
    <cellStyle name="Normal 8 2 5 2 5" xfId="17925" xr:uid="{780686CE-7337-4A19-850A-5D32F66DCEE7}"/>
    <cellStyle name="Normal 8 2 5 2 6" xfId="34783" xr:uid="{C1345473-449F-4865-82F8-B451E9529B34}"/>
    <cellStyle name="Normal 8 2 5 2 7" xfId="9490" xr:uid="{51AA88B0-94A3-4585-9E8A-21B777130A42}"/>
    <cellStyle name="Normal 8 2 5 3" xfId="1378" xr:uid="{00000000-0005-0000-0000-0000101D0000}"/>
    <cellStyle name="Normal 8 2 5 3 2" xfId="3608" xr:uid="{00000000-0005-0000-0000-0000111D0000}"/>
    <cellStyle name="Normal 8 2 5 3 2 2" xfId="7831" xr:uid="{00000000-0005-0000-0000-0000121D0000}"/>
    <cellStyle name="Normal 8 2 5 3 2 2 2" xfId="33130" xr:uid="{63DE2531-547A-4CF2-AD05-590E1617D2EA}"/>
    <cellStyle name="Normal 8 2 5 3 2 2 3" xfId="24701" xr:uid="{D9B39760-C343-40FF-A439-24EBE8DCBDD6}"/>
    <cellStyle name="Normal 8 2 5 3 2 2 4" xfId="41558" xr:uid="{41F4624A-DA4A-46FC-AD94-6F4FF95F1206}"/>
    <cellStyle name="Normal 8 2 5 3 2 2 5" xfId="16266" xr:uid="{6C844C9C-6FC4-42BC-BBA8-8F30602AA93E}"/>
    <cellStyle name="Normal 8 2 5 3 2 3" xfId="28912" xr:uid="{94AB2B03-B650-4AF7-9FDC-A773F72402B1}"/>
    <cellStyle name="Normal 8 2 5 3 2 4" xfId="20483" xr:uid="{2183B3EF-E624-4A8D-B8BE-21EB75029815}"/>
    <cellStyle name="Normal 8 2 5 3 2 5" xfId="37341" xr:uid="{4E012354-3158-457C-8691-B4C9C338E7DA}"/>
    <cellStyle name="Normal 8 2 5 3 2 6" xfId="12048" xr:uid="{5E84A97B-FF72-41BF-891D-923ACBB82A3D}"/>
    <cellStyle name="Normal 8 2 5 3 3" xfId="5686" xr:uid="{00000000-0005-0000-0000-0000131D0000}"/>
    <cellStyle name="Normal 8 2 5 3 3 2" xfId="30985" xr:uid="{821F5163-75E3-434A-A056-4A8DCF1BBBEA}"/>
    <cellStyle name="Normal 8 2 5 3 3 3" xfId="22556" xr:uid="{BC5F47CA-EFF6-4C4E-9851-96D59F841716}"/>
    <cellStyle name="Normal 8 2 5 3 3 4" xfId="39413" xr:uid="{E86D136E-5708-4A42-B712-94533EE83F45}"/>
    <cellStyle name="Normal 8 2 5 3 3 5" xfId="14121" xr:uid="{7C33BB4F-D29C-4A9D-A6A0-0277A45AB121}"/>
    <cellStyle name="Normal 8 2 5 3 4" xfId="26767" xr:uid="{752DDFA6-3B93-4B36-86EB-0F78C47C880B}"/>
    <cellStyle name="Normal 8 2 5 3 5" xfId="18338" xr:uid="{582B2B24-3E77-4DAC-A956-BFFEC77A56B8}"/>
    <cellStyle name="Normal 8 2 5 3 6" xfId="35196" xr:uid="{C44EF06D-5F4F-4342-BFEF-79FE0B17F24A}"/>
    <cellStyle name="Normal 8 2 5 3 7" xfId="9903" xr:uid="{5410537E-31A0-4A0A-A9CF-75B87DA0A367}"/>
    <cellStyle name="Normal 8 2 5 4" xfId="1791" xr:uid="{00000000-0005-0000-0000-0000141D0000}"/>
    <cellStyle name="Normal 8 2 5 4 2" xfId="4021" xr:uid="{00000000-0005-0000-0000-0000151D0000}"/>
    <cellStyle name="Normal 8 2 5 4 2 2" xfId="8244" xr:uid="{00000000-0005-0000-0000-0000161D0000}"/>
    <cellStyle name="Normal 8 2 5 4 2 2 2" xfId="33543" xr:uid="{4D75DB75-AF3F-4C48-8382-9DFD2F264A19}"/>
    <cellStyle name="Normal 8 2 5 4 2 2 3" xfId="25114" xr:uid="{DA596B62-474C-43C5-893A-2F776C98512E}"/>
    <cellStyle name="Normal 8 2 5 4 2 2 4" xfId="41971" xr:uid="{F000C9DB-79D0-4AAD-8BDC-C4090306883D}"/>
    <cellStyle name="Normal 8 2 5 4 2 2 5" xfId="16679" xr:uid="{6B9D4E3E-3B8B-48C3-9731-D11A4412B7C7}"/>
    <cellStyle name="Normal 8 2 5 4 2 3" xfId="29325" xr:uid="{7767D270-C237-4B7A-8592-5D5AD3106FAC}"/>
    <cellStyle name="Normal 8 2 5 4 2 4" xfId="20896" xr:uid="{D9F06B98-BBB1-48C3-A962-E4896600EFE4}"/>
    <cellStyle name="Normal 8 2 5 4 2 5" xfId="37754" xr:uid="{3EEEAE0D-D70D-403A-93F2-3847B1849944}"/>
    <cellStyle name="Normal 8 2 5 4 2 6" xfId="12461" xr:uid="{D849BC0B-3DF7-400B-8F0C-4E23A876D682}"/>
    <cellStyle name="Normal 8 2 5 4 3" xfId="6099" xr:uid="{00000000-0005-0000-0000-0000171D0000}"/>
    <cellStyle name="Normal 8 2 5 4 3 2" xfId="31398" xr:uid="{2E1A211D-F11A-442A-B848-57BFCB9C58CF}"/>
    <cellStyle name="Normal 8 2 5 4 3 3" xfId="22969" xr:uid="{F4942952-A34A-400D-86DE-BBA59E30B9C3}"/>
    <cellStyle name="Normal 8 2 5 4 3 4" xfId="39826" xr:uid="{C3C7FA1B-438F-44AE-A0BC-DE8F1502C65D}"/>
    <cellStyle name="Normal 8 2 5 4 3 5" xfId="14534" xr:uid="{EFFB7BD1-B5BC-47F2-A346-BF9A0ACCE823}"/>
    <cellStyle name="Normal 8 2 5 4 4" xfId="27180" xr:uid="{2F7280FC-BBEB-456B-AF8E-751B6BA2F845}"/>
    <cellStyle name="Normal 8 2 5 4 5" xfId="18751" xr:uid="{BD2E6058-8B18-4B89-9A12-F5F6199D2E9A}"/>
    <cellStyle name="Normal 8 2 5 4 6" xfId="35609" xr:uid="{A388DD57-9D4B-4CAA-81C5-CCE66D81A294}"/>
    <cellStyle name="Normal 8 2 5 4 7" xfId="10316" xr:uid="{7ED7F559-3ACC-4609-B92F-217FA160791D}"/>
    <cellStyle name="Normal 8 2 5 5" xfId="2205" xr:uid="{00000000-0005-0000-0000-0000181D0000}"/>
    <cellStyle name="Normal 8 2 5 5 2" xfId="4434" xr:uid="{00000000-0005-0000-0000-0000191D0000}"/>
    <cellStyle name="Normal 8 2 5 5 2 2" xfId="8657" xr:uid="{00000000-0005-0000-0000-00001A1D0000}"/>
    <cellStyle name="Normal 8 2 5 5 2 2 2" xfId="33956" xr:uid="{B9047E24-C9EF-4D8E-8971-5236926E6997}"/>
    <cellStyle name="Normal 8 2 5 5 2 2 3" xfId="25527" xr:uid="{25943776-58F3-4009-B926-E9DFFC387063}"/>
    <cellStyle name="Normal 8 2 5 5 2 2 4" xfId="42384" xr:uid="{D4B23F44-DF1F-4077-8F62-F6C305898117}"/>
    <cellStyle name="Normal 8 2 5 5 2 2 5" xfId="17092" xr:uid="{6D943D41-F14E-465B-AAEC-F52446F9D64E}"/>
    <cellStyle name="Normal 8 2 5 5 2 3" xfId="29738" xr:uid="{B4F30D88-D77F-4AA7-9F9F-CC1220F25129}"/>
    <cellStyle name="Normal 8 2 5 5 2 4" xfId="21309" xr:uid="{F12E5D62-2E93-4386-BB40-EA9D4BCB69DD}"/>
    <cellStyle name="Normal 8 2 5 5 2 5" xfId="38167" xr:uid="{E2AA9E78-CD46-4CD5-BA8E-8A88514E08C9}"/>
    <cellStyle name="Normal 8 2 5 5 2 6" xfId="12874" xr:uid="{546BA8FB-D059-439A-9FB9-69FA89F873F5}"/>
    <cellStyle name="Normal 8 2 5 5 3" xfId="6512" xr:uid="{00000000-0005-0000-0000-00001B1D0000}"/>
    <cellStyle name="Normal 8 2 5 5 3 2" xfId="31811" xr:uid="{450A45FF-53A1-4849-ABAC-130F3F70C307}"/>
    <cellStyle name="Normal 8 2 5 5 3 3" xfId="23382" xr:uid="{F3AEFDB2-317B-47FA-8966-E3CF17716296}"/>
    <cellStyle name="Normal 8 2 5 5 3 4" xfId="40239" xr:uid="{FB5BB6E6-EF92-4AE7-8044-5FF5542D1826}"/>
    <cellStyle name="Normal 8 2 5 5 3 5" xfId="14947" xr:uid="{B3E56DF9-BCC4-4814-AD0A-BD13C6564BBA}"/>
    <cellStyle name="Normal 8 2 5 5 4" xfId="27593" xr:uid="{13E8BA6C-C41D-4212-BDF1-287F762814C1}"/>
    <cellStyle name="Normal 8 2 5 5 5" xfId="19164" xr:uid="{BB8FAC64-5F78-4731-8470-0910D47DF863}"/>
    <cellStyle name="Normal 8 2 5 5 6" xfId="36022" xr:uid="{AD401540-CAF4-4282-A106-108CB623FE30}"/>
    <cellStyle name="Normal 8 2 5 5 7" xfId="10729" xr:uid="{85DDC706-86E9-4D92-A13E-1491B7DF4EDB}"/>
    <cellStyle name="Normal 8 2 5 6" xfId="2641" xr:uid="{00000000-0005-0000-0000-00001C1D0000}"/>
    <cellStyle name="Normal 8 2 5 6 2" xfId="6925" xr:uid="{00000000-0005-0000-0000-00001D1D0000}"/>
    <cellStyle name="Normal 8 2 5 6 2 2" xfId="32224" xr:uid="{AD2E624E-AB0F-4F59-996F-BE4D53BC09C4}"/>
    <cellStyle name="Normal 8 2 5 6 2 3" xfId="23795" xr:uid="{F1E756BB-FBD8-4495-B0BC-8028B0549705}"/>
    <cellStyle name="Normal 8 2 5 6 2 4" xfId="40652" xr:uid="{977757F0-6E29-4109-B8B3-6A7106F00093}"/>
    <cellStyle name="Normal 8 2 5 6 2 5" xfId="15360" xr:uid="{7AE7148B-886E-47E4-BEBD-D5057879546A}"/>
    <cellStyle name="Normal 8 2 5 6 3" xfId="28006" xr:uid="{AE61C381-17C6-4583-882B-637FA343A711}"/>
    <cellStyle name="Normal 8 2 5 6 4" xfId="19577" xr:uid="{9E2B067B-538A-474E-B66D-793E7D0A943D}"/>
    <cellStyle name="Normal 8 2 5 6 5" xfId="36435" xr:uid="{C630E942-79D2-4FEE-954D-1286BA8E435F}"/>
    <cellStyle name="Normal 8 2 5 6 6" xfId="11142" xr:uid="{B0215332-F5A4-451E-8011-565FA1FC4E0D}"/>
    <cellStyle name="Normal 8 2 5 7" xfId="4860" xr:uid="{00000000-0005-0000-0000-00001E1D0000}"/>
    <cellStyle name="Normal 8 2 5 7 2" xfId="30159" xr:uid="{35E004B9-F483-46A9-95E6-14A34BEC70C9}"/>
    <cellStyle name="Normal 8 2 5 7 3" xfId="21730" xr:uid="{5AD1CB2B-674C-45FF-B956-00E5362A37A2}"/>
    <cellStyle name="Normal 8 2 5 7 4" xfId="38587" xr:uid="{B53D3FCE-F7B1-4923-840F-BEB48571B56C}"/>
    <cellStyle name="Normal 8 2 5 7 5" xfId="13295" xr:uid="{B4CF5F3B-8C62-4B4B-9922-352FB93891A0}"/>
    <cellStyle name="Normal 8 2 5 8" xfId="25941" xr:uid="{020316B6-6E01-4511-8766-478BCF693A5C}"/>
    <cellStyle name="Normal 8 2 5 9" xfId="17512" xr:uid="{F9F938B0-3EC4-4BE1-80CB-FE234278997F}"/>
    <cellStyle name="Normal 8 2 6" xfId="946" xr:uid="{00000000-0005-0000-0000-00001F1D0000}"/>
    <cellStyle name="Normal 8 2 6 2" xfId="3180" xr:uid="{00000000-0005-0000-0000-0000201D0000}"/>
    <cellStyle name="Normal 8 2 6 2 2" xfId="7403" xr:uid="{00000000-0005-0000-0000-0000211D0000}"/>
    <cellStyle name="Normal 8 2 6 2 2 2" xfId="32702" xr:uid="{9774043A-D093-4C15-A1B5-79EEDFB5DCCE}"/>
    <cellStyle name="Normal 8 2 6 2 2 3" xfId="24273" xr:uid="{B1C71698-5517-4173-87D4-437FC0FB3D3D}"/>
    <cellStyle name="Normal 8 2 6 2 2 4" xfId="41130" xr:uid="{0C710F54-4411-4CB1-9312-49C58BB2B3E6}"/>
    <cellStyle name="Normal 8 2 6 2 2 5" xfId="15838" xr:uid="{B050A986-14B9-4CBB-9AE2-9745A42CE12C}"/>
    <cellStyle name="Normal 8 2 6 2 3" xfId="28484" xr:uid="{89191F0E-9515-42FB-90E1-4E423BC9B396}"/>
    <cellStyle name="Normal 8 2 6 2 4" xfId="20055" xr:uid="{4D2974A9-007A-4A7E-A5AE-1706300AC359}"/>
    <cellStyle name="Normal 8 2 6 2 5" xfId="36913" xr:uid="{1E740AFF-2E4F-49CD-BC9D-7A9AF69528CB}"/>
    <cellStyle name="Normal 8 2 6 2 6" xfId="11620" xr:uid="{15E79AE5-0A94-4537-808D-F053F1A4397C}"/>
    <cellStyle name="Normal 8 2 6 3" xfId="5258" xr:uid="{00000000-0005-0000-0000-0000221D0000}"/>
    <cellStyle name="Normal 8 2 6 3 2" xfId="30557" xr:uid="{BA14BD3A-6913-408E-921E-4E5FB55E7E2A}"/>
    <cellStyle name="Normal 8 2 6 3 3" xfId="22128" xr:uid="{1B3F32E9-4CF8-4F6A-B56C-8B804142DE05}"/>
    <cellStyle name="Normal 8 2 6 3 4" xfId="38985" xr:uid="{E655D34D-F869-46A4-B0CD-4E3ACCF7CA67}"/>
    <cellStyle name="Normal 8 2 6 3 5" xfId="13693" xr:uid="{42BAD4AD-EB8B-4B9D-BD05-A90B3281E96D}"/>
    <cellStyle name="Normal 8 2 6 4" xfId="26339" xr:uid="{A9C96C3F-91F7-434B-B465-61F20682BD83}"/>
    <cellStyle name="Normal 8 2 6 5" xfId="17910" xr:uid="{32C95E94-4E19-4AAE-8155-9C8E2E9BA129}"/>
    <cellStyle name="Normal 8 2 6 6" xfId="34768" xr:uid="{FD1F2338-7B7C-42C7-BDB5-D0D5E9820005}"/>
    <cellStyle name="Normal 8 2 6 7" xfId="9475" xr:uid="{44CC2B81-3B5E-4EF3-B221-6053FDD0EE2D}"/>
    <cellStyle name="Normal 8 2 7" xfId="1363" xr:uid="{00000000-0005-0000-0000-0000231D0000}"/>
    <cellStyle name="Normal 8 2 7 2" xfId="3593" xr:uid="{00000000-0005-0000-0000-0000241D0000}"/>
    <cellStyle name="Normal 8 2 7 2 2" xfId="7816" xr:uid="{00000000-0005-0000-0000-0000251D0000}"/>
    <cellStyle name="Normal 8 2 7 2 2 2" xfId="33115" xr:uid="{EFCA99FF-7BF5-4148-A10F-532705C60EC7}"/>
    <cellStyle name="Normal 8 2 7 2 2 3" xfId="24686" xr:uid="{12ECB3DA-32D7-4678-9B1D-A4BFBA10B24E}"/>
    <cellStyle name="Normal 8 2 7 2 2 4" xfId="41543" xr:uid="{218BB9F8-C56A-4D21-B6FA-68F4E670C44F}"/>
    <cellStyle name="Normal 8 2 7 2 2 5" xfId="16251" xr:uid="{00BF6002-1B3B-4E6E-AE1E-3FA30176B190}"/>
    <cellStyle name="Normal 8 2 7 2 3" xfId="28897" xr:uid="{91BC56C3-E18A-4B1D-997B-A5B703316B62}"/>
    <cellStyle name="Normal 8 2 7 2 4" xfId="20468" xr:uid="{DF03EE11-736A-403A-8472-E5B20DE96377}"/>
    <cellStyle name="Normal 8 2 7 2 5" xfId="37326" xr:uid="{6C98B22E-D259-4A92-8C86-6269F6197A31}"/>
    <cellStyle name="Normal 8 2 7 2 6" xfId="12033" xr:uid="{0121D417-DDFC-41CC-9530-06A7F7738880}"/>
    <cellStyle name="Normal 8 2 7 3" xfId="5671" xr:uid="{00000000-0005-0000-0000-0000261D0000}"/>
    <cellStyle name="Normal 8 2 7 3 2" xfId="30970" xr:uid="{193B7648-E0AD-4A47-AA39-29DFCDC9DC63}"/>
    <cellStyle name="Normal 8 2 7 3 3" xfId="22541" xr:uid="{A720CF09-662E-4B8D-8936-0F0B7EC5FB77}"/>
    <cellStyle name="Normal 8 2 7 3 4" xfId="39398" xr:uid="{2FE1A294-A725-4B52-BAF3-C86F2B07F856}"/>
    <cellStyle name="Normal 8 2 7 3 5" xfId="14106" xr:uid="{BCE98E8A-34E4-49A4-92D6-C418B7020DAE}"/>
    <cellStyle name="Normal 8 2 7 4" xfId="26752" xr:uid="{FDC1B918-E821-461F-ABAE-A90B1A567770}"/>
    <cellStyle name="Normal 8 2 7 5" xfId="18323" xr:uid="{FD280BA0-F2E8-4223-801D-9C31BF831EE8}"/>
    <cellStyle name="Normal 8 2 7 6" xfId="35181" xr:uid="{AC2D5D37-77A5-49BD-B37C-2BFBF2D3B3C3}"/>
    <cellStyle name="Normal 8 2 7 7" xfId="9888" xr:uid="{D34F7E6B-5FAD-4004-8030-1A9B6FBFE980}"/>
    <cellStyle name="Normal 8 2 8" xfId="1776" xr:uid="{00000000-0005-0000-0000-0000271D0000}"/>
    <cellStyle name="Normal 8 2 8 2" xfId="4006" xr:uid="{00000000-0005-0000-0000-0000281D0000}"/>
    <cellStyle name="Normal 8 2 8 2 2" xfId="8229" xr:uid="{00000000-0005-0000-0000-0000291D0000}"/>
    <cellStyle name="Normal 8 2 8 2 2 2" xfId="33528" xr:uid="{AA6B8A10-E5AB-4155-868D-D289400DE5EF}"/>
    <cellStyle name="Normal 8 2 8 2 2 3" xfId="25099" xr:uid="{F688293D-8CC9-4EB7-924B-D90B00CE8D9C}"/>
    <cellStyle name="Normal 8 2 8 2 2 4" xfId="41956" xr:uid="{F198825C-93B7-4509-8381-BC37BAA9A389}"/>
    <cellStyle name="Normal 8 2 8 2 2 5" xfId="16664" xr:uid="{09C07241-AAED-4E05-8D8F-632C8FC08000}"/>
    <cellStyle name="Normal 8 2 8 2 3" xfId="29310" xr:uid="{83B84A74-44AF-468A-A4BD-01DD207D2576}"/>
    <cellStyle name="Normal 8 2 8 2 4" xfId="20881" xr:uid="{F4FA71B6-F72E-433D-BD85-06AC5031074D}"/>
    <cellStyle name="Normal 8 2 8 2 5" xfId="37739" xr:uid="{76FADAA7-FB3F-4808-BB4E-71A86266777A}"/>
    <cellStyle name="Normal 8 2 8 2 6" xfId="12446" xr:uid="{560C5282-571A-4B35-93D2-64CDA02C0536}"/>
    <cellStyle name="Normal 8 2 8 3" xfId="6084" xr:uid="{00000000-0005-0000-0000-00002A1D0000}"/>
    <cellStyle name="Normal 8 2 8 3 2" xfId="31383" xr:uid="{0D13FD8F-5E8B-4913-8BC9-2A816E4E3450}"/>
    <cellStyle name="Normal 8 2 8 3 3" xfId="22954" xr:uid="{BDD6994B-0028-427D-AC0F-10EC102B9A71}"/>
    <cellStyle name="Normal 8 2 8 3 4" xfId="39811" xr:uid="{6F3C8D61-6E09-498B-83CB-49F0FD175C6C}"/>
    <cellStyle name="Normal 8 2 8 3 5" xfId="14519" xr:uid="{098004EA-41DE-45C7-9DEB-39DEED760D38}"/>
    <cellStyle name="Normal 8 2 8 4" xfId="27165" xr:uid="{85DBD073-2DD0-478F-93A3-5A3B5C21E3B0}"/>
    <cellStyle name="Normal 8 2 8 5" xfId="18736" xr:uid="{A05B0604-1B89-47FB-A1A6-094D73C60147}"/>
    <cellStyle name="Normal 8 2 8 6" xfId="35594" xr:uid="{1D3DCDBE-55E6-4F68-8089-C46C2D6C904A}"/>
    <cellStyle name="Normal 8 2 8 7" xfId="10301" xr:uid="{FFE35BB9-A3D4-4ABD-B858-E09346C1D1CC}"/>
    <cellStyle name="Normal 8 2 9" xfId="2190" xr:uid="{00000000-0005-0000-0000-00002B1D0000}"/>
    <cellStyle name="Normal 8 2 9 2" xfId="4419" xr:uid="{00000000-0005-0000-0000-00002C1D0000}"/>
    <cellStyle name="Normal 8 2 9 2 2" xfId="8642" xr:uid="{00000000-0005-0000-0000-00002D1D0000}"/>
    <cellStyle name="Normal 8 2 9 2 2 2" xfId="33941" xr:uid="{D843BA88-1511-4696-B1D8-B797C229EFD2}"/>
    <cellStyle name="Normal 8 2 9 2 2 3" xfId="25512" xr:uid="{10478265-11C5-42C1-92F6-AF30FAE96A97}"/>
    <cellStyle name="Normal 8 2 9 2 2 4" xfId="42369" xr:uid="{C86C4496-0A5F-4D12-9368-F592C36E36EB}"/>
    <cellStyle name="Normal 8 2 9 2 2 5" xfId="17077" xr:uid="{04D84071-9DAE-4799-8CE4-8571E82F20AD}"/>
    <cellStyle name="Normal 8 2 9 2 3" xfId="29723" xr:uid="{B714AF10-0BC8-4A98-97EC-202E39504109}"/>
    <cellStyle name="Normal 8 2 9 2 4" xfId="21294" xr:uid="{283AA134-0539-472B-81E4-82C3F11BA8B2}"/>
    <cellStyle name="Normal 8 2 9 2 5" xfId="38152" xr:uid="{903749F9-5B6F-482A-91C1-42ACBCA6754D}"/>
    <cellStyle name="Normal 8 2 9 2 6" xfId="12859" xr:uid="{2326C913-BA2C-4380-A0AB-5386E054430C}"/>
    <cellStyle name="Normal 8 2 9 3" xfId="6497" xr:uid="{00000000-0005-0000-0000-00002E1D0000}"/>
    <cellStyle name="Normal 8 2 9 3 2" xfId="31796" xr:uid="{3164476F-F3A6-432E-8E7D-28D3376562CF}"/>
    <cellStyle name="Normal 8 2 9 3 3" xfId="23367" xr:uid="{14959172-9E80-4F10-A4EA-ECE61BBC39A7}"/>
    <cellStyle name="Normal 8 2 9 3 4" xfId="40224" xr:uid="{8F25478E-0D3A-42BF-A310-42222E4D795E}"/>
    <cellStyle name="Normal 8 2 9 3 5" xfId="14932" xr:uid="{6275910F-F221-4270-9CF3-EC8EDE904AC3}"/>
    <cellStyle name="Normal 8 2 9 4" xfId="27578" xr:uid="{EF004AC4-70F1-4854-8FC1-FF6A9DE752EA}"/>
    <cellStyle name="Normal 8 2 9 5" xfId="19149" xr:uid="{BFEB6E95-4087-474D-B044-2E29EBBE3445}"/>
    <cellStyle name="Normal 8 2 9 6" xfId="36007" xr:uid="{C495B484-2A68-491C-A693-7ED286C1D62F}"/>
    <cellStyle name="Normal 8 2 9 7" xfId="10714" xr:uid="{C8528778-6625-421F-B499-40328D6CAEBC}"/>
    <cellStyle name="Normal 8 3" xfId="495" xr:uid="{00000000-0005-0000-0000-00002F1D0000}"/>
    <cellStyle name="Normal 8 3 10" xfId="4861" xr:uid="{00000000-0005-0000-0000-0000301D0000}"/>
    <cellStyle name="Normal 8 3 10 2" xfId="30160" xr:uid="{D5A6A368-B1EF-4055-B2B1-AFE141985963}"/>
    <cellStyle name="Normal 8 3 10 3" xfId="21731" xr:uid="{9B8F450E-531F-4B6E-9114-7333E7CF2787}"/>
    <cellStyle name="Normal 8 3 10 4" xfId="38588" xr:uid="{B9FCF450-F064-4104-9A71-AA9AF8A346A9}"/>
    <cellStyle name="Normal 8 3 10 5" xfId="13296" xr:uid="{DE099B89-FB34-4C26-9F17-67C327E4B043}"/>
    <cellStyle name="Normal 8 3 11" xfId="25942" xr:uid="{AD66DE62-7ED1-4C28-9241-7AFBF33875DC}"/>
    <cellStyle name="Normal 8 3 12" xfId="17513" xr:uid="{E064BF49-52D3-4369-BFE8-A384517158DB}"/>
    <cellStyle name="Normal 8 3 13" xfId="34371" xr:uid="{3B6ADCAA-851E-4199-BC34-5C1C12A10487}"/>
    <cellStyle name="Normal 8 3 14" xfId="9078" xr:uid="{5EFF4A1E-3D08-45A1-BC42-290ED5AD2126}"/>
    <cellStyle name="Normal 8 3 2" xfId="496" xr:uid="{00000000-0005-0000-0000-0000311D0000}"/>
    <cellStyle name="Normal 8 3 2 10" xfId="25943" xr:uid="{C98AFE69-BD3A-4BDA-9377-B425442C94C2}"/>
    <cellStyle name="Normal 8 3 2 11" xfId="17514" xr:uid="{B3394278-B641-44AC-8374-E4472E59D926}"/>
    <cellStyle name="Normal 8 3 2 12" xfId="34372" xr:uid="{8BE8B068-09CD-4400-BA8A-D1398BCBDE81}"/>
    <cellStyle name="Normal 8 3 2 13" xfId="9079" xr:uid="{7A33977E-2E96-4B25-B9EE-1C9D921647CE}"/>
    <cellStyle name="Normal 8 3 2 2" xfId="497" xr:uid="{00000000-0005-0000-0000-0000321D0000}"/>
    <cellStyle name="Normal 8 3 2 2 10" xfId="17515" xr:uid="{A374F7C1-43C6-468C-AD12-36DED8A3BD06}"/>
    <cellStyle name="Normal 8 3 2 2 11" xfId="34373" xr:uid="{3363592E-0308-4738-B77B-587E24339161}"/>
    <cellStyle name="Normal 8 3 2 2 12" xfId="9080" xr:uid="{53BBF5D6-EE9D-4612-8FF0-777CC44E59EE}"/>
    <cellStyle name="Normal 8 3 2 2 2" xfId="498" xr:uid="{00000000-0005-0000-0000-0000331D0000}"/>
    <cellStyle name="Normal 8 3 2 2 2 10" xfId="34374" xr:uid="{89402164-F1B0-4C15-A626-3484E7050C86}"/>
    <cellStyle name="Normal 8 3 2 2 2 11" xfId="9081" xr:uid="{32356586-B6CA-4F33-8227-24FE1D92CF2A}"/>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32721" xr:uid="{66FFC3F5-7F95-4FB0-B0FB-E701552090F2}"/>
    <cellStyle name="Normal 8 3 2 2 2 2 2 2 3" xfId="24292" xr:uid="{865EE40B-87EB-4D34-A799-BDA79A161FD5}"/>
    <cellStyle name="Normal 8 3 2 2 2 2 2 2 4" xfId="41149" xr:uid="{8376831A-8990-46BE-A95A-0D9AF08D898E}"/>
    <cellStyle name="Normal 8 3 2 2 2 2 2 2 5" xfId="15857" xr:uid="{650D66B2-D630-4CDE-8F29-46CC1438FB32}"/>
    <cellStyle name="Normal 8 3 2 2 2 2 2 3" xfId="28503" xr:uid="{9B0241D3-A259-4216-B1C6-105B49DE35E9}"/>
    <cellStyle name="Normal 8 3 2 2 2 2 2 4" xfId="20074" xr:uid="{50528FAD-F775-462E-9872-427103AED125}"/>
    <cellStyle name="Normal 8 3 2 2 2 2 2 5" xfId="36932" xr:uid="{78663B4D-B213-4EA2-A170-956514495A11}"/>
    <cellStyle name="Normal 8 3 2 2 2 2 2 6" xfId="11639" xr:uid="{CAAFF5E9-98A2-4C49-81F7-AC161B7CB244}"/>
    <cellStyle name="Normal 8 3 2 2 2 2 3" xfId="5277" xr:uid="{00000000-0005-0000-0000-0000371D0000}"/>
    <cellStyle name="Normal 8 3 2 2 2 2 3 2" xfId="30576" xr:uid="{F31661B7-A3E0-4778-A774-42568387EB54}"/>
    <cellStyle name="Normal 8 3 2 2 2 2 3 3" xfId="22147" xr:uid="{1E4B272B-52E8-4B2F-8FBE-F67E6553E847}"/>
    <cellStyle name="Normal 8 3 2 2 2 2 3 4" xfId="39004" xr:uid="{2BEFC8E8-7AB3-46EC-AD29-142A31A00951}"/>
    <cellStyle name="Normal 8 3 2 2 2 2 3 5" xfId="13712" xr:uid="{8E1D2B30-613E-4719-A775-CBA3D319C0E7}"/>
    <cellStyle name="Normal 8 3 2 2 2 2 4" xfId="26358" xr:uid="{E18BA9AC-1A8C-4B60-82BB-C41F66894DAF}"/>
    <cellStyle name="Normal 8 3 2 2 2 2 5" xfId="17929" xr:uid="{E0D2267F-23BA-4665-83D0-97B9FB910499}"/>
    <cellStyle name="Normal 8 3 2 2 2 2 6" xfId="34787" xr:uid="{1D14EA4C-94BA-44F6-9628-D0006904248C}"/>
    <cellStyle name="Normal 8 3 2 2 2 2 7" xfId="9494" xr:uid="{64969FBE-F6FA-4C98-B3CA-2A42FF44EDA8}"/>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33134" xr:uid="{2E539FC3-BD12-433C-80CD-45D797E3AC9A}"/>
    <cellStyle name="Normal 8 3 2 2 2 3 2 2 3" xfId="24705" xr:uid="{F8490496-A9CA-4EFC-9348-F2CC95A053D1}"/>
    <cellStyle name="Normal 8 3 2 2 2 3 2 2 4" xfId="41562" xr:uid="{F5018B2C-3EEB-40E2-8CED-0599E6EB42F2}"/>
    <cellStyle name="Normal 8 3 2 2 2 3 2 2 5" xfId="16270" xr:uid="{4C260D4E-CBAA-4F80-9C95-5A421B9F4F65}"/>
    <cellStyle name="Normal 8 3 2 2 2 3 2 3" xfId="28916" xr:uid="{B1AA8F0D-AF11-4671-819E-FBAF9835C65B}"/>
    <cellStyle name="Normal 8 3 2 2 2 3 2 4" xfId="20487" xr:uid="{F032E3B2-387C-46C2-AFDC-340A414EFF4F}"/>
    <cellStyle name="Normal 8 3 2 2 2 3 2 5" xfId="37345" xr:uid="{34824ACA-72F3-4AFB-BA50-5B5427D2A45C}"/>
    <cellStyle name="Normal 8 3 2 2 2 3 2 6" xfId="12052" xr:uid="{51C3A33E-091F-47F0-9781-16A1E22375EE}"/>
    <cellStyle name="Normal 8 3 2 2 2 3 3" xfId="5690" xr:uid="{00000000-0005-0000-0000-00003B1D0000}"/>
    <cellStyle name="Normal 8 3 2 2 2 3 3 2" xfId="30989" xr:uid="{87AD9CE5-05A1-436B-AFD7-445A9D97F12B}"/>
    <cellStyle name="Normal 8 3 2 2 2 3 3 3" xfId="22560" xr:uid="{2C1133CE-02C6-40A2-90FE-9A5BB547036B}"/>
    <cellStyle name="Normal 8 3 2 2 2 3 3 4" xfId="39417" xr:uid="{5FA895FE-D781-4236-82FC-3311F054859C}"/>
    <cellStyle name="Normal 8 3 2 2 2 3 3 5" xfId="14125" xr:uid="{414D6EFE-B902-47B4-98DA-6E93512FB9AC}"/>
    <cellStyle name="Normal 8 3 2 2 2 3 4" xfId="26771" xr:uid="{67EF7D59-34C0-454D-98C1-DED2D64B2C6F}"/>
    <cellStyle name="Normal 8 3 2 2 2 3 5" xfId="18342" xr:uid="{3329DB47-A367-4180-A248-2EE69C67A518}"/>
    <cellStyle name="Normal 8 3 2 2 2 3 6" xfId="35200" xr:uid="{9E3413CF-6D0F-4E0E-A9B4-88F42D9584FA}"/>
    <cellStyle name="Normal 8 3 2 2 2 3 7" xfId="9907" xr:uid="{50F67C81-16BC-4FDB-BF30-F5F7D7C79747}"/>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33547" xr:uid="{92DA0E56-4DB4-4D1E-8E95-A54570BCF413}"/>
    <cellStyle name="Normal 8 3 2 2 2 4 2 2 3" xfId="25118" xr:uid="{3CC214BE-305F-4DA2-AE8B-13AAED66F48E}"/>
    <cellStyle name="Normal 8 3 2 2 2 4 2 2 4" xfId="41975" xr:uid="{0D57FD55-08D4-49CF-B2D4-48E3FDAD46E8}"/>
    <cellStyle name="Normal 8 3 2 2 2 4 2 2 5" xfId="16683" xr:uid="{BD90940B-40F1-473A-88A0-A4B443B267C0}"/>
    <cellStyle name="Normal 8 3 2 2 2 4 2 3" xfId="29329" xr:uid="{44BF435D-F731-4DC4-9F11-06153C756B07}"/>
    <cellStyle name="Normal 8 3 2 2 2 4 2 4" xfId="20900" xr:uid="{AEB2E4F8-8A21-4867-A7A8-2D347530CFBA}"/>
    <cellStyle name="Normal 8 3 2 2 2 4 2 5" xfId="37758" xr:uid="{94310DAE-36B1-4AF9-8C99-33D4C80BF339}"/>
    <cellStyle name="Normal 8 3 2 2 2 4 2 6" xfId="12465" xr:uid="{9CA3DF29-AC73-429A-994F-8E297146F409}"/>
    <cellStyle name="Normal 8 3 2 2 2 4 3" xfId="6103" xr:uid="{00000000-0005-0000-0000-00003F1D0000}"/>
    <cellStyle name="Normal 8 3 2 2 2 4 3 2" xfId="31402" xr:uid="{5807BF72-9421-4B2E-98F7-F1385FE32E49}"/>
    <cellStyle name="Normal 8 3 2 2 2 4 3 3" xfId="22973" xr:uid="{B5A28E30-0014-4A50-8EE9-585E7739396F}"/>
    <cellStyle name="Normal 8 3 2 2 2 4 3 4" xfId="39830" xr:uid="{3411BDB6-F104-4F84-929B-C91827CB69E5}"/>
    <cellStyle name="Normal 8 3 2 2 2 4 3 5" xfId="14538" xr:uid="{1672A6EA-B563-4A5B-AE26-4CE0DCF90565}"/>
    <cellStyle name="Normal 8 3 2 2 2 4 4" xfId="27184" xr:uid="{9338925E-C2EC-4725-A9AB-A3BD5D1BEAD8}"/>
    <cellStyle name="Normal 8 3 2 2 2 4 5" xfId="18755" xr:uid="{E398117B-3A64-4CFB-8AC1-795390D502BD}"/>
    <cellStyle name="Normal 8 3 2 2 2 4 6" xfId="35613" xr:uid="{CC8ECF50-5E91-4C24-A055-D722DC6AA559}"/>
    <cellStyle name="Normal 8 3 2 2 2 4 7" xfId="10320" xr:uid="{B39BA24E-AEAF-4CC5-9BA4-29F078DCDE15}"/>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33960" xr:uid="{0CAA108A-A4AB-4F4D-973B-0C05B08E771F}"/>
    <cellStyle name="Normal 8 3 2 2 2 5 2 2 3" xfId="25531" xr:uid="{DCB605F9-12F4-4982-AC3E-84497E49ACF7}"/>
    <cellStyle name="Normal 8 3 2 2 2 5 2 2 4" xfId="42388" xr:uid="{1F377851-F8DE-42C9-8ECD-66CA2CF9E908}"/>
    <cellStyle name="Normal 8 3 2 2 2 5 2 2 5" xfId="17096" xr:uid="{7B394604-023B-46B9-857B-9AC310FF85DD}"/>
    <cellStyle name="Normal 8 3 2 2 2 5 2 3" xfId="29742" xr:uid="{04949493-B2C0-47F4-A77C-7F3F62C131F6}"/>
    <cellStyle name="Normal 8 3 2 2 2 5 2 4" xfId="21313" xr:uid="{C74FFDC9-F6AD-4EC4-BF66-FDBB8930787E}"/>
    <cellStyle name="Normal 8 3 2 2 2 5 2 5" xfId="38171" xr:uid="{8E597F54-D152-4AA7-A83E-367F6DE3B099}"/>
    <cellStyle name="Normal 8 3 2 2 2 5 2 6" xfId="12878" xr:uid="{83C7DC29-B7A3-4491-A61F-F5289F290907}"/>
    <cellStyle name="Normal 8 3 2 2 2 5 3" xfId="6516" xr:uid="{00000000-0005-0000-0000-0000431D0000}"/>
    <cellStyle name="Normal 8 3 2 2 2 5 3 2" xfId="31815" xr:uid="{DF5FC1DA-5754-4FA1-A473-5CFA0EE9182F}"/>
    <cellStyle name="Normal 8 3 2 2 2 5 3 3" xfId="23386" xr:uid="{56E885B5-0FC1-43B8-84CA-2572B4C8C09A}"/>
    <cellStyle name="Normal 8 3 2 2 2 5 3 4" xfId="40243" xr:uid="{B7F191E7-B36D-4681-AA4F-F5D83702D19B}"/>
    <cellStyle name="Normal 8 3 2 2 2 5 3 5" xfId="14951" xr:uid="{771DD339-2CA5-4B7F-8AC7-0B603BB7033A}"/>
    <cellStyle name="Normal 8 3 2 2 2 5 4" xfId="27597" xr:uid="{F3B6F3AA-DD0F-4B3A-9CC8-31DC2485DEC8}"/>
    <cellStyle name="Normal 8 3 2 2 2 5 5" xfId="19168" xr:uid="{A7BF314E-5230-4BB9-BF75-83C406AA3AE4}"/>
    <cellStyle name="Normal 8 3 2 2 2 5 6" xfId="36026" xr:uid="{4AE5B698-052C-472F-8537-F4BF4B7375C5}"/>
    <cellStyle name="Normal 8 3 2 2 2 5 7" xfId="10733" xr:uid="{0B5E64FB-9D7A-4F03-9991-37F5175C6D1B}"/>
    <cellStyle name="Normal 8 3 2 2 2 6" xfId="2645" xr:uid="{00000000-0005-0000-0000-0000441D0000}"/>
    <cellStyle name="Normal 8 3 2 2 2 6 2" xfId="6929" xr:uid="{00000000-0005-0000-0000-0000451D0000}"/>
    <cellStyle name="Normal 8 3 2 2 2 6 2 2" xfId="32228" xr:uid="{B715F9AF-FC1A-4CBF-9DBD-00066CC7D6A5}"/>
    <cellStyle name="Normal 8 3 2 2 2 6 2 3" xfId="23799" xr:uid="{DC223711-7D61-4728-B469-CA7898A0869E}"/>
    <cellStyle name="Normal 8 3 2 2 2 6 2 4" xfId="40656" xr:uid="{2D2B1C9B-9E01-4959-8D4B-C8E5342E2446}"/>
    <cellStyle name="Normal 8 3 2 2 2 6 2 5" xfId="15364" xr:uid="{3A2A24FB-64E6-456F-AEBE-8C0721A6892B}"/>
    <cellStyle name="Normal 8 3 2 2 2 6 3" xfId="28010" xr:uid="{F23D9813-2766-420A-BF31-AA9C525EBA65}"/>
    <cellStyle name="Normal 8 3 2 2 2 6 4" xfId="19581" xr:uid="{D8FA8015-38CB-47BD-A34E-E30A8392F69C}"/>
    <cellStyle name="Normal 8 3 2 2 2 6 5" xfId="36439" xr:uid="{36F9A14A-33BD-43EB-8302-D610F10B607C}"/>
    <cellStyle name="Normal 8 3 2 2 2 6 6" xfId="11146" xr:uid="{F58325C3-E629-45E6-9332-BD489D5A68F6}"/>
    <cellStyle name="Normal 8 3 2 2 2 7" xfId="4864" xr:uid="{00000000-0005-0000-0000-0000461D0000}"/>
    <cellStyle name="Normal 8 3 2 2 2 7 2" xfId="30163" xr:uid="{31281FEE-47C1-4C27-9D16-6B43C72A6753}"/>
    <cellStyle name="Normal 8 3 2 2 2 7 3" xfId="21734" xr:uid="{B7A08931-98A7-4A53-B26D-E354251E3D05}"/>
    <cellStyle name="Normal 8 3 2 2 2 7 4" xfId="38591" xr:uid="{335741C3-E5DA-41FE-AC78-E83E166122AD}"/>
    <cellStyle name="Normal 8 3 2 2 2 7 5" xfId="13299" xr:uid="{BC54C1BF-6C82-42A1-AD61-E64274249604}"/>
    <cellStyle name="Normal 8 3 2 2 2 8" xfId="25945" xr:uid="{21ACDDB3-DB7F-4484-8320-5A3F1FE4C9F6}"/>
    <cellStyle name="Normal 8 3 2 2 2 9" xfId="17516" xr:uid="{4716803C-8F1F-4AD1-9D51-DA031D85BD35}"/>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32720" xr:uid="{43D6043D-69AB-4CF4-B3E3-2C122E72F564}"/>
    <cellStyle name="Normal 8 3 2 2 3 2 2 3" xfId="24291" xr:uid="{012BDF30-1364-43A7-A8D6-58B06922E12E}"/>
    <cellStyle name="Normal 8 3 2 2 3 2 2 4" xfId="41148" xr:uid="{9485BD6F-3628-4953-B137-EC620326B5C1}"/>
    <cellStyle name="Normal 8 3 2 2 3 2 2 5" xfId="15856" xr:uid="{2E7EA954-25CF-4838-8119-CDB6EAC4F794}"/>
    <cellStyle name="Normal 8 3 2 2 3 2 3" xfId="28502" xr:uid="{95A29A57-E6E3-410F-92C8-EC823C909364}"/>
    <cellStyle name="Normal 8 3 2 2 3 2 4" xfId="20073" xr:uid="{12CDF5D1-8287-4AEB-9992-C99A002F98E9}"/>
    <cellStyle name="Normal 8 3 2 2 3 2 5" xfId="36931" xr:uid="{721BA53D-9113-4E92-861B-E352B04E9EF5}"/>
    <cellStyle name="Normal 8 3 2 2 3 2 6" xfId="11638" xr:uid="{089BE53D-CCE8-451A-B785-BEEF470E2B7A}"/>
    <cellStyle name="Normal 8 3 2 2 3 3" xfId="5276" xr:uid="{00000000-0005-0000-0000-00004A1D0000}"/>
    <cellStyle name="Normal 8 3 2 2 3 3 2" xfId="30575" xr:uid="{10360064-63FE-45D8-B895-D2042392809C}"/>
    <cellStyle name="Normal 8 3 2 2 3 3 3" xfId="22146" xr:uid="{F4BB1BF1-6CAA-4F92-B3B1-923ABECE9AC0}"/>
    <cellStyle name="Normal 8 3 2 2 3 3 4" xfId="39003" xr:uid="{44582361-6E04-44DF-BF8A-3CED1C58B8DD}"/>
    <cellStyle name="Normal 8 3 2 2 3 3 5" xfId="13711" xr:uid="{6BE80379-B025-4DD9-8656-DCC502D54520}"/>
    <cellStyle name="Normal 8 3 2 2 3 4" xfId="26357" xr:uid="{458B448F-E59E-4A72-A110-7FF5A5201C6E}"/>
    <cellStyle name="Normal 8 3 2 2 3 5" xfId="17928" xr:uid="{99FAF34E-0222-4769-8683-E0AC1DDAD2DE}"/>
    <cellStyle name="Normal 8 3 2 2 3 6" xfId="34786" xr:uid="{272EBCE1-1C5A-4BE4-A753-DAFD9256DC0D}"/>
    <cellStyle name="Normal 8 3 2 2 3 7" xfId="9493" xr:uid="{CFA8002F-D1CA-48BD-BDB8-772C02722289}"/>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33133" xr:uid="{870C4C16-5A59-4D4A-BF71-83080CCACDA8}"/>
    <cellStyle name="Normal 8 3 2 2 4 2 2 3" xfId="24704" xr:uid="{717450F1-F540-4A51-995F-14B1CB6FA51E}"/>
    <cellStyle name="Normal 8 3 2 2 4 2 2 4" xfId="41561" xr:uid="{2DBF5C84-040A-4907-98FF-99061603B895}"/>
    <cellStyle name="Normal 8 3 2 2 4 2 2 5" xfId="16269" xr:uid="{C8C0F060-1666-40A9-8908-A10452C99279}"/>
    <cellStyle name="Normal 8 3 2 2 4 2 3" xfId="28915" xr:uid="{FA532751-A16D-40BF-927D-289C346B6505}"/>
    <cellStyle name="Normal 8 3 2 2 4 2 4" xfId="20486" xr:uid="{35E780A2-F376-42A1-B564-0CDE79BE0380}"/>
    <cellStyle name="Normal 8 3 2 2 4 2 5" xfId="37344" xr:uid="{9A65A473-F539-4C8D-B159-CA550F9180BF}"/>
    <cellStyle name="Normal 8 3 2 2 4 2 6" xfId="12051" xr:uid="{D2CEAB39-979B-4DF2-B470-C3A1205627C1}"/>
    <cellStyle name="Normal 8 3 2 2 4 3" xfId="5689" xr:uid="{00000000-0005-0000-0000-00004E1D0000}"/>
    <cellStyle name="Normal 8 3 2 2 4 3 2" xfId="30988" xr:uid="{7A2057C6-3D5E-49C1-BFE4-573562FC1C17}"/>
    <cellStyle name="Normal 8 3 2 2 4 3 3" xfId="22559" xr:uid="{4FFB913A-4F7C-4951-8347-2141EBCB5F60}"/>
    <cellStyle name="Normal 8 3 2 2 4 3 4" xfId="39416" xr:uid="{D64614B7-22D1-4011-B083-BBA5DF7631C6}"/>
    <cellStyle name="Normal 8 3 2 2 4 3 5" xfId="14124" xr:uid="{56DE16D9-17DC-4346-9017-8315F747DBE6}"/>
    <cellStyle name="Normal 8 3 2 2 4 4" xfId="26770" xr:uid="{A4128540-64DF-4172-8AD5-C0984DBA8305}"/>
    <cellStyle name="Normal 8 3 2 2 4 5" xfId="18341" xr:uid="{BFB51267-4822-4C4A-B0FB-5211EEB59BF0}"/>
    <cellStyle name="Normal 8 3 2 2 4 6" xfId="35199" xr:uid="{F5D8470D-1A6A-4EC6-BA3E-43F1E9F2CCD8}"/>
    <cellStyle name="Normal 8 3 2 2 4 7" xfId="9906" xr:uid="{29FAD368-3B36-4651-B5BC-170933A85B53}"/>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33546" xr:uid="{018B5B72-D80A-423F-A3E7-3208297DBB48}"/>
    <cellStyle name="Normal 8 3 2 2 5 2 2 3" xfId="25117" xr:uid="{0DAA36D5-2B59-4698-9A39-1DDB792F195F}"/>
    <cellStyle name="Normal 8 3 2 2 5 2 2 4" xfId="41974" xr:uid="{5B05570B-A30D-44C9-9507-C94008A034A4}"/>
    <cellStyle name="Normal 8 3 2 2 5 2 2 5" xfId="16682" xr:uid="{32E73CFF-36BB-4BF4-9409-7619B09CCDA9}"/>
    <cellStyle name="Normal 8 3 2 2 5 2 3" xfId="29328" xr:uid="{1BD86580-CC07-4DEC-9978-9B4CAFEAD69B}"/>
    <cellStyle name="Normal 8 3 2 2 5 2 4" xfId="20899" xr:uid="{601F50BF-3190-4264-B915-D30F11A22DAF}"/>
    <cellStyle name="Normal 8 3 2 2 5 2 5" xfId="37757" xr:uid="{3D6865BB-8E6B-4B45-B4AF-E4001BFF46DB}"/>
    <cellStyle name="Normal 8 3 2 2 5 2 6" xfId="12464" xr:uid="{E117386F-705D-4A24-AD49-C575169D201D}"/>
    <cellStyle name="Normal 8 3 2 2 5 3" xfId="6102" xr:uid="{00000000-0005-0000-0000-0000521D0000}"/>
    <cellStyle name="Normal 8 3 2 2 5 3 2" xfId="31401" xr:uid="{934DF8A4-ACCA-422B-819F-B9588D48C4E2}"/>
    <cellStyle name="Normal 8 3 2 2 5 3 3" xfId="22972" xr:uid="{FC47A1F1-88DD-4380-ADEE-507E82AD253D}"/>
    <cellStyle name="Normal 8 3 2 2 5 3 4" xfId="39829" xr:uid="{85B097F9-4390-4833-9E5F-96AE334E8547}"/>
    <cellStyle name="Normal 8 3 2 2 5 3 5" xfId="14537" xr:uid="{7AE7CC00-3B89-4213-95F5-7334DFC42B59}"/>
    <cellStyle name="Normal 8 3 2 2 5 4" xfId="27183" xr:uid="{B7514FA4-7968-4470-81D6-75218BDCA928}"/>
    <cellStyle name="Normal 8 3 2 2 5 5" xfId="18754" xr:uid="{26CE569D-4B34-4545-9029-CE6E1433F341}"/>
    <cellStyle name="Normal 8 3 2 2 5 6" xfId="35612" xr:uid="{96B15378-52EE-4C62-B52E-BDD934470DC5}"/>
    <cellStyle name="Normal 8 3 2 2 5 7" xfId="10319" xr:uid="{943961A0-1F29-440A-8F72-FAAB91BF3D24}"/>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33959" xr:uid="{CA9ACC83-EF81-447A-BD19-121508B71EB7}"/>
    <cellStyle name="Normal 8 3 2 2 6 2 2 3" xfId="25530" xr:uid="{D0DC6846-4835-4D09-9A68-2FF455C9AA12}"/>
    <cellStyle name="Normal 8 3 2 2 6 2 2 4" xfId="42387" xr:uid="{6540B585-4924-4FC2-88B4-F36B8DD40FAD}"/>
    <cellStyle name="Normal 8 3 2 2 6 2 2 5" xfId="17095" xr:uid="{DF4B2EE6-0438-407E-8994-FE3563D0E339}"/>
    <cellStyle name="Normal 8 3 2 2 6 2 3" xfId="29741" xr:uid="{CABE533C-A09B-445D-8A6C-F489EA670D54}"/>
    <cellStyle name="Normal 8 3 2 2 6 2 4" xfId="21312" xr:uid="{BEC1AE61-30BF-4B48-98C4-2F8AF0600BD8}"/>
    <cellStyle name="Normal 8 3 2 2 6 2 5" xfId="38170" xr:uid="{406B8E2C-A40E-4B26-A438-8FA76F8E37FC}"/>
    <cellStyle name="Normal 8 3 2 2 6 2 6" xfId="12877" xr:uid="{4107F939-247E-4CCE-9321-23AEA92C3332}"/>
    <cellStyle name="Normal 8 3 2 2 6 3" xfId="6515" xr:uid="{00000000-0005-0000-0000-0000561D0000}"/>
    <cellStyle name="Normal 8 3 2 2 6 3 2" xfId="31814" xr:uid="{B4DA506D-0D83-40F5-B664-D8D3CDE88FEA}"/>
    <cellStyle name="Normal 8 3 2 2 6 3 3" xfId="23385" xr:uid="{C72059C1-4A17-40E7-8BD6-BB1DBE9844E8}"/>
    <cellStyle name="Normal 8 3 2 2 6 3 4" xfId="40242" xr:uid="{845B18F0-A59D-475A-AC85-92DA30B5BC06}"/>
    <cellStyle name="Normal 8 3 2 2 6 3 5" xfId="14950" xr:uid="{B5CDB23E-59E4-4FCC-A401-4CD0C439AADF}"/>
    <cellStyle name="Normal 8 3 2 2 6 4" xfId="27596" xr:uid="{44AF1B97-CF9D-4416-960F-EBDE94DED5FB}"/>
    <cellStyle name="Normal 8 3 2 2 6 5" xfId="19167" xr:uid="{782427EF-4711-496C-B557-ACE14DBE39C0}"/>
    <cellStyle name="Normal 8 3 2 2 6 6" xfId="36025" xr:uid="{E1A30B72-26C2-482E-B6A2-90864911AA4C}"/>
    <cellStyle name="Normal 8 3 2 2 6 7" xfId="10732" xr:uid="{7FD056A1-055F-4694-9FFE-DC5B2E60484F}"/>
    <cellStyle name="Normal 8 3 2 2 7" xfId="2644" xr:uid="{00000000-0005-0000-0000-0000571D0000}"/>
    <cellStyle name="Normal 8 3 2 2 7 2" xfId="6928" xr:uid="{00000000-0005-0000-0000-0000581D0000}"/>
    <cellStyle name="Normal 8 3 2 2 7 2 2" xfId="32227" xr:uid="{8D478A30-214B-4E15-8CF6-219B00376F18}"/>
    <cellStyle name="Normal 8 3 2 2 7 2 3" xfId="23798" xr:uid="{47BE7414-EAD6-4BFD-A011-321E60F11ED0}"/>
    <cellStyle name="Normal 8 3 2 2 7 2 4" xfId="40655" xr:uid="{59315518-A990-4AEF-9B81-B4419522E0CF}"/>
    <cellStyle name="Normal 8 3 2 2 7 2 5" xfId="15363" xr:uid="{FB412972-9D50-4F19-BEC1-E6756DD463A7}"/>
    <cellStyle name="Normal 8 3 2 2 7 3" xfId="28009" xr:uid="{346C2DC8-214D-49AD-BA4E-5BF5ADB86EC5}"/>
    <cellStyle name="Normal 8 3 2 2 7 4" xfId="19580" xr:uid="{B27508FB-6075-463F-87CE-960E31CB6C10}"/>
    <cellStyle name="Normal 8 3 2 2 7 5" xfId="36438" xr:uid="{B716482C-8464-448A-9EE4-9D1E5E430E6A}"/>
    <cellStyle name="Normal 8 3 2 2 7 6" xfId="11145" xr:uid="{48C25CA7-4AE5-4A08-846C-4E6DA41A8DE6}"/>
    <cellStyle name="Normal 8 3 2 2 8" xfId="4863" xr:uid="{00000000-0005-0000-0000-0000591D0000}"/>
    <cellStyle name="Normal 8 3 2 2 8 2" xfId="30162" xr:uid="{5FAE4608-2602-4CEE-A970-C13C16B09E23}"/>
    <cellStyle name="Normal 8 3 2 2 8 3" xfId="21733" xr:uid="{A5836F6E-B697-4F8C-B558-4FAC1CFF3489}"/>
    <cellStyle name="Normal 8 3 2 2 8 4" xfId="38590" xr:uid="{EC0BD257-1E40-4BBF-9136-C27CA7451F51}"/>
    <cellStyle name="Normal 8 3 2 2 8 5" xfId="13298" xr:uid="{28D00C83-1C96-4C0E-A373-3933585262C2}"/>
    <cellStyle name="Normal 8 3 2 2 9" xfId="25944" xr:uid="{9D2CE160-DF33-47AA-B4F5-A7CF7C0C97FD}"/>
    <cellStyle name="Normal 8 3 2 3" xfId="499" xr:uid="{00000000-0005-0000-0000-00005A1D0000}"/>
    <cellStyle name="Normal 8 3 2 3 10" xfId="34375" xr:uid="{012611F1-5844-47F8-8F60-A41181604FBD}"/>
    <cellStyle name="Normal 8 3 2 3 11" xfId="9082" xr:uid="{5D5890A7-D311-4F82-8607-8B2BAFFCE3EE}"/>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32722" xr:uid="{4491F242-95E6-4ADC-8B62-080485F9C6E6}"/>
    <cellStyle name="Normal 8 3 2 3 2 2 2 3" xfId="24293" xr:uid="{2E84D84B-5CDC-4B0D-ADB9-07F5E37EB1A8}"/>
    <cellStyle name="Normal 8 3 2 3 2 2 2 4" xfId="41150" xr:uid="{99ADB514-379D-4FA6-B344-4CF41BF45829}"/>
    <cellStyle name="Normal 8 3 2 3 2 2 2 5" xfId="15858" xr:uid="{4D00166C-7972-405C-8714-5179CCC59A2C}"/>
    <cellStyle name="Normal 8 3 2 3 2 2 3" xfId="28504" xr:uid="{D85A99DF-FFE9-4F4F-BF71-A1392AB7E5D0}"/>
    <cellStyle name="Normal 8 3 2 3 2 2 4" xfId="20075" xr:uid="{02CE0EA0-A234-4327-83E6-0BF787D2DCFD}"/>
    <cellStyle name="Normal 8 3 2 3 2 2 5" xfId="36933" xr:uid="{774431ED-F024-4BB0-B8BD-4AA62175C31C}"/>
    <cellStyle name="Normal 8 3 2 3 2 2 6" xfId="11640" xr:uid="{270A6442-FAF2-4624-872E-1CB2C4F1F4B3}"/>
    <cellStyle name="Normal 8 3 2 3 2 3" xfId="5278" xr:uid="{00000000-0005-0000-0000-00005E1D0000}"/>
    <cellStyle name="Normal 8 3 2 3 2 3 2" xfId="30577" xr:uid="{D27FF5D2-1A3C-4518-832F-E4BA12278506}"/>
    <cellStyle name="Normal 8 3 2 3 2 3 3" xfId="22148" xr:uid="{A3C83E5D-AD39-404F-88FC-6CA299615005}"/>
    <cellStyle name="Normal 8 3 2 3 2 3 4" xfId="39005" xr:uid="{4ACF58BF-0BF7-4A68-BE15-295467BB10DD}"/>
    <cellStyle name="Normal 8 3 2 3 2 3 5" xfId="13713" xr:uid="{12034827-F2BE-4AE2-918E-00DC9403C98C}"/>
    <cellStyle name="Normal 8 3 2 3 2 4" xfId="26359" xr:uid="{FD0C22D8-9896-43FD-9A08-757150AF2DC3}"/>
    <cellStyle name="Normal 8 3 2 3 2 5" xfId="17930" xr:uid="{AE4CD9CA-9069-4A1F-8971-368DB011821A}"/>
    <cellStyle name="Normal 8 3 2 3 2 6" xfId="34788" xr:uid="{08BF682B-090E-447D-9967-A112C8DDF9C4}"/>
    <cellStyle name="Normal 8 3 2 3 2 7" xfId="9495" xr:uid="{088CBD98-D3A6-44F3-8375-089737AE3EDB}"/>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33135" xr:uid="{3719EBEB-4F49-4F73-A69B-09A50D7FF1B5}"/>
    <cellStyle name="Normal 8 3 2 3 3 2 2 3" xfId="24706" xr:uid="{0BD2A96E-0300-4BF9-A1B3-2DEB39A020FF}"/>
    <cellStyle name="Normal 8 3 2 3 3 2 2 4" xfId="41563" xr:uid="{F2BA6B42-2E6A-4676-8135-5CDBC9B0E8AE}"/>
    <cellStyle name="Normal 8 3 2 3 3 2 2 5" xfId="16271" xr:uid="{2795CDD2-0E34-4E6E-9D48-CC2CD04EC0DE}"/>
    <cellStyle name="Normal 8 3 2 3 3 2 3" xfId="28917" xr:uid="{E529A1E1-0A94-4A8B-B1E4-FEFDE11F9B40}"/>
    <cellStyle name="Normal 8 3 2 3 3 2 4" xfId="20488" xr:uid="{FEC7AF82-F591-46BD-815B-43695865A077}"/>
    <cellStyle name="Normal 8 3 2 3 3 2 5" xfId="37346" xr:uid="{EFAE4CCF-6BE8-4EEE-A53A-7A04B8C1442A}"/>
    <cellStyle name="Normal 8 3 2 3 3 2 6" xfId="12053" xr:uid="{2C3CFD27-AB05-46E0-87C0-0B03C40552C5}"/>
    <cellStyle name="Normal 8 3 2 3 3 3" xfId="5691" xr:uid="{00000000-0005-0000-0000-0000621D0000}"/>
    <cellStyle name="Normal 8 3 2 3 3 3 2" xfId="30990" xr:uid="{E1F92B55-569C-4EE5-B381-C6C2AA3A02B0}"/>
    <cellStyle name="Normal 8 3 2 3 3 3 3" xfId="22561" xr:uid="{84034E0D-1C77-4140-BDAC-07533FF41AB7}"/>
    <cellStyle name="Normal 8 3 2 3 3 3 4" xfId="39418" xr:uid="{90941A72-EDDC-408F-8A7C-58912917ABA7}"/>
    <cellStyle name="Normal 8 3 2 3 3 3 5" xfId="14126" xr:uid="{EB3DD8C8-7CA7-4598-A6BB-373F12D946B0}"/>
    <cellStyle name="Normal 8 3 2 3 3 4" xfId="26772" xr:uid="{83127A78-6A72-43EE-B6B2-2D240D760997}"/>
    <cellStyle name="Normal 8 3 2 3 3 5" xfId="18343" xr:uid="{FB78EEFA-4E87-44CA-863E-BAACFD52060C}"/>
    <cellStyle name="Normal 8 3 2 3 3 6" xfId="35201" xr:uid="{996860FC-F903-4BB1-9628-C75C0945748F}"/>
    <cellStyle name="Normal 8 3 2 3 3 7" xfId="9908" xr:uid="{4A691B4D-B234-484E-AE48-D4215CD4D85B}"/>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33548" xr:uid="{03497E00-F350-44F1-991F-C636C034F525}"/>
    <cellStyle name="Normal 8 3 2 3 4 2 2 3" xfId="25119" xr:uid="{2E933C75-5AE8-4A6D-82B5-E472D2A10DAE}"/>
    <cellStyle name="Normal 8 3 2 3 4 2 2 4" xfId="41976" xr:uid="{2558FDA7-7BD9-4E12-A4BB-E5D0C8EF1814}"/>
    <cellStyle name="Normal 8 3 2 3 4 2 2 5" xfId="16684" xr:uid="{5A1A065A-B585-4E51-B849-3FF34383930B}"/>
    <cellStyle name="Normal 8 3 2 3 4 2 3" xfId="29330" xr:uid="{26CD2AFF-1F42-4B82-8F55-DEED95A80313}"/>
    <cellStyle name="Normal 8 3 2 3 4 2 4" xfId="20901" xr:uid="{2F24BA54-7367-40C6-9449-0B4879C78AFD}"/>
    <cellStyle name="Normal 8 3 2 3 4 2 5" xfId="37759" xr:uid="{CECD5D6D-09F3-4BE0-86C3-0A553507D37E}"/>
    <cellStyle name="Normal 8 3 2 3 4 2 6" xfId="12466" xr:uid="{0D7ED6C7-0DD3-4819-9BC2-C56EEA0617BC}"/>
    <cellStyle name="Normal 8 3 2 3 4 3" xfId="6104" xr:uid="{00000000-0005-0000-0000-0000661D0000}"/>
    <cellStyle name="Normal 8 3 2 3 4 3 2" xfId="31403" xr:uid="{C5AC0BF4-93FF-4261-8E1A-66BD70392806}"/>
    <cellStyle name="Normal 8 3 2 3 4 3 3" xfId="22974" xr:uid="{16E78CAB-F3B7-4272-BE9B-E4F472569E47}"/>
    <cellStyle name="Normal 8 3 2 3 4 3 4" xfId="39831" xr:uid="{FC66C2BE-D942-4C7C-A96C-E4EF2ED35E77}"/>
    <cellStyle name="Normal 8 3 2 3 4 3 5" xfId="14539" xr:uid="{DFB8C7FD-3578-4C14-9ABD-0BB0126911D8}"/>
    <cellStyle name="Normal 8 3 2 3 4 4" xfId="27185" xr:uid="{0BCD4CDC-B0C2-4CA9-9F1F-B7F322AE5F72}"/>
    <cellStyle name="Normal 8 3 2 3 4 5" xfId="18756" xr:uid="{88D52B8D-10D1-435B-B571-3FE00006EDCE}"/>
    <cellStyle name="Normal 8 3 2 3 4 6" xfId="35614" xr:uid="{25EF59AB-5399-437C-B848-9978F7FB652E}"/>
    <cellStyle name="Normal 8 3 2 3 4 7" xfId="10321" xr:uid="{E34D8CB9-3358-4BB8-A136-3A619F1D1AF4}"/>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33961" xr:uid="{BD51A00E-643E-4133-BE9A-46F918F12B26}"/>
    <cellStyle name="Normal 8 3 2 3 5 2 2 3" xfId="25532" xr:uid="{3D206144-CAF9-45C9-BF87-0EACBCBC64F1}"/>
    <cellStyle name="Normal 8 3 2 3 5 2 2 4" xfId="42389" xr:uid="{924BA4CD-191E-4A4B-9452-422440375B9B}"/>
    <cellStyle name="Normal 8 3 2 3 5 2 2 5" xfId="17097" xr:uid="{62452B77-0FAF-41C4-996A-E44FBD008BC5}"/>
    <cellStyle name="Normal 8 3 2 3 5 2 3" xfId="29743" xr:uid="{BEC7575F-0D06-4841-9BC2-F1AA4A4178CD}"/>
    <cellStyle name="Normal 8 3 2 3 5 2 4" xfId="21314" xr:uid="{1F94FAA5-DF64-4915-A7FE-8BE735B12E9C}"/>
    <cellStyle name="Normal 8 3 2 3 5 2 5" xfId="38172" xr:uid="{E46A6E2C-1928-462D-885A-BC677F2811EE}"/>
    <cellStyle name="Normal 8 3 2 3 5 2 6" xfId="12879" xr:uid="{BB881E06-9718-454E-B4F8-CC2534BE7883}"/>
    <cellStyle name="Normal 8 3 2 3 5 3" xfId="6517" xr:uid="{00000000-0005-0000-0000-00006A1D0000}"/>
    <cellStyle name="Normal 8 3 2 3 5 3 2" xfId="31816" xr:uid="{32F88A5D-0672-49D7-81F8-6DCC71C99631}"/>
    <cellStyle name="Normal 8 3 2 3 5 3 3" xfId="23387" xr:uid="{975D42C4-90AB-4034-8755-4340728567F0}"/>
    <cellStyle name="Normal 8 3 2 3 5 3 4" xfId="40244" xr:uid="{5FD98500-1186-4E69-8449-9D26586CF229}"/>
    <cellStyle name="Normal 8 3 2 3 5 3 5" xfId="14952" xr:uid="{82CCFEAD-5CE1-455D-9D6A-46BFC300BFEA}"/>
    <cellStyle name="Normal 8 3 2 3 5 4" xfId="27598" xr:uid="{E42BE8D0-6DD8-463C-8EA5-EF759B9D7F92}"/>
    <cellStyle name="Normal 8 3 2 3 5 5" xfId="19169" xr:uid="{9F220EF3-FFA0-4CC9-BE6E-44C76FC2F911}"/>
    <cellStyle name="Normal 8 3 2 3 5 6" xfId="36027" xr:uid="{74FFF1A0-A9A0-4E39-97DF-CD11932E75F8}"/>
    <cellStyle name="Normal 8 3 2 3 5 7" xfId="10734" xr:uid="{DCEF8B94-152B-4F11-A74F-D78A9AAF2D1F}"/>
    <cellStyle name="Normal 8 3 2 3 6" xfId="2646" xr:uid="{00000000-0005-0000-0000-00006B1D0000}"/>
    <cellStyle name="Normal 8 3 2 3 6 2" xfId="6930" xr:uid="{00000000-0005-0000-0000-00006C1D0000}"/>
    <cellStyle name="Normal 8 3 2 3 6 2 2" xfId="32229" xr:uid="{BEE04C87-E705-408F-B321-A999B09074C2}"/>
    <cellStyle name="Normal 8 3 2 3 6 2 3" xfId="23800" xr:uid="{0CEBDDD4-04AA-4AD3-96B6-4F97BC326911}"/>
    <cellStyle name="Normal 8 3 2 3 6 2 4" xfId="40657" xr:uid="{A2FFDEB8-5B60-474E-8660-B66C70CBC484}"/>
    <cellStyle name="Normal 8 3 2 3 6 2 5" xfId="15365" xr:uid="{69D66117-C77E-449E-AC1E-7264A84DCD46}"/>
    <cellStyle name="Normal 8 3 2 3 6 3" xfId="28011" xr:uid="{8A660647-0158-4B9A-ABA9-887826CC6CA6}"/>
    <cellStyle name="Normal 8 3 2 3 6 4" xfId="19582" xr:uid="{6660A26F-BC99-4876-8F86-606BC2A1BC27}"/>
    <cellStyle name="Normal 8 3 2 3 6 5" xfId="36440" xr:uid="{6525F7ED-E170-4E04-B23E-1D4301B40CEB}"/>
    <cellStyle name="Normal 8 3 2 3 6 6" xfId="11147" xr:uid="{DA42AEDF-88F8-48FB-AC90-3EE245C92304}"/>
    <cellStyle name="Normal 8 3 2 3 7" xfId="4865" xr:uid="{00000000-0005-0000-0000-00006D1D0000}"/>
    <cellStyle name="Normal 8 3 2 3 7 2" xfId="30164" xr:uid="{1F1156A9-E238-42E5-90CB-E0FA17A04767}"/>
    <cellStyle name="Normal 8 3 2 3 7 3" xfId="21735" xr:uid="{2D51550E-7D13-46CA-AFBC-927D1D9C84AA}"/>
    <cellStyle name="Normal 8 3 2 3 7 4" xfId="38592" xr:uid="{53D180F2-A9E9-4C26-A2B6-0AE66BC61D5E}"/>
    <cellStyle name="Normal 8 3 2 3 7 5" xfId="13300" xr:uid="{0C272F8A-7853-43D3-A8F7-AF9CC2E9ED6C}"/>
    <cellStyle name="Normal 8 3 2 3 8" xfId="25946" xr:uid="{67469B18-0023-4FD5-A006-73CFF0564FFD}"/>
    <cellStyle name="Normal 8 3 2 3 9" xfId="17517" xr:uid="{3508BF26-36DE-4095-AD3F-24936F955261}"/>
    <cellStyle name="Normal 8 3 2 4" xfId="963" xr:uid="{00000000-0005-0000-0000-00006E1D0000}"/>
    <cellStyle name="Normal 8 3 2 4 2" xfId="3197" xr:uid="{00000000-0005-0000-0000-00006F1D0000}"/>
    <cellStyle name="Normal 8 3 2 4 2 2" xfId="7420" xr:uid="{00000000-0005-0000-0000-0000701D0000}"/>
    <cellStyle name="Normal 8 3 2 4 2 2 2" xfId="32719" xr:uid="{88AA0470-779B-406E-B8EA-EAD38BDB7597}"/>
    <cellStyle name="Normal 8 3 2 4 2 2 3" xfId="24290" xr:uid="{772CE417-1941-4674-ACC3-DFF2EF0F28F3}"/>
    <cellStyle name="Normal 8 3 2 4 2 2 4" xfId="41147" xr:uid="{DB2C01D1-E1F5-456B-9472-358993839553}"/>
    <cellStyle name="Normal 8 3 2 4 2 2 5" xfId="15855" xr:uid="{9769F480-8A6E-4E4B-9309-5CE6DF7FB209}"/>
    <cellStyle name="Normal 8 3 2 4 2 3" xfId="28501" xr:uid="{0B19103E-370C-4EE2-93E2-14307D565303}"/>
    <cellStyle name="Normal 8 3 2 4 2 4" xfId="20072" xr:uid="{F9945238-DCD5-4531-BBF2-3E005361C858}"/>
    <cellStyle name="Normal 8 3 2 4 2 5" xfId="36930" xr:uid="{CE8AA6D7-B5CD-4B6C-AF74-2DE3796253D1}"/>
    <cellStyle name="Normal 8 3 2 4 2 6" xfId="11637" xr:uid="{D9D884DA-BEBD-42B7-A88B-A500B801933A}"/>
    <cellStyle name="Normal 8 3 2 4 3" xfId="5275" xr:uid="{00000000-0005-0000-0000-0000711D0000}"/>
    <cellStyle name="Normal 8 3 2 4 3 2" xfId="30574" xr:uid="{25C66CA2-9CD0-4043-8D71-923731ED1427}"/>
    <cellStyle name="Normal 8 3 2 4 3 3" xfId="22145" xr:uid="{5B88D627-9165-4083-8E6B-CAA67FF9F94F}"/>
    <cellStyle name="Normal 8 3 2 4 3 4" xfId="39002" xr:uid="{40F62F51-957E-4B34-9CF7-B4A7C1422DBC}"/>
    <cellStyle name="Normal 8 3 2 4 3 5" xfId="13710" xr:uid="{D575CFA6-F7DD-4449-BDC9-79174041D925}"/>
    <cellStyle name="Normal 8 3 2 4 4" xfId="26356" xr:uid="{0DF6F8A5-88FD-4FC7-BBBD-ACF6B5D7C9BD}"/>
    <cellStyle name="Normal 8 3 2 4 5" xfId="17927" xr:uid="{39B7C2C3-D8FE-4244-ABCB-6FC93983BA54}"/>
    <cellStyle name="Normal 8 3 2 4 6" xfId="34785" xr:uid="{888005DC-F5E6-45D3-B38E-3CD9500DFC13}"/>
    <cellStyle name="Normal 8 3 2 4 7" xfId="9492" xr:uid="{83E0F062-B7CA-4131-B963-A00AB5E673C4}"/>
    <cellStyle name="Normal 8 3 2 5" xfId="1380" xr:uid="{00000000-0005-0000-0000-0000721D0000}"/>
    <cellStyle name="Normal 8 3 2 5 2" xfId="3610" xr:uid="{00000000-0005-0000-0000-0000731D0000}"/>
    <cellStyle name="Normal 8 3 2 5 2 2" xfId="7833" xr:uid="{00000000-0005-0000-0000-0000741D0000}"/>
    <cellStyle name="Normal 8 3 2 5 2 2 2" xfId="33132" xr:uid="{E7324613-C136-48B3-A28A-2CED48B0CC23}"/>
    <cellStyle name="Normal 8 3 2 5 2 2 3" xfId="24703" xr:uid="{7360BE9A-995E-47FE-BDA9-439CD69834A0}"/>
    <cellStyle name="Normal 8 3 2 5 2 2 4" xfId="41560" xr:uid="{645DF67A-282D-4CD2-95CB-DBE64A77D7DF}"/>
    <cellStyle name="Normal 8 3 2 5 2 2 5" xfId="16268" xr:uid="{236C0718-2C44-4C4B-BDCE-3CB0701937D0}"/>
    <cellStyle name="Normal 8 3 2 5 2 3" xfId="28914" xr:uid="{D0005427-22E9-4403-B770-F1A6D8A8F1E4}"/>
    <cellStyle name="Normal 8 3 2 5 2 4" xfId="20485" xr:uid="{5B284913-1889-4762-B425-3B2597C8930B}"/>
    <cellStyle name="Normal 8 3 2 5 2 5" xfId="37343" xr:uid="{21F7D79F-53FE-4E20-A8A6-E965432E2C56}"/>
    <cellStyle name="Normal 8 3 2 5 2 6" xfId="12050" xr:uid="{921CB261-55B7-4FCE-98EB-0D6E09B7DDAE}"/>
    <cellStyle name="Normal 8 3 2 5 3" xfId="5688" xr:uid="{00000000-0005-0000-0000-0000751D0000}"/>
    <cellStyle name="Normal 8 3 2 5 3 2" xfId="30987" xr:uid="{4BF419FC-E2E4-411C-AE5C-F74216426CFD}"/>
    <cellStyle name="Normal 8 3 2 5 3 3" xfId="22558" xr:uid="{4F9173A6-E869-4A03-9FD5-61CBE58D9B24}"/>
    <cellStyle name="Normal 8 3 2 5 3 4" xfId="39415" xr:uid="{A8BC2A49-8538-4662-9679-D23CBF8B3A08}"/>
    <cellStyle name="Normal 8 3 2 5 3 5" xfId="14123" xr:uid="{BA4DB3D1-F814-45CC-855B-FDAA21931C3C}"/>
    <cellStyle name="Normal 8 3 2 5 4" xfId="26769" xr:uid="{068CAFB4-4F17-4093-994E-6A466357E0F3}"/>
    <cellStyle name="Normal 8 3 2 5 5" xfId="18340" xr:uid="{D3F44B49-5AC6-43F9-A56C-A19940FB8EA4}"/>
    <cellStyle name="Normal 8 3 2 5 6" xfId="35198" xr:uid="{67E2DBEC-AB1C-4FF8-A756-1F59347154D0}"/>
    <cellStyle name="Normal 8 3 2 5 7" xfId="9905" xr:uid="{61026DBA-207F-48DB-AACA-A5BEBE786486}"/>
    <cellStyle name="Normal 8 3 2 6" xfId="1793" xr:uid="{00000000-0005-0000-0000-0000761D0000}"/>
    <cellStyle name="Normal 8 3 2 6 2" xfId="4023" xr:uid="{00000000-0005-0000-0000-0000771D0000}"/>
    <cellStyle name="Normal 8 3 2 6 2 2" xfId="8246" xr:uid="{00000000-0005-0000-0000-0000781D0000}"/>
    <cellStyle name="Normal 8 3 2 6 2 2 2" xfId="33545" xr:uid="{DB9F30AA-7477-496A-9674-5015BFB74A8F}"/>
    <cellStyle name="Normal 8 3 2 6 2 2 3" xfId="25116" xr:uid="{689E4658-C184-42A6-9EFE-0A9884654EDE}"/>
    <cellStyle name="Normal 8 3 2 6 2 2 4" xfId="41973" xr:uid="{2AECDA7B-D043-4D7A-B1D8-A3349E7EB8A8}"/>
    <cellStyle name="Normal 8 3 2 6 2 2 5" xfId="16681" xr:uid="{230BF1C4-2F21-4C5E-914E-B5FBF2478961}"/>
    <cellStyle name="Normal 8 3 2 6 2 3" xfId="29327" xr:uid="{E8A3835F-8989-4F80-8A0B-F76CD6320940}"/>
    <cellStyle name="Normal 8 3 2 6 2 4" xfId="20898" xr:uid="{ECCB16A3-07E4-46D3-B329-754D34F2990A}"/>
    <cellStyle name="Normal 8 3 2 6 2 5" xfId="37756" xr:uid="{A3D54E87-57D0-444D-A862-85EC7BD4C57F}"/>
    <cellStyle name="Normal 8 3 2 6 2 6" xfId="12463" xr:uid="{8B78ECF6-3256-42AF-9C08-C68E2C6C0EF1}"/>
    <cellStyle name="Normal 8 3 2 6 3" xfId="6101" xr:uid="{00000000-0005-0000-0000-0000791D0000}"/>
    <cellStyle name="Normal 8 3 2 6 3 2" xfId="31400" xr:uid="{01016791-9F48-48A9-819F-66F5AAA9DEBC}"/>
    <cellStyle name="Normal 8 3 2 6 3 3" xfId="22971" xr:uid="{800D8671-7515-4712-AEC4-18046B7958C3}"/>
    <cellStyle name="Normal 8 3 2 6 3 4" xfId="39828" xr:uid="{42A3CD72-F153-4719-B4A3-444C7DE1CEC9}"/>
    <cellStyle name="Normal 8 3 2 6 3 5" xfId="14536" xr:uid="{B9867592-B0CE-4A97-8875-CEC92B784226}"/>
    <cellStyle name="Normal 8 3 2 6 4" xfId="27182" xr:uid="{969425D7-498E-420A-BAB9-799E026786CC}"/>
    <cellStyle name="Normal 8 3 2 6 5" xfId="18753" xr:uid="{494A9753-78F7-44D7-8467-5A28E18CE731}"/>
    <cellStyle name="Normal 8 3 2 6 6" xfId="35611" xr:uid="{289D07F6-A6C1-4C6F-9732-A96F20F081DD}"/>
    <cellStyle name="Normal 8 3 2 6 7" xfId="10318" xr:uid="{766703E9-3A56-4C25-9943-BEF9C209D689}"/>
    <cellStyle name="Normal 8 3 2 7" xfId="2207" xr:uid="{00000000-0005-0000-0000-00007A1D0000}"/>
    <cellStyle name="Normal 8 3 2 7 2" xfId="4436" xr:uid="{00000000-0005-0000-0000-00007B1D0000}"/>
    <cellStyle name="Normal 8 3 2 7 2 2" xfId="8659" xr:uid="{00000000-0005-0000-0000-00007C1D0000}"/>
    <cellStyle name="Normal 8 3 2 7 2 2 2" xfId="33958" xr:uid="{9FAB5ACA-C0AC-44B6-998D-410EB61DC61B}"/>
    <cellStyle name="Normal 8 3 2 7 2 2 3" xfId="25529" xr:uid="{D5AA5BE2-7C8E-4567-BF14-6550A6522C9D}"/>
    <cellStyle name="Normal 8 3 2 7 2 2 4" xfId="42386" xr:uid="{571EE4AF-7330-4786-AA2B-29517399D45F}"/>
    <cellStyle name="Normal 8 3 2 7 2 2 5" xfId="17094" xr:uid="{103088C9-2E61-45BA-BC73-BE446E532DF6}"/>
    <cellStyle name="Normal 8 3 2 7 2 3" xfId="29740" xr:uid="{7749FA2D-2391-450C-9F56-4ADE6E6FC278}"/>
    <cellStyle name="Normal 8 3 2 7 2 4" xfId="21311" xr:uid="{03ED0106-2D66-4C0C-8462-A6DB8ADC7679}"/>
    <cellStyle name="Normal 8 3 2 7 2 5" xfId="38169" xr:uid="{90A3497E-3A1E-40D1-863A-ED274CBE866F}"/>
    <cellStyle name="Normal 8 3 2 7 2 6" xfId="12876" xr:uid="{74069BBA-A3D4-4001-8041-06C77ADA539E}"/>
    <cellStyle name="Normal 8 3 2 7 3" xfId="6514" xr:uid="{00000000-0005-0000-0000-00007D1D0000}"/>
    <cellStyle name="Normal 8 3 2 7 3 2" xfId="31813" xr:uid="{F8F86883-6303-45A1-8798-F2CD570B2A05}"/>
    <cellStyle name="Normal 8 3 2 7 3 3" xfId="23384" xr:uid="{21028B7B-FB10-4C12-BEC7-5259100254AE}"/>
    <cellStyle name="Normal 8 3 2 7 3 4" xfId="40241" xr:uid="{B88DAC27-E460-4BFC-9875-745E291E7E23}"/>
    <cellStyle name="Normal 8 3 2 7 3 5" xfId="14949" xr:uid="{F2C7F94C-4DCE-4FF2-960D-6C4C92D9D1B0}"/>
    <cellStyle name="Normal 8 3 2 7 4" xfId="27595" xr:uid="{B5553D75-C0A9-4CC3-BD75-300B34E08364}"/>
    <cellStyle name="Normal 8 3 2 7 5" xfId="19166" xr:uid="{DBC73DE1-4133-4DC7-8252-1B1C07A80504}"/>
    <cellStyle name="Normal 8 3 2 7 6" xfId="36024" xr:uid="{598E980A-A266-44B2-AB70-84C00B8AA9D7}"/>
    <cellStyle name="Normal 8 3 2 7 7" xfId="10731" xr:uid="{8353D289-E1F3-4F56-A7C5-D96FD279D445}"/>
    <cellStyle name="Normal 8 3 2 8" xfId="2643" xr:uid="{00000000-0005-0000-0000-00007E1D0000}"/>
    <cellStyle name="Normal 8 3 2 8 2" xfId="6927" xr:uid="{00000000-0005-0000-0000-00007F1D0000}"/>
    <cellStyle name="Normal 8 3 2 8 2 2" xfId="32226" xr:uid="{18729BDB-A047-41D0-B306-860A14FE0CDC}"/>
    <cellStyle name="Normal 8 3 2 8 2 3" xfId="23797" xr:uid="{409F1BC4-BACC-4584-B9A8-0E24DDE386A4}"/>
    <cellStyle name="Normal 8 3 2 8 2 4" xfId="40654" xr:uid="{C74A0867-CD62-4D1E-8F20-FC5F299DFFC6}"/>
    <cellStyle name="Normal 8 3 2 8 2 5" xfId="15362" xr:uid="{06CD8BBB-9B69-47F5-A220-C9B7D9AAB265}"/>
    <cellStyle name="Normal 8 3 2 8 3" xfId="28008" xr:uid="{BACCD6DD-F7E1-44C3-BC2B-ABE6EDBB9F8F}"/>
    <cellStyle name="Normal 8 3 2 8 4" xfId="19579" xr:uid="{B06D44EF-2CE9-4843-AC17-E9AD0DCDEC9D}"/>
    <cellStyle name="Normal 8 3 2 8 5" xfId="36437" xr:uid="{25B9CBAD-F298-4E51-BB08-6044F96B3D2C}"/>
    <cellStyle name="Normal 8 3 2 8 6" xfId="11144" xr:uid="{675A9B6F-E7A8-4F88-8DFB-E377DE91C622}"/>
    <cellStyle name="Normal 8 3 2 9" xfId="4862" xr:uid="{00000000-0005-0000-0000-0000801D0000}"/>
    <cellStyle name="Normal 8 3 2 9 2" xfId="30161" xr:uid="{A53D5080-11D5-4146-B649-CB1317D24097}"/>
    <cellStyle name="Normal 8 3 2 9 3" xfId="21732" xr:uid="{77958168-793E-4279-B712-8C0B987536BE}"/>
    <cellStyle name="Normal 8 3 2 9 4" xfId="38589" xr:uid="{88024DCF-0C52-48F6-8FD1-1744CAAF3F3E}"/>
    <cellStyle name="Normal 8 3 2 9 5" xfId="13297" xr:uid="{29B1EB16-55FA-481D-96CF-D3126C092FD0}"/>
    <cellStyle name="Normal 8 3 3" xfId="500" xr:uid="{00000000-0005-0000-0000-0000811D0000}"/>
    <cellStyle name="Normal 8 3 3 10" xfId="17518" xr:uid="{F78B08E7-57E9-4313-81E8-190516AE6478}"/>
    <cellStyle name="Normal 8 3 3 11" xfId="34376" xr:uid="{6405F58A-4D21-461E-94EB-00B315D07B19}"/>
    <cellStyle name="Normal 8 3 3 12" xfId="9083" xr:uid="{6DD1F788-DDF7-49C0-B15A-439E4B188878}"/>
    <cellStyle name="Normal 8 3 3 2" xfId="501" xr:uid="{00000000-0005-0000-0000-0000821D0000}"/>
    <cellStyle name="Normal 8 3 3 2 10" xfId="34377" xr:uid="{26BD5D14-B170-404F-BB2E-1BCFD2428710}"/>
    <cellStyle name="Normal 8 3 3 2 11" xfId="9084" xr:uid="{5C533CFA-C204-4847-802C-7EF1E20D050E}"/>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32724" xr:uid="{A78F895C-2A37-44CC-82AD-A2BEDC8F24A1}"/>
    <cellStyle name="Normal 8 3 3 2 2 2 2 3" xfId="24295" xr:uid="{C5EB0099-CC78-47C4-A91F-37BB7AA8F3E5}"/>
    <cellStyle name="Normal 8 3 3 2 2 2 2 4" xfId="41152" xr:uid="{16D94ECB-894D-4EB7-BED6-4C9763DB97D1}"/>
    <cellStyle name="Normal 8 3 3 2 2 2 2 5" xfId="15860" xr:uid="{E31169D1-DE5F-4453-B333-6129C9C673FD}"/>
    <cellStyle name="Normal 8 3 3 2 2 2 3" xfId="28506" xr:uid="{C2678AD0-E576-4443-91A9-205D1D65ED3F}"/>
    <cellStyle name="Normal 8 3 3 2 2 2 4" xfId="20077" xr:uid="{80869BBE-93D0-4438-92AD-B53A5812486A}"/>
    <cellStyle name="Normal 8 3 3 2 2 2 5" xfId="36935" xr:uid="{EC3F446A-850D-43E2-83F4-CA37B1B24CED}"/>
    <cellStyle name="Normal 8 3 3 2 2 2 6" xfId="11642" xr:uid="{A732B4CA-9E3C-4538-B34C-81333FE07DAC}"/>
    <cellStyle name="Normal 8 3 3 2 2 3" xfId="5280" xr:uid="{00000000-0005-0000-0000-0000861D0000}"/>
    <cellStyle name="Normal 8 3 3 2 2 3 2" xfId="30579" xr:uid="{ABA3DE3F-C82A-4549-AFC3-0F330BA0EB15}"/>
    <cellStyle name="Normal 8 3 3 2 2 3 3" xfId="22150" xr:uid="{AC9E956D-75E0-4C10-AFFC-85C7B2686CE7}"/>
    <cellStyle name="Normal 8 3 3 2 2 3 4" xfId="39007" xr:uid="{0194BA8C-83C9-435F-8066-D84C2B707F2B}"/>
    <cellStyle name="Normal 8 3 3 2 2 3 5" xfId="13715" xr:uid="{5BFEC5B3-E2FC-4565-B20B-E3F661E37C26}"/>
    <cellStyle name="Normal 8 3 3 2 2 4" xfId="26361" xr:uid="{296D028E-C69A-40E2-8586-09ABB9386B89}"/>
    <cellStyle name="Normal 8 3 3 2 2 5" xfId="17932" xr:uid="{74E68DCC-5E0A-4D9F-B6A2-5CA517AA5EDF}"/>
    <cellStyle name="Normal 8 3 3 2 2 6" xfId="34790" xr:uid="{2078B9DB-DFF1-4FEA-9CF7-C08025A95375}"/>
    <cellStyle name="Normal 8 3 3 2 2 7" xfId="9497" xr:uid="{986A6518-8DCD-49AF-85B8-EA4405173BD4}"/>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33137" xr:uid="{096E04A6-C76F-4B7B-B483-F492EB227A86}"/>
    <cellStyle name="Normal 8 3 3 2 3 2 2 3" xfId="24708" xr:uid="{B22010DA-32BA-4B1F-BF66-7B3EA8634804}"/>
    <cellStyle name="Normal 8 3 3 2 3 2 2 4" xfId="41565" xr:uid="{728B08A7-E973-490B-A122-1680883016F3}"/>
    <cellStyle name="Normal 8 3 3 2 3 2 2 5" xfId="16273" xr:uid="{AAF28A03-B30C-45DC-86D2-4A6C9B012F75}"/>
    <cellStyle name="Normal 8 3 3 2 3 2 3" xfId="28919" xr:uid="{8AB13577-8B67-4DC4-A38D-44C6CABF5A33}"/>
    <cellStyle name="Normal 8 3 3 2 3 2 4" xfId="20490" xr:uid="{1E14029A-E3EA-4F66-960A-5A679161FD5F}"/>
    <cellStyle name="Normal 8 3 3 2 3 2 5" xfId="37348" xr:uid="{D3EFC86B-A252-4D1F-B925-86C83A62563A}"/>
    <cellStyle name="Normal 8 3 3 2 3 2 6" xfId="12055" xr:uid="{F1EFE50F-19F9-47F1-9735-DC87FBC1AF9C}"/>
    <cellStyle name="Normal 8 3 3 2 3 3" xfId="5693" xr:uid="{00000000-0005-0000-0000-00008A1D0000}"/>
    <cellStyle name="Normal 8 3 3 2 3 3 2" xfId="30992" xr:uid="{598470AC-39CB-4A95-8268-DDCA3D00DB30}"/>
    <cellStyle name="Normal 8 3 3 2 3 3 3" xfId="22563" xr:uid="{3D823DE1-EC93-4EAA-8A97-EC9AF3623AE2}"/>
    <cellStyle name="Normal 8 3 3 2 3 3 4" xfId="39420" xr:uid="{D41BCC9B-F2C9-48D1-AECD-663D332AFEFE}"/>
    <cellStyle name="Normal 8 3 3 2 3 3 5" xfId="14128" xr:uid="{C0A71BBA-62A0-4ACF-8B7C-19DBBCB72B82}"/>
    <cellStyle name="Normal 8 3 3 2 3 4" xfId="26774" xr:uid="{4B5A9EC1-841A-42AF-891F-E405E6117388}"/>
    <cellStyle name="Normal 8 3 3 2 3 5" xfId="18345" xr:uid="{4EFECE91-6049-4E7A-827B-D20994514BA9}"/>
    <cellStyle name="Normal 8 3 3 2 3 6" xfId="35203" xr:uid="{BE48289E-46C0-4DAF-A3F1-8F59938AFC9F}"/>
    <cellStyle name="Normal 8 3 3 2 3 7" xfId="9910" xr:uid="{1908FCCE-B7CB-4BA1-99AA-4313929F5E63}"/>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33550" xr:uid="{EE67C7D2-65CD-4DDF-AFAE-8BD7F324D469}"/>
    <cellStyle name="Normal 8 3 3 2 4 2 2 3" xfId="25121" xr:uid="{2DBAC99F-9148-41DA-A5E3-BE9434E2C695}"/>
    <cellStyle name="Normal 8 3 3 2 4 2 2 4" xfId="41978" xr:uid="{889BEFF1-83D6-4B52-ADA4-73AB63491378}"/>
    <cellStyle name="Normal 8 3 3 2 4 2 2 5" xfId="16686" xr:uid="{E9BD5C1C-55C5-4992-82D4-499EFD5F826E}"/>
    <cellStyle name="Normal 8 3 3 2 4 2 3" xfId="29332" xr:uid="{D4F78261-16E9-4CCF-9FB2-013744DA4AEA}"/>
    <cellStyle name="Normal 8 3 3 2 4 2 4" xfId="20903" xr:uid="{2EBE045D-2461-4324-929A-33EBD2E7684D}"/>
    <cellStyle name="Normal 8 3 3 2 4 2 5" xfId="37761" xr:uid="{2683A26A-1A53-4C62-BADD-A9D8CF760DD8}"/>
    <cellStyle name="Normal 8 3 3 2 4 2 6" xfId="12468" xr:uid="{D6249AA0-65AC-4888-880E-E03626636596}"/>
    <cellStyle name="Normal 8 3 3 2 4 3" xfId="6106" xr:uid="{00000000-0005-0000-0000-00008E1D0000}"/>
    <cellStyle name="Normal 8 3 3 2 4 3 2" xfId="31405" xr:uid="{1D30321D-98C8-480B-A31E-71C5C54821FA}"/>
    <cellStyle name="Normal 8 3 3 2 4 3 3" xfId="22976" xr:uid="{D22AD02A-5495-4625-BB92-032B0D63D345}"/>
    <cellStyle name="Normal 8 3 3 2 4 3 4" xfId="39833" xr:uid="{35EA09C3-AB2E-484F-B15F-A8E00D628DA8}"/>
    <cellStyle name="Normal 8 3 3 2 4 3 5" xfId="14541" xr:uid="{E655C4B0-43DF-4428-A87E-82DF0E10D354}"/>
    <cellStyle name="Normal 8 3 3 2 4 4" xfId="27187" xr:uid="{529F4358-8900-4C3C-8178-CE32F6748595}"/>
    <cellStyle name="Normal 8 3 3 2 4 5" xfId="18758" xr:uid="{07A1B531-29AF-4A19-AD5F-B610A35E73FA}"/>
    <cellStyle name="Normal 8 3 3 2 4 6" xfId="35616" xr:uid="{BBE61859-73DA-4ADC-873F-87FE66C655F8}"/>
    <cellStyle name="Normal 8 3 3 2 4 7" xfId="10323" xr:uid="{10E4D3B0-C466-468B-A71B-254CCB612311}"/>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33963" xr:uid="{F4450801-1F9B-4603-A47C-AB6182B64205}"/>
    <cellStyle name="Normal 8 3 3 2 5 2 2 3" xfId="25534" xr:uid="{B59AFB41-B074-4654-A448-393480E53829}"/>
    <cellStyle name="Normal 8 3 3 2 5 2 2 4" xfId="42391" xr:uid="{B2B183B7-301C-4347-B965-93E38E48AC4D}"/>
    <cellStyle name="Normal 8 3 3 2 5 2 2 5" xfId="17099" xr:uid="{6B5D0C5A-E04E-4843-AB60-8A1953052B79}"/>
    <cellStyle name="Normal 8 3 3 2 5 2 3" xfId="29745" xr:uid="{D81F5CA7-0ABE-40FD-9569-B5954DCFB1A7}"/>
    <cellStyle name="Normal 8 3 3 2 5 2 4" xfId="21316" xr:uid="{62189C99-0E8A-4FBC-8984-B5139B13848C}"/>
    <cellStyle name="Normal 8 3 3 2 5 2 5" xfId="38174" xr:uid="{808D094B-7F83-49F1-A4E5-66101D562472}"/>
    <cellStyle name="Normal 8 3 3 2 5 2 6" xfId="12881" xr:uid="{1F750803-36A8-4FBE-B120-49C8E96EB9DC}"/>
    <cellStyle name="Normal 8 3 3 2 5 3" xfId="6519" xr:uid="{00000000-0005-0000-0000-0000921D0000}"/>
    <cellStyle name="Normal 8 3 3 2 5 3 2" xfId="31818" xr:uid="{B5FCB7D2-E6C6-4C28-9700-3D5B0328245C}"/>
    <cellStyle name="Normal 8 3 3 2 5 3 3" xfId="23389" xr:uid="{1DC3C6E6-4B91-46D1-B075-820B05C26FD7}"/>
    <cellStyle name="Normal 8 3 3 2 5 3 4" xfId="40246" xr:uid="{4C213FD2-271A-4D98-9FF8-061EBEB3B53C}"/>
    <cellStyle name="Normal 8 3 3 2 5 3 5" xfId="14954" xr:uid="{3F14336F-6654-493C-8560-93658A186C2D}"/>
    <cellStyle name="Normal 8 3 3 2 5 4" xfId="27600" xr:uid="{B8D6E856-753F-4B9B-BE5C-FD8D60EB3BC0}"/>
    <cellStyle name="Normal 8 3 3 2 5 5" xfId="19171" xr:uid="{EE5C99D9-7814-4629-8110-BF7235A17DFF}"/>
    <cellStyle name="Normal 8 3 3 2 5 6" xfId="36029" xr:uid="{DEAFE2CE-ED54-4527-B7B5-8778DEF11976}"/>
    <cellStyle name="Normal 8 3 3 2 5 7" xfId="10736" xr:uid="{067DA382-9BBF-4832-B791-60BC144A5DCA}"/>
    <cellStyle name="Normal 8 3 3 2 6" xfId="2648" xr:uid="{00000000-0005-0000-0000-0000931D0000}"/>
    <cellStyle name="Normal 8 3 3 2 6 2" xfId="6932" xr:uid="{00000000-0005-0000-0000-0000941D0000}"/>
    <cellStyle name="Normal 8 3 3 2 6 2 2" xfId="32231" xr:uid="{9E7C6025-46DE-4F29-BF93-6F9B965EFAEA}"/>
    <cellStyle name="Normal 8 3 3 2 6 2 3" xfId="23802" xr:uid="{A591A6DE-24EA-4E9B-9916-F311EB60669A}"/>
    <cellStyle name="Normal 8 3 3 2 6 2 4" xfId="40659" xr:uid="{344ED6DC-C47A-439F-A6E2-22F7A274CBA8}"/>
    <cellStyle name="Normal 8 3 3 2 6 2 5" xfId="15367" xr:uid="{99806467-6F29-4468-A3D2-19BD0290C441}"/>
    <cellStyle name="Normal 8 3 3 2 6 3" xfId="28013" xr:uid="{C120818C-102D-422C-A7E8-CB847F6F1892}"/>
    <cellStyle name="Normal 8 3 3 2 6 4" xfId="19584" xr:uid="{81A4B018-FF2E-4566-B8E4-8F8CA6198ADD}"/>
    <cellStyle name="Normal 8 3 3 2 6 5" xfId="36442" xr:uid="{DC9B9AFA-335E-406A-B804-7929ABA41409}"/>
    <cellStyle name="Normal 8 3 3 2 6 6" xfId="11149" xr:uid="{2D21DE94-EA42-4E45-A0F4-726468E3D023}"/>
    <cellStyle name="Normal 8 3 3 2 7" xfId="4867" xr:uid="{00000000-0005-0000-0000-0000951D0000}"/>
    <cellStyle name="Normal 8 3 3 2 7 2" xfId="30166" xr:uid="{E809C776-C599-4287-9FC0-C628CF0B4028}"/>
    <cellStyle name="Normal 8 3 3 2 7 3" xfId="21737" xr:uid="{B0B9A531-1FD1-45E7-8938-068809BA063D}"/>
    <cellStyle name="Normal 8 3 3 2 7 4" xfId="38594" xr:uid="{4B6DA4DF-9BB9-40F4-BE3D-FB413596D582}"/>
    <cellStyle name="Normal 8 3 3 2 7 5" xfId="13302" xr:uid="{C89A4355-72C8-41AC-B3F4-8B3AA43A18B8}"/>
    <cellStyle name="Normal 8 3 3 2 8" xfId="25948" xr:uid="{7CDDD56C-516C-4DBD-A1E8-7E7FBCA1C3A4}"/>
    <cellStyle name="Normal 8 3 3 2 9" xfId="17519" xr:uid="{4BC636D3-B5DE-4DD7-955B-122EDE64A672}"/>
    <cellStyle name="Normal 8 3 3 3" xfId="967" xr:uid="{00000000-0005-0000-0000-0000961D0000}"/>
    <cellStyle name="Normal 8 3 3 3 2" xfId="3201" xr:uid="{00000000-0005-0000-0000-0000971D0000}"/>
    <cellStyle name="Normal 8 3 3 3 2 2" xfId="7424" xr:uid="{00000000-0005-0000-0000-0000981D0000}"/>
    <cellStyle name="Normal 8 3 3 3 2 2 2" xfId="32723" xr:uid="{80F7CFC4-B67E-472C-9237-1A5592DC4C16}"/>
    <cellStyle name="Normal 8 3 3 3 2 2 3" xfId="24294" xr:uid="{385A0E8A-45F3-4F88-861E-1A598F837619}"/>
    <cellStyle name="Normal 8 3 3 3 2 2 4" xfId="41151" xr:uid="{2AF24D39-CDBC-48D5-8E05-4BCC5CF05A81}"/>
    <cellStyle name="Normal 8 3 3 3 2 2 5" xfId="15859" xr:uid="{FED5C93F-DC47-48D3-A5DF-948CC4C57230}"/>
    <cellStyle name="Normal 8 3 3 3 2 3" xfId="28505" xr:uid="{8DAC95B8-8C70-4730-BC20-D40E1B6DAD44}"/>
    <cellStyle name="Normal 8 3 3 3 2 4" xfId="20076" xr:uid="{A190B056-08AF-45BA-9146-0112E4501BC4}"/>
    <cellStyle name="Normal 8 3 3 3 2 5" xfId="36934" xr:uid="{CB122361-87F1-4361-B9CD-8CD40FBBDCFF}"/>
    <cellStyle name="Normal 8 3 3 3 2 6" xfId="11641" xr:uid="{14F94695-C735-4BAC-AA26-B0B58F579BB4}"/>
    <cellStyle name="Normal 8 3 3 3 3" xfId="5279" xr:uid="{00000000-0005-0000-0000-0000991D0000}"/>
    <cellStyle name="Normal 8 3 3 3 3 2" xfId="30578" xr:uid="{9998BCDF-C2A0-44BA-89B5-A566598FA920}"/>
    <cellStyle name="Normal 8 3 3 3 3 3" xfId="22149" xr:uid="{676046D9-6CF8-45BA-9CCC-710C273A5646}"/>
    <cellStyle name="Normal 8 3 3 3 3 4" xfId="39006" xr:uid="{04977F12-10C2-416B-B39E-068DEAF0D6E0}"/>
    <cellStyle name="Normal 8 3 3 3 3 5" xfId="13714" xr:uid="{78C420B0-7FA8-46C2-A84D-1925E2F9FEAD}"/>
    <cellStyle name="Normal 8 3 3 3 4" xfId="26360" xr:uid="{E6241613-404C-478F-91CA-2C9C82A24CAB}"/>
    <cellStyle name="Normal 8 3 3 3 5" xfId="17931" xr:uid="{75A68724-9FEC-49D4-BD93-38262FAD55ED}"/>
    <cellStyle name="Normal 8 3 3 3 6" xfId="34789" xr:uid="{A2F63081-9A2E-4963-8979-A7B2C218A0CB}"/>
    <cellStyle name="Normal 8 3 3 3 7" xfId="9496" xr:uid="{3250FF91-05CE-44ED-AFAF-22A1D251FC29}"/>
    <cellStyle name="Normal 8 3 3 4" xfId="1384" xr:uid="{00000000-0005-0000-0000-00009A1D0000}"/>
    <cellStyle name="Normal 8 3 3 4 2" xfId="3614" xr:uid="{00000000-0005-0000-0000-00009B1D0000}"/>
    <cellStyle name="Normal 8 3 3 4 2 2" xfId="7837" xr:uid="{00000000-0005-0000-0000-00009C1D0000}"/>
    <cellStyle name="Normal 8 3 3 4 2 2 2" xfId="33136" xr:uid="{C96FF4B1-1E3D-43D0-AB3A-245897481C7C}"/>
    <cellStyle name="Normal 8 3 3 4 2 2 3" xfId="24707" xr:uid="{D0E01E01-612C-4A33-84D3-32D8A9E670B0}"/>
    <cellStyle name="Normal 8 3 3 4 2 2 4" xfId="41564" xr:uid="{3E3AC5E8-3B43-4AB9-989E-AF50CAA95DA0}"/>
    <cellStyle name="Normal 8 3 3 4 2 2 5" xfId="16272" xr:uid="{C552B705-7CF7-44D8-9BEB-D87FAEEED00E}"/>
    <cellStyle name="Normal 8 3 3 4 2 3" xfId="28918" xr:uid="{06574A6B-2688-485E-9EE5-9236FBAA2FDB}"/>
    <cellStyle name="Normal 8 3 3 4 2 4" xfId="20489" xr:uid="{D2A51714-9DFF-42EA-9A82-E36ACF064DCA}"/>
    <cellStyle name="Normal 8 3 3 4 2 5" xfId="37347" xr:uid="{2EA86687-93C6-48FD-8191-834BB8761D26}"/>
    <cellStyle name="Normal 8 3 3 4 2 6" xfId="12054" xr:uid="{D9AE63AE-EBC3-41F2-8D15-C2CFC3506628}"/>
    <cellStyle name="Normal 8 3 3 4 3" xfId="5692" xr:uid="{00000000-0005-0000-0000-00009D1D0000}"/>
    <cellStyle name="Normal 8 3 3 4 3 2" xfId="30991" xr:uid="{E3BDE4A9-A429-4F79-8AD6-265873ADBED9}"/>
    <cellStyle name="Normal 8 3 3 4 3 3" xfId="22562" xr:uid="{390C0702-EFBA-4E34-BF9F-38C5CA60844F}"/>
    <cellStyle name="Normal 8 3 3 4 3 4" xfId="39419" xr:uid="{0579E425-EA83-4FB6-A908-8A68B8041B70}"/>
    <cellStyle name="Normal 8 3 3 4 3 5" xfId="14127" xr:uid="{5F18D0A6-B2AA-436D-889A-CDC6A517318F}"/>
    <cellStyle name="Normal 8 3 3 4 4" xfId="26773" xr:uid="{52443AF3-636C-4FD2-ADF1-C4DF6909D58B}"/>
    <cellStyle name="Normal 8 3 3 4 5" xfId="18344" xr:uid="{0C5CEE59-2880-465B-B149-7867529C9014}"/>
    <cellStyle name="Normal 8 3 3 4 6" xfId="35202" xr:uid="{645DFCFB-468A-46AC-8F17-13D2268556A1}"/>
    <cellStyle name="Normal 8 3 3 4 7" xfId="9909" xr:uid="{6B909095-498D-4A51-A512-CFDE4B93500B}"/>
    <cellStyle name="Normal 8 3 3 5" xfId="1797" xr:uid="{00000000-0005-0000-0000-00009E1D0000}"/>
    <cellStyle name="Normal 8 3 3 5 2" xfId="4027" xr:uid="{00000000-0005-0000-0000-00009F1D0000}"/>
    <cellStyle name="Normal 8 3 3 5 2 2" xfId="8250" xr:uid="{00000000-0005-0000-0000-0000A01D0000}"/>
    <cellStyle name="Normal 8 3 3 5 2 2 2" xfId="33549" xr:uid="{657A0266-9C10-4DCF-8DC7-AB4658670AA9}"/>
    <cellStyle name="Normal 8 3 3 5 2 2 3" xfId="25120" xr:uid="{234F374B-7CE4-448E-8D76-601AC02BB493}"/>
    <cellStyle name="Normal 8 3 3 5 2 2 4" xfId="41977" xr:uid="{BAF69F5E-5AC6-4987-B811-978AE1D02BA6}"/>
    <cellStyle name="Normal 8 3 3 5 2 2 5" xfId="16685" xr:uid="{EC34E8C9-671A-4028-BB14-AFD8C14FF989}"/>
    <cellStyle name="Normal 8 3 3 5 2 3" xfId="29331" xr:uid="{585C4967-BB2D-4081-94E4-600BA22994B6}"/>
    <cellStyle name="Normal 8 3 3 5 2 4" xfId="20902" xr:uid="{30860F33-57BE-47C4-BC76-3116FCBAFAA5}"/>
    <cellStyle name="Normal 8 3 3 5 2 5" xfId="37760" xr:uid="{30BFDA90-6AD9-40A5-92F3-0DA26BAFA300}"/>
    <cellStyle name="Normal 8 3 3 5 2 6" xfId="12467" xr:uid="{5705A8FB-16E6-4D8E-98AA-26C7A727956F}"/>
    <cellStyle name="Normal 8 3 3 5 3" xfId="6105" xr:uid="{00000000-0005-0000-0000-0000A11D0000}"/>
    <cellStyle name="Normal 8 3 3 5 3 2" xfId="31404" xr:uid="{4BC7C178-C5D8-4519-B5A0-CC7D23F4DBCC}"/>
    <cellStyle name="Normal 8 3 3 5 3 3" xfId="22975" xr:uid="{F4DC3879-65D2-4CF7-A541-1372F1855B32}"/>
    <cellStyle name="Normal 8 3 3 5 3 4" xfId="39832" xr:uid="{FB63403C-A41C-4F0A-BA71-91AE372E04D0}"/>
    <cellStyle name="Normal 8 3 3 5 3 5" xfId="14540" xr:uid="{AFB47A4F-E356-461F-8BB7-18021500EDC3}"/>
    <cellStyle name="Normal 8 3 3 5 4" xfId="27186" xr:uid="{B92F119C-F6AA-4ADD-BE28-B4176FF8F099}"/>
    <cellStyle name="Normal 8 3 3 5 5" xfId="18757" xr:uid="{DBAFC90D-A6ED-45FD-B3AD-B9B874697880}"/>
    <cellStyle name="Normal 8 3 3 5 6" xfId="35615" xr:uid="{9077E19B-629D-40C9-B7E3-8B3E7515DA29}"/>
    <cellStyle name="Normal 8 3 3 5 7" xfId="10322" xr:uid="{847F2E05-77D1-439A-8EBF-E1568168F51B}"/>
    <cellStyle name="Normal 8 3 3 6" xfId="2211" xr:uid="{00000000-0005-0000-0000-0000A21D0000}"/>
    <cellStyle name="Normal 8 3 3 6 2" xfId="4440" xr:uid="{00000000-0005-0000-0000-0000A31D0000}"/>
    <cellStyle name="Normal 8 3 3 6 2 2" xfId="8663" xr:uid="{00000000-0005-0000-0000-0000A41D0000}"/>
    <cellStyle name="Normal 8 3 3 6 2 2 2" xfId="33962" xr:uid="{04E9F2F6-C58D-4BB4-905F-88B3F7E24102}"/>
    <cellStyle name="Normal 8 3 3 6 2 2 3" xfId="25533" xr:uid="{C92CAEEC-65C6-449A-BE4A-0D49A689DBC7}"/>
    <cellStyle name="Normal 8 3 3 6 2 2 4" xfId="42390" xr:uid="{47BB57FF-C07D-40F4-9DDF-F71216EC70E1}"/>
    <cellStyle name="Normal 8 3 3 6 2 2 5" xfId="17098" xr:uid="{80A76357-052B-400B-A9D4-FB3716985BD8}"/>
    <cellStyle name="Normal 8 3 3 6 2 3" xfId="29744" xr:uid="{92FE6857-17E0-4769-987D-7A27403185AB}"/>
    <cellStyle name="Normal 8 3 3 6 2 4" xfId="21315" xr:uid="{463266D5-B66D-4AC4-8BF4-378D17AC646E}"/>
    <cellStyle name="Normal 8 3 3 6 2 5" xfId="38173" xr:uid="{BDAC8C67-8199-4816-9C73-5073E446F323}"/>
    <cellStyle name="Normal 8 3 3 6 2 6" xfId="12880" xr:uid="{5129E6A5-B1E2-4D80-8331-083AEE8B0459}"/>
    <cellStyle name="Normal 8 3 3 6 3" xfId="6518" xr:uid="{00000000-0005-0000-0000-0000A51D0000}"/>
    <cellStyle name="Normal 8 3 3 6 3 2" xfId="31817" xr:uid="{75D43260-6A82-403A-BE42-E145E2731D51}"/>
    <cellStyle name="Normal 8 3 3 6 3 3" xfId="23388" xr:uid="{307EDB9F-1628-448C-9582-0A7F4EAD01D6}"/>
    <cellStyle name="Normal 8 3 3 6 3 4" xfId="40245" xr:uid="{E54C549C-3EBB-437A-8F65-05E7FBB0E2BD}"/>
    <cellStyle name="Normal 8 3 3 6 3 5" xfId="14953" xr:uid="{E850ADA9-2F65-4EB9-8F3F-F3381284E74E}"/>
    <cellStyle name="Normal 8 3 3 6 4" xfId="27599" xr:uid="{32278EB4-474A-4DD0-BDAD-184AD73311B9}"/>
    <cellStyle name="Normal 8 3 3 6 5" xfId="19170" xr:uid="{EAC397B8-63DC-4FC1-8444-EDB3F8EC642C}"/>
    <cellStyle name="Normal 8 3 3 6 6" xfId="36028" xr:uid="{C10003D6-0205-4199-8083-B42F9B3B4621}"/>
    <cellStyle name="Normal 8 3 3 6 7" xfId="10735" xr:uid="{ED1B37E3-B9FC-4D4D-A41A-160ABA5DE66A}"/>
    <cellStyle name="Normal 8 3 3 7" xfId="2647" xr:uid="{00000000-0005-0000-0000-0000A61D0000}"/>
    <cellStyle name="Normal 8 3 3 7 2" xfId="6931" xr:uid="{00000000-0005-0000-0000-0000A71D0000}"/>
    <cellStyle name="Normal 8 3 3 7 2 2" xfId="32230" xr:uid="{E8109104-7357-4F64-ACE8-780E1F14EC0B}"/>
    <cellStyle name="Normal 8 3 3 7 2 3" xfId="23801" xr:uid="{993E5028-90E2-41C7-8C10-BD6EE07A7644}"/>
    <cellStyle name="Normal 8 3 3 7 2 4" xfId="40658" xr:uid="{4128B7BE-613E-4771-95AF-B3DDC30EC6AB}"/>
    <cellStyle name="Normal 8 3 3 7 2 5" xfId="15366" xr:uid="{6CC940D6-4AE9-4F10-B448-D5B045CC6C05}"/>
    <cellStyle name="Normal 8 3 3 7 3" xfId="28012" xr:uid="{452A40A6-2B16-4139-B109-59DCFC700ED3}"/>
    <cellStyle name="Normal 8 3 3 7 4" xfId="19583" xr:uid="{5499A6D1-656A-4837-AC04-397A929762F2}"/>
    <cellStyle name="Normal 8 3 3 7 5" xfId="36441" xr:uid="{48E08159-E31D-4C5E-9ED1-2D8A1D864E7D}"/>
    <cellStyle name="Normal 8 3 3 7 6" xfId="11148" xr:uid="{037CA253-4454-4C75-A4CB-E49678352CEE}"/>
    <cellStyle name="Normal 8 3 3 8" xfId="4866" xr:uid="{00000000-0005-0000-0000-0000A81D0000}"/>
    <cellStyle name="Normal 8 3 3 8 2" xfId="30165" xr:uid="{D9415D64-99E5-4C7F-93D7-BFF7E261B10F}"/>
    <cellStyle name="Normal 8 3 3 8 3" xfId="21736" xr:uid="{3483D745-556E-4088-B5DE-97A5F7334808}"/>
    <cellStyle name="Normal 8 3 3 8 4" xfId="38593" xr:uid="{4610CCFE-7320-42BD-B90B-153CA8814A46}"/>
    <cellStyle name="Normal 8 3 3 8 5" xfId="13301" xr:uid="{EC8293DD-2618-47B0-8BF2-A0273B4A8F3E}"/>
    <cellStyle name="Normal 8 3 3 9" xfId="25947" xr:uid="{4CE75B18-BF43-4085-BF42-F02AAFBF80D3}"/>
    <cellStyle name="Normal 8 3 4" xfId="502" xr:uid="{00000000-0005-0000-0000-0000A91D0000}"/>
    <cellStyle name="Normal 8 3 4 10" xfId="34378" xr:uid="{89B9D92D-7D7D-4C3D-A9A7-2276BE2D5651}"/>
    <cellStyle name="Normal 8 3 4 11" xfId="9085" xr:uid="{DBA9E27A-EBBF-4A8D-9C46-D1F156257AC0}"/>
    <cellStyle name="Normal 8 3 4 2" xfId="969" xr:uid="{00000000-0005-0000-0000-0000AA1D0000}"/>
    <cellStyle name="Normal 8 3 4 2 2" xfId="3203" xr:uid="{00000000-0005-0000-0000-0000AB1D0000}"/>
    <cellStyle name="Normal 8 3 4 2 2 2" xfId="7426" xr:uid="{00000000-0005-0000-0000-0000AC1D0000}"/>
    <cellStyle name="Normal 8 3 4 2 2 2 2" xfId="32725" xr:uid="{F08BDA3D-ACBD-4082-93CC-15F42295A22D}"/>
    <cellStyle name="Normal 8 3 4 2 2 2 3" xfId="24296" xr:uid="{BB79D9DA-F0D3-4E40-9B79-F4EDD608CB6D}"/>
    <cellStyle name="Normal 8 3 4 2 2 2 4" xfId="41153" xr:uid="{72827255-03D5-48DE-8E88-355D1E0522FD}"/>
    <cellStyle name="Normal 8 3 4 2 2 2 5" xfId="15861" xr:uid="{5AF74EA5-6808-476C-A5A0-8300BD479A76}"/>
    <cellStyle name="Normal 8 3 4 2 2 3" xfId="28507" xr:uid="{1F76F978-5E24-4324-AF51-278C3C9060B1}"/>
    <cellStyle name="Normal 8 3 4 2 2 4" xfId="20078" xr:uid="{62FEBA34-780D-4CE4-831C-A6CEC9F89277}"/>
    <cellStyle name="Normal 8 3 4 2 2 5" xfId="36936" xr:uid="{A5366173-2114-4CBB-A16A-F7E94A4F8030}"/>
    <cellStyle name="Normal 8 3 4 2 2 6" xfId="11643" xr:uid="{88752C88-112E-4660-B3C0-C7A29D9E4FCB}"/>
    <cellStyle name="Normal 8 3 4 2 3" xfId="5281" xr:uid="{00000000-0005-0000-0000-0000AD1D0000}"/>
    <cellStyle name="Normal 8 3 4 2 3 2" xfId="30580" xr:uid="{28B14D9B-1318-4ED0-91A5-EBB59D1CA6D5}"/>
    <cellStyle name="Normal 8 3 4 2 3 3" xfId="22151" xr:uid="{19E301FA-D485-4E2E-B254-4F6B19BD3BC3}"/>
    <cellStyle name="Normal 8 3 4 2 3 4" xfId="39008" xr:uid="{5E45675C-5ACA-45D5-9274-916886A664FF}"/>
    <cellStyle name="Normal 8 3 4 2 3 5" xfId="13716" xr:uid="{C705A35A-7F8D-4F71-8D78-36127E960EE1}"/>
    <cellStyle name="Normal 8 3 4 2 4" xfId="26362" xr:uid="{CFFD0A64-00F8-4B13-9EC7-0681D38D2EBF}"/>
    <cellStyle name="Normal 8 3 4 2 5" xfId="17933" xr:uid="{A298D7DE-E873-4565-8579-5778BC7ED1A4}"/>
    <cellStyle name="Normal 8 3 4 2 6" xfId="34791" xr:uid="{8AE7D552-F209-4C05-A86E-406EF99C4ABF}"/>
    <cellStyle name="Normal 8 3 4 2 7" xfId="9498" xr:uid="{C823A4D9-7E43-48AC-A9FA-C8F264441E02}"/>
    <cellStyle name="Normal 8 3 4 3" xfId="1386" xr:uid="{00000000-0005-0000-0000-0000AE1D0000}"/>
    <cellStyle name="Normal 8 3 4 3 2" xfId="3616" xr:uid="{00000000-0005-0000-0000-0000AF1D0000}"/>
    <cellStyle name="Normal 8 3 4 3 2 2" xfId="7839" xr:uid="{00000000-0005-0000-0000-0000B01D0000}"/>
    <cellStyle name="Normal 8 3 4 3 2 2 2" xfId="33138" xr:uid="{D867B20D-ACB6-4EA1-B0C3-ED83AD2D4F41}"/>
    <cellStyle name="Normal 8 3 4 3 2 2 3" xfId="24709" xr:uid="{CFAF136C-C9E3-4BA7-A015-92251A5CAE82}"/>
    <cellStyle name="Normal 8 3 4 3 2 2 4" xfId="41566" xr:uid="{0790BC2B-267C-4B1A-9ED6-8177CAC20F39}"/>
    <cellStyle name="Normal 8 3 4 3 2 2 5" xfId="16274" xr:uid="{A0236402-714B-402B-A116-BC9444966CF5}"/>
    <cellStyle name="Normal 8 3 4 3 2 3" xfId="28920" xr:uid="{1F984675-C623-4009-A1E2-24F3342164EA}"/>
    <cellStyle name="Normal 8 3 4 3 2 4" xfId="20491" xr:uid="{FB52875A-F621-447D-B15E-9368715053A5}"/>
    <cellStyle name="Normal 8 3 4 3 2 5" xfId="37349" xr:uid="{5A460F14-5FCD-44BD-A84A-F968AB6ECCAB}"/>
    <cellStyle name="Normal 8 3 4 3 2 6" xfId="12056" xr:uid="{062DFBAA-6033-428F-9542-F8A3D321F750}"/>
    <cellStyle name="Normal 8 3 4 3 3" xfId="5694" xr:uid="{00000000-0005-0000-0000-0000B11D0000}"/>
    <cellStyle name="Normal 8 3 4 3 3 2" xfId="30993" xr:uid="{40D8C966-8E20-480A-B6E9-76E330205D2D}"/>
    <cellStyle name="Normal 8 3 4 3 3 3" xfId="22564" xr:uid="{C511DF79-8EC9-40A9-A487-A1219AFEF32A}"/>
    <cellStyle name="Normal 8 3 4 3 3 4" xfId="39421" xr:uid="{0AC98779-ED7C-4377-A1A3-7E02727458AE}"/>
    <cellStyle name="Normal 8 3 4 3 3 5" xfId="14129" xr:uid="{FA4BB140-3C74-4F1F-A168-4ABED3EA4E28}"/>
    <cellStyle name="Normal 8 3 4 3 4" xfId="26775" xr:uid="{CB2187D9-BC18-427D-9AE6-36D53AEFAE2E}"/>
    <cellStyle name="Normal 8 3 4 3 5" xfId="18346" xr:uid="{95712265-BB13-4A98-B166-F0A81F1ABCE8}"/>
    <cellStyle name="Normal 8 3 4 3 6" xfId="35204" xr:uid="{4D8C1CC2-F16B-4F3E-8FFF-14378953748E}"/>
    <cellStyle name="Normal 8 3 4 3 7" xfId="9911" xr:uid="{44A2F029-81A5-486A-AA75-D55DF9355669}"/>
    <cellStyle name="Normal 8 3 4 4" xfId="1799" xr:uid="{00000000-0005-0000-0000-0000B21D0000}"/>
    <cellStyle name="Normal 8 3 4 4 2" xfId="4029" xr:uid="{00000000-0005-0000-0000-0000B31D0000}"/>
    <cellStyle name="Normal 8 3 4 4 2 2" xfId="8252" xr:uid="{00000000-0005-0000-0000-0000B41D0000}"/>
    <cellStyle name="Normal 8 3 4 4 2 2 2" xfId="33551" xr:uid="{7ABE5462-246A-4185-AB33-B020704D5925}"/>
    <cellStyle name="Normal 8 3 4 4 2 2 3" xfId="25122" xr:uid="{8C69EA6F-FD16-4E06-8578-B574EB61902D}"/>
    <cellStyle name="Normal 8 3 4 4 2 2 4" xfId="41979" xr:uid="{C101024C-2F4D-4530-8B86-BD97511A0FFD}"/>
    <cellStyle name="Normal 8 3 4 4 2 2 5" xfId="16687" xr:uid="{B4A78815-B344-4250-8810-25F2C7186739}"/>
    <cellStyle name="Normal 8 3 4 4 2 3" xfId="29333" xr:uid="{B7A325E6-FB8E-4222-8207-CBEEC93A29C9}"/>
    <cellStyle name="Normal 8 3 4 4 2 4" xfId="20904" xr:uid="{82CFFD57-E785-45E5-B5BB-2D3EA3B002CC}"/>
    <cellStyle name="Normal 8 3 4 4 2 5" xfId="37762" xr:uid="{3FCA984F-19F2-49A4-BFFA-ADE7629EB09A}"/>
    <cellStyle name="Normal 8 3 4 4 2 6" xfId="12469" xr:uid="{D00CF7EA-8C7A-4644-B1AC-87CC2B752A7F}"/>
    <cellStyle name="Normal 8 3 4 4 3" xfId="6107" xr:uid="{00000000-0005-0000-0000-0000B51D0000}"/>
    <cellStyle name="Normal 8 3 4 4 3 2" xfId="31406" xr:uid="{8D26325D-8F20-4A1A-8641-9A96F2B5710B}"/>
    <cellStyle name="Normal 8 3 4 4 3 3" xfId="22977" xr:uid="{3ECD05E2-7B2E-4B00-9A12-B5B5AD06BECE}"/>
    <cellStyle name="Normal 8 3 4 4 3 4" xfId="39834" xr:uid="{975E6CCE-8035-41A0-9014-68DF1EB3227D}"/>
    <cellStyle name="Normal 8 3 4 4 3 5" xfId="14542" xr:uid="{FBF53E59-C53D-40E5-B365-341F097A9585}"/>
    <cellStyle name="Normal 8 3 4 4 4" xfId="27188" xr:uid="{210A3D67-E163-460A-812B-1E705ADF00E7}"/>
    <cellStyle name="Normal 8 3 4 4 5" xfId="18759" xr:uid="{D9CEFEC2-BED8-4458-92A6-803EC4BC842C}"/>
    <cellStyle name="Normal 8 3 4 4 6" xfId="35617" xr:uid="{389A594E-4675-4AF6-AE26-222129A9A167}"/>
    <cellStyle name="Normal 8 3 4 4 7" xfId="10324" xr:uid="{C4A35C58-6A89-413E-BA49-B03FE44546D6}"/>
    <cellStyle name="Normal 8 3 4 5" xfId="2213" xr:uid="{00000000-0005-0000-0000-0000B61D0000}"/>
    <cellStyle name="Normal 8 3 4 5 2" xfId="4442" xr:uid="{00000000-0005-0000-0000-0000B71D0000}"/>
    <cellStyle name="Normal 8 3 4 5 2 2" xfId="8665" xr:uid="{00000000-0005-0000-0000-0000B81D0000}"/>
    <cellStyle name="Normal 8 3 4 5 2 2 2" xfId="33964" xr:uid="{3FB8C470-D523-41F7-BC03-759E1169408A}"/>
    <cellStyle name="Normal 8 3 4 5 2 2 3" xfId="25535" xr:uid="{F269AD42-B953-4EB8-B274-21CC23820119}"/>
    <cellStyle name="Normal 8 3 4 5 2 2 4" xfId="42392" xr:uid="{2B6A93DF-E719-42C0-9BBD-C19B7865F3E4}"/>
    <cellStyle name="Normal 8 3 4 5 2 2 5" xfId="17100" xr:uid="{B21DF710-4C39-476F-BFA9-951513860258}"/>
    <cellStyle name="Normal 8 3 4 5 2 3" xfId="29746" xr:uid="{68D4B9E4-6DD0-48FF-8EFD-576C6FEBA9AC}"/>
    <cellStyle name="Normal 8 3 4 5 2 4" xfId="21317" xr:uid="{DD4EB003-9414-42DA-9A57-6B4C08A5399B}"/>
    <cellStyle name="Normal 8 3 4 5 2 5" xfId="38175" xr:uid="{6E5732EA-96C4-417E-A4B2-5B9D356AECE7}"/>
    <cellStyle name="Normal 8 3 4 5 2 6" xfId="12882" xr:uid="{AC751E49-1720-4744-AEDF-A599EB9DAA5D}"/>
    <cellStyle name="Normal 8 3 4 5 3" xfId="6520" xr:uid="{00000000-0005-0000-0000-0000B91D0000}"/>
    <cellStyle name="Normal 8 3 4 5 3 2" xfId="31819" xr:uid="{0D30FDB4-2C5E-4AD3-A759-5D928D937147}"/>
    <cellStyle name="Normal 8 3 4 5 3 3" xfId="23390" xr:uid="{F34CE71D-8E1C-445A-B325-EB398BAD21C6}"/>
    <cellStyle name="Normal 8 3 4 5 3 4" xfId="40247" xr:uid="{92214755-026C-4EBE-A65D-7FA12727E8D1}"/>
    <cellStyle name="Normal 8 3 4 5 3 5" xfId="14955" xr:uid="{5EFC8D8A-1EC5-4680-9BEF-7E6888BA76D3}"/>
    <cellStyle name="Normal 8 3 4 5 4" xfId="27601" xr:uid="{F0592532-2A83-4A2A-BA51-33B82416B931}"/>
    <cellStyle name="Normal 8 3 4 5 5" xfId="19172" xr:uid="{2CE6E70C-23F4-484B-BE50-19305AC738A1}"/>
    <cellStyle name="Normal 8 3 4 5 6" xfId="36030" xr:uid="{35D3AF18-A4B1-4F5F-8701-FBFEE239D780}"/>
    <cellStyle name="Normal 8 3 4 5 7" xfId="10737" xr:uid="{BF02D647-9AC4-4E90-AD9A-C1EE382FC4AD}"/>
    <cellStyle name="Normal 8 3 4 6" xfId="2649" xr:uid="{00000000-0005-0000-0000-0000BA1D0000}"/>
    <cellStyle name="Normal 8 3 4 6 2" xfId="6933" xr:uid="{00000000-0005-0000-0000-0000BB1D0000}"/>
    <cellStyle name="Normal 8 3 4 6 2 2" xfId="32232" xr:uid="{A25887DF-00EE-4947-B382-BA14B1D56773}"/>
    <cellStyle name="Normal 8 3 4 6 2 3" xfId="23803" xr:uid="{ADC5070A-91EE-412D-9FF7-D9D7483F560A}"/>
    <cellStyle name="Normal 8 3 4 6 2 4" xfId="40660" xr:uid="{297262DE-77B0-4A40-920B-197140B3C8FA}"/>
    <cellStyle name="Normal 8 3 4 6 2 5" xfId="15368" xr:uid="{7B978490-CAB9-468E-80BB-3B70CAD1601E}"/>
    <cellStyle name="Normal 8 3 4 6 3" xfId="28014" xr:uid="{D15C5C83-1002-4BA5-9F98-02D83700119B}"/>
    <cellStyle name="Normal 8 3 4 6 4" xfId="19585" xr:uid="{0C04B866-E632-4977-8259-26C2106B0101}"/>
    <cellStyle name="Normal 8 3 4 6 5" xfId="36443" xr:uid="{B337F6E5-3734-4414-A1D1-AD9F81AD38C6}"/>
    <cellStyle name="Normal 8 3 4 6 6" xfId="11150" xr:uid="{0917DE14-9A02-49D4-BC20-DC328C4C63B9}"/>
    <cellStyle name="Normal 8 3 4 7" xfId="4868" xr:uid="{00000000-0005-0000-0000-0000BC1D0000}"/>
    <cellStyle name="Normal 8 3 4 7 2" xfId="30167" xr:uid="{38879CF8-7FC2-4086-9CEA-331F7CC858EE}"/>
    <cellStyle name="Normal 8 3 4 7 3" xfId="21738" xr:uid="{8CB04DA7-791B-4AD4-A36A-4079161D00CE}"/>
    <cellStyle name="Normal 8 3 4 7 4" xfId="38595" xr:uid="{E6F7A311-3E16-4427-84E4-E03869F4199F}"/>
    <cellStyle name="Normal 8 3 4 7 5" xfId="13303" xr:uid="{ED4F10D8-8C59-4F88-B5F3-C622888622AC}"/>
    <cellStyle name="Normal 8 3 4 8" xfId="25949" xr:uid="{A594D7F6-8022-4608-AB0E-D872ED4BC4F0}"/>
    <cellStyle name="Normal 8 3 4 9" xfId="17520" xr:uid="{537E1217-268A-48B4-981E-8AFE4F8A09D1}"/>
    <cellStyle name="Normal 8 3 5" xfId="962" xr:uid="{00000000-0005-0000-0000-0000BD1D0000}"/>
    <cellStyle name="Normal 8 3 5 2" xfId="3196" xr:uid="{00000000-0005-0000-0000-0000BE1D0000}"/>
    <cellStyle name="Normal 8 3 5 2 2" xfId="7419" xr:uid="{00000000-0005-0000-0000-0000BF1D0000}"/>
    <cellStyle name="Normal 8 3 5 2 2 2" xfId="32718" xr:uid="{E5986ED8-9E5E-42EB-BA5E-46B3D00211D5}"/>
    <cellStyle name="Normal 8 3 5 2 2 3" xfId="24289" xr:uid="{1F647C37-3CBE-445C-B255-538027455BEF}"/>
    <cellStyle name="Normal 8 3 5 2 2 4" xfId="41146" xr:uid="{70152366-AC38-4453-BC70-41A7DE5E6BEE}"/>
    <cellStyle name="Normal 8 3 5 2 2 5" xfId="15854" xr:uid="{9552AE53-D9EF-41B0-8894-CF588FC0A038}"/>
    <cellStyle name="Normal 8 3 5 2 3" xfId="28500" xr:uid="{B840C3FE-CDB8-4549-9F56-D99A6122C397}"/>
    <cellStyle name="Normal 8 3 5 2 4" xfId="20071" xr:uid="{2D6C625E-7D3E-4CD2-AFEE-9EAB54AF43AE}"/>
    <cellStyle name="Normal 8 3 5 2 5" xfId="36929" xr:uid="{AC79BC23-82A8-4465-948A-DFB4C6BE8819}"/>
    <cellStyle name="Normal 8 3 5 2 6" xfId="11636" xr:uid="{813A3B4E-F07D-4AC6-8C5F-0D6F171EBE6A}"/>
    <cellStyle name="Normal 8 3 5 3" xfId="5274" xr:uid="{00000000-0005-0000-0000-0000C01D0000}"/>
    <cellStyle name="Normal 8 3 5 3 2" xfId="30573" xr:uid="{22A8CBFF-071F-44FB-8E2A-9E7C22414F23}"/>
    <cellStyle name="Normal 8 3 5 3 3" xfId="22144" xr:uid="{0E692EE4-BBB4-49AD-95C7-2712E5FABC54}"/>
    <cellStyle name="Normal 8 3 5 3 4" xfId="39001" xr:uid="{4809D507-4024-4389-9410-CD610DF7E2D2}"/>
    <cellStyle name="Normal 8 3 5 3 5" xfId="13709" xr:uid="{BA29CC00-4C28-48D7-8263-C74BFFC829A6}"/>
    <cellStyle name="Normal 8 3 5 4" xfId="26355" xr:uid="{ACC3DED4-4416-4785-8523-85EF5997F6E5}"/>
    <cellStyle name="Normal 8 3 5 5" xfId="17926" xr:uid="{7184B07A-483B-42BB-9043-8C91A57D3A19}"/>
    <cellStyle name="Normal 8 3 5 6" xfId="34784" xr:uid="{1618834E-9224-480A-B2B8-8F974E98BA9F}"/>
    <cellStyle name="Normal 8 3 5 7" xfId="9491" xr:uid="{9AECA231-68EF-487F-9608-D26D3AC34C01}"/>
    <cellStyle name="Normal 8 3 6" xfId="1379" xr:uid="{00000000-0005-0000-0000-0000C11D0000}"/>
    <cellStyle name="Normal 8 3 6 2" xfId="3609" xr:uid="{00000000-0005-0000-0000-0000C21D0000}"/>
    <cellStyle name="Normal 8 3 6 2 2" xfId="7832" xr:uid="{00000000-0005-0000-0000-0000C31D0000}"/>
    <cellStyle name="Normal 8 3 6 2 2 2" xfId="33131" xr:uid="{EFB1C779-1427-4762-B947-95D069CC7892}"/>
    <cellStyle name="Normal 8 3 6 2 2 3" xfId="24702" xr:uid="{CEB64A0C-9FA9-46AF-B4B2-86AA31FC80B9}"/>
    <cellStyle name="Normal 8 3 6 2 2 4" xfId="41559" xr:uid="{FDB4807A-F950-490B-9C9D-6133AA00C607}"/>
    <cellStyle name="Normal 8 3 6 2 2 5" xfId="16267" xr:uid="{406A5986-7D91-465F-92B3-6A8B7F9896D3}"/>
    <cellStyle name="Normal 8 3 6 2 3" xfId="28913" xr:uid="{4E1F4C0E-828F-4D77-B851-706C841394F0}"/>
    <cellStyle name="Normal 8 3 6 2 4" xfId="20484" xr:uid="{4F60292D-2777-4590-8DCA-EEF4CD83839A}"/>
    <cellStyle name="Normal 8 3 6 2 5" xfId="37342" xr:uid="{63158787-96EC-4C4C-9874-FEECA2E3775C}"/>
    <cellStyle name="Normal 8 3 6 2 6" xfId="12049" xr:uid="{DF8A37E1-0B02-4376-9771-379B60BD49ED}"/>
    <cellStyle name="Normal 8 3 6 3" xfId="5687" xr:uid="{00000000-0005-0000-0000-0000C41D0000}"/>
    <cellStyle name="Normal 8 3 6 3 2" xfId="30986" xr:uid="{BCA71BDF-2053-4B4F-9A90-17D6C8FA59F2}"/>
    <cellStyle name="Normal 8 3 6 3 3" xfId="22557" xr:uid="{04A5E7CB-4B02-4ECD-9628-4A7A926A2E1D}"/>
    <cellStyle name="Normal 8 3 6 3 4" xfId="39414" xr:uid="{65037176-DF4E-4400-BBD9-E38FEA82CE9B}"/>
    <cellStyle name="Normal 8 3 6 3 5" xfId="14122" xr:uid="{FA2B0EF6-55EC-42A6-AAD0-ADAA0D234519}"/>
    <cellStyle name="Normal 8 3 6 4" xfId="26768" xr:uid="{0B83D960-3525-4000-9EAB-B6E3E1B5688E}"/>
    <cellStyle name="Normal 8 3 6 5" xfId="18339" xr:uid="{FADE0486-2E68-428D-84B2-1F69D38063CA}"/>
    <cellStyle name="Normal 8 3 6 6" xfId="35197" xr:uid="{18ECE3C9-AF71-4B84-8C2A-A538BBA32CF6}"/>
    <cellStyle name="Normal 8 3 6 7" xfId="9904" xr:uid="{7AB52362-712B-4857-8D7A-35935C36483A}"/>
    <cellStyle name="Normal 8 3 7" xfId="1792" xr:uid="{00000000-0005-0000-0000-0000C51D0000}"/>
    <cellStyle name="Normal 8 3 7 2" xfId="4022" xr:uid="{00000000-0005-0000-0000-0000C61D0000}"/>
    <cellStyle name="Normal 8 3 7 2 2" xfId="8245" xr:uid="{00000000-0005-0000-0000-0000C71D0000}"/>
    <cellStyle name="Normal 8 3 7 2 2 2" xfId="33544" xr:uid="{AE71FFCC-ADF0-4B8F-898A-224B36C14C62}"/>
    <cellStyle name="Normal 8 3 7 2 2 3" xfId="25115" xr:uid="{A54AB670-B8E5-4242-A810-1BC79800A034}"/>
    <cellStyle name="Normal 8 3 7 2 2 4" xfId="41972" xr:uid="{E6BF357C-4C4D-47C8-B930-AAF498EB2CFE}"/>
    <cellStyle name="Normal 8 3 7 2 2 5" xfId="16680" xr:uid="{D0D61F44-A22A-4D6A-BE6B-D0250E41B8F0}"/>
    <cellStyle name="Normal 8 3 7 2 3" xfId="29326" xr:uid="{5A3C3BDF-5A83-40B9-AF58-0F2F1A8C7E48}"/>
    <cellStyle name="Normal 8 3 7 2 4" xfId="20897" xr:uid="{F9AC58D2-C7F2-406A-8A82-A38E33BBBE89}"/>
    <cellStyle name="Normal 8 3 7 2 5" xfId="37755" xr:uid="{D7A85E70-8FE4-4B72-81A8-4AFA4A6634E7}"/>
    <cellStyle name="Normal 8 3 7 2 6" xfId="12462" xr:uid="{86BFD77B-94AC-4F79-AD44-CA7DA1B5ACD4}"/>
    <cellStyle name="Normal 8 3 7 3" xfId="6100" xr:uid="{00000000-0005-0000-0000-0000C81D0000}"/>
    <cellStyle name="Normal 8 3 7 3 2" xfId="31399" xr:uid="{9BE8E706-770E-44EA-BA9A-3961CDCAA507}"/>
    <cellStyle name="Normal 8 3 7 3 3" xfId="22970" xr:uid="{98A91790-4ABC-42C6-BF79-62C03CAB1511}"/>
    <cellStyle name="Normal 8 3 7 3 4" xfId="39827" xr:uid="{33A4B53B-DB61-423E-8D88-D7A4CCD27AA7}"/>
    <cellStyle name="Normal 8 3 7 3 5" xfId="14535" xr:uid="{F925773A-885D-42D6-811F-E7ED1D66A6EF}"/>
    <cellStyle name="Normal 8 3 7 4" xfId="27181" xr:uid="{A4E6F3F5-4D06-4B42-B682-3323F6438738}"/>
    <cellStyle name="Normal 8 3 7 5" xfId="18752" xr:uid="{FB6593CE-2480-41E6-94AF-39BF5EE7F056}"/>
    <cellStyle name="Normal 8 3 7 6" xfId="35610" xr:uid="{C83AD3F8-1ED0-4BC3-8EE1-45D0A663FFD4}"/>
    <cellStyle name="Normal 8 3 7 7" xfId="10317" xr:uid="{CF586F49-D697-4540-ACED-838F342012EA}"/>
    <cellStyle name="Normal 8 3 8" xfId="2206" xr:uid="{00000000-0005-0000-0000-0000C91D0000}"/>
    <cellStyle name="Normal 8 3 8 2" xfId="4435" xr:uid="{00000000-0005-0000-0000-0000CA1D0000}"/>
    <cellStyle name="Normal 8 3 8 2 2" xfId="8658" xr:uid="{00000000-0005-0000-0000-0000CB1D0000}"/>
    <cellStyle name="Normal 8 3 8 2 2 2" xfId="33957" xr:uid="{A416082C-ADC6-40DB-B5AD-ED0BFD17FA03}"/>
    <cellStyle name="Normal 8 3 8 2 2 3" xfId="25528" xr:uid="{850AEED9-D653-4961-8B7D-E2149EE64110}"/>
    <cellStyle name="Normal 8 3 8 2 2 4" xfId="42385" xr:uid="{91B01188-82FE-4A07-A485-1C08E37EC090}"/>
    <cellStyle name="Normal 8 3 8 2 2 5" xfId="17093" xr:uid="{8F52DEF2-51A9-4F6A-AD6A-A41ECD6BDD10}"/>
    <cellStyle name="Normal 8 3 8 2 3" xfId="29739" xr:uid="{40887DF5-3648-46A0-86C7-477F63CA58A6}"/>
    <cellStyle name="Normal 8 3 8 2 4" xfId="21310" xr:uid="{0D182373-7E66-4315-A23E-EE75910D7C09}"/>
    <cellStyle name="Normal 8 3 8 2 5" xfId="38168" xr:uid="{02F8E56F-C9CF-45C5-B5EC-39A343F82229}"/>
    <cellStyle name="Normal 8 3 8 2 6" xfId="12875" xr:uid="{922980DC-36A2-469E-9FCA-85C5AC96D95D}"/>
    <cellStyle name="Normal 8 3 8 3" xfId="6513" xr:uid="{00000000-0005-0000-0000-0000CC1D0000}"/>
    <cellStyle name="Normal 8 3 8 3 2" xfId="31812" xr:uid="{4A883C6D-E649-4FB4-8216-0F521254B5A4}"/>
    <cellStyle name="Normal 8 3 8 3 3" xfId="23383" xr:uid="{AA3C070D-EE87-4D80-816F-268E966FEE4D}"/>
    <cellStyle name="Normal 8 3 8 3 4" xfId="40240" xr:uid="{4EAEF24C-ABE8-4B79-96DD-B1947F18E541}"/>
    <cellStyle name="Normal 8 3 8 3 5" xfId="14948" xr:uid="{1C13B2F9-121E-42C1-9316-CF897A525A97}"/>
    <cellStyle name="Normal 8 3 8 4" xfId="27594" xr:uid="{59E6DBB2-33E4-4781-ABDE-714157E0D6AC}"/>
    <cellStyle name="Normal 8 3 8 5" xfId="19165" xr:uid="{04E92883-D733-4035-8488-70FDEB6E4947}"/>
    <cellStyle name="Normal 8 3 8 6" xfId="36023" xr:uid="{5C2A6CF6-8F07-411A-A825-D4206D72DD98}"/>
    <cellStyle name="Normal 8 3 8 7" xfId="10730" xr:uid="{F6AEB263-E29C-48EA-BD05-FFFD9AE1327E}"/>
    <cellStyle name="Normal 8 3 9" xfId="2642" xr:uid="{00000000-0005-0000-0000-0000CD1D0000}"/>
    <cellStyle name="Normal 8 3 9 2" xfId="6926" xr:uid="{00000000-0005-0000-0000-0000CE1D0000}"/>
    <cellStyle name="Normal 8 3 9 2 2" xfId="32225" xr:uid="{9A0407D5-E51E-465A-AF5B-0B54E1000E5E}"/>
    <cellStyle name="Normal 8 3 9 2 3" xfId="23796" xr:uid="{71308FA7-ED45-43CE-A9C6-E51FA6A5745C}"/>
    <cellStyle name="Normal 8 3 9 2 4" xfId="40653" xr:uid="{D9B23F7A-7A5A-4687-BA45-F9F074C2B19C}"/>
    <cellStyle name="Normal 8 3 9 2 5" xfId="15361" xr:uid="{19DBAD65-1DBF-4DC0-9175-EA92EA05C009}"/>
    <cellStyle name="Normal 8 3 9 3" xfId="28007" xr:uid="{DDBC17F2-72D9-4CE9-B994-D8EE68B97094}"/>
    <cellStyle name="Normal 8 3 9 4" xfId="19578" xr:uid="{8F85D670-455D-474D-8064-A9E295D338C9}"/>
    <cellStyle name="Normal 8 3 9 5" xfId="36436" xr:uid="{85938806-48FF-4618-8ADE-9494F6F90297}"/>
    <cellStyle name="Normal 8 3 9 6" xfId="11143" xr:uid="{0F9B1B8E-251F-44AB-A4D5-129BDB6F82E9}"/>
    <cellStyle name="Normal 8 4" xfId="503" xr:uid="{00000000-0005-0000-0000-0000CF1D0000}"/>
    <cellStyle name="Normal 8 4 10" xfId="25950" xr:uid="{04E0F974-6D5D-4A34-B517-BFD90B154692}"/>
    <cellStyle name="Normal 8 4 11" xfId="17521" xr:uid="{DED2F6E0-3B12-4EA9-AE47-A16D67319AA2}"/>
    <cellStyle name="Normal 8 4 12" xfId="34379" xr:uid="{B5E851C7-65CC-4F16-8E5A-7BF3C84C0BD4}"/>
    <cellStyle name="Normal 8 4 13" xfId="9086" xr:uid="{65D59D70-35A6-41A2-855F-4A3D020A1AFD}"/>
    <cellStyle name="Normal 8 4 2" xfId="504" xr:uid="{00000000-0005-0000-0000-0000D01D0000}"/>
    <cellStyle name="Normal 8 4 2 10" xfId="17522" xr:uid="{0178C536-D347-43FE-A820-45AF1288713D}"/>
    <cellStyle name="Normal 8 4 2 11" xfId="34380" xr:uid="{1882755B-C62D-4589-877C-CEB562682942}"/>
    <cellStyle name="Normal 8 4 2 12" xfId="9087" xr:uid="{CB7ED8B6-737A-484F-A404-8B57FF60593F}"/>
    <cellStyle name="Normal 8 4 2 2" xfId="505" xr:uid="{00000000-0005-0000-0000-0000D11D0000}"/>
    <cellStyle name="Normal 8 4 2 2 10" xfId="34381" xr:uid="{30628EE5-DC64-4A30-A053-9DBF3C7CC0CA}"/>
    <cellStyle name="Normal 8 4 2 2 11" xfId="9088" xr:uid="{1012A10E-B7D7-4DE6-9300-904E351CB6E1}"/>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32728" xr:uid="{90F4B601-78AF-4354-9C66-B0E06F01CB31}"/>
    <cellStyle name="Normal 8 4 2 2 2 2 2 3" xfId="24299" xr:uid="{5C4EBCC5-D616-401F-94FA-D81B0D473882}"/>
    <cellStyle name="Normal 8 4 2 2 2 2 2 4" xfId="41156" xr:uid="{9C70337D-FB8B-4313-96D3-320B01129D93}"/>
    <cellStyle name="Normal 8 4 2 2 2 2 2 5" xfId="15864" xr:uid="{223E9DEF-8D5E-4111-B516-AB757A5C0BD9}"/>
    <cellStyle name="Normal 8 4 2 2 2 2 3" xfId="28510" xr:uid="{624D91F2-E467-427E-9E01-1BD97347CAB2}"/>
    <cellStyle name="Normal 8 4 2 2 2 2 4" xfId="20081" xr:uid="{57C35CA6-CCCC-4281-A547-89CE6F88B476}"/>
    <cellStyle name="Normal 8 4 2 2 2 2 5" xfId="36939" xr:uid="{8D83CD71-FBA8-4806-B5C1-738E3644E223}"/>
    <cellStyle name="Normal 8 4 2 2 2 2 6" xfId="11646" xr:uid="{A801F5ED-10C3-41DA-BBBB-AEE42BBDB0A0}"/>
    <cellStyle name="Normal 8 4 2 2 2 3" xfId="5284" xr:uid="{00000000-0005-0000-0000-0000D51D0000}"/>
    <cellStyle name="Normal 8 4 2 2 2 3 2" xfId="30583" xr:uid="{4ECCBE96-984C-4EA1-BCDB-9E82B1C3FAFB}"/>
    <cellStyle name="Normal 8 4 2 2 2 3 3" xfId="22154" xr:uid="{4F680735-D8DC-4372-932B-7323A65B8918}"/>
    <cellStyle name="Normal 8 4 2 2 2 3 4" xfId="39011" xr:uid="{15861C52-F34D-4AB5-B33B-FBF391D7ED02}"/>
    <cellStyle name="Normal 8 4 2 2 2 3 5" xfId="13719" xr:uid="{0EB96067-7F6E-490A-86F8-B522715B377A}"/>
    <cellStyle name="Normal 8 4 2 2 2 4" xfId="26365" xr:uid="{70CC3266-A669-4882-AB93-D6B9E7FFCF69}"/>
    <cellStyle name="Normal 8 4 2 2 2 5" xfId="17936" xr:uid="{AFC4FFC3-E699-4166-A659-46BEE913306E}"/>
    <cellStyle name="Normal 8 4 2 2 2 6" xfId="34794" xr:uid="{9DF47445-AB1E-40D3-8A6E-F0EFBC296180}"/>
    <cellStyle name="Normal 8 4 2 2 2 7" xfId="9501" xr:uid="{FE7D0ED0-36B6-4E6A-9FA7-BDE7D077B578}"/>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33141" xr:uid="{DA78067C-6D15-4343-89D3-1514F98F472D}"/>
    <cellStyle name="Normal 8 4 2 2 3 2 2 3" xfId="24712" xr:uid="{BF94EFF6-0181-486D-9B79-2ECBFFC2D4EF}"/>
    <cellStyle name="Normal 8 4 2 2 3 2 2 4" xfId="41569" xr:uid="{29EE303C-D1D6-49C6-946F-35DFD808D848}"/>
    <cellStyle name="Normal 8 4 2 2 3 2 2 5" xfId="16277" xr:uid="{B85F3F17-D6E0-4FA9-AAF9-236AB80B75B8}"/>
    <cellStyle name="Normal 8 4 2 2 3 2 3" xfId="28923" xr:uid="{DD4DDE90-6D6F-460B-A2C1-9B0B690C2E9C}"/>
    <cellStyle name="Normal 8 4 2 2 3 2 4" xfId="20494" xr:uid="{0E029D5D-129A-4D9C-9CA5-4DCE562D36A7}"/>
    <cellStyle name="Normal 8 4 2 2 3 2 5" xfId="37352" xr:uid="{D2B1DB56-5B22-4B69-8702-BA9099CD3883}"/>
    <cellStyle name="Normal 8 4 2 2 3 2 6" xfId="12059" xr:uid="{EE7B3E92-37C3-4F26-99A1-FFFE6B40251E}"/>
    <cellStyle name="Normal 8 4 2 2 3 3" xfId="5697" xr:uid="{00000000-0005-0000-0000-0000D91D0000}"/>
    <cellStyle name="Normal 8 4 2 2 3 3 2" xfId="30996" xr:uid="{97E36ADF-847C-476B-AB2F-16ECF626ED50}"/>
    <cellStyle name="Normal 8 4 2 2 3 3 3" xfId="22567" xr:uid="{DB9FDE52-237B-409C-B0EC-97788BB4E48C}"/>
    <cellStyle name="Normal 8 4 2 2 3 3 4" xfId="39424" xr:uid="{47211AD7-8E87-45DB-A985-863807E5A48F}"/>
    <cellStyle name="Normal 8 4 2 2 3 3 5" xfId="14132" xr:uid="{B1639130-A71D-4BA1-AF0A-DB6FA55B8A80}"/>
    <cellStyle name="Normal 8 4 2 2 3 4" xfId="26778" xr:uid="{D22BD55C-20F6-41E7-90FE-F68676077C16}"/>
    <cellStyle name="Normal 8 4 2 2 3 5" xfId="18349" xr:uid="{2BB0534C-6433-41EC-AB2F-73315C314293}"/>
    <cellStyle name="Normal 8 4 2 2 3 6" xfId="35207" xr:uid="{B0F4D442-6D90-4486-9AC0-4B305BCB7962}"/>
    <cellStyle name="Normal 8 4 2 2 3 7" xfId="9914" xr:uid="{50D07F49-1972-42B4-AAB0-4FD8613D4487}"/>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33554" xr:uid="{DE714BDB-97ED-43B4-BB98-DD6246ED607F}"/>
    <cellStyle name="Normal 8 4 2 2 4 2 2 3" xfId="25125" xr:uid="{96EB6C19-2F14-4851-8B56-D2341CCB81AC}"/>
    <cellStyle name="Normal 8 4 2 2 4 2 2 4" xfId="41982" xr:uid="{F31D99A4-1AB8-46B7-822D-4567F0E39B7C}"/>
    <cellStyle name="Normal 8 4 2 2 4 2 2 5" xfId="16690" xr:uid="{157D73A8-2511-4420-BDEE-7731B311AFD5}"/>
    <cellStyle name="Normal 8 4 2 2 4 2 3" xfId="29336" xr:uid="{1981114E-7A21-44A6-A8F5-5A4411D5AC8C}"/>
    <cellStyle name="Normal 8 4 2 2 4 2 4" xfId="20907" xr:uid="{055E0300-C1CA-4AB7-8010-8C0F6017209E}"/>
    <cellStyle name="Normal 8 4 2 2 4 2 5" xfId="37765" xr:uid="{C9AE31C0-3BBD-4B89-B449-C7C61DA7F372}"/>
    <cellStyle name="Normal 8 4 2 2 4 2 6" xfId="12472" xr:uid="{9C945ED2-C95B-41BD-BD52-9360797691EC}"/>
    <cellStyle name="Normal 8 4 2 2 4 3" xfId="6110" xr:uid="{00000000-0005-0000-0000-0000DD1D0000}"/>
    <cellStyle name="Normal 8 4 2 2 4 3 2" xfId="31409" xr:uid="{F64A923E-AB39-44E2-98D5-466FAD87AEDD}"/>
    <cellStyle name="Normal 8 4 2 2 4 3 3" xfId="22980" xr:uid="{4B597052-EAE4-44E5-BA29-C250975DE310}"/>
    <cellStyle name="Normal 8 4 2 2 4 3 4" xfId="39837" xr:uid="{A300C87B-82DD-47BB-B02E-C0E2EC0DB28D}"/>
    <cellStyle name="Normal 8 4 2 2 4 3 5" xfId="14545" xr:uid="{6D74A2DD-5663-4410-BC51-CD7D0C1AB2C0}"/>
    <cellStyle name="Normal 8 4 2 2 4 4" xfId="27191" xr:uid="{5E8C2A22-DA24-4F89-BB35-4E86DA543DEF}"/>
    <cellStyle name="Normal 8 4 2 2 4 5" xfId="18762" xr:uid="{F27EDD4E-69CA-4B97-8BBC-970D25783362}"/>
    <cellStyle name="Normal 8 4 2 2 4 6" xfId="35620" xr:uid="{B2AC0C29-434A-4A26-ABC8-EAE2AF6EE051}"/>
    <cellStyle name="Normal 8 4 2 2 4 7" xfId="10327" xr:uid="{60A6F8E6-D726-4C5D-BE66-7623367112B1}"/>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33967" xr:uid="{89D05283-3299-4EFD-BD38-A78F58048A4E}"/>
    <cellStyle name="Normal 8 4 2 2 5 2 2 3" xfId="25538" xr:uid="{E6162A4E-51D8-4576-9DD2-46B1A40D3D5B}"/>
    <cellStyle name="Normal 8 4 2 2 5 2 2 4" xfId="42395" xr:uid="{3B40EC8F-7E23-40CA-9F6E-701C08AA0410}"/>
    <cellStyle name="Normal 8 4 2 2 5 2 2 5" xfId="17103" xr:uid="{EA9BB323-DEC5-429C-B077-E5B53C414B29}"/>
    <cellStyle name="Normal 8 4 2 2 5 2 3" xfId="29749" xr:uid="{E3D6B4C0-2C9D-477D-9E40-D1655DB9444B}"/>
    <cellStyle name="Normal 8 4 2 2 5 2 4" xfId="21320" xr:uid="{88E2845E-E875-44D1-AF6E-B40F76E8A967}"/>
    <cellStyle name="Normal 8 4 2 2 5 2 5" xfId="38178" xr:uid="{6A803061-9AE9-4275-A3AF-B4263AA2D7E5}"/>
    <cellStyle name="Normal 8 4 2 2 5 2 6" xfId="12885" xr:uid="{A52AF881-50C2-48E4-B6A4-20A4B246A156}"/>
    <cellStyle name="Normal 8 4 2 2 5 3" xfId="6523" xr:uid="{00000000-0005-0000-0000-0000E11D0000}"/>
    <cellStyle name="Normal 8 4 2 2 5 3 2" xfId="31822" xr:uid="{03F305F2-77FE-40F8-B55F-53227EB0E591}"/>
    <cellStyle name="Normal 8 4 2 2 5 3 3" xfId="23393" xr:uid="{46D7AC10-34E0-4D53-9FBA-076FD433A8F2}"/>
    <cellStyle name="Normal 8 4 2 2 5 3 4" xfId="40250" xr:uid="{228E20CB-C471-4368-B325-6EA0D935D991}"/>
    <cellStyle name="Normal 8 4 2 2 5 3 5" xfId="14958" xr:uid="{9487099D-3F29-4DD9-B3BA-1E5F2EC5CC95}"/>
    <cellStyle name="Normal 8 4 2 2 5 4" xfId="27604" xr:uid="{299F7D35-ABCA-443E-82BF-D2637A535B96}"/>
    <cellStyle name="Normal 8 4 2 2 5 5" xfId="19175" xr:uid="{566115AD-7D10-46CF-9A3E-6017C2A99CF0}"/>
    <cellStyle name="Normal 8 4 2 2 5 6" xfId="36033" xr:uid="{7F950528-8E30-4CF4-B64C-0DCC1603FA98}"/>
    <cellStyle name="Normal 8 4 2 2 5 7" xfId="10740" xr:uid="{D1983AA9-BEF9-40ED-A240-7F09E7A1EB25}"/>
    <cellStyle name="Normal 8 4 2 2 6" xfId="2652" xr:uid="{00000000-0005-0000-0000-0000E21D0000}"/>
    <cellStyle name="Normal 8 4 2 2 6 2" xfId="6936" xr:uid="{00000000-0005-0000-0000-0000E31D0000}"/>
    <cellStyle name="Normal 8 4 2 2 6 2 2" xfId="32235" xr:uid="{4DBF81FD-CB6A-4652-855A-C90EBE82F598}"/>
    <cellStyle name="Normal 8 4 2 2 6 2 3" xfId="23806" xr:uid="{B42796E1-4386-42D9-AA58-D83D64CCEF3A}"/>
    <cellStyle name="Normal 8 4 2 2 6 2 4" xfId="40663" xr:uid="{9EEC3B08-E4ED-4D39-83F0-02E655C075C1}"/>
    <cellStyle name="Normal 8 4 2 2 6 2 5" xfId="15371" xr:uid="{A308B457-5DAC-4B05-B7BC-A89256A7C719}"/>
    <cellStyle name="Normal 8 4 2 2 6 3" xfId="28017" xr:uid="{E330E275-85D8-4478-8CB2-0315B42D8A94}"/>
    <cellStyle name="Normal 8 4 2 2 6 4" xfId="19588" xr:uid="{6EE27BA7-40EF-42D6-A9E2-2FBBCFF28D6E}"/>
    <cellStyle name="Normal 8 4 2 2 6 5" xfId="36446" xr:uid="{81C9F753-1C32-47E4-A140-4E327B4D82F8}"/>
    <cellStyle name="Normal 8 4 2 2 6 6" xfId="11153" xr:uid="{A84666E8-B354-4AD8-82AF-CCD961D733FA}"/>
    <cellStyle name="Normal 8 4 2 2 7" xfId="4871" xr:uid="{00000000-0005-0000-0000-0000E41D0000}"/>
    <cellStyle name="Normal 8 4 2 2 7 2" xfId="30170" xr:uid="{50DBA3BA-F671-477E-A754-7A3961C57BEA}"/>
    <cellStyle name="Normal 8 4 2 2 7 3" xfId="21741" xr:uid="{D1589B51-258B-4D75-BD5A-233D75B2D986}"/>
    <cellStyle name="Normal 8 4 2 2 7 4" xfId="38598" xr:uid="{CAEDBCD2-9192-4CD2-BAD5-927EA5522F51}"/>
    <cellStyle name="Normal 8 4 2 2 7 5" xfId="13306" xr:uid="{A0EB3E66-18AE-4BE5-ADB8-8DF6E911A7B9}"/>
    <cellStyle name="Normal 8 4 2 2 8" xfId="25952" xr:uid="{1FE644AD-D185-40B9-B7CA-DC0B054146B5}"/>
    <cellStyle name="Normal 8 4 2 2 9" xfId="17523" xr:uid="{EB60D35C-7615-4885-B63C-EA5EA339C5B4}"/>
    <cellStyle name="Normal 8 4 2 3" xfId="971" xr:uid="{00000000-0005-0000-0000-0000E51D0000}"/>
    <cellStyle name="Normal 8 4 2 3 2" xfId="3205" xr:uid="{00000000-0005-0000-0000-0000E61D0000}"/>
    <cellStyle name="Normal 8 4 2 3 2 2" xfId="7428" xr:uid="{00000000-0005-0000-0000-0000E71D0000}"/>
    <cellStyle name="Normal 8 4 2 3 2 2 2" xfId="32727" xr:uid="{3B34F794-12B6-41C3-BC95-90216D13291C}"/>
    <cellStyle name="Normal 8 4 2 3 2 2 3" xfId="24298" xr:uid="{EA90658F-1F0A-4968-9353-98745A1CACE9}"/>
    <cellStyle name="Normal 8 4 2 3 2 2 4" xfId="41155" xr:uid="{A0308389-8DE0-4850-A7F2-C4260AD56A84}"/>
    <cellStyle name="Normal 8 4 2 3 2 2 5" xfId="15863" xr:uid="{0F8C061F-03F3-4451-A5F2-13E3707D5345}"/>
    <cellStyle name="Normal 8 4 2 3 2 3" xfId="28509" xr:uid="{0ABF7CBE-9663-4D54-9C66-D2F4B3AA6927}"/>
    <cellStyle name="Normal 8 4 2 3 2 4" xfId="20080" xr:uid="{E0C998A1-1FD8-4CF9-957F-1140D1CC37B6}"/>
    <cellStyle name="Normal 8 4 2 3 2 5" xfId="36938" xr:uid="{8D5F555B-2E5E-4E1E-A73B-B432228E203D}"/>
    <cellStyle name="Normal 8 4 2 3 2 6" xfId="11645" xr:uid="{E343DCAE-672F-4DE4-8F57-11F8887A5E53}"/>
    <cellStyle name="Normal 8 4 2 3 3" xfId="5283" xr:uid="{00000000-0005-0000-0000-0000E81D0000}"/>
    <cellStyle name="Normal 8 4 2 3 3 2" xfId="30582" xr:uid="{A8389733-CAB2-42F1-A03B-99BF9BA64EDF}"/>
    <cellStyle name="Normal 8 4 2 3 3 3" xfId="22153" xr:uid="{CA0C1265-EC4B-45A8-AFD5-BB69485E9C6B}"/>
    <cellStyle name="Normal 8 4 2 3 3 4" xfId="39010" xr:uid="{13C24726-C503-45D2-98B2-FC4B346A55FB}"/>
    <cellStyle name="Normal 8 4 2 3 3 5" xfId="13718" xr:uid="{71D59C5A-1766-4992-8776-12F09151E574}"/>
    <cellStyle name="Normal 8 4 2 3 4" xfId="26364" xr:uid="{8AB0DECE-C6BF-450F-B8A5-E874557CE2A0}"/>
    <cellStyle name="Normal 8 4 2 3 5" xfId="17935" xr:uid="{756471F8-ACD8-4081-93BB-86DF5A72ADA9}"/>
    <cellStyle name="Normal 8 4 2 3 6" xfId="34793" xr:uid="{C387A92E-7EDE-4719-9F7F-BAD148E586A4}"/>
    <cellStyle name="Normal 8 4 2 3 7" xfId="9500" xr:uid="{824B0786-8A8E-4B45-8861-E06098A5ECD9}"/>
    <cellStyle name="Normal 8 4 2 4" xfId="1388" xr:uid="{00000000-0005-0000-0000-0000E91D0000}"/>
    <cellStyle name="Normal 8 4 2 4 2" xfId="3618" xr:uid="{00000000-0005-0000-0000-0000EA1D0000}"/>
    <cellStyle name="Normal 8 4 2 4 2 2" xfId="7841" xr:uid="{00000000-0005-0000-0000-0000EB1D0000}"/>
    <cellStyle name="Normal 8 4 2 4 2 2 2" xfId="33140" xr:uid="{60B52925-F7B4-4818-8F52-AE12B9ED95B3}"/>
    <cellStyle name="Normal 8 4 2 4 2 2 3" xfId="24711" xr:uid="{8F08233D-CEB2-4FCD-A1FF-F9CFF1F742A0}"/>
    <cellStyle name="Normal 8 4 2 4 2 2 4" xfId="41568" xr:uid="{B4E60362-2CDA-403F-9747-43995455C290}"/>
    <cellStyle name="Normal 8 4 2 4 2 2 5" xfId="16276" xr:uid="{798A4998-0355-4FE2-B755-980F802C1B10}"/>
    <cellStyle name="Normal 8 4 2 4 2 3" xfId="28922" xr:uid="{7F78BFA8-303C-479C-8597-5B1701EB8BB8}"/>
    <cellStyle name="Normal 8 4 2 4 2 4" xfId="20493" xr:uid="{4D49E132-8A78-4F64-BA24-DAA4D4092C56}"/>
    <cellStyle name="Normal 8 4 2 4 2 5" xfId="37351" xr:uid="{F123D526-7221-4B84-B5AF-EFAD2A1EC363}"/>
    <cellStyle name="Normal 8 4 2 4 2 6" xfId="12058" xr:uid="{CF927502-604F-4BDF-AF44-B01B1AC2E55A}"/>
    <cellStyle name="Normal 8 4 2 4 3" xfId="5696" xr:uid="{00000000-0005-0000-0000-0000EC1D0000}"/>
    <cellStyle name="Normal 8 4 2 4 3 2" xfId="30995" xr:uid="{C204E04C-C902-44B9-901B-9DFEC65C43B0}"/>
    <cellStyle name="Normal 8 4 2 4 3 3" xfId="22566" xr:uid="{20A1B1EC-9F99-41B0-8B25-EC75C885304C}"/>
    <cellStyle name="Normal 8 4 2 4 3 4" xfId="39423" xr:uid="{3E8A1AF3-5271-4053-A264-6346A8A5EDEF}"/>
    <cellStyle name="Normal 8 4 2 4 3 5" xfId="14131" xr:uid="{D6CAD074-25BB-4374-8FF9-71E3410FEFD3}"/>
    <cellStyle name="Normal 8 4 2 4 4" xfId="26777" xr:uid="{2C370671-E9E7-4FD2-9909-B80D1BE37CC2}"/>
    <cellStyle name="Normal 8 4 2 4 5" xfId="18348" xr:uid="{4C1AD741-10D8-4D01-90AA-913856B36ABA}"/>
    <cellStyle name="Normal 8 4 2 4 6" xfId="35206" xr:uid="{E12CC273-4B3B-4D79-A436-21A89D6E0132}"/>
    <cellStyle name="Normal 8 4 2 4 7" xfId="9913" xr:uid="{20A2234D-E015-4A2D-B974-88A7A8D9C32B}"/>
    <cellStyle name="Normal 8 4 2 5" xfId="1801" xr:uid="{00000000-0005-0000-0000-0000ED1D0000}"/>
    <cellStyle name="Normal 8 4 2 5 2" xfId="4031" xr:uid="{00000000-0005-0000-0000-0000EE1D0000}"/>
    <cellStyle name="Normal 8 4 2 5 2 2" xfId="8254" xr:uid="{00000000-0005-0000-0000-0000EF1D0000}"/>
    <cellStyle name="Normal 8 4 2 5 2 2 2" xfId="33553" xr:uid="{63D561DB-423B-4EDB-813F-0A995B894032}"/>
    <cellStyle name="Normal 8 4 2 5 2 2 3" xfId="25124" xr:uid="{E9BC3B18-5BE4-44BF-BE16-46DE251CC3F2}"/>
    <cellStyle name="Normal 8 4 2 5 2 2 4" xfId="41981" xr:uid="{131AEB3C-9DDD-4296-8865-7EB49D2006D3}"/>
    <cellStyle name="Normal 8 4 2 5 2 2 5" xfId="16689" xr:uid="{58FDF28B-84DA-498F-9937-90266D041E6A}"/>
    <cellStyle name="Normal 8 4 2 5 2 3" xfId="29335" xr:uid="{F26B98C8-0BB7-49F1-A2DE-4C884FE824BB}"/>
    <cellStyle name="Normal 8 4 2 5 2 4" xfId="20906" xr:uid="{C93504E2-3B35-4B51-A0D3-E478A697BCBE}"/>
    <cellStyle name="Normal 8 4 2 5 2 5" xfId="37764" xr:uid="{C4E9D493-D43B-4EDC-8D4B-49DFA7DD12BF}"/>
    <cellStyle name="Normal 8 4 2 5 2 6" xfId="12471" xr:uid="{EC494F6D-DE9F-4636-BDEA-2D674C7527FD}"/>
    <cellStyle name="Normal 8 4 2 5 3" xfId="6109" xr:uid="{00000000-0005-0000-0000-0000F01D0000}"/>
    <cellStyle name="Normal 8 4 2 5 3 2" xfId="31408" xr:uid="{9A954DBA-1EFC-4A8C-B759-B54A41B9813C}"/>
    <cellStyle name="Normal 8 4 2 5 3 3" xfId="22979" xr:uid="{C28292D8-0544-4C48-A3D0-90CA1D59B065}"/>
    <cellStyle name="Normal 8 4 2 5 3 4" xfId="39836" xr:uid="{2ACABEDB-E4A9-48B4-9C52-583BCBCC018E}"/>
    <cellStyle name="Normal 8 4 2 5 3 5" xfId="14544" xr:uid="{8A76AA98-2F60-4260-8CDC-CE3DA28CD424}"/>
    <cellStyle name="Normal 8 4 2 5 4" xfId="27190" xr:uid="{26F1CA46-7AFD-4EE7-8F27-4D066E83B04C}"/>
    <cellStyle name="Normal 8 4 2 5 5" xfId="18761" xr:uid="{9BA9147B-7E4B-406A-BC94-091AC5EA94A6}"/>
    <cellStyle name="Normal 8 4 2 5 6" xfId="35619" xr:uid="{AB4E3F80-33A2-4162-B841-E3E3F6AACB8F}"/>
    <cellStyle name="Normal 8 4 2 5 7" xfId="10326" xr:uid="{D22C121F-34F6-45DB-9598-49E57F5035AC}"/>
    <cellStyle name="Normal 8 4 2 6" xfId="2215" xr:uid="{00000000-0005-0000-0000-0000F11D0000}"/>
    <cellStyle name="Normal 8 4 2 6 2" xfId="4444" xr:uid="{00000000-0005-0000-0000-0000F21D0000}"/>
    <cellStyle name="Normal 8 4 2 6 2 2" xfId="8667" xr:uid="{00000000-0005-0000-0000-0000F31D0000}"/>
    <cellStyle name="Normal 8 4 2 6 2 2 2" xfId="33966" xr:uid="{978710DA-4E6F-4EE2-A556-300DE512CEA6}"/>
    <cellStyle name="Normal 8 4 2 6 2 2 3" xfId="25537" xr:uid="{D86042CF-AA01-46BA-85AA-A2FAFAE206BA}"/>
    <cellStyle name="Normal 8 4 2 6 2 2 4" xfId="42394" xr:uid="{0BA46538-DB9A-4497-BDCD-EC0919A73D76}"/>
    <cellStyle name="Normal 8 4 2 6 2 2 5" xfId="17102" xr:uid="{057457A1-3FD3-4456-B23C-AD8387F0E7FC}"/>
    <cellStyle name="Normal 8 4 2 6 2 3" xfId="29748" xr:uid="{580BD4FA-AB84-42DD-9A9F-AAF2F72F8BE2}"/>
    <cellStyle name="Normal 8 4 2 6 2 4" xfId="21319" xr:uid="{6C322C44-CA4D-4CC8-B47D-F963F7A766AC}"/>
    <cellStyle name="Normal 8 4 2 6 2 5" xfId="38177" xr:uid="{ACB93038-3D2E-470E-B35B-9B16CC3D955B}"/>
    <cellStyle name="Normal 8 4 2 6 2 6" xfId="12884" xr:uid="{47B3A882-4FC5-4290-AC03-785096D35977}"/>
    <cellStyle name="Normal 8 4 2 6 3" xfId="6522" xr:uid="{00000000-0005-0000-0000-0000F41D0000}"/>
    <cellStyle name="Normal 8 4 2 6 3 2" xfId="31821" xr:uid="{CE7F84B0-E6E6-436A-A8CC-1050A7A5AF02}"/>
    <cellStyle name="Normal 8 4 2 6 3 3" xfId="23392" xr:uid="{95966F1D-722B-4D4F-87F8-A27F50858C72}"/>
    <cellStyle name="Normal 8 4 2 6 3 4" xfId="40249" xr:uid="{A3C52788-55F8-444B-A908-F5E0A32211ED}"/>
    <cellStyle name="Normal 8 4 2 6 3 5" xfId="14957" xr:uid="{37D310F5-977B-4302-8B9E-0C062B67E272}"/>
    <cellStyle name="Normal 8 4 2 6 4" xfId="27603" xr:uid="{FE0ADB57-F8CE-4A1A-8BC4-E10B2CDCAC08}"/>
    <cellStyle name="Normal 8 4 2 6 5" xfId="19174" xr:uid="{924ADE67-48D0-4938-84AE-3DC8F9AE1034}"/>
    <cellStyle name="Normal 8 4 2 6 6" xfId="36032" xr:uid="{75BFA257-78AB-484E-A65C-55A0224A0984}"/>
    <cellStyle name="Normal 8 4 2 6 7" xfId="10739" xr:uid="{0A36E7F3-9113-4D94-85BA-44BEBBDFABE4}"/>
    <cellStyle name="Normal 8 4 2 7" xfId="2651" xr:uid="{00000000-0005-0000-0000-0000F51D0000}"/>
    <cellStyle name="Normal 8 4 2 7 2" xfId="6935" xr:uid="{00000000-0005-0000-0000-0000F61D0000}"/>
    <cellStyle name="Normal 8 4 2 7 2 2" xfId="32234" xr:uid="{C5AF0D44-245F-49EB-93D9-5B18273A09D1}"/>
    <cellStyle name="Normal 8 4 2 7 2 3" xfId="23805" xr:uid="{92138573-48D1-43FE-B9A2-38341219A305}"/>
    <cellStyle name="Normal 8 4 2 7 2 4" xfId="40662" xr:uid="{4372BDE6-6D94-46C8-A39A-B1AB00682BF9}"/>
    <cellStyle name="Normal 8 4 2 7 2 5" xfId="15370" xr:uid="{49270517-0CCA-4E24-B622-0BC6C3BD4EBD}"/>
    <cellStyle name="Normal 8 4 2 7 3" xfId="28016" xr:uid="{B2D8028A-17F6-47E1-B36E-1F8C1FDBC099}"/>
    <cellStyle name="Normal 8 4 2 7 4" xfId="19587" xr:uid="{B222FDAF-368D-44EB-8864-873D0DCE7169}"/>
    <cellStyle name="Normal 8 4 2 7 5" xfId="36445" xr:uid="{C63CB466-A60D-448C-85BE-3E78C2FA0E71}"/>
    <cellStyle name="Normal 8 4 2 7 6" xfId="11152" xr:uid="{083A42CE-46E9-41E4-BE87-B5B7A93E8011}"/>
    <cellStyle name="Normal 8 4 2 8" xfId="4870" xr:uid="{00000000-0005-0000-0000-0000F71D0000}"/>
    <cellStyle name="Normal 8 4 2 8 2" xfId="30169" xr:uid="{B1CE9C5D-5064-4ED6-8EA7-00410A92CEC8}"/>
    <cellStyle name="Normal 8 4 2 8 3" xfId="21740" xr:uid="{92855A97-6B02-44E9-BA85-7C5E5D4FF581}"/>
    <cellStyle name="Normal 8 4 2 8 4" xfId="38597" xr:uid="{9C6C0DE5-BD6D-4058-9A76-C8A8C563CEE0}"/>
    <cellStyle name="Normal 8 4 2 8 5" xfId="13305" xr:uid="{3AD184E0-5CD6-475F-8535-6798515496BC}"/>
    <cellStyle name="Normal 8 4 2 9" xfId="25951" xr:uid="{47828910-61F7-47F2-A098-5011125629F0}"/>
    <cellStyle name="Normal 8 4 3" xfId="506" xr:uid="{00000000-0005-0000-0000-0000F81D0000}"/>
    <cellStyle name="Normal 8 4 3 10" xfId="34382" xr:uid="{C2CCB100-D099-4737-BB80-E0CBA581E6B3}"/>
    <cellStyle name="Normal 8 4 3 11" xfId="9089" xr:uid="{CA1CFBE7-8FDB-43C8-BD54-B202C00D8BDD}"/>
    <cellStyle name="Normal 8 4 3 2" xfId="973" xr:uid="{00000000-0005-0000-0000-0000F91D0000}"/>
    <cellStyle name="Normal 8 4 3 2 2" xfId="3207" xr:uid="{00000000-0005-0000-0000-0000FA1D0000}"/>
    <cellStyle name="Normal 8 4 3 2 2 2" xfId="7430" xr:uid="{00000000-0005-0000-0000-0000FB1D0000}"/>
    <cellStyle name="Normal 8 4 3 2 2 2 2" xfId="32729" xr:uid="{76D5F434-5055-4DB4-ACA7-CB5C675059FC}"/>
    <cellStyle name="Normal 8 4 3 2 2 2 3" xfId="24300" xr:uid="{BCB5A690-E831-4B27-ACC0-9B8DDFED604A}"/>
    <cellStyle name="Normal 8 4 3 2 2 2 4" xfId="41157" xr:uid="{056C060B-9913-4F4C-A42D-78A1FCFAAC20}"/>
    <cellStyle name="Normal 8 4 3 2 2 2 5" xfId="15865" xr:uid="{19A8D95B-88B8-470D-9A7A-DC287CB04481}"/>
    <cellStyle name="Normal 8 4 3 2 2 3" xfId="28511" xr:uid="{5FF8E736-84C8-4832-BDB5-96B26E5CF7A2}"/>
    <cellStyle name="Normal 8 4 3 2 2 4" xfId="20082" xr:uid="{710AEB20-8AAA-4DB8-B63D-763516AB7AF9}"/>
    <cellStyle name="Normal 8 4 3 2 2 5" xfId="36940" xr:uid="{18AE3831-0D68-4A8D-8D1C-8C9A423A9F2D}"/>
    <cellStyle name="Normal 8 4 3 2 2 6" xfId="11647" xr:uid="{0EC03201-87DB-43F3-90D8-923CD9BD6CA2}"/>
    <cellStyle name="Normal 8 4 3 2 3" xfId="5285" xr:uid="{00000000-0005-0000-0000-0000FC1D0000}"/>
    <cellStyle name="Normal 8 4 3 2 3 2" xfId="30584" xr:uid="{7A677DA6-7351-4351-BE83-9EA51A7C7071}"/>
    <cellStyle name="Normal 8 4 3 2 3 3" xfId="22155" xr:uid="{80B0CE9A-4BBC-48E9-AD38-15C2F5154E82}"/>
    <cellStyle name="Normal 8 4 3 2 3 4" xfId="39012" xr:uid="{9A3A43A5-C6A5-4FC9-8551-855482D7FFFF}"/>
    <cellStyle name="Normal 8 4 3 2 3 5" xfId="13720" xr:uid="{85BE7A8E-D47F-4F8A-9BFA-826201B803CB}"/>
    <cellStyle name="Normal 8 4 3 2 4" xfId="26366" xr:uid="{C6F6F576-0158-4FDB-8A77-315B0D681BF1}"/>
    <cellStyle name="Normal 8 4 3 2 5" xfId="17937" xr:uid="{6E584606-C587-414E-BDEF-13C3F87B628C}"/>
    <cellStyle name="Normal 8 4 3 2 6" xfId="34795" xr:uid="{941BBC8D-A898-4395-801B-716884955D69}"/>
    <cellStyle name="Normal 8 4 3 2 7" xfId="9502" xr:uid="{60EDD8C8-9FE3-438B-883E-5D03BCFA7F46}"/>
    <cellStyle name="Normal 8 4 3 3" xfId="1390" xr:uid="{00000000-0005-0000-0000-0000FD1D0000}"/>
    <cellStyle name="Normal 8 4 3 3 2" xfId="3620" xr:uid="{00000000-0005-0000-0000-0000FE1D0000}"/>
    <cellStyle name="Normal 8 4 3 3 2 2" xfId="7843" xr:uid="{00000000-0005-0000-0000-0000FF1D0000}"/>
    <cellStyle name="Normal 8 4 3 3 2 2 2" xfId="33142" xr:uid="{91E5F2C9-9F7D-42F4-9E55-343BF160956E}"/>
    <cellStyle name="Normal 8 4 3 3 2 2 3" xfId="24713" xr:uid="{FA4CA32D-1A88-4307-AB99-4467A0927343}"/>
    <cellStyle name="Normal 8 4 3 3 2 2 4" xfId="41570" xr:uid="{37A2A89F-ED80-4A84-8007-90A5E347E3F7}"/>
    <cellStyle name="Normal 8 4 3 3 2 2 5" xfId="16278" xr:uid="{8C2F5D72-C871-468F-A8DB-2F88B45D5E3C}"/>
    <cellStyle name="Normal 8 4 3 3 2 3" xfId="28924" xr:uid="{3979B8C2-3F92-44F7-A386-3A8D7B2D727B}"/>
    <cellStyle name="Normal 8 4 3 3 2 4" xfId="20495" xr:uid="{CE61877B-9272-4E8C-BC3A-AAD59DF844BA}"/>
    <cellStyle name="Normal 8 4 3 3 2 5" xfId="37353" xr:uid="{1F69FB81-0E96-4676-B12E-90C1869BE962}"/>
    <cellStyle name="Normal 8 4 3 3 2 6" xfId="12060" xr:uid="{F8CBD6C5-F04C-467E-96E1-11FD575BAA61}"/>
    <cellStyle name="Normal 8 4 3 3 3" xfId="5698" xr:uid="{00000000-0005-0000-0000-0000001E0000}"/>
    <cellStyle name="Normal 8 4 3 3 3 2" xfId="30997" xr:uid="{A224D127-399E-4AE8-972F-76F00818E688}"/>
    <cellStyle name="Normal 8 4 3 3 3 3" xfId="22568" xr:uid="{BF118A47-7AC0-4DBF-B62E-98263E3238B9}"/>
    <cellStyle name="Normal 8 4 3 3 3 4" xfId="39425" xr:uid="{CDB4AB30-D7DE-4DC9-A006-BBD242F93554}"/>
    <cellStyle name="Normal 8 4 3 3 3 5" xfId="14133" xr:uid="{EF5DAD44-C0C1-4967-8DC2-98BB92D4ED8B}"/>
    <cellStyle name="Normal 8 4 3 3 4" xfId="26779" xr:uid="{58BD5090-85D2-44EC-940D-462F8FE205F2}"/>
    <cellStyle name="Normal 8 4 3 3 5" xfId="18350" xr:uid="{B6DE2D84-0AF1-4CBF-AFE5-F71BE6249356}"/>
    <cellStyle name="Normal 8 4 3 3 6" xfId="35208" xr:uid="{E68485FE-7055-484D-86F5-96ABBEA7B3B1}"/>
    <cellStyle name="Normal 8 4 3 3 7" xfId="9915" xr:uid="{DFEEEB1D-406D-42F5-AF8C-87D9D80AB64D}"/>
    <cellStyle name="Normal 8 4 3 4" xfId="1803" xr:uid="{00000000-0005-0000-0000-0000011E0000}"/>
    <cellStyle name="Normal 8 4 3 4 2" xfId="4033" xr:uid="{00000000-0005-0000-0000-0000021E0000}"/>
    <cellStyle name="Normal 8 4 3 4 2 2" xfId="8256" xr:uid="{00000000-0005-0000-0000-0000031E0000}"/>
    <cellStyle name="Normal 8 4 3 4 2 2 2" xfId="33555" xr:uid="{79C23333-3FB0-4DC2-90AB-117D1104DB32}"/>
    <cellStyle name="Normal 8 4 3 4 2 2 3" xfId="25126" xr:uid="{3E8E1D94-BA13-4AFB-A77F-23F2906A0ECD}"/>
    <cellStyle name="Normal 8 4 3 4 2 2 4" xfId="41983" xr:uid="{498421EA-35C8-4033-B8BD-5B1B679A141C}"/>
    <cellStyle name="Normal 8 4 3 4 2 2 5" xfId="16691" xr:uid="{8EC31144-F977-4EA3-9A7C-A6626DF7738A}"/>
    <cellStyle name="Normal 8 4 3 4 2 3" xfId="29337" xr:uid="{0E63E583-2A0A-49DB-AEC8-33BE496C4629}"/>
    <cellStyle name="Normal 8 4 3 4 2 4" xfId="20908" xr:uid="{D550AF64-772B-410D-B8E8-92098B563DA3}"/>
    <cellStyle name="Normal 8 4 3 4 2 5" xfId="37766" xr:uid="{A1EE7510-2ECC-4203-AF43-154472C8454C}"/>
    <cellStyle name="Normal 8 4 3 4 2 6" xfId="12473" xr:uid="{A934C52C-2BB1-45CB-BDFD-65F4D7085ADF}"/>
    <cellStyle name="Normal 8 4 3 4 3" xfId="6111" xr:uid="{00000000-0005-0000-0000-0000041E0000}"/>
    <cellStyle name="Normal 8 4 3 4 3 2" xfId="31410" xr:uid="{7EA2E8F0-46CB-49E8-AD31-46674F057224}"/>
    <cellStyle name="Normal 8 4 3 4 3 3" xfId="22981" xr:uid="{830CD265-52F9-4823-B7BD-D959F9679241}"/>
    <cellStyle name="Normal 8 4 3 4 3 4" xfId="39838" xr:uid="{8E212196-EE90-47FB-B0A2-81915874EF55}"/>
    <cellStyle name="Normal 8 4 3 4 3 5" xfId="14546" xr:uid="{6478CC07-D041-4402-99BC-0280D9BC8EC0}"/>
    <cellStyle name="Normal 8 4 3 4 4" xfId="27192" xr:uid="{023E7380-EAB2-45EA-ACCB-2853A608BE91}"/>
    <cellStyle name="Normal 8 4 3 4 5" xfId="18763" xr:uid="{320E7944-C7BB-4283-AEA1-4A76D2E9A7F2}"/>
    <cellStyle name="Normal 8 4 3 4 6" xfId="35621" xr:uid="{F863059C-5500-4ACA-A06D-57BEB7F532B6}"/>
    <cellStyle name="Normal 8 4 3 4 7" xfId="10328" xr:uid="{4A78A914-1CB0-4C33-A65C-B5E1941A794A}"/>
    <cellStyle name="Normal 8 4 3 5" xfId="2217" xr:uid="{00000000-0005-0000-0000-0000051E0000}"/>
    <cellStyle name="Normal 8 4 3 5 2" xfId="4446" xr:uid="{00000000-0005-0000-0000-0000061E0000}"/>
    <cellStyle name="Normal 8 4 3 5 2 2" xfId="8669" xr:uid="{00000000-0005-0000-0000-0000071E0000}"/>
    <cellStyle name="Normal 8 4 3 5 2 2 2" xfId="33968" xr:uid="{2A55C3C0-169B-40D1-BF4B-3D5951474C02}"/>
    <cellStyle name="Normal 8 4 3 5 2 2 3" xfId="25539" xr:uid="{616AA488-668E-42A6-B3B0-5E591037D86F}"/>
    <cellStyle name="Normal 8 4 3 5 2 2 4" xfId="42396" xr:uid="{E2A9340A-1819-42DE-8C3E-A93B442CCC4C}"/>
    <cellStyle name="Normal 8 4 3 5 2 2 5" xfId="17104" xr:uid="{04F3787B-8DD9-4F22-A6C3-A27EEED6979E}"/>
    <cellStyle name="Normal 8 4 3 5 2 3" xfId="29750" xr:uid="{89FDF82A-50D6-4C87-84E7-32B15763ABBD}"/>
    <cellStyle name="Normal 8 4 3 5 2 4" xfId="21321" xr:uid="{4CFFFC23-E82A-4ACB-8623-5D4544240A31}"/>
    <cellStyle name="Normal 8 4 3 5 2 5" xfId="38179" xr:uid="{D8638646-0FEA-4F71-BA72-EF45823A83CB}"/>
    <cellStyle name="Normal 8 4 3 5 2 6" xfId="12886" xr:uid="{F76325BF-8BCF-46AA-B723-4AC9650A247B}"/>
    <cellStyle name="Normal 8 4 3 5 3" xfId="6524" xr:uid="{00000000-0005-0000-0000-0000081E0000}"/>
    <cellStyle name="Normal 8 4 3 5 3 2" xfId="31823" xr:uid="{0FA03683-004E-494A-A6EB-0CC309BEDECE}"/>
    <cellStyle name="Normal 8 4 3 5 3 3" xfId="23394" xr:uid="{5F63BB8F-76FF-4648-B8F1-ED9473FE880C}"/>
    <cellStyle name="Normal 8 4 3 5 3 4" xfId="40251" xr:uid="{9CFF69DA-AE5D-494E-949B-82B90EED568B}"/>
    <cellStyle name="Normal 8 4 3 5 3 5" xfId="14959" xr:uid="{AAB405F2-47DF-46BB-9D3A-709179C0D550}"/>
    <cellStyle name="Normal 8 4 3 5 4" xfId="27605" xr:uid="{C37EE9C3-D31A-4700-AB4F-BB86DE876F13}"/>
    <cellStyle name="Normal 8 4 3 5 5" xfId="19176" xr:uid="{7FF21845-6C85-4375-9471-A0BE35F5D252}"/>
    <cellStyle name="Normal 8 4 3 5 6" xfId="36034" xr:uid="{085F356D-F8E6-4254-9FE2-3986DEF07AEA}"/>
    <cellStyle name="Normal 8 4 3 5 7" xfId="10741" xr:uid="{53CD956F-0F08-4675-A7A6-F40448969DCE}"/>
    <cellStyle name="Normal 8 4 3 6" xfId="2653" xr:uid="{00000000-0005-0000-0000-0000091E0000}"/>
    <cellStyle name="Normal 8 4 3 6 2" xfId="6937" xr:uid="{00000000-0005-0000-0000-00000A1E0000}"/>
    <cellStyle name="Normal 8 4 3 6 2 2" xfId="32236" xr:uid="{FF1ECD76-35D6-43A1-A8D3-99B0B06A29C4}"/>
    <cellStyle name="Normal 8 4 3 6 2 3" xfId="23807" xr:uid="{85BE8FE5-1677-49A8-BE97-11145B8A31EC}"/>
    <cellStyle name="Normal 8 4 3 6 2 4" xfId="40664" xr:uid="{749C8BEC-B9F3-4D21-956A-C9A063EE3EA9}"/>
    <cellStyle name="Normal 8 4 3 6 2 5" xfId="15372" xr:uid="{6FBD49A2-436F-4BF0-8757-10EFFDE0D442}"/>
    <cellStyle name="Normal 8 4 3 6 3" xfId="28018" xr:uid="{7AF65EB2-11A2-484C-96CA-A55A7FC12816}"/>
    <cellStyle name="Normal 8 4 3 6 4" xfId="19589" xr:uid="{3D9B90B6-BF87-4FDC-8003-51EC99831536}"/>
    <cellStyle name="Normal 8 4 3 6 5" xfId="36447" xr:uid="{EA482DB4-1FD9-4874-97D4-952A45410CAB}"/>
    <cellStyle name="Normal 8 4 3 6 6" xfId="11154" xr:uid="{85F677D4-3B87-448D-941F-DA691B1B9199}"/>
    <cellStyle name="Normal 8 4 3 7" xfId="4872" xr:uid="{00000000-0005-0000-0000-00000B1E0000}"/>
    <cellStyle name="Normal 8 4 3 7 2" xfId="30171" xr:uid="{D5AA1FFF-1F8E-46DB-8A0D-AB27C4618402}"/>
    <cellStyle name="Normal 8 4 3 7 3" xfId="21742" xr:uid="{DA0E7AD8-5B67-401E-B2E6-E978108F7311}"/>
    <cellStyle name="Normal 8 4 3 7 4" xfId="38599" xr:uid="{E9055C55-5B99-4BC7-99CA-41AB279E18F8}"/>
    <cellStyle name="Normal 8 4 3 7 5" xfId="13307" xr:uid="{DE10AD91-E2C0-4B62-B882-DE5228B83BCE}"/>
    <cellStyle name="Normal 8 4 3 8" xfId="25953" xr:uid="{8F66CF71-B4D0-45BC-B978-80387CE7848D}"/>
    <cellStyle name="Normal 8 4 3 9" xfId="17524" xr:uid="{7A8866AF-D40A-4377-A134-043FE7F082A4}"/>
    <cellStyle name="Normal 8 4 4" xfId="970" xr:uid="{00000000-0005-0000-0000-00000C1E0000}"/>
    <cellStyle name="Normal 8 4 4 2" xfId="3204" xr:uid="{00000000-0005-0000-0000-00000D1E0000}"/>
    <cellStyle name="Normal 8 4 4 2 2" xfId="7427" xr:uid="{00000000-0005-0000-0000-00000E1E0000}"/>
    <cellStyle name="Normal 8 4 4 2 2 2" xfId="32726" xr:uid="{DCD93A17-25CE-4C45-8644-48A9D570D2E5}"/>
    <cellStyle name="Normal 8 4 4 2 2 3" xfId="24297" xr:uid="{5DF5C1C1-F023-4994-AA41-4D5190A676BA}"/>
    <cellStyle name="Normal 8 4 4 2 2 4" xfId="41154" xr:uid="{EE0CB062-583A-40A0-BFB5-412CA85293A2}"/>
    <cellStyle name="Normal 8 4 4 2 2 5" xfId="15862" xr:uid="{6318423E-B2E4-4870-89F6-3C447E865F83}"/>
    <cellStyle name="Normal 8 4 4 2 3" xfId="28508" xr:uid="{973ED7F1-30BE-48A7-BAD5-D8715323FCAB}"/>
    <cellStyle name="Normal 8 4 4 2 4" xfId="20079" xr:uid="{D4C14605-E724-4B3C-B161-2D16C643C471}"/>
    <cellStyle name="Normal 8 4 4 2 5" xfId="36937" xr:uid="{A4741C88-CF03-477B-A1D0-57DBF0D65B08}"/>
    <cellStyle name="Normal 8 4 4 2 6" xfId="11644" xr:uid="{26AA0727-873D-4D4B-BACA-849AE36C4F90}"/>
    <cellStyle name="Normal 8 4 4 3" xfId="5282" xr:uid="{00000000-0005-0000-0000-00000F1E0000}"/>
    <cellStyle name="Normal 8 4 4 3 2" xfId="30581" xr:uid="{99E1B52E-B104-4362-8C34-19628BFF2867}"/>
    <cellStyle name="Normal 8 4 4 3 3" xfId="22152" xr:uid="{23E901EA-532E-41CB-98D6-4D25B15A58F5}"/>
    <cellStyle name="Normal 8 4 4 3 4" xfId="39009" xr:uid="{A2E05A37-813F-4418-BD84-F4DC7B1DFD07}"/>
    <cellStyle name="Normal 8 4 4 3 5" xfId="13717" xr:uid="{0F74799F-8979-4F17-8F18-DB7F8B4C74B4}"/>
    <cellStyle name="Normal 8 4 4 4" xfId="26363" xr:uid="{4EE03616-3A24-4979-8F3C-B5B5E1AF1BA8}"/>
    <cellStyle name="Normal 8 4 4 5" xfId="17934" xr:uid="{55B14AFB-E93B-4E3B-8BFC-FCC60D61256C}"/>
    <cellStyle name="Normal 8 4 4 6" xfId="34792" xr:uid="{6AC748EB-283B-42F2-BBB0-77CC568DB836}"/>
    <cellStyle name="Normal 8 4 4 7" xfId="9499" xr:uid="{FAD5B2FD-5EF1-4F9C-8E2D-AC3F218A6982}"/>
    <cellStyle name="Normal 8 4 5" xfId="1387" xr:uid="{00000000-0005-0000-0000-0000101E0000}"/>
    <cellStyle name="Normal 8 4 5 2" xfId="3617" xr:uid="{00000000-0005-0000-0000-0000111E0000}"/>
    <cellStyle name="Normal 8 4 5 2 2" xfId="7840" xr:uid="{00000000-0005-0000-0000-0000121E0000}"/>
    <cellStyle name="Normal 8 4 5 2 2 2" xfId="33139" xr:uid="{036EDC71-F39C-4E58-ABA6-F090C2E41AB7}"/>
    <cellStyle name="Normal 8 4 5 2 2 3" xfId="24710" xr:uid="{CC1C3127-81C1-4BD4-AF46-71CE6C92C4E3}"/>
    <cellStyle name="Normal 8 4 5 2 2 4" xfId="41567" xr:uid="{BB1E54C8-E906-4752-9B54-62B2E757D380}"/>
    <cellStyle name="Normal 8 4 5 2 2 5" xfId="16275" xr:uid="{8CF167F4-986F-4D86-9392-D427D1ABAB85}"/>
    <cellStyle name="Normal 8 4 5 2 3" xfId="28921" xr:uid="{C1C75724-5AAC-4E59-80AB-A19D1E920015}"/>
    <cellStyle name="Normal 8 4 5 2 4" xfId="20492" xr:uid="{BF139BEE-A71E-4BAD-AEBC-57899F6FD75B}"/>
    <cellStyle name="Normal 8 4 5 2 5" xfId="37350" xr:uid="{34885D52-64FF-44B9-BDF0-3C22A18D3522}"/>
    <cellStyle name="Normal 8 4 5 2 6" xfId="12057" xr:uid="{75FC968B-12F1-4892-902A-B7CB37F61C1A}"/>
    <cellStyle name="Normal 8 4 5 3" xfId="5695" xr:uid="{00000000-0005-0000-0000-0000131E0000}"/>
    <cellStyle name="Normal 8 4 5 3 2" xfId="30994" xr:uid="{E166C48B-32EB-4FA5-8749-272520533F04}"/>
    <cellStyle name="Normal 8 4 5 3 3" xfId="22565" xr:uid="{FD6EA4F5-CC85-48EC-8516-8BA66C9746A0}"/>
    <cellStyle name="Normal 8 4 5 3 4" xfId="39422" xr:uid="{3E5E51FB-6800-4ACD-A2E8-DF14B0BF2605}"/>
    <cellStyle name="Normal 8 4 5 3 5" xfId="14130" xr:uid="{55C20988-EC79-4169-85D5-8E393E34E9C0}"/>
    <cellStyle name="Normal 8 4 5 4" xfId="26776" xr:uid="{B4A13055-CDB8-4B15-99E5-CFC8B8B85EB9}"/>
    <cellStyle name="Normal 8 4 5 5" xfId="18347" xr:uid="{1CF02A7C-F011-4771-AC88-C1D5A87FE4AC}"/>
    <cellStyle name="Normal 8 4 5 6" xfId="35205" xr:uid="{F9B1F1FF-39DA-41D3-8B93-B9C2819924DD}"/>
    <cellStyle name="Normal 8 4 5 7" xfId="9912" xr:uid="{F136CA4A-52CD-424E-9AB5-ABF688AF20F9}"/>
    <cellStyle name="Normal 8 4 6" xfId="1800" xr:uid="{00000000-0005-0000-0000-0000141E0000}"/>
    <cellStyle name="Normal 8 4 6 2" xfId="4030" xr:uid="{00000000-0005-0000-0000-0000151E0000}"/>
    <cellStyle name="Normal 8 4 6 2 2" xfId="8253" xr:uid="{00000000-0005-0000-0000-0000161E0000}"/>
    <cellStyle name="Normal 8 4 6 2 2 2" xfId="33552" xr:uid="{E58CE38F-0647-45D2-BF36-133699F142CE}"/>
    <cellStyle name="Normal 8 4 6 2 2 3" xfId="25123" xr:uid="{FFAF0C71-2774-44EC-9AE2-5F28D68839F7}"/>
    <cellStyle name="Normal 8 4 6 2 2 4" xfId="41980" xr:uid="{2FA06963-B3A5-4C43-9835-60B92946B825}"/>
    <cellStyle name="Normal 8 4 6 2 2 5" xfId="16688" xr:uid="{F3BD7C50-745C-414C-9252-343635B6FADB}"/>
    <cellStyle name="Normal 8 4 6 2 3" xfId="29334" xr:uid="{7CA9A726-877A-4CEB-A245-D3F52AF9DCA5}"/>
    <cellStyle name="Normal 8 4 6 2 4" xfId="20905" xr:uid="{DC8DDFE4-B70E-420C-90DD-3A84100686B1}"/>
    <cellStyle name="Normal 8 4 6 2 5" xfId="37763" xr:uid="{DF7E64C7-12A3-47D1-84A8-1979E42924E8}"/>
    <cellStyle name="Normal 8 4 6 2 6" xfId="12470" xr:uid="{97E2B3E5-988F-40CF-8771-1922DEDA7FB9}"/>
    <cellStyle name="Normal 8 4 6 3" xfId="6108" xr:uid="{00000000-0005-0000-0000-0000171E0000}"/>
    <cellStyle name="Normal 8 4 6 3 2" xfId="31407" xr:uid="{9B550628-87C9-4C77-B233-E6160D68D7D9}"/>
    <cellStyle name="Normal 8 4 6 3 3" xfId="22978" xr:uid="{0CFB432F-044D-4A6B-9C3B-261471520FE9}"/>
    <cellStyle name="Normal 8 4 6 3 4" xfId="39835" xr:uid="{7EFF27CB-9E9D-4D49-B2F7-E12FA6B13F67}"/>
    <cellStyle name="Normal 8 4 6 3 5" xfId="14543" xr:uid="{4B6DC8F1-BF18-46AA-AF2D-6C4F481BA672}"/>
    <cellStyle name="Normal 8 4 6 4" xfId="27189" xr:uid="{E0E47F9A-90B4-4D81-AE40-D2426C12928A}"/>
    <cellStyle name="Normal 8 4 6 5" xfId="18760" xr:uid="{A5831232-5B8A-42AA-9CD3-B092FFA911D0}"/>
    <cellStyle name="Normal 8 4 6 6" xfId="35618" xr:uid="{787CEEC5-7881-4F26-BC47-404C763B82DA}"/>
    <cellStyle name="Normal 8 4 6 7" xfId="10325" xr:uid="{446F111B-4793-40F3-B19F-0ECE5F1743C0}"/>
    <cellStyle name="Normal 8 4 7" xfId="2214" xr:uid="{00000000-0005-0000-0000-0000181E0000}"/>
    <cellStyle name="Normal 8 4 7 2" xfId="4443" xr:uid="{00000000-0005-0000-0000-0000191E0000}"/>
    <cellStyle name="Normal 8 4 7 2 2" xfId="8666" xr:uid="{00000000-0005-0000-0000-00001A1E0000}"/>
    <cellStyle name="Normal 8 4 7 2 2 2" xfId="33965" xr:uid="{625084A6-FB4A-4A2B-83EE-91DBA388EFBE}"/>
    <cellStyle name="Normal 8 4 7 2 2 3" xfId="25536" xr:uid="{E1AA4F4A-B541-4782-813B-27D1AE47A8A4}"/>
    <cellStyle name="Normal 8 4 7 2 2 4" xfId="42393" xr:uid="{1C177C91-968E-419C-9F5E-5A24319DD17F}"/>
    <cellStyle name="Normal 8 4 7 2 2 5" xfId="17101" xr:uid="{D89AFB4C-27ED-474B-91B5-FA3DBB5E01E5}"/>
    <cellStyle name="Normal 8 4 7 2 3" xfId="29747" xr:uid="{19F2DBAD-E1F1-4D1A-A579-18B874BB2C1C}"/>
    <cellStyle name="Normal 8 4 7 2 4" xfId="21318" xr:uid="{2D1F9904-6CEB-44BF-A673-01236D9C6DFA}"/>
    <cellStyle name="Normal 8 4 7 2 5" xfId="38176" xr:uid="{515B0B68-1945-4E50-9FE2-D13AF8CB1D76}"/>
    <cellStyle name="Normal 8 4 7 2 6" xfId="12883" xr:uid="{E3455905-003D-42D7-B670-22E91C5BAE6D}"/>
    <cellStyle name="Normal 8 4 7 3" xfId="6521" xr:uid="{00000000-0005-0000-0000-00001B1E0000}"/>
    <cellStyle name="Normal 8 4 7 3 2" xfId="31820" xr:uid="{6368A24F-DD19-4BBF-B991-C8467D8FCB7F}"/>
    <cellStyle name="Normal 8 4 7 3 3" xfId="23391" xr:uid="{AFBF1AF1-0E74-431E-A2D6-EBA2AA79D2A0}"/>
    <cellStyle name="Normal 8 4 7 3 4" xfId="40248" xr:uid="{F05E649D-4DD8-447A-A26C-0FECBD1D9AC1}"/>
    <cellStyle name="Normal 8 4 7 3 5" xfId="14956" xr:uid="{75B360B9-3B4B-429C-B277-E4ACE4D9C62D}"/>
    <cellStyle name="Normal 8 4 7 4" xfId="27602" xr:uid="{6224F39A-432D-4B3A-AB37-D23CDED31004}"/>
    <cellStyle name="Normal 8 4 7 5" xfId="19173" xr:uid="{E198A1BE-C0B3-49BE-B4F9-0CD92EF7969A}"/>
    <cellStyle name="Normal 8 4 7 6" xfId="36031" xr:uid="{D4F9F897-8CB8-46A3-B605-13224A3E4180}"/>
    <cellStyle name="Normal 8 4 7 7" xfId="10738" xr:uid="{171BA273-C785-48EF-9AF4-131BEB86115C}"/>
    <cellStyle name="Normal 8 4 8" xfId="2650" xr:uid="{00000000-0005-0000-0000-00001C1E0000}"/>
    <cellStyle name="Normal 8 4 8 2" xfId="6934" xr:uid="{00000000-0005-0000-0000-00001D1E0000}"/>
    <cellStyle name="Normal 8 4 8 2 2" xfId="32233" xr:uid="{3F63C379-DBC0-4213-AEE4-9193D325C8A5}"/>
    <cellStyle name="Normal 8 4 8 2 3" xfId="23804" xr:uid="{A5A09865-A267-47BE-96B6-228FA04562B8}"/>
    <cellStyle name="Normal 8 4 8 2 4" xfId="40661" xr:uid="{776073EB-9F1A-47D0-AC9C-EE661CA95D2A}"/>
    <cellStyle name="Normal 8 4 8 2 5" xfId="15369" xr:uid="{A5EF8FEF-4F9D-472A-8225-7CB89771D7DF}"/>
    <cellStyle name="Normal 8 4 8 3" xfId="28015" xr:uid="{1EED1D69-7BCE-4076-A6D9-AA6E179DDD82}"/>
    <cellStyle name="Normal 8 4 8 4" xfId="19586" xr:uid="{418A9E42-DA18-49A9-A350-4EA5E5E4DA36}"/>
    <cellStyle name="Normal 8 4 8 5" xfId="36444" xr:uid="{4782B19E-E4A2-433B-A9B7-73E90510F352}"/>
    <cellStyle name="Normal 8 4 8 6" xfId="11151" xr:uid="{1A4C3550-D90A-4C98-8F1E-379C9830F506}"/>
    <cellStyle name="Normal 8 4 9" xfId="4869" xr:uid="{00000000-0005-0000-0000-00001E1E0000}"/>
    <cellStyle name="Normal 8 4 9 2" xfId="30168" xr:uid="{6306DF12-956E-4BD9-9F13-EDFAD9843CDF}"/>
    <cellStyle name="Normal 8 4 9 3" xfId="21739" xr:uid="{2EE33036-F477-4D33-98C6-84EBA83C8193}"/>
    <cellStyle name="Normal 8 4 9 4" xfId="38596" xr:uid="{D45B8DD6-F9D2-4573-94F6-EC65D57FBB85}"/>
    <cellStyle name="Normal 8 4 9 5" xfId="13304" xr:uid="{20576A4C-9714-4A72-A7A2-B9290F1D4D7E}"/>
    <cellStyle name="Normal 8 5" xfId="507" xr:uid="{00000000-0005-0000-0000-00001F1E0000}"/>
    <cellStyle name="Normal 8 5 10" xfId="17525" xr:uid="{C0743400-A84F-4238-A819-467FF8C765E2}"/>
    <cellStyle name="Normal 8 5 11" xfId="34383" xr:uid="{83F47247-4D1A-467E-B035-8E5E67774C84}"/>
    <cellStyle name="Normal 8 5 12" xfId="9090" xr:uid="{0AF98507-FFF8-4639-A21A-AE431E9B19A9}"/>
    <cellStyle name="Normal 8 5 2" xfId="508" xr:uid="{00000000-0005-0000-0000-0000201E0000}"/>
    <cellStyle name="Normal 8 5 2 10" xfId="34384" xr:uid="{57AECD11-2DED-4CCB-90CC-6A70902954DE}"/>
    <cellStyle name="Normal 8 5 2 11" xfId="9091" xr:uid="{AEB33230-2034-43B1-855F-D7C3BC8FB2C6}"/>
    <cellStyle name="Normal 8 5 2 2" xfId="975" xr:uid="{00000000-0005-0000-0000-0000211E0000}"/>
    <cellStyle name="Normal 8 5 2 2 2" xfId="3209" xr:uid="{00000000-0005-0000-0000-0000221E0000}"/>
    <cellStyle name="Normal 8 5 2 2 2 2" xfId="7432" xr:uid="{00000000-0005-0000-0000-0000231E0000}"/>
    <cellStyle name="Normal 8 5 2 2 2 2 2" xfId="32731" xr:uid="{87388F6F-F284-405C-8141-FAE049004B18}"/>
    <cellStyle name="Normal 8 5 2 2 2 2 3" xfId="24302" xr:uid="{27F03604-1DB5-4AC0-B568-9EBED34747C1}"/>
    <cellStyle name="Normal 8 5 2 2 2 2 4" xfId="41159" xr:uid="{11D41916-CA91-419D-A696-28732531ABF7}"/>
    <cellStyle name="Normal 8 5 2 2 2 2 5" xfId="15867" xr:uid="{0D411C70-8D19-4230-817F-560C0EB12327}"/>
    <cellStyle name="Normal 8 5 2 2 2 3" xfId="28513" xr:uid="{095CB0B5-620F-4708-A367-7B6F9A3F2013}"/>
    <cellStyle name="Normal 8 5 2 2 2 4" xfId="20084" xr:uid="{275E420D-7AD9-4790-930F-4D4196285D14}"/>
    <cellStyle name="Normal 8 5 2 2 2 5" xfId="36942" xr:uid="{E082752E-46AD-4C91-9918-54F62AE309AD}"/>
    <cellStyle name="Normal 8 5 2 2 2 6" xfId="11649" xr:uid="{B61DAA0F-54CE-43FA-9EAB-3430F3F14A03}"/>
    <cellStyle name="Normal 8 5 2 2 3" xfId="5287" xr:uid="{00000000-0005-0000-0000-0000241E0000}"/>
    <cellStyle name="Normal 8 5 2 2 3 2" xfId="30586" xr:uid="{9FF973AD-F9B6-4CF4-BA3F-ACE896238DA7}"/>
    <cellStyle name="Normal 8 5 2 2 3 3" xfId="22157" xr:uid="{D0B8747A-0915-493B-979C-8F67568B9844}"/>
    <cellStyle name="Normal 8 5 2 2 3 4" xfId="39014" xr:uid="{5CA78F4F-DF05-41E0-9956-FB491EB3D11D}"/>
    <cellStyle name="Normal 8 5 2 2 3 5" xfId="13722" xr:uid="{99963537-4293-4F8F-B17E-0CCC2A88F7FD}"/>
    <cellStyle name="Normal 8 5 2 2 4" xfId="26368" xr:uid="{05C4B43C-24D5-4430-A417-F7260334CA4C}"/>
    <cellStyle name="Normal 8 5 2 2 5" xfId="17939" xr:uid="{D4FBC600-DEAF-49AC-823A-50ADD85D52CE}"/>
    <cellStyle name="Normal 8 5 2 2 6" xfId="34797" xr:uid="{8DE37044-17A2-424B-A9C7-B526D080A21A}"/>
    <cellStyle name="Normal 8 5 2 2 7" xfId="9504" xr:uid="{F914C906-2480-4B5A-B2BB-8D3FC8DDAB1C}"/>
    <cellStyle name="Normal 8 5 2 3" xfId="1392" xr:uid="{00000000-0005-0000-0000-0000251E0000}"/>
    <cellStyle name="Normal 8 5 2 3 2" xfId="3622" xr:uid="{00000000-0005-0000-0000-0000261E0000}"/>
    <cellStyle name="Normal 8 5 2 3 2 2" xfId="7845" xr:uid="{00000000-0005-0000-0000-0000271E0000}"/>
    <cellStyle name="Normal 8 5 2 3 2 2 2" xfId="33144" xr:uid="{DB1463E1-592D-4A47-A549-19EEB97C27C4}"/>
    <cellStyle name="Normal 8 5 2 3 2 2 3" xfId="24715" xr:uid="{419CCED7-21AD-451E-9318-D7D8B18DDF8E}"/>
    <cellStyle name="Normal 8 5 2 3 2 2 4" xfId="41572" xr:uid="{C5840EFC-B416-49F8-B511-3CBF9D7AF75D}"/>
    <cellStyle name="Normal 8 5 2 3 2 2 5" xfId="16280" xr:uid="{AB43F22A-18A4-4E00-81AE-8F555953946D}"/>
    <cellStyle name="Normal 8 5 2 3 2 3" xfId="28926" xr:uid="{68E5D0EF-3546-432F-98A8-EDDF6D4ED4AB}"/>
    <cellStyle name="Normal 8 5 2 3 2 4" xfId="20497" xr:uid="{02698ABA-3076-48A4-9FEF-B0EBEA6E9582}"/>
    <cellStyle name="Normal 8 5 2 3 2 5" xfId="37355" xr:uid="{EADA188C-CA20-4CFF-971A-AA0A9017928E}"/>
    <cellStyle name="Normal 8 5 2 3 2 6" xfId="12062" xr:uid="{7839EF5E-DD16-4FEF-908F-072224B24D89}"/>
    <cellStyle name="Normal 8 5 2 3 3" xfId="5700" xr:uid="{00000000-0005-0000-0000-0000281E0000}"/>
    <cellStyle name="Normal 8 5 2 3 3 2" xfId="30999" xr:uid="{1F12D1C1-9A71-45A9-AB80-90BEC92CF12E}"/>
    <cellStyle name="Normal 8 5 2 3 3 3" xfId="22570" xr:uid="{36211B8F-44F8-4A74-AE77-5D503D5FC131}"/>
    <cellStyle name="Normal 8 5 2 3 3 4" xfId="39427" xr:uid="{3104014C-2D89-49D7-A00E-8D58AE7324DD}"/>
    <cellStyle name="Normal 8 5 2 3 3 5" xfId="14135" xr:uid="{8E28664B-DBD2-4C29-9267-AF2C8A3C2A45}"/>
    <cellStyle name="Normal 8 5 2 3 4" xfId="26781" xr:uid="{402082DD-1188-42C8-AF31-45AF22C19E09}"/>
    <cellStyle name="Normal 8 5 2 3 5" xfId="18352" xr:uid="{9481D0CD-9AB1-4F05-B045-2F579377290E}"/>
    <cellStyle name="Normal 8 5 2 3 6" xfId="35210" xr:uid="{BF3116AF-B63E-4CE8-81D3-53C985D8EACC}"/>
    <cellStyle name="Normal 8 5 2 3 7" xfId="9917" xr:uid="{B08128E0-848D-4A6A-B1F8-3085B8A53A0F}"/>
    <cellStyle name="Normal 8 5 2 4" xfId="1805" xr:uid="{00000000-0005-0000-0000-0000291E0000}"/>
    <cellStyle name="Normal 8 5 2 4 2" xfId="4035" xr:uid="{00000000-0005-0000-0000-00002A1E0000}"/>
    <cellStyle name="Normal 8 5 2 4 2 2" xfId="8258" xr:uid="{00000000-0005-0000-0000-00002B1E0000}"/>
    <cellStyle name="Normal 8 5 2 4 2 2 2" xfId="33557" xr:uid="{71121802-5165-4307-AE97-AC6FB5D48100}"/>
    <cellStyle name="Normal 8 5 2 4 2 2 3" xfId="25128" xr:uid="{223EF2C6-6579-4A4E-B957-DB8050EFF169}"/>
    <cellStyle name="Normal 8 5 2 4 2 2 4" xfId="41985" xr:uid="{361D4550-388D-48DD-BD76-1832E839A421}"/>
    <cellStyle name="Normal 8 5 2 4 2 2 5" xfId="16693" xr:uid="{0839D4E2-59DE-48CD-99AE-83BACA938F45}"/>
    <cellStyle name="Normal 8 5 2 4 2 3" xfId="29339" xr:uid="{806F45AC-86D8-4349-93BB-292CBEDE52DF}"/>
    <cellStyle name="Normal 8 5 2 4 2 4" xfId="20910" xr:uid="{6D395E6A-C6AB-44A6-B506-EB85DAC55652}"/>
    <cellStyle name="Normal 8 5 2 4 2 5" xfId="37768" xr:uid="{FBDB499E-CC73-4E30-8C80-7D33F6AAF403}"/>
    <cellStyle name="Normal 8 5 2 4 2 6" xfId="12475" xr:uid="{8616EEB5-E176-480C-AD0C-96EA5E2E4150}"/>
    <cellStyle name="Normal 8 5 2 4 3" xfId="6113" xr:uid="{00000000-0005-0000-0000-00002C1E0000}"/>
    <cellStyle name="Normal 8 5 2 4 3 2" xfId="31412" xr:uid="{488907B5-3E5B-466F-A75B-82396C02FF62}"/>
    <cellStyle name="Normal 8 5 2 4 3 3" xfId="22983" xr:uid="{933E3732-F0C1-484D-AC36-776686326847}"/>
    <cellStyle name="Normal 8 5 2 4 3 4" xfId="39840" xr:uid="{54BCC017-E265-4EEF-A11B-A20BB43912C1}"/>
    <cellStyle name="Normal 8 5 2 4 3 5" xfId="14548" xr:uid="{6D3D9C9E-7BC6-408A-9172-E8A436E998D9}"/>
    <cellStyle name="Normal 8 5 2 4 4" xfId="27194" xr:uid="{2A775982-4F91-4D63-97F0-B06F9F0606D1}"/>
    <cellStyle name="Normal 8 5 2 4 5" xfId="18765" xr:uid="{754C5091-5A72-41AA-A96E-9BA0A630ACF3}"/>
    <cellStyle name="Normal 8 5 2 4 6" xfId="35623" xr:uid="{F48BA839-64C4-46FA-9299-1A9E0D171AC2}"/>
    <cellStyle name="Normal 8 5 2 4 7" xfId="10330" xr:uid="{8F1CCFE9-E3C5-4FED-836C-059F3AF03AEB}"/>
    <cellStyle name="Normal 8 5 2 5" xfId="2219" xr:uid="{00000000-0005-0000-0000-00002D1E0000}"/>
    <cellStyle name="Normal 8 5 2 5 2" xfId="4448" xr:uid="{00000000-0005-0000-0000-00002E1E0000}"/>
    <cellStyle name="Normal 8 5 2 5 2 2" xfId="8671" xr:uid="{00000000-0005-0000-0000-00002F1E0000}"/>
    <cellStyle name="Normal 8 5 2 5 2 2 2" xfId="33970" xr:uid="{E7797F32-2DA9-40E8-B033-35B295D340DF}"/>
    <cellStyle name="Normal 8 5 2 5 2 2 3" xfId="25541" xr:uid="{5A47B0C3-5930-49DF-9D15-CDFA4728DC63}"/>
    <cellStyle name="Normal 8 5 2 5 2 2 4" xfId="42398" xr:uid="{BAA63565-340B-408D-BE45-0A70ED2C69A7}"/>
    <cellStyle name="Normal 8 5 2 5 2 2 5" xfId="17106" xr:uid="{BEB14023-5952-4AD5-ACDA-CDD306A7A60A}"/>
    <cellStyle name="Normal 8 5 2 5 2 3" xfId="29752" xr:uid="{CB29A9FE-7340-49B9-8787-848277253AF0}"/>
    <cellStyle name="Normal 8 5 2 5 2 4" xfId="21323" xr:uid="{6DD599AE-BE3C-41EF-A6DB-E748AC1809A9}"/>
    <cellStyle name="Normal 8 5 2 5 2 5" xfId="38181" xr:uid="{8921AE98-D023-4B9C-8A9E-04B1FAC4C7AF}"/>
    <cellStyle name="Normal 8 5 2 5 2 6" xfId="12888" xr:uid="{5FE11197-59E6-47B5-AAA8-A839D3FC2348}"/>
    <cellStyle name="Normal 8 5 2 5 3" xfId="6526" xr:uid="{00000000-0005-0000-0000-0000301E0000}"/>
    <cellStyle name="Normal 8 5 2 5 3 2" xfId="31825" xr:uid="{4D81BEB2-B1BC-48A6-A2C1-E0B8A4A7A8B1}"/>
    <cellStyle name="Normal 8 5 2 5 3 3" xfId="23396" xr:uid="{F8DD38FB-17FA-48FD-8139-9570EF2D5617}"/>
    <cellStyle name="Normal 8 5 2 5 3 4" xfId="40253" xr:uid="{3D864727-E253-42BA-8F43-590FF8B0B6C4}"/>
    <cellStyle name="Normal 8 5 2 5 3 5" xfId="14961" xr:uid="{73A429AF-E960-4948-9525-4ED31F9F129C}"/>
    <cellStyle name="Normal 8 5 2 5 4" xfId="27607" xr:uid="{B3C64B24-D39C-4F46-8E70-C56615735EB5}"/>
    <cellStyle name="Normal 8 5 2 5 5" xfId="19178" xr:uid="{DF74C9D4-B763-4CAE-A206-D7AD4A8D9602}"/>
    <cellStyle name="Normal 8 5 2 5 6" xfId="36036" xr:uid="{37E0585A-BCB9-4118-915B-A2D3C52E0A27}"/>
    <cellStyle name="Normal 8 5 2 5 7" xfId="10743" xr:uid="{EAFDA844-EBF5-4A0E-9F0C-0596B46D1AAE}"/>
    <cellStyle name="Normal 8 5 2 6" xfId="2655" xr:uid="{00000000-0005-0000-0000-0000311E0000}"/>
    <cellStyle name="Normal 8 5 2 6 2" xfId="6939" xr:uid="{00000000-0005-0000-0000-0000321E0000}"/>
    <cellStyle name="Normal 8 5 2 6 2 2" xfId="32238" xr:uid="{AD5066F2-2DBB-4CAE-A373-25AB27F1207C}"/>
    <cellStyle name="Normal 8 5 2 6 2 3" xfId="23809" xr:uid="{8C9E46D7-91DE-4167-BAAA-EB36DF1FDC67}"/>
    <cellStyle name="Normal 8 5 2 6 2 4" xfId="40666" xr:uid="{72D857A7-4AF1-40E5-936A-FF8063DD60E7}"/>
    <cellStyle name="Normal 8 5 2 6 2 5" xfId="15374" xr:uid="{24C6EB33-7DC8-4D5E-B6A0-3300AE7D6A6B}"/>
    <cellStyle name="Normal 8 5 2 6 3" xfId="28020" xr:uid="{F5676FF6-4699-43A1-8E0D-F68E397879CE}"/>
    <cellStyle name="Normal 8 5 2 6 4" xfId="19591" xr:uid="{B5147295-7348-4C66-9A9A-13D7C08E7B1E}"/>
    <cellStyle name="Normal 8 5 2 6 5" xfId="36449" xr:uid="{9F12D97D-3787-48CF-B0E9-23DB0D0E923D}"/>
    <cellStyle name="Normal 8 5 2 6 6" xfId="11156" xr:uid="{F45D95BB-CE04-4966-A436-166315C18BC2}"/>
    <cellStyle name="Normal 8 5 2 7" xfId="4874" xr:uid="{00000000-0005-0000-0000-0000331E0000}"/>
    <cellStyle name="Normal 8 5 2 7 2" xfId="30173" xr:uid="{0E6B2655-BCC8-4746-AC3F-B66B6EE1C248}"/>
    <cellStyle name="Normal 8 5 2 7 3" xfId="21744" xr:uid="{5CB53953-BA41-4CEA-BBA1-0DB51E6E8758}"/>
    <cellStyle name="Normal 8 5 2 7 4" xfId="38601" xr:uid="{4823113B-2E1D-4520-B26E-9EFE43600503}"/>
    <cellStyle name="Normal 8 5 2 7 5" xfId="13309" xr:uid="{A9E5A1D5-56DC-49D6-81C8-0F622BA3C8E3}"/>
    <cellStyle name="Normal 8 5 2 8" xfId="25955" xr:uid="{92A0A096-8DDA-4617-B773-F837E8D08E25}"/>
    <cellStyle name="Normal 8 5 2 9" xfId="17526" xr:uid="{08F9B38A-716B-4518-904F-BAEDB56302A0}"/>
    <cellStyle name="Normal 8 5 3" xfId="974" xr:uid="{00000000-0005-0000-0000-0000341E0000}"/>
    <cellStyle name="Normal 8 5 3 2" xfId="3208" xr:uid="{00000000-0005-0000-0000-0000351E0000}"/>
    <cellStyle name="Normal 8 5 3 2 2" xfId="7431" xr:uid="{00000000-0005-0000-0000-0000361E0000}"/>
    <cellStyle name="Normal 8 5 3 2 2 2" xfId="32730" xr:uid="{2837FEE0-4305-4B17-BC2B-6D76823DDFCB}"/>
    <cellStyle name="Normal 8 5 3 2 2 3" xfId="24301" xr:uid="{C78C6945-A625-417E-BF39-35E369506078}"/>
    <cellStyle name="Normal 8 5 3 2 2 4" xfId="41158" xr:uid="{7ECAB57C-A429-4580-A231-C59ADDF53C57}"/>
    <cellStyle name="Normal 8 5 3 2 2 5" xfId="15866" xr:uid="{67F73D9D-BB0F-42AF-8684-61B4F52F23A7}"/>
    <cellStyle name="Normal 8 5 3 2 3" xfId="28512" xr:uid="{67C7EEBE-F5FC-416C-9804-0A4F509CDE20}"/>
    <cellStyle name="Normal 8 5 3 2 4" xfId="20083" xr:uid="{8E68A753-561E-414F-BF55-6C17F2CAB10C}"/>
    <cellStyle name="Normal 8 5 3 2 5" xfId="36941" xr:uid="{12F3F4A3-73D3-4D41-8112-8309C8745BD0}"/>
    <cellStyle name="Normal 8 5 3 2 6" xfId="11648" xr:uid="{4EAD4E10-91E1-4E63-9375-4135F28A65AC}"/>
    <cellStyle name="Normal 8 5 3 3" xfId="5286" xr:uid="{00000000-0005-0000-0000-0000371E0000}"/>
    <cellStyle name="Normal 8 5 3 3 2" xfId="30585" xr:uid="{742EE1AD-B358-4467-8B0B-E8FA574431C2}"/>
    <cellStyle name="Normal 8 5 3 3 3" xfId="22156" xr:uid="{E0A86E37-462D-4183-9ABD-BD8098224581}"/>
    <cellStyle name="Normal 8 5 3 3 4" xfId="39013" xr:uid="{4D88DA33-BD0A-414D-BED9-57F2941B614D}"/>
    <cellStyle name="Normal 8 5 3 3 5" xfId="13721" xr:uid="{D0BBED20-17F4-4C86-85FD-933072BFF8C7}"/>
    <cellStyle name="Normal 8 5 3 4" xfId="26367" xr:uid="{DFDB4BC6-76BB-4B75-A7C1-0EA6FCA21A0E}"/>
    <cellStyle name="Normal 8 5 3 5" xfId="17938" xr:uid="{0368CAC7-7CC4-4345-9528-6AD90EE60C68}"/>
    <cellStyle name="Normal 8 5 3 6" xfId="34796" xr:uid="{259D0A96-441D-4F73-A85E-034676B783DA}"/>
    <cellStyle name="Normal 8 5 3 7" xfId="9503" xr:uid="{2B7F7BA4-117C-4634-9827-B08833A39E8B}"/>
    <cellStyle name="Normal 8 5 4" xfId="1391" xr:uid="{00000000-0005-0000-0000-0000381E0000}"/>
    <cellStyle name="Normal 8 5 4 2" xfId="3621" xr:uid="{00000000-0005-0000-0000-0000391E0000}"/>
    <cellStyle name="Normal 8 5 4 2 2" xfId="7844" xr:uid="{00000000-0005-0000-0000-00003A1E0000}"/>
    <cellStyle name="Normal 8 5 4 2 2 2" xfId="33143" xr:uid="{3B0BAFF4-67F6-4DE5-A668-9EA99444DA77}"/>
    <cellStyle name="Normal 8 5 4 2 2 3" xfId="24714" xr:uid="{E6659FFA-8923-497E-B15E-BBD79B7823D5}"/>
    <cellStyle name="Normal 8 5 4 2 2 4" xfId="41571" xr:uid="{752B3452-0371-46F9-9175-C6001D0D953B}"/>
    <cellStyle name="Normal 8 5 4 2 2 5" xfId="16279" xr:uid="{09C72A86-E632-462D-AB23-BFD2FC8B5418}"/>
    <cellStyle name="Normal 8 5 4 2 3" xfId="28925" xr:uid="{E1A2190B-CA1C-4C8F-A817-EED62182C1D6}"/>
    <cellStyle name="Normal 8 5 4 2 4" xfId="20496" xr:uid="{72896B8C-F53F-4445-9B2B-F4098291778D}"/>
    <cellStyle name="Normal 8 5 4 2 5" xfId="37354" xr:uid="{230912EF-A722-4E18-821A-79053256CD62}"/>
    <cellStyle name="Normal 8 5 4 2 6" xfId="12061" xr:uid="{8D6F103F-DD0D-4826-8436-C59AE08957EE}"/>
    <cellStyle name="Normal 8 5 4 3" xfId="5699" xr:uid="{00000000-0005-0000-0000-00003B1E0000}"/>
    <cellStyle name="Normal 8 5 4 3 2" xfId="30998" xr:uid="{2C3C9BF1-B99A-42A1-AD64-AD011CCD87B8}"/>
    <cellStyle name="Normal 8 5 4 3 3" xfId="22569" xr:uid="{89EF3F88-2755-40DA-A9C8-C0CEC3FE6AEB}"/>
    <cellStyle name="Normal 8 5 4 3 4" xfId="39426" xr:uid="{1770378F-89AE-4A84-9591-07034858CC10}"/>
    <cellStyle name="Normal 8 5 4 3 5" xfId="14134" xr:uid="{1B33A3F8-CF5E-4688-B469-0BB088D719BF}"/>
    <cellStyle name="Normal 8 5 4 4" xfId="26780" xr:uid="{3379F1F1-DEEE-4DD4-A2A4-0C94A718D9C7}"/>
    <cellStyle name="Normal 8 5 4 5" xfId="18351" xr:uid="{FDACB425-7CA5-473E-B9C4-D88CC73A5B4A}"/>
    <cellStyle name="Normal 8 5 4 6" xfId="35209" xr:uid="{8066A124-35C9-48A4-8643-9EA1DCF0C300}"/>
    <cellStyle name="Normal 8 5 4 7" xfId="9916" xr:uid="{0DD2C8DA-4BF2-4A92-9912-06F6940A09A4}"/>
    <cellStyle name="Normal 8 5 5" xfId="1804" xr:uid="{00000000-0005-0000-0000-00003C1E0000}"/>
    <cellStyle name="Normal 8 5 5 2" xfId="4034" xr:uid="{00000000-0005-0000-0000-00003D1E0000}"/>
    <cellStyle name="Normal 8 5 5 2 2" xfId="8257" xr:uid="{00000000-0005-0000-0000-00003E1E0000}"/>
    <cellStyle name="Normal 8 5 5 2 2 2" xfId="33556" xr:uid="{06A5DF9E-EBA0-47D8-8CF5-B038DC60805C}"/>
    <cellStyle name="Normal 8 5 5 2 2 3" xfId="25127" xr:uid="{1618D7EC-706E-4C20-B1AC-8F2D8CEA9B51}"/>
    <cellStyle name="Normal 8 5 5 2 2 4" xfId="41984" xr:uid="{5F4A05DA-AB84-4619-AF25-646D8788E609}"/>
    <cellStyle name="Normal 8 5 5 2 2 5" xfId="16692" xr:uid="{39F71F4C-995B-4E88-B5AC-46D184795C09}"/>
    <cellStyle name="Normal 8 5 5 2 3" xfId="29338" xr:uid="{56336577-22E1-407B-9612-581BDF6C0A0E}"/>
    <cellStyle name="Normal 8 5 5 2 4" xfId="20909" xr:uid="{89F5928A-9345-47B2-88C9-BA7DD3D08EAB}"/>
    <cellStyle name="Normal 8 5 5 2 5" xfId="37767" xr:uid="{B0BD3C0A-8445-4D10-AFBB-A714ECB9155C}"/>
    <cellStyle name="Normal 8 5 5 2 6" xfId="12474" xr:uid="{63435028-E466-429E-983C-05081147FE91}"/>
    <cellStyle name="Normal 8 5 5 3" xfId="6112" xr:uid="{00000000-0005-0000-0000-00003F1E0000}"/>
    <cellStyle name="Normal 8 5 5 3 2" xfId="31411" xr:uid="{A523D16C-40AA-4F37-9B7C-90A5A30FF62F}"/>
    <cellStyle name="Normal 8 5 5 3 3" xfId="22982" xr:uid="{E5A39FB3-1092-4AC2-89D6-ECE9F90D74C9}"/>
    <cellStyle name="Normal 8 5 5 3 4" xfId="39839" xr:uid="{48257FA6-5B5D-4675-B47A-77E4B06B77C7}"/>
    <cellStyle name="Normal 8 5 5 3 5" xfId="14547" xr:uid="{9AFE1A63-DAEA-4A34-A200-8F3097DAD59E}"/>
    <cellStyle name="Normal 8 5 5 4" xfId="27193" xr:uid="{3EA29EA9-3CE7-4CE3-B638-FBF8284AFEE4}"/>
    <cellStyle name="Normal 8 5 5 5" xfId="18764" xr:uid="{9F77A917-F907-461F-BC96-6A88EAB10674}"/>
    <cellStyle name="Normal 8 5 5 6" xfId="35622" xr:uid="{F5257648-2D94-449B-934C-28094170E7B3}"/>
    <cellStyle name="Normal 8 5 5 7" xfId="10329" xr:uid="{9D201DF9-AA47-4C72-8D50-28F014800E53}"/>
    <cellStyle name="Normal 8 5 6" xfId="2218" xr:uid="{00000000-0005-0000-0000-0000401E0000}"/>
    <cellStyle name="Normal 8 5 6 2" xfId="4447" xr:uid="{00000000-0005-0000-0000-0000411E0000}"/>
    <cellStyle name="Normal 8 5 6 2 2" xfId="8670" xr:uid="{00000000-0005-0000-0000-0000421E0000}"/>
    <cellStyle name="Normal 8 5 6 2 2 2" xfId="33969" xr:uid="{97982477-C74A-4C73-8DAB-DFD736DC5D42}"/>
    <cellStyle name="Normal 8 5 6 2 2 3" xfId="25540" xr:uid="{2AB7369E-7A4F-495B-8339-D6CE20BD8C42}"/>
    <cellStyle name="Normal 8 5 6 2 2 4" xfId="42397" xr:uid="{C21781FB-7CFE-42CF-9567-2C608849323B}"/>
    <cellStyle name="Normal 8 5 6 2 2 5" xfId="17105" xr:uid="{1A6A1CE7-62C8-45FF-B19C-BB5FC29CF754}"/>
    <cellStyle name="Normal 8 5 6 2 3" xfId="29751" xr:uid="{B6E9D0FF-16A3-4636-B3FB-838EF2AEE420}"/>
    <cellStyle name="Normal 8 5 6 2 4" xfId="21322" xr:uid="{1C81632A-81D0-4348-A576-A2EA41A35F99}"/>
    <cellStyle name="Normal 8 5 6 2 5" xfId="38180" xr:uid="{45FC030E-6560-4890-942D-307C84CCCE3F}"/>
    <cellStyle name="Normal 8 5 6 2 6" xfId="12887" xr:uid="{C7DF732E-CF22-41D3-9F52-4C8117995E4E}"/>
    <cellStyle name="Normal 8 5 6 3" xfId="6525" xr:uid="{00000000-0005-0000-0000-0000431E0000}"/>
    <cellStyle name="Normal 8 5 6 3 2" xfId="31824" xr:uid="{ED70BE8E-2AC3-4F55-847A-8007336CCA1B}"/>
    <cellStyle name="Normal 8 5 6 3 3" xfId="23395" xr:uid="{DDA78BA5-EC9C-469E-A138-08709733C1D9}"/>
    <cellStyle name="Normal 8 5 6 3 4" xfId="40252" xr:uid="{1E2E2D4F-5E59-468A-A442-716C75CC1E9D}"/>
    <cellStyle name="Normal 8 5 6 3 5" xfId="14960" xr:uid="{CB503E79-66B5-43B8-841C-4621E5979AD8}"/>
    <cellStyle name="Normal 8 5 6 4" xfId="27606" xr:uid="{8079CB94-0635-4C91-A67C-07C3827B3300}"/>
    <cellStyle name="Normal 8 5 6 5" xfId="19177" xr:uid="{EC82A2F5-CD80-4AB2-AADB-D4B9784E99A7}"/>
    <cellStyle name="Normal 8 5 6 6" xfId="36035" xr:uid="{2680E026-633C-42DA-89F3-90AB692FA151}"/>
    <cellStyle name="Normal 8 5 6 7" xfId="10742" xr:uid="{3EDA64E1-A415-4351-A37C-ED3D033CD1EA}"/>
    <cellStyle name="Normal 8 5 7" xfId="2654" xr:uid="{00000000-0005-0000-0000-0000441E0000}"/>
    <cellStyle name="Normal 8 5 7 2" xfId="6938" xr:uid="{00000000-0005-0000-0000-0000451E0000}"/>
    <cellStyle name="Normal 8 5 7 2 2" xfId="32237" xr:uid="{1EA7272F-2CED-4A6F-8211-350353A5E0D7}"/>
    <cellStyle name="Normal 8 5 7 2 3" xfId="23808" xr:uid="{C7131634-5853-4513-B1DF-D343D5F04F06}"/>
    <cellStyle name="Normal 8 5 7 2 4" xfId="40665" xr:uid="{72023917-9816-49D3-A6C8-E4325AB55D70}"/>
    <cellStyle name="Normal 8 5 7 2 5" xfId="15373" xr:uid="{28DBE0ED-D4EB-4E87-BCC1-E013509076A7}"/>
    <cellStyle name="Normal 8 5 7 3" xfId="28019" xr:uid="{8DE66620-EE85-49B3-94A8-3C04B4734CDC}"/>
    <cellStyle name="Normal 8 5 7 4" xfId="19590" xr:uid="{38041AA1-ACE2-4ECE-B275-E72785112E76}"/>
    <cellStyle name="Normal 8 5 7 5" xfId="36448" xr:uid="{E5A607AD-A852-43BE-B31F-9A275EBCE91E}"/>
    <cellStyle name="Normal 8 5 7 6" xfId="11155" xr:uid="{A1C7DBAF-0EDC-43BB-963A-7BA9DB8C668D}"/>
    <cellStyle name="Normal 8 5 8" xfId="4873" xr:uid="{00000000-0005-0000-0000-0000461E0000}"/>
    <cellStyle name="Normal 8 5 8 2" xfId="30172" xr:uid="{04230847-38BE-4F70-B842-E0ADF60AC6D6}"/>
    <cellStyle name="Normal 8 5 8 3" xfId="21743" xr:uid="{043E016C-D694-41AB-B9F7-29212B90004A}"/>
    <cellStyle name="Normal 8 5 8 4" xfId="38600" xr:uid="{D7C42D03-C669-433D-86D2-0E8EBD8F8C07}"/>
    <cellStyle name="Normal 8 5 8 5" xfId="13308" xr:uid="{4C5605A3-D02F-413C-90F9-A38D6087FC47}"/>
    <cellStyle name="Normal 8 5 9" xfId="25954" xr:uid="{3664EC37-FA99-4DA8-8399-C12B301BBABE}"/>
    <cellStyle name="Normal 8 6" xfId="509" xr:uid="{00000000-0005-0000-0000-0000471E0000}"/>
    <cellStyle name="Normal 8 6 10" xfId="34385" xr:uid="{1D0CE00B-CB2F-44A1-9638-A33E09DF7F65}"/>
    <cellStyle name="Normal 8 6 11" xfId="9092" xr:uid="{417356AD-3540-481F-9FEC-D0CC1CA0AD6E}"/>
    <cellStyle name="Normal 8 6 2" xfId="976" xr:uid="{00000000-0005-0000-0000-0000481E0000}"/>
    <cellStyle name="Normal 8 6 2 2" xfId="3210" xr:uid="{00000000-0005-0000-0000-0000491E0000}"/>
    <cellStyle name="Normal 8 6 2 2 2" xfId="7433" xr:uid="{00000000-0005-0000-0000-00004A1E0000}"/>
    <cellStyle name="Normal 8 6 2 2 2 2" xfId="32732" xr:uid="{0F4AC621-E11E-4FB7-A95A-3D4E3730EDBA}"/>
    <cellStyle name="Normal 8 6 2 2 2 3" xfId="24303" xr:uid="{CE3FEF0C-E52C-4955-A2B6-B785247492AF}"/>
    <cellStyle name="Normal 8 6 2 2 2 4" xfId="41160" xr:uid="{A9C140A2-B4BD-4A69-9AF1-A64401BD085C}"/>
    <cellStyle name="Normal 8 6 2 2 2 5" xfId="15868" xr:uid="{6138A799-7128-4122-A8F7-C4BB2B0D0F57}"/>
    <cellStyle name="Normal 8 6 2 2 3" xfId="28514" xr:uid="{2F63B9E8-5EE8-4A7D-B575-0503F96AFB6F}"/>
    <cellStyle name="Normal 8 6 2 2 4" xfId="20085" xr:uid="{B8508C88-0EC6-4C63-ABAD-33F714DD5470}"/>
    <cellStyle name="Normal 8 6 2 2 5" xfId="36943" xr:uid="{225829F5-B4D8-48A1-97DE-F51437415DF3}"/>
    <cellStyle name="Normal 8 6 2 2 6" xfId="11650" xr:uid="{75BEF40E-B4B9-49A5-B829-09B710E7C227}"/>
    <cellStyle name="Normal 8 6 2 3" xfId="5288" xr:uid="{00000000-0005-0000-0000-00004B1E0000}"/>
    <cellStyle name="Normal 8 6 2 3 2" xfId="30587" xr:uid="{2A099782-8A47-464A-B3DB-523AB0119DF7}"/>
    <cellStyle name="Normal 8 6 2 3 3" xfId="22158" xr:uid="{A0FD1376-6675-4BCC-837D-B46C40D8AB83}"/>
    <cellStyle name="Normal 8 6 2 3 4" xfId="39015" xr:uid="{92E97D4E-471B-41F4-ABB2-38110CF4E15B}"/>
    <cellStyle name="Normal 8 6 2 3 5" xfId="13723" xr:uid="{7DA9AD33-550B-4896-ADED-A6CBD177E283}"/>
    <cellStyle name="Normal 8 6 2 4" xfId="26369" xr:uid="{E31C7611-FC1B-4D2A-8B13-D8FE662C41CC}"/>
    <cellStyle name="Normal 8 6 2 5" xfId="17940" xr:uid="{7A9A6C6E-D31B-421D-96CA-C793E8E887A1}"/>
    <cellStyle name="Normal 8 6 2 6" xfId="34798" xr:uid="{776E4F32-0400-47E8-899F-265050F3E3C4}"/>
    <cellStyle name="Normal 8 6 2 7" xfId="9505" xr:uid="{550139D1-4720-4C3B-AC42-BEB1EEE089E6}"/>
    <cellStyle name="Normal 8 6 3" xfId="1393" xr:uid="{00000000-0005-0000-0000-00004C1E0000}"/>
    <cellStyle name="Normal 8 6 3 2" xfId="3623" xr:uid="{00000000-0005-0000-0000-00004D1E0000}"/>
    <cellStyle name="Normal 8 6 3 2 2" xfId="7846" xr:uid="{00000000-0005-0000-0000-00004E1E0000}"/>
    <cellStyle name="Normal 8 6 3 2 2 2" xfId="33145" xr:uid="{F7DF01DE-3D68-41CD-ACC4-5D67B21FE956}"/>
    <cellStyle name="Normal 8 6 3 2 2 3" xfId="24716" xr:uid="{F546751E-CFC0-4F98-B406-86A3864758E0}"/>
    <cellStyle name="Normal 8 6 3 2 2 4" xfId="41573" xr:uid="{118CD415-4BE6-4F79-AF97-575DB3BF8E03}"/>
    <cellStyle name="Normal 8 6 3 2 2 5" xfId="16281" xr:uid="{5A1001B6-091C-4BA3-946A-E0912B5BCEA6}"/>
    <cellStyle name="Normal 8 6 3 2 3" xfId="28927" xr:uid="{04C70D40-096A-4DA7-84D6-967D27D9EE72}"/>
    <cellStyle name="Normal 8 6 3 2 4" xfId="20498" xr:uid="{46EDD1C9-40E8-4191-ABF0-4475823674BA}"/>
    <cellStyle name="Normal 8 6 3 2 5" xfId="37356" xr:uid="{11359DA5-48F6-4468-A76A-6C6668F14B97}"/>
    <cellStyle name="Normal 8 6 3 2 6" xfId="12063" xr:uid="{EC450478-57A1-43AA-B94A-47CFAC14886A}"/>
    <cellStyle name="Normal 8 6 3 3" xfId="5701" xr:uid="{00000000-0005-0000-0000-00004F1E0000}"/>
    <cellStyle name="Normal 8 6 3 3 2" xfId="31000" xr:uid="{3BF58027-F693-4869-A8A2-397D64FD0945}"/>
    <cellStyle name="Normal 8 6 3 3 3" xfId="22571" xr:uid="{8F8E64D5-C33B-4601-9CBD-6E683186FCC3}"/>
    <cellStyle name="Normal 8 6 3 3 4" xfId="39428" xr:uid="{7CD55169-4869-477E-A87B-73E6BA92B927}"/>
    <cellStyle name="Normal 8 6 3 3 5" xfId="14136" xr:uid="{5F2570E7-0298-4EA3-B33F-24199D1C7175}"/>
    <cellStyle name="Normal 8 6 3 4" xfId="26782" xr:uid="{15290C66-D515-4338-964B-405DAFBBF915}"/>
    <cellStyle name="Normal 8 6 3 5" xfId="18353" xr:uid="{BFF94677-429B-4814-A80D-896FDEBA946E}"/>
    <cellStyle name="Normal 8 6 3 6" xfId="35211" xr:uid="{7C6F4D06-2657-46CA-B8C5-933AF5647A13}"/>
    <cellStyle name="Normal 8 6 3 7" xfId="9918" xr:uid="{48DDC816-27BF-4E04-B81C-EEA567905B3D}"/>
    <cellStyle name="Normal 8 6 4" xfId="1806" xr:uid="{00000000-0005-0000-0000-0000501E0000}"/>
    <cellStyle name="Normal 8 6 4 2" xfId="4036" xr:uid="{00000000-0005-0000-0000-0000511E0000}"/>
    <cellStyle name="Normal 8 6 4 2 2" xfId="8259" xr:uid="{00000000-0005-0000-0000-0000521E0000}"/>
    <cellStyle name="Normal 8 6 4 2 2 2" xfId="33558" xr:uid="{25D0017F-EDF0-4286-B6B5-0408FE0CF3B6}"/>
    <cellStyle name="Normal 8 6 4 2 2 3" xfId="25129" xr:uid="{77369234-5523-48C1-AC24-9B4E7CD9261C}"/>
    <cellStyle name="Normal 8 6 4 2 2 4" xfId="41986" xr:uid="{E58A172F-37DC-4416-B4C3-0F0526C6BA51}"/>
    <cellStyle name="Normal 8 6 4 2 2 5" xfId="16694" xr:uid="{72AE9AC3-EE4E-421F-B8ED-2BA1FEB81639}"/>
    <cellStyle name="Normal 8 6 4 2 3" xfId="29340" xr:uid="{E1FA8E56-CDBC-4E77-9BD3-D3CE665AA17C}"/>
    <cellStyle name="Normal 8 6 4 2 4" xfId="20911" xr:uid="{D343C330-6F13-4D23-854C-548E32465A35}"/>
    <cellStyle name="Normal 8 6 4 2 5" xfId="37769" xr:uid="{24AEC680-96B5-4981-A29A-FD052D90E0F3}"/>
    <cellStyle name="Normal 8 6 4 2 6" xfId="12476" xr:uid="{C004C272-086F-4F46-80A3-7AA7101782E2}"/>
    <cellStyle name="Normal 8 6 4 3" xfId="6114" xr:uid="{00000000-0005-0000-0000-0000531E0000}"/>
    <cellStyle name="Normal 8 6 4 3 2" xfId="31413" xr:uid="{6356BFF0-2B69-461E-B52B-B51ABBD87FA8}"/>
    <cellStyle name="Normal 8 6 4 3 3" xfId="22984" xr:uid="{D05ACC49-E537-429D-931D-DB9A1EFF3240}"/>
    <cellStyle name="Normal 8 6 4 3 4" xfId="39841" xr:uid="{68148F9A-C4E7-4B7F-9C40-61AE7E0AFFB4}"/>
    <cellStyle name="Normal 8 6 4 3 5" xfId="14549" xr:uid="{DACCEA8E-2CF9-4B16-BC9C-D074A5F7EF3F}"/>
    <cellStyle name="Normal 8 6 4 4" xfId="27195" xr:uid="{705A341A-5A1E-462D-9D6F-73AEEA1ED56D}"/>
    <cellStyle name="Normal 8 6 4 5" xfId="18766" xr:uid="{69DD0015-CE8E-4608-950F-EFF34A12959D}"/>
    <cellStyle name="Normal 8 6 4 6" xfId="35624" xr:uid="{CA291C57-02EB-417C-AE55-B8BD635704C6}"/>
    <cellStyle name="Normal 8 6 4 7" xfId="10331" xr:uid="{BCE3FCB0-F2F7-4913-80D8-6EA8478A20A9}"/>
    <cellStyle name="Normal 8 6 5" xfId="2220" xr:uid="{00000000-0005-0000-0000-0000541E0000}"/>
    <cellStyle name="Normal 8 6 5 2" xfId="4449" xr:uid="{00000000-0005-0000-0000-0000551E0000}"/>
    <cellStyle name="Normal 8 6 5 2 2" xfId="8672" xr:uid="{00000000-0005-0000-0000-0000561E0000}"/>
    <cellStyle name="Normal 8 6 5 2 2 2" xfId="33971" xr:uid="{8B0A5DF7-8554-4CD3-8A75-B4594B2409FE}"/>
    <cellStyle name="Normal 8 6 5 2 2 3" xfId="25542" xr:uid="{7EB11F5E-EED9-4ECB-93B9-D8468DF95446}"/>
    <cellStyle name="Normal 8 6 5 2 2 4" xfId="42399" xr:uid="{1BBE8319-C6D6-4A71-A381-084FE00A1E93}"/>
    <cellStyle name="Normal 8 6 5 2 2 5" xfId="17107" xr:uid="{35896242-1B0B-4CCA-830E-34C30FA5BBEB}"/>
    <cellStyle name="Normal 8 6 5 2 3" xfId="29753" xr:uid="{B82C69F5-131B-47F3-A386-90ADB7F2A0EE}"/>
    <cellStyle name="Normal 8 6 5 2 4" xfId="21324" xr:uid="{75C7FBB0-D18D-4968-B974-4407C8014BBC}"/>
    <cellStyle name="Normal 8 6 5 2 5" xfId="38182" xr:uid="{36896051-3A3E-4E9A-9BA2-D423DDFD8F22}"/>
    <cellStyle name="Normal 8 6 5 2 6" xfId="12889" xr:uid="{40794B33-B400-499D-9441-91EE70FEA312}"/>
    <cellStyle name="Normal 8 6 5 3" xfId="6527" xr:uid="{00000000-0005-0000-0000-0000571E0000}"/>
    <cellStyle name="Normal 8 6 5 3 2" xfId="31826" xr:uid="{3006A63B-4B39-4952-AF76-F1B9584D2856}"/>
    <cellStyle name="Normal 8 6 5 3 3" xfId="23397" xr:uid="{650053B3-39BE-4407-B2F3-F949ED2893DD}"/>
    <cellStyle name="Normal 8 6 5 3 4" xfId="40254" xr:uid="{28CE3A7C-A825-44F0-A65D-A18304D78C1A}"/>
    <cellStyle name="Normal 8 6 5 3 5" xfId="14962" xr:uid="{7D7175F4-158A-4D75-A133-699C4DCCD9A1}"/>
    <cellStyle name="Normal 8 6 5 4" xfId="27608" xr:uid="{3FD7C7D8-5909-49D1-916A-50A18C23E78C}"/>
    <cellStyle name="Normal 8 6 5 5" xfId="19179" xr:uid="{9C60BE3A-E909-4B37-88A3-B74390D7611B}"/>
    <cellStyle name="Normal 8 6 5 6" xfId="36037" xr:uid="{8837B8FC-D57E-410B-9122-5FDEF2DC7E0F}"/>
    <cellStyle name="Normal 8 6 5 7" xfId="10744" xr:uid="{F50A17A1-BCA6-465F-B243-232CE5D3E16C}"/>
    <cellStyle name="Normal 8 6 6" xfId="2656" xr:uid="{00000000-0005-0000-0000-0000581E0000}"/>
    <cellStyle name="Normal 8 6 6 2" xfId="6940" xr:uid="{00000000-0005-0000-0000-0000591E0000}"/>
    <cellStyle name="Normal 8 6 6 2 2" xfId="32239" xr:uid="{7815B5BD-6CC6-4F2D-9704-ABC455A58012}"/>
    <cellStyle name="Normal 8 6 6 2 3" xfId="23810" xr:uid="{3E91E44A-06BE-45C7-93BA-EB25EA3564F8}"/>
    <cellStyle name="Normal 8 6 6 2 4" xfId="40667" xr:uid="{63756E1E-7F5B-43B6-A77D-38C9087626F1}"/>
    <cellStyle name="Normal 8 6 6 2 5" xfId="15375" xr:uid="{155BA3C7-7BDA-4A65-84B9-C83AF550546A}"/>
    <cellStyle name="Normal 8 6 6 3" xfId="28021" xr:uid="{D5DC5086-F578-43D5-B824-2BFEF0972A29}"/>
    <cellStyle name="Normal 8 6 6 4" xfId="19592" xr:uid="{014D9209-E804-4C9A-B724-EF20735CDA76}"/>
    <cellStyle name="Normal 8 6 6 5" xfId="36450" xr:uid="{455AF116-5DFB-4C31-9BDB-7F704C64485F}"/>
    <cellStyle name="Normal 8 6 6 6" xfId="11157" xr:uid="{F3EE96AE-2F57-402A-8D46-AE791D33B886}"/>
    <cellStyle name="Normal 8 6 7" xfId="4875" xr:uid="{00000000-0005-0000-0000-00005A1E0000}"/>
    <cellStyle name="Normal 8 6 7 2" xfId="30174" xr:uid="{0D1675A1-B25E-4CE1-AC15-23850FA75A2E}"/>
    <cellStyle name="Normal 8 6 7 3" xfId="21745" xr:uid="{2C480FF2-2ED5-4015-9A13-1F2046D62C6F}"/>
    <cellStyle name="Normal 8 6 7 4" xfId="38602" xr:uid="{044FF1EE-807A-4E59-A53E-4BD8FC699668}"/>
    <cellStyle name="Normal 8 6 7 5" xfId="13310" xr:uid="{F5A0E73D-009A-4F5F-A345-F0B488BE38FC}"/>
    <cellStyle name="Normal 8 6 8" xfId="25956" xr:uid="{6960D582-9046-40A5-9FC3-866C17270D5B}"/>
    <cellStyle name="Normal 8 6 9" xfId="17527" xr:uid="{61FE56FE-387B-43B0-AE38-27E9C5119D25}"/>
    <cellStyle name="Normal 8 7" xfId="945" xr:uid="{00000000-0005-0000-0000-00005B1E0000}"/>
    <cellStyle name="Normal 8 7 2" xfId="3179" xr:uid="{00000000-0005-0000-0000-00005C1E0000}"/>
    <cellStyle name="Normal 8 7 2 2" xfId="7402" xr:uid="{00000000-0005-0000-0000-00005D1E0000}"/>
    <cellStyle name="Normal 8 7 2 2 2" xfId="32701" xr:uid="{604087E6-C002-4B9D-84FB-33D34C24BA5B}"/>
    <cellStyle name="Normal 8 7 2 2 3" xfId="24272" xr:uid="{625558E0-1F2C-47CD-A11A-1BB9151CFE76}"/>
    <cellStyle name="Normal 8 7 2 2 4" xfId="41129" xr:uid="{A6DC1BC3-5760-42FC-A055-7D76931F9E89}"/>
    <cellStyle name="Normal 8 7 2 2 5" xfId="15837" xr:uid="{E841A5E6-B589-4CD7-9E95-376C6F31D1B0}"/>
    <cellStyle name="Normal 8 7 2 3" xfId="28483" xr:uid="{19A2D9A4-EFB7-4D82-8FF8-8534FE850CC4}"/>
    <cellStyle name="Normal 8 7 2 4" xfId="20054" xr:uid="{B502FC8B-B9CF-4CD6-8154-70C9E14A283A}"/>
    <cellStyle name="Normal 8 7 2 5" xfId="36912" xr:uid="{A8BA3AD8-CF63-49DD-816C-778E930CC321}"/>
    <cellStyle name="Normal 8 7 2 6" xfId="11619" xr:uid="{81F60CB8-D8EB-4180-93E7-15718E7BCDCD}"/>
    <cellStyle name="Normal 8 7 3" xfId="5257" xr:uid="{00000000-0005-0000-0000-00005E1E0000}"/>
    <cellStyle name="Normal 8 7 3 2" xfId="30556" xr:uid="{9CA8A633-E20D-4DB4-982C-F667A3AF4372}"/>
    <cellStyle name="Normal 8 7 3 3" xfId="22127" xr:uid="{4F780EBF-DCA9-4EBA-AAB0-ADC9802386AB}"/>
    <cellStyle name="Normal 8 7 3 4" xfId="38984" xr:uid="{F451CD88-FE89-4B9F-BCF5-2F2D3B97E5F2}"/>
    <cellStyle name="Normal 8 7 3 5" xfId="13692" xr:uid="{A1CDF688-2FDD-414D-894B-5C0F68004C09}"/>
    <cellStyle name="Normal 8 7 4" xfId="26338" xr:uid="{4AF0F49B-C95B-4276-8174-B06BB6EA7ED3}"/>
    <cellStyle name="Normal 8 7 5" xfId="17909" xr:uid="{AD264380-5ED4-4EAF-A87E-A0BF171F12BA}"/>
    <cellStyle name="Normal 8 7 6" xfId="34767" xr:uid="{B0FD6DA9-E56F-4354-BDAD-75FF9AA12E4B}"/>
    <cellStyle name="Normal 8 7 7" xfId="9474" xr:uid="{757A53F6-7155-4CB9-B38B-713295ED6BFC}"/>
    <cellStyle name="Normal 8 8" xfId="1362" xr:uid="{00000000-0005-0000-0000-00005F1E0000}"/>
    <cellStyle name="Normal 8 8 2" xfId="3592" xr:uid="{00000000-0005-0000-0000-0000601E0000}"/>
    <cellStyle name="Normal 8 8 2 2" xfId="7815" xr:uid="{00000000-0005-0000-0000-0000611E0000}"/>
    <cellStyle name="Normal 8 8 2 2 2" xfId="33114" xr:uid="{261AD95A-E16D-412D-B34C-53AC0D78B522}"/>
    <cellStyle name="Normal 8 8 2 2 3" xfId="24685" xr:uid="{444E0549-652A-47EE-8B06-A8965CF953C1}"/>
    <cellStyle name="Normal 8 8 2 2 4" xfId="41542" xr:uid="{3625442F-8704-4D80-8516-7150870BBA05}"/>
    <cellStyle name="Normal 8 8 2 2 5" xfId="16250" xr:uid="{1C2ED751-8176-4239-8F63-50DE4985FD1E}"/>
    <cellStyle name="Normal 8 8 2 3" xfId="28896" xr:uid="{A86D4149-174F-4464-A5AB-CB82A5F8D55C}"/>
    <cellStyle name="Normal 8 8 2 4" xfId="20467" xr:uid="{D26513D9-52FF-4B30-808B-8514B8501E4A}"/>
    <cellStyle name="Normal 8 8 2 5" xfId="37325" xr:uid="{9DFBDFD7-6F63-44E7-B221-CBED3D5183AB}"/>
    <cellStyle name="Normal 8 8 2 6" xfId="12032" xr:uid="{8D63029B-9A7F-469E-AC07-C8E5CC774C7C}"/>
    <cellStyle name="Normal 8 8 3" xfId="5670" xr:uid="{00000000-0005-0000-0000-0000621E0000}"/>
    <cellStyle name="Normal 8 8 3 2" xfId="30969" xr:uid="{2788786F-152D-43DE-AED9-7A547121CE52}"/>
    <cellStyle name="Normal 8 8 3 3" xfId="22540" xr:uid="{215C3722-43A7-4CCD-AE4A-EC161E5FBD5D}"/>
    <cellStyle name="Normal 8 8 3 4" xfId="39397" xr:uid="{5D0F4ED9-8D26-410E-92B3-6C193E3CF3FC}"/>
    <cellStyle name="Normal 8 8 3 5" xfId="14105" xr:uid="{C48F52C7-9629-4B93-80EC-C0CA69761E6D}"/>
    <cellStyle name="Normal 8 8 4" xfId="26751" xr:uid="{97AA94F9-0688-4077-84C7-CD4449B87AFC}"/>
    <cellStyle name="Normal 8 8 5" xfId="18322" xr:uid="{34A3B576-C0AD-43D0-A634-8F44BDEDAF40}"/>
    <cellStyle name="Normal 8 8 6" xfId="35180" xr:uid="{84583282-68BB-4EAF-8095-62ECC153A59E}"/>
    <cellStyle name="Normal 8 8 7" xfId="9887" xr:uid="{B558D41E-A268-47C5-BD0A-D57A5DC791EA}"/>
    <cellStyle name="Normal 8 9" xfId="1775" xr:uid="{00000000-0005-0000-0000-0000631E0000}"/>
    <cellStyle name="Normal 8 9 2" xfId="4005" xr:uid="{00000000-0005-0000-0000-0000641E0000}"/>
    <cellStyle name="Normal 8 9 2 2" xfId="8228" xr:uid="{00000000-0005-0000-0000-0000651E0000}"/>
    <cellStyle name="Normal 8 9 2 2 2" xfId="33527" xr:uid="{BB9A624F-7CB6-411A-B8FC-869D2F3F632F}"/>
    <cellStyle name="Normal 8 9 2 2 3" xfId="25098" xr:uid="{919C04F1-C6F9-4FFB-B6B0-D2BA9599F0E2}"/>
    <cellStyle name="Normal 8 9 2 2 4" xfId="41955" xr:uid="{3688D811-FCDF-46D7-B13D-5F847B2A988E}"/>
    <cellStyle name="Normal 8 9 2 2 5" xfId="16663" xr:uid="{71E98B37-C133-4EA3-88CD-9D86062E37B3}"/>
    <cellStyle name="Normal 8 9 2 3" xfId="29309" xr:uid="{E53875F4-7D6D-4F4D-8842-0799C7FA5C59}"/>
    <cellStyle name="Normal 8 9 2 4" xfId="20880" xr:uid="{B80797B8-FFF0-46E2-A5AB-D79DEE46D359}"/>
    <cellStyle name="Normal 8 9 2 5" xfId="37738" xr:uid="{EA479261-A731-4008-BE9F-0890EF18C2A3}"/>
    <cellStyle name="Normal 8 9 2 6" xfId="12445" xr:uid="{EEAD4F6E-298B-4F9F-AB64-04777CEA9978}"/>
    <cellStyle name="Normal 8 9 3" xfId="6083" xr:uid="{00000000-0005-0000-0000-0000661E0000}"/>
    <cellStyle name="Normal 8 9 3 2" xfId="31382" xr:uid="{DAB30B5E-9BAB-4527-A6D1-EE78B7C2B942}"/>
    <cellStyle name="Normal 8 9 3 3" xfId="22953" xr:uid="{5A819DBB-47C5-4A20-B131-1684FAFAAE7E}"/>
    <cellStyle name="Normal 8 9 3 4" xfId="39810" xr:uid="{218B4C41-C74A-4D33-A6F3-131FFD02277E}"/>
    <cellStyle name="Normal 8 9 3 5" xfId="14518" xr:uid="{6F2D6034-93FD-4992-B6D8-8AD3827A46A8}"/>
    <cellStyle name="Normal 8 9 4" xfId="27164" xr:uid="{E32B73A6-9573-41AC-8BFF-450A91CD5A1D}"/>
    <cellStyle name="Normal 8 9 5" xfId="18735" xr:uid="{B0723425-319D-412C-B551-7AE021BBF101}"/>
    <cellStyle name="Normal 8 9 6" xfId="35593" xr:uid="{853CA364-9C42-4EE2-A29F-2EFDB6EC583B}"/>
    <cellStyle name="Normal 8 9 7" xfId="10300" xr:uid="{2D17C47E-9E50-479B-A73C-B7AFF4D7BC87}"/>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32240" xr:uid="{B6EE8CF7-339B-4C59-824D-92966645EEE7}"/>
    <cellStyle name="Normal 9 2 10 2 3" xfId="23811" xr:uid="{000BDF35-F365-4EA7-B180-F94D8B5B0173}"/>
    <cellStyle name="Normal 9 2 10 2 4" xfId="40668" xr:uid="{D0D93C52-4C07-4152-9CD8-46E285F77D9E}"/>
    <cellStyle name="Normal 9 2 10 2 5" xfId="15376" xr:uid="{D5F59609-EE2F-4CA9-A239-8799CFB3A7CE}"/>
    <cellStyle name="Normal 9 2 10 3" xfId="28022" xr:uid="{4D8D6CC7-DAEC-4700-A70D-50C6808A3769}"/>
    <cellStyle name="Normal 9 2 10 4" xfId="19593" xr:uid="{50E0B371-C78E-4E7C-BE0E-43E2C3EE2AFB}"/>
    <cellStyle name="Normal 9 2 10 5" xfId="36451" xr:uid="{F755DD49-6315-49B0-90BE-BC831AC59F73}"/>
    <cellStyle name="Normal 9 2 10 6" xfId="11158" xr:uid="{94BC0E48-5F98-4644-9EA2-9356096FF573}"/>
    <cellStyle name="Normal 9 2 11" xfId="4876" xr:uid="{00000000-0005-0000-0000-00006B1E0000}"/>
    <cellStyle name="Normal 9 2 11 2" xfId="30175" xr:uid="{AB74DFD5-EB26-4176-BB1F-0B74B548AD32}"/>
    <cellStyle name="Normal 9 2 11 3" xfId="21746" xr:uid="{C13AB237-805C-46F6-8110-F1FD11AF81B7}"/>
    <cellStyle name="Normal 9 2 11 4" xfId="38603" xr:uid="{562F5590-6C28-4488-969C-926A8F9A8028}"/>
    <cellStyle name="Normal 9 2 11 5" xfId="13311" xr:uid="{6E8E0F8C-C7AC-4AF9-9349-79F7FF2E32E9}"/>
    <cellStyle name="Normal 9 2 12" xfId="25957" xr:uid="{2E87115A-53B8-42E4-BB08-D0C1837CAAE7}"/>
    <cellStyle name="Normal 9 2 13" xfId="17528" xr:uid="{1A3F62B4-711E-44E7-9E6F-116D85C6D515}"/>
    <cellStyle name="Normal 9 2 14" xfId="34386" xr:uid="{7018C6CE-9755-4B5A-9557-2D83C3D15A26}"/>
    <cellStyle name="Normal 9 2 15" xfId="9093" xr:uid="{B6BBCC94-853A-46EA-AC1A-EC900D975AF8}"/>
    <cellStyle name="Normal 9 2 2" xfId="512" xr:uid="{00000000-0005-0000-0000-00006C1E0000}"/>
    <cellStyle name="Normal 9 2 2 10" xfId="4877" xr:uid="{00000000-0005-0000-0000-00006D1E0000}"/>
    <cellStyle name="Normal 9 2 2 10 2" xfId="30176" xr:uid="{9DDE33FB-5959-4087-99E1-7AD315634CBB}"/>
    <cellStyle name="Normal 9 2 2 10 3" xfId="21747" xr:uid="{0DE2FE8A-29DE-435F-8B35-7E4FC70AC8D0}"/>
    <cellStyle name="Normal 9 2 2 10 4" xfId="38604" xr:uid="{2501678F-AB95-4722-BDCC-59EACF9C981C}"/>
    <cellStyle name="Normal 9 2 2 10 5" xfId="13312" xr:uid="{AD77197A-3D61-4194-B899-26A3E93B433D}"/>
    <cellStyle name="Normal 9 2 2 11" xfId="25958" xr:uid="{79925FCE-D5EB-4E55-B31D-401384C23023}"/>
    <cellStyle name="Normal 9 2 2 12" xfId="17529" xr:uid="{2879718A-D58C-441B-9F7C-C89624D77E36}"/>
    <cellStyle name="Normal 9 2 2 13" xfId="34387" xr:uid="{6BBE056F-C3EE-46C9-B917-6F3C222F2B47}"/>
    <cellStyle name="Normal 9 2 2 14" xfId="9094" xr:uid="{DAD11546-C488-453A-A6E3-0288D9F9BAEB}"/>
    <cellStyle name="Normal 9 2 2 2" xfId="513" xr:uid="{00000000-0005-0000-0000-00006E1E0000}"/>
    <cellStyle name="Normal 9 2 2 2 10" xfId="25959" xr:uid="{2A92F890-0904-4AED-94F5-CDB5EE2B5F39}"/>
    <cellStyle name="Normal 9 2 2 2 11" xfId="17530" xr:uid="{7D0BADC0-9E57-4EFC-8A9E-F083DE7908AB}"/>
    <cellStyle name="Normal 9 2 2 2 12" xfId="34388" xr:uid="{C008392A-B5A0-48ED-B702-E47C0DF6816D}"/>
    <cellStyle name="Normal 9 2 2 2 13" xfId="9095" xr:uid="{A5AB282D-5D91-49D3-8D79-EE0513C4A3E1}"/>
    <cellStyle name="Normal 9 2 2 2 2" xfId="514" xr:uid="{00000000-0005-0000-0000-00006F1E0000}"/>
    <cellStyle name="Normal 9 2 2 2 2 10" xfId="17531" xr:uid="{6F1AF174-11B3-4CFD-8F21-117BBC4524F6}"/>
    <cellStyle name="Normal 9 2 2 2 2 11" xfId="34389" xr:uid="{B7D7FDE5-0F44-44C2-BC6D-AA3328515CD2}"/>
    <cellStyle name="Normal 9 2 2 2 2 12" xfId="9096" xr:uid="{D6C23577-386A-407D-9A7F-7EF91D82C09E}"/>
    <cellStyle name="Normal 9 2 2 2 2 2" xfId="515" xr:uid="{00000000-0005-0000-0000-0000701E0000}"/>
    <cellStyle name="Normal 9 2 2 2 2 2 10" xfId="34390" xr:uid="{F2230A2D-8150-465C-9A52-9309ECA895B4}"/>
    <cellStyle name="Normal 9 2 2 2 2 2 11" xfId="9097" xr:uid="{80BA54E7-C779-4E42-BFC5-053BA53078A5}"/>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32737" xr:uid="{2A7B82C8-5AD2-4ECF-A0E1-728E0D2933A9}"/>
    <cellStyle name="Normal 9 2 2 2 2 2 2 2 2 3" xfId="24308" xr:uid="{D36368AB-0E86-4076-B18A-30569C3EF3E0}"/>
    <cellStyle name="Normal 9 2 2 2 2 2 2 2 2 4" xfId="41165" xr:uid="{6BA39F94-CFA5-45A8-81BD-43E7E74063D1}"/>
    <cellStyle name="Normal 9 2 2 2 2 2 2 2 2 5" xfId="15873" xr:uid="{6B7EC4AB-5BB2-4029-8134-6D46B0C82B9B}"/>
    <cellStyle name="Normal 9 2 2 2 2 2 2 2 3" xfId="28519" xr:uid="{E03FA729-D7FC-46C8-B24F-D5B544B7776F}"/>
    <cellStyle name="Normal 9 2 2 2 2 2 2 2 4" xfId="20090" xr:uid="{F694F704-569E-42E0-B5EF-60899623E839}"/>
    <cellStyle name="Normal 9 2 2 2 2 2 2 2 5" xfId="36948" xr:uid="{FBFB578F-8E1B-4AD6-90D5-23DED594E458}"/>
    <cellStyle name="Normal 9 2 2 2 2 2 2 2 6" xfId="11655" xr:uid="{82F92C7D-7F4D-4432-AC6E-012A8B19FA99}"/>
    <cellStyle name="Normal 9 2 2 2 2 2 2 3" xfId="5293" xr:uid="{00000000-0005-0000-0000-0000741E0000}"/>
    <cellStyle name="Normal 9 2 2 2 2 2 2 3 2" xfId="30592" xr:uid="{4DA497D4-7054-45D1-95A1-A04CD9B33CE1}"/>
    <cellStyle name="Normal 9 2 2 2 2 2 2 3 3" xfId="22163" xr:uid="{0958EAF1-CD4F-4B95-A684-B43A7CE503E2}"/>
    <cellStyle name="Normal 9 2 2 2 2 2 2 3 4" xfId="39020" xr:uid="{1B92CF6D-1D40-4EFB-A9E7-02FFDDD459C3}"/>
    <cellStyle name="Normal 9 2 2 2 2 2 2 3 5" xfId="13728" xr:uid="{9BA5C790-415C-46A5-94BE-B0CF508E29B0}"/>
    <cellStyle name="Normal 9 2 2 2 2 2 2 4" xfId="26374" xr:uid="{3755E42F-B9E9-4027-97C4-E9E38D826931}"/>
    <cellStyle name="Normal 9 2 2 2 2 2 2 5" xfId="17945" xr:uid="{C8BFAE0F-24DA-4771-8B4B-BC4BE962D521}"/>
    <cellStyle name="Normal 9 2 2 2 2 2 2 6" xfId="34803" xr:uid="{5557FB80-212C-49B9-9B9A-7BFB143137D9}"/>
    <cellStyle name="Normal 9 2 2 2 2 2 2 7" xfId="9510" xr:uid="{00F8C6ED-87C4-4141-89A8-B59D9FE49B52}"/>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33150" xr:uid="{F969F353-37B2-4A1B-B63B-02E817FD2F33}"/>
    <cellStyle name="Normal 9 2 2 2 2 2 3 2 2 3" xfId="24721" xr:uid="{377BD11A-15EE-46AD-91AD-E34F7C871772}"/>
    <cellStyle name="Normal 9 2 2 2 2 2 3 2 2 4" xfId="41578" xr:uid="{DB2EF49D-3BBD-4028-A2CC-935CB1E4AE5E}"/>
    <cellStyle name="Normal 9 2 2 2 2 2 3 2 2 5" xfId="16286" xr:uid="{044063DF-D6B6-4CA0-8F6B-DB890D8604D0}"/>
    <cellStyle name="Normal 9 2 2 2 2 2 3 2 3" xfId="28932" xr:uid="{353F455C-EF89-42AF-A90D-AF2B9DDB87AF}"/>
    <cellStyle name="Normal 9 2 2 2 2 2 3 2 4" xfId="20503" xr:uid="{300CDC92-982E-4DEC-ABC8-570D4A73AE3A}"/>
    <cellStyle name="Normal 9 2 2 2 2 2 3 2 5" xfId="37361" xr:uid="{D0018581-B878-40D5-B233-6A9D0905931D}"/>
    <cellStyle name="Normal 9 2 2 2 2 2 3 2 6" xfId="12068" xr:uid="{06A3F13D-6BCD-4CF4-84AB-588FF863CB1C}"/>
    <cellStyle name="Normal 9 2 2 2 2 2 3 3" xfId="5706" xr:uid="{00000000-0005-0000-0000-0000781E0000}"/>
    <cellStyle name="Normal 9 2 2 2 2 2 3 3 2" xfId="31005" xr:uid="{37D76384-C812-4A03-862A-E464AEDE6DF7}"/>
    <cellStyle name="Normal 9 2 2 2 2 2 3 3 3" xfId="22576" xr:uid="{10ACD2A2-40CE-46AD-B1E9-B47E2C40AEE7}"/>
    <cellStyle name="Normal 9 2 2 2 2 2 3 3 4" xfId="39433" xr:uid="{35B59F46-D098-49EB-95E3-ADE7A85C0985}"/>
    <cellStyle name="Normal 9 2 2 2 2 2 3 3 5" xfId="14141" xr:uid="{A31622C3-129E-4F67-BB33-B729126005E7}"/>
    <cellStyle name="Normal 9 2 2 2 2 2 3 4" xfId="26787" xr:uid="{F8773830-1F3E-4358-88AD-D42D01DC7B50}"/>
    <cellStyle name="Normal 9 2 2 2 2 2 3 5" xfId="18358" xr:uid="{7DF5EDF3-D8E3-4D22-A575-96FB393C9A91}"/>
    <cellStyle name="Normal 9 2 2 2 2 2 3 6" xfId="35216" xr:uid="{37A5F72B-13B0-499C-AEEE-61909B89EEAB}"/>
    <cellStyle name="Normal 9 2 2 2 2 2 3 7" xfId="9923" xr:uid="{88E0B06C-85B5-4387-A607-15A57E0B70B4}"/>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33563" xr:uid="{9475ED00-914D-498B-A22F-AB27DCD7EB43}"/>
    <cellStyle name="Normal 9 2 2 2 2 2 4 2 2 3" xfId="25134" xr:uid="{83B52AA1-97B2-472D-B2C1-4C1858DE135A}"/>
    <cellStyle name="Normal 9 2 2 2 2 2 4 2 2 4" xfId="41991" xr:uid="{5A9D520B-AB96-4CFD-A795-8BD0AD76BA39}"/>
    <cellStyle name="Normal 9 2 2 2 2 2 4 2 2 5" xfId="16699" xr:uid="{55A03816-B2F3-40B6-9095-13018DC2AD75}"/>
    <cellStyle name="Normal 9 2 2 2 2 2 4 2 3" xfId="29345" xr:uid="{7CB66066-EC7F-46FC-B8E6-F42F1BB3462A}"/>
    <cellStyle name="Normal 9 2 2 2 2 2 4 2 4" xfId="20916" xr:uid="{8B401EC9-48BE-49C3-9EC5-9936E43747A1}"/>
    <cellStyle name="Normal 9 2 2 2 2 2 4 2 5" xfId="37774" xr:uid="{F547A427-FD4F-4DA5-A9C9-24F0A45F1F45}"/>
    <cellStyle name="Normal 9 2 2 2 2 2 4 2 6" xfId="12481" xr:uid="{F0BB3650-E325-41CC-B042-ED6256A58C04}"/>
    <cellStyle name="Normal 9 2 2 2 2 2 4 3" xfId="6119" xr:uid="{00000000-0005-0000-0000-00007C1E0000}"/>
    <cellStyle name="Normal 9 2 2 2 2 2 4 3 2" xfId="31418" xr:uid="{8319F6EB-9F28-4FD9-844F-4C17876F6165}"/>
    <cellStyle name="Normal 9 2 2 2 2 2 4 3 3" xfId="22989" xr:uid="{151D19E6-DD17-45F1-BB94-55E22651DAD9}"/>
    <cellStyle name="Normal 9 2 2 2 2 2 4 3 4" xfId="39846" xr:uid="{35D9868A-8DCE-4599-A068-4AD63F2DF2D8}"/>
    <cellStyle name="Normal 9 2 2 2 2 2 4 3 5" xfId="14554" xr:uid="{5EFC2AAC-13D2-4232-A1BB-14EC715B2650}"/>
    <cellStyle name="Normal 9 2 2 2 2 2 4 4" xfId="27200" xr:uid="{BC954EB6-51CD-4164-B6BD-D522B07154CC}"/>
    <cellStyle name="Normal 9 2 2 2 2 2 4 5" xfId="18771" xr:uid="{ACF9A684-23BC-48F7-A8EC-D01530D6CA0B}"/>
    <cellStyle name="Normal 9 2 2 2 2 2 4 6" xfId="35629" xr:uid="{2DE3D2FA-7A41-4FEC-9127-60A4FA731068}"/>
    <cellStyle name="Normal 9 2 2 2 2 2 4 7" xfId="10336" xr:uid="{4F33561A-65E5-43B4-ADBE-3BF29AED7BA2}"/>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33976" xr:uid="{11DD24C6-BF9F-4A75-BE24-A26A10C72B7C}"/>
    <cellStyle name="Normal 9 2 2 2 2 2 5 2 2 3" xfId="25547" xr:uid="{A14C1F22-AA98-436B-B1B8-07604F476BD6}"/>
    <cellStyle name="Normal 9 2 2 2 2 2 5 2 2 4" xfId="42404" xr:uid="{B0880408-1630-405A-953A-BCC9D3F96A68}"/>
    <cellStyle name="Normal 9 2 2 2 2 2 5 2 2 5" xfId="17112" xr:uid="{F9839FDF-0E28-4116-A99E-FC55B38E8237}"/>
    <cellStyle name="Normal 9 2 2 2 2 2 5 2 3" xfId="29758" xr:uid="{A3970179-C83B-44B1-8089-E58FF74F66BC}"/>
    <cellStyle name="Normal 9 2 2 2 2 2 5 2 4" xfId="21329" xr:uid="{09587036-2904-4278-9C6D-9DCE8D623669}"/>
    <cellStyle name="Normal 9 2 2 2 2 2 5 2 5" xfId="38187" xr:uid="{D9F4034E-C87B-4B2F-8B47-EC87205EDE84}"/>
    <cellStyle name="Normal 9 2 2 2 2 2 5 2 6" xfId="12894" xr:uid="{B7E908A2-F65E-40CF-97A3-137B3157112A}"/>
    <cellStyle name="Normal 9 2 2 2 2 2 5 3" xfId="6532" xr:uid="{00000000-0005-0000-0000-0000801E0000}"/>
    <cellStyle name="Normal 9 2 2 2 2 2 5 3 2" xfId="31831" xr:uid="{915D44DA-DBF7-4F32-AC47-B41CE89E2C15}"/>
    <cellStyle name="Normal 9 2 2 2 2 2 5 3 3" xfId="23402" xr:uid="{88C2C99C-7FCD-4270-934C-F35BFBB316F7}"/>
    <cellStyle name="Normal 9 2 2 2 2 2 5 3 4" xfId="40259" xr:uid="{BCF0C9B7-D649-4BF2-9C59-AEB24CC437AD}"/>
    <cellStyle name="Normal 9 2 2 2 2 2 5 3 5" xfId="14967" xr:uid="{5540F57A-9028-453D-A60E-CC544CABBA8B}"/>
    <cellStyle name="Normal 9 2 2 2 2 2 5 4" xfId="27613" xr:uid="{3DE81333-63CF-4D54-A14F-696BB2A75D74}"/>
    <cellStyle name="Normal 9 2 2 2 2 2 5 5" xfId="19184" xr:uid="{D42D199D-2EEA-4485-B9E4-3B1DE3E13280}"/>
    <cellStyle name="Normal 9 2 2 2 2 2 5 6" xfId="36042" xr:uid="{E8C45BAD-B102-4EFB-8398-4EAB7CE33FCA}"/>
    <cellStyle name="Normal 9 2 2 2 2 2 5 7" xfId="10749" xr:uid="{B1F15C2A-C151-4B4E-A8B0-1F65CC9F8B72}"/>
    <cellStyle name="Normal 9 2 2 2 2 2 6" xfId="2661" xr:uid="{00000000-0005-0000-0000-0000811E0000}"/>
    <cellStyle name="Normal 9 2 2 2 2 2 6 2" xfId="6945" xr:uid="{00000000-0005-0000-0000-0000821E0000}"/>
    <cellStyle name="Normal 9 2 2 2 2 2 6 2 2" xfId="32244" xr:uid="{F358DDD2-84A8-49B0-A8DB-C0F9341F33E7}"/>
    <cellStyle name="Normal 9 2 2 2 2 2 6 2 3" xfId="23815" xr:uid="{CEDC2B86-2AC1-4383-8991-5C340DF7CFE4}"/>
    <cellStyle name="Normal 9 2 2 2 2 2 6 2 4" xfId="40672" xr:uid="{48935439-79AD-450C-83E7-46B0AC9AD2A7}"/>
    <cellStyle name="Normal 9 2 2 2 2 2 6 2 5" xfId="15380" xr:uid="{25D041F9-0FF9-4541-AA76-3B02DC1E81BE}"/>
    <cellStyle name="Normal 9 2 2 2 2 2 6 3" xfId="28026" xr:uid="{E70232B9-CB60-45B1-B192-A4B960F1464F}"/>
    <cellStyle name="Normal 9 2 2 2 2 2 6 4" xfId="19597" xr:uid="{A948D42D-053E-4DA0-905C-7AD5D5000299}"/>
    <cellStyle name="Normal 9 2 2 2 2 2 6 5" xfId="36455" xr:uid="{AA47918E-4D4A-47AB-BB28-40AD8702DE1B}"/>
    <cellStyle name="Normal 9 2 2 2 2 2 6 6" xfId="11162" xr:uid="{5A1FBDC0-13E2-4AEA-A03D-BD9B2DAC3A3F}"/>
    <cellStyle name="Normal 9 2 2 2 2 2 7" xfId="4880" xr:uid="{00000000-0005-0000-0000-0000831E0000}"/>
    <cellStyle name="Normal 9 2 2 2 2 2 7 2" xfId="30179" xr:uid="{ACC11F16-F8E5-42D7-9545-26ACCB9EEFA4}"/>
    <cellStyle name="Normal 9 2 2 2 2 2 7 3" xfId="21750" xr:uid="{6268886B-224C-4E45-9614-4CBCCBFC7493}"/>
    <cellStyle name="Normal 9 2 2 2 2 2 7 4" xfId="38607" xr:uid="{B797C70E-987F-4DB1-A3CC-D057B129A34E}"/>
    <cellStyle name="Normal 9 2 2 2 2 2 7 5" xfId="13315" xr:uid="{05ED1391-5FB0-40ED-8CE8-1D42CC72047F}"/>
    <cellStyle name="Normal 9 2 2 2 2 2 8" xfId="25961" xr:uid="{51D64DE6-3B65-4E5A-B047-38B471054208}"/>
    <cellStyle name="Normal 9 2 2 2 2 2 9" xfId="17532" xr:uid="{A2A55B26-5F3B-441A-AE32-45742A3E94A6}"/>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32736" xr:uid="{1ABD3E2E-E3CD-4681-A767-837575A55FAE}"/>
    <cellStyle name="Normal 9 2 2 2 2 3 2 2 3" xfId="24307" xr:uid="{ED42B6E5-03AE-406B-845B-6BF86F69D3E1}"/>
    <cellStyle name="Normal 9 2 2 2 2 3 2 2 4" xfId="41164" xr:uid="{EC943F27-20FC-4510-A780-15EEE38A49FE}"/>
    <cellStyle name="Normal 9 2 2 2 2 3 2 2 5" xfId="15872" xr:uid="{11BB9763-EB6D-42CF-980A-F9A6132B1254}"/>
    <cellStyle name="Normal 9 2 2 2 2 3 2 3" xfId="28518" xr:uid="{BF327E1E-887C-4F86-8437-250C0F9ED672}"/>
    <cellStyle name="Normal 9 2 2 2 2 3 2 4" xfId="20089" xr:uid="{183A2F2D-EDF2-4CC3-A45E-CCFEDD61CEA8}"/>
    <cellStyle name="Normal 9 2 2 2 2 3 2 5" xfId="36947" xr:uid="{6D1AA0DD-652C-47ED-BD71-331B2ACF93A3}"/>
    <cellStyle name="Normal 9 2 2 2 2 3 2 6" xfId="11654" xr:uid="{E9B1B11E-DBC1-41D4-8DE5-797E0D5CE6F9}"/>
    <cellStyle name="Normal 9 2 2 2 2 3 3" xfId="5292" xr:uid="{00000000-0005-0000-0000-0000871E0000}"/>
    <cellStyle name="Normal 9 2 2 2 2 3 3 2" xfId="30591" xr:uid="{0B41E159-7785-457B-9810-953123AD128D}"/>
    <cellStyle name="Normal 9 2 2 2 2 3 3 3" xfId="22162" xr:uid="{97309860-61E2-40BD-B965-263C2A9D0F3B}"/>
    <cellStyle name="Normal 9 2 2 2 2 3 3 4" xfId="39019" xr:uid="{C2333C89-43F4-4A96-BCC7-6CEB19DC5188}"/>
    <cellStyle name="Normal 9 2 2 2 2 3 3 5" xfId="13727" xr:uid="{A007DEC1-495C-40B3-B494-6D186DCE9C61}"/>
    <cellStyle name="Normal 9 2 2 2 2 3 4" xfId="26373" xr:uid="{A8125DDE-D623-491C-8558-E195BC0FA996}"/>
    <cellStyle name="Normal 9 2 2 2 2 3 5" xfId="17944" xr:uid="{0C081938-B4B9-455B-876C-71CA8D492B89}"/>
    <cellStyle name="Normal 9 2 2 2 2 3 6" xfId="34802" xr:uid="{DF5D8FDE-5952-4F46-AAEA-159A99393151}"/>
    <cellStyle name="Normal 9 2 2 2 2 3 7" xfId="9509" xr:uid="{7F7F4B02-B5F0-4FA8-9D9B-37C1560EF9AA}"/>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33149" xr:uid="{48E9CE82-E490-448D-B487-BB118DDBD4EE}"/>
    <cellStyle name="Normal 9 2 2 2 2 4 2 2 3" xfId="24720" xr:uid="{40302D76-257F-40BA-93A1-74373AA39359}"/>
    <cellStyle name="Normal 9 2 2 2 2 4 2 2 4" xfId="41577" xr:uid="{8208CD85-E9E2-4961-AFCE-60A861A6DE5F}"/>
    <cellStyle name="Normal 9 2 2 2 2 4 2 2 5" xfId="16285" xr:uid="{5E302D4E-F74F-4B3D-B4DC-B56ABA847D0B}"/>
    <cellStyle name="Normal 9 2 2 2 2 4 2 3" xfId="28931" xr:uid="{BACA065C-92F0-4696-9958-873B0798B677}"/>
    <cellStyle name="Normal 9 2 2 2 2 4 2 4" xfId="20502" xr:uid="{AEB40791-7CC4-485D-AFCC-AB447AB4EF06}"/>
    <cellStyle name="Normal 9 2 2 2 2 4 2 5" xfId="37360" xr:uid="{57382A93-38A7-43F7-9A80-F59CB6E6A999}"/>
    <cellStyle name="Normal 9 2 2 2 2 4 2 6" xfId="12067" xr:uid="{073A81B2-EEDB-4304-AFB4-AE07B8DEB946}"/>
    <cellStyle name="Normal 9 2 2 2 2 4 3" xfId="5705" xr:uid="{00000000-0005-0000-0000-00008B1E0000}"/>
    <cellStyle name="Normal 9 2 2 2 2 4 3 2" xfId="31004" xr:uid="{C3ECF519-78BF-4411-899A-A361CD2543AF}"/>
    <cellStyle name="Normal 9 2 2 2 2 4 3 3" xfId="22575" xr:uid="{E6A98685-552A-49B8-9A99-9727991B733C}"/>
    <cellStyle name="Normal 9 2 2 2 2 4 3 4" xfId="39432" xr:uid="{D3D26C3C-E571-42E1-ADDA-75A8933ABC02}"/>
    <cellStyle name="Normal 9 2 2 2 2 4 3 5" xfId="14140" xr:uid="{8C1B716C-63C0-4628-B2F9-0A172752BF5D}"/>
    <cellStyle name="Normal 9 2 2 2 2 4 4" xfId="26786" xr:uid="{7C676C11-9FA8-4382-916D-216F4F94745C}"/>
    <cellStyle name="Normal 9 2 2 2 2 4 5" xfId="18357" xr:uid="{6E6407A7-1F2E-483A-AC83-26F7C776DF53}"/>
    <cellStyle name="Normal 9 2 2 2 2 4 6" xfId="35215" xr:uid="{6F30C12C-C0E7-4410-9169-D1A961606F04}"/>
    <cellStyle name="Normal 9 2 2 2 2 4 7" xfId="9922" xr:uid="{938B86D5-0691-4887-9764-7AA4B340161D}"/>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33562" xr:uid="{C1B5388C-FE62-4C27-8127-1E300597B119}"/>
    <cellStyle name="Normal 9 2 2 2 2 5 2 2 3" xfId="25133" xr:uid="{504895F7-9B99-4A43-B24E-57CE006D8FDC}"/>
    <cellStyle name="Normal 9 2 2 2 2 5 2 2 4" xfId="41990" xr:uid="{E6EEB64F-891F-4FDF-9577-CA4C49486950}"/>
    <cellStyle name="Normal 9 2 2 2 2 5 2 2 5" xfId="16698" xr:uid="{21706593-46F6-41A8-B7B3-2FCEE0E29FF0}"/>
    <cellStyle name="Normal 9 2 2 2 2 5 2 3" xfId="29344" xr:uid="{77CF570F-EB3D-45A2-9B16-799B66D04251}"/>
    <cellStyle name="Normal 9 2 2 2 2 5 2 4" xfId="20915" xr:uid="{A70F0A8B-444C-4998-AAB3-EF3B3E8F7AA6}"/>
    <cellStyle name="Normal 9 2 2 2 2 5 2 5" xfId="37773" xr:uid="{497F85B1-25EC-4174-A9BE-6CCFD87B8624}"/>
    <cellStyle name="Normal 9 2 2 2 2 5 2 6" xfId="12480" xr:uid="{0A5FC5A8-8BB3-48B6-B6AC-9ED2BD8245D3}"/>
    <cellStyle name="Normal 9 2 2 2 2 5 3" xfId="6118" xr:uid="{00000000-0005-0000-0000-00008F1E0000}"/>
    <cellStyle name="Normal 9 2 2 2 2 5 3 2" xfId="31417" xr:uid="{4CBEADD7-3EDD-4D2B-BA8B-DA0427C3D6B9}"/>
    <cellStyle name="Normal 9 2 2 2 2 5 3 3" xfId="22988" xr:uid="{5E88099B-9F7E-4783-90F6-6463DC5948C8}"/>
    <cellStyle name="Normal 9 2 2 2 2 5 3 4" xfId="39845" xr:uid="{7DC17E1A-5920-47F2-8361-350EE24F9A7A}"/>
    <cellStyle name="Normal 9 2 2 2 2 5 3 5" xfId="14553" xr:uid="{B3504D2F-B3A1-4749-8D98-FD8A16F8A0A4}"/>
    <cellStyle name="Normal 9 2 2 2 2 5 4" xfId="27199" xr:uid="{CA15DB00-D0CC-42F0-A021-C564EB68E5DC}"/>
    <cellStyle name="Normal 9 2 2 2 2 5 5" xfId="18770" xr:uid="{E39E8ADE-B044-4B2D-811F-4BF4C0E0D74C}"/>
    <cellStyle name="Normal 9 2 2 2 2 5 6" xfId="35628" xr:uid="{1903489C-6BDC-4A22-8C59-6E5DA751F408}"/>
    <cellStyle name="Normal 9 2 2 2 2 5 7" xfId="10335" xr:uid="{E4528B75-A067-45AC-9357-175376E91E6B}"/>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33975" xr:uid="{23466C00-F35A-45C2-86F8-5F939A47F89D}"/>
    <cellStyle name="Normal 9 2 2 2 2 6 2 2 3" xfId="25546" xr:uid="{2A707504-FF6C-46F1-A941-85C3271E9B1E}"/>
    <cellStyle name="Normal 9 2 2 2 2 6 2 2 4" xfId="42403" xr:uid="{91692129-E57A-4AA6-8240-C261001EF6E4}"/>
    <cellStyle name="Normal 9 2 2 2 2 6 2 2 5" xfId="17111" xr:uid="{7BA52318-8131-4381-9CE7-B5EC7725E842}"/>
    <cellStyle name="Normal 9 2 2 2 2 6 2 3" xfId="29757" xr:uid="{A17A59AF-14A3-4120-80F0-369DFC1B1246}"/>
    <cellStyle name="Normal 9 2 2 2 2 6 2 4" xfId="21328" xr:uid="{4C95DCD7-14E6-4DFA-8F8B-C7B6C0C8CAC6}"/>
    <cellStyle name="Normal 9 2 2 2 2 6 2 5" xfId="38186" xr:uid="{BB9085EB-6663-42BA-A1C2-4FA66C38605B}"/>
    <cellStyle name="Normal 9 2 2 2 2 6 2 6" xfId="12893" xr:uid="{C4D58B03-D8AD-4416-A450-35EE85243B7E}"/>
    <cellStyle name="Normal 9 2 2 2 2 6 3" xfId="6531" xr:uid="{00000000-0005-0000-0000-0000931E0000}"/>
    <cellStyle name="Normal 9 2 2 2 2 6 3 2" xfId="31830" xr:uid="{CE7C47BE-D2A6-42DD-A33F-F4E49A3AA605}"/>
    <cellStyle name="Normal 9 2 2 2 2 6 3 3" xfId="23401" xr:uid="{9E8BD78B-90D8-403E-807E-4C758555AEEE}"/>
    <cellStyle name="Normal 9 2 2 2 2 6 3 4" xfId="40258" xr:uid="{69B994CA-2707-4A6D-ACE1-6F8409BBC792}"/>
    <cellStyle name="Normal 9 2 2 2 2 6 3 5" xfId="14966" xr:uid="{DF5B1F9A-F0A2-496C-84A7-4A69240CCC14}"/>
    <cellStyle name="Normal 9 2 2 2 2 6 4" xfId="27612" xr:uid="{C70971AC-8E57-4083-B29A-D48506407B1A}"/>
    <cellStyle name="Normal 9 2 2 2 2 6 5" xfId="19183" xr:uid="{0C0EA7E1-70DD-4117-B49D-3D99CB1443A5}"/>
    <cellStyle name="Normal 9 2 2 2 2 6 6" xfId="36041" xr:uid="{BA3F72A4-F53F-48AC-BFD5-A9442F6CD15F}"/>
    <cellStyle name="Normal 9 2 2 2 2 6 7" xfId="10748" xr:uid="{BBF41664-1456-4D97-B8DB-FFEF21F9B013}"/>
    <cellStyle name="Normal 9 2 2 2 2 7" xfId="2660" xr:uid="{00000000-0005-0000-0000-0000941E0000}"/>
    <cellStyle name="Normal 9 2 2 2 2 7 2" xfId="6944" xr:uid="{00000000-0005-0000-0000-0000951E0000}"/>
    <cellStyle name="Normal 9 2 2 2 2 7 2 2" xfId="32243" xr:uid="{9F8B63E5-6A3D-4A83-9853-8A2ADAB044E3}"/>
    <cellStyle name="Normal 9 2 2 2 2 7 2 3" xfId="23814" xr:uid="{C08801C5-169E-4BBF-8076-E235A65A921A}"/>
    <cellStyle name="Normal 9 2 2 2 2 7 2 4" xfId="40671" xr:uid="{521800DD-549E-41BB-9303-7D1F70E747E8}"/>
    <cellStyle name="Normal 9 2 2 2 2 7 2 5" xfId="15379" xr:uid="{FB822BD5-9359-4BFA-A655-F9EFEA5850A7}"/>
    <cellStyle name="Normal 9 2 2 2 2 7 3" xfId="28025" xr:uid="{6FD56332-E52F-4493-A812-89F518332DB4}"/>
    <cellStyle name="Normal 9 2 2 2 2 7 4" xfId="19596" xr:uid="{18EE9502-C534-4CC5-BE5D-8BEA63C8AFF4}"/>
    <cellStyle name="Normal 9 2 2 2 2 7 5" xfId="36454" xr:uid="{0AE3438E-27A3-492C-A2D0-93DE5F9B0B5F}"/>
    <cellStyle name="Normal 9 2 2 2 2 7 6" xfId="11161" xr:uid="{14BAB08E-42AC-45CC-B370-2DD71CD567CB}"/>
    <cellStyle name="Normal 9 2 2 2 2 8" xfId="4879" xr:uid="{00000000-0005-0000-0000-0000961E0000}"/>
    <cellStyle name="Normal 9 2 2 2 2 8 2" xfId="30178" xr:uid="{24151985-F0D5-4E8A-A1EF-7658E6A69390}"/>
    <cellStyle name="Normal 9 2 2 2 2 8 3" xfId="21749" xr:uid="{6C88E955-4149-4789-9FD4-E98FBB0B15CE}"/>
    <cellStyle name="Normal 9 2 2 2 2 8 4" xfId="38606" xr:uid="{9A890B39-B0D2-45C1-990E-E5FE66650A43}"/>
    <cellStyle name="Normal 9 2 2 2 2 8 5" xfId="13314" xr:uid="{B075223C-82C8-419E-A3C6-887CCF1EBE80}"/>
    <cellStyle name="Normal 9 2 2 2 2 9" xfId="25960" xr:uid="{8575BF08-B0C6-491D-B7C9-AE4238CF2C5F}"/>
    <cellStyle name="Normal 9 2 2 2 3" xfId="516" xr:uid="{00000000-0005-0000-0000-0000971E0000}"/>
    <cellStyle name="Normal 9 2 2 2 3 10" xfId="34391" xr:uid="{53968765-8D1D-440E-A724-F3D5C1A7731A}"/>
    <cellStyle name="Normal 9 2 2 2 3 11" xfId="9098" xr:uid="{482E9118-0A65-47EA-87A3-662D1AC92E94}"/>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32738" xr:uid="{EB0E2D55-BF7A-4D17-B487-21B6D8390316}"/>
    <cellStyle name="Normal 9 2 2 2 3 2 2 2 3" xfId="24309" xr:uid="{EF1F667F-8D7D-488C-AD8D-ECAC3934A5A5}"/>
    <cellStyle name="Normal 9 2 2 2 3 2 2 2 4" xfId="41166" xr:uid="{1905AA12-BBE0-4386-A60E-BC360C60F1AE}"/>
    <cellStyle name="Normal 9 2 2 2 3 2 2 2 5" xfId="15874" xr:uid="{970225FD-F8BC-4F76-94B2-1A8F6C394C43}"/>
    <cellStyle name="Normal 9 2 2 2 3 2 2 3" xfId="28520" xr:uid="{32C34C98-928B-4D70-8984-C90888B2A786}"/>
    <cellStyle name="Normal 9 2 2 2 3 2 2 4" xfId="20091" xr:uid="{C62E6618-70C5-4838-A6DB-89E487123798}"/>
    <cellStyle name="Normal 9 2 2 2 3 2 2 5" xfId="36949" xr:uid="{05272CA2-6B11-40E1-9ED7-E20D193D489F}"/>
    <cellStyle name="Normal 9 2 2 2 3 2 2 6" xfId="11656" xr:uid="{FE1376FA-342F-495B-9741-999DDC833063}"/>
    <cellStyle name="Normal 9 2 2 2 3 2 3" xfId="5294" xr:uid="{00000000-0005-0000-0000-00009B1E0000}"/>
    <cellStyle name="Normal 9 2 2 2 3 2 3 2" xfId="30593" xr:uid="{88D51F84-A809-4B9F-BCD0-528E49E76D8B}"/>
    <cellStyle name="Normal 9 2 2 2 3 2 3 3" xfId="22164" xr:uid="{327F1396-91C9-45FD-89A0-F6778936B5FD}"/>
    <cellStyle name="Normal 9 2 2 2 3 2 3 4" xfId="39021" xr:uid="{1A050E4A-DB8C-402A-A4A1-A28118FAF74D}"/>
    <cellStyle name="Normal 9 2 2 2 3 2 3 5" xfId="13729" xr:uid="{66A58011-8C8F-4DA5-B031-D44C18BB5ECC}"/>
    <cellStyle name="Normal 9 2 2 2 3 2 4" xfId="26375" xr:uid="{83C683B3-D103-402D-B282-6DA282DCBBCB}"/>
    <cellStyle name="Normal 9 2 2 2 3 2 5" xfId="17946" xr:uid="{0D4DDDB5-0E85-4308-B58F-819AC5987326}"/>
    <cellStyle name="Normal 9 2 2 2 3 2 6" xfId="34804" xr:uid="{616FF8D0-D857-4FE3-8763-822C80156EB2}"/>
    <cellStyle name="Normal 9 2 2 2 3 2 7" xfId="9511" xr:uid="{ED16DA5C-B65A-4B42-B5CA-6ADB813D99C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33151" xr:uid="{E183261E-9F4D-4F4A-99AC-6DF7BBEEB270}"/>
    <cellStyle name="Normal 9 2 2 2 3 3 2 2 3" xfId="24722" xr:uid="{25C3568B-1243-4F66-B13F-8C97712D4C23}"/>
    <cellStyle name="Normal 9 2 2 2 3 3 2 2 4" xfId="41579" xr:uid="{38535480-EA0E-4E21-A2DF-5863741A9990}"/>
    <cellStyle name="Normal 9 2 2 2 3 3 2 2 5" xfId="16287" xr:uid="{856121C8-8D99-42A3-9AE0-DD568E0E595A}"/>
    <cellStyle name="Normal 9 2 2 2 3 3 2 3" xfId="28933" xr:uid="{BCF13505-6E54-4963-B261-627C5272531A}"/>
    <cellStyle name="Normal 9 2 2 2 3 3 2 4" xfId="20504" xr:uid="{F8C1EFB0-7940-4DD6-9D9C-D542EE25D4BE}"/>
    <cellStyle name="Normal 9 2 2 2 3 3 2 5" xfId="37362" xr:uid="{66388D33-1ED7-41BD-B2C8-4E40338F1BF5}"/>
    <cellStyle name="Normal 9 2 2 2 3 3 2 6" xfId="12069" xr:uid="{FB39E8B1-46B9-4AD7-BA13-051377CB7855}"/>
    <cellStyle name="Normal 9 2 2 2 3 3 3" xfId="5707" xr:uid="{00000000-0005-0000-0000-00009F1E0000}"/>
    <cellStyle name="Normal 9 2 2 2 3 3 3 2" xfId="31006" xr:uid="{256DD4F0-C6B5-466F-9CBC-1CCBF7F7DC32}"/>
    <cellStyle name="Normal 9 2 2 2 3 3 3 3" xfId="22577" xr:uid="{AEC9F08A-22FF-4484-B2A2-44FC3345FD46}"/>
    <cellStyle name="Normal 9 2 2 2 3 3 3 4" xfId="39434" xr:uid="{328CE52D-958A-4103-9B66-31EC74F64E69}"/>
    <cellStyle name="Normal 9 2 2 2 3 3 3 5" xfId="14142" xr:uid="{845723CA-8082-4702-A9B4-A218FD5FE8B1}"/>
    <cellStyle name="Normal 9 2 2 2 3 3 4" xfId="26788" xr:uid="{C6DBD7F5-02CF-4567-8DC2-8DCDAF8502EB}"/>
    <cellStyle name="Normal 9 2 2 2 3 3 5" xfId="18359" xr:uid="{1561DA90-63E1-4490-B6B8-E9784F5FA2AF}"/>
    <cellStyle name="Normal 9 2 2 2 3 3 6" xfId="35217" xr:uid="{57E0C264-6BDF-4122-8A36-1BA6F46328C5}"/>
    <cellStyle name="Normal 9 2 2 2 3 3 7" xfId="9924" xr:uid="{DE7E4779-F092-404F-B5DA-8AE0DD8FD244}"/>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33564" xr:uid="{E89F583A-3E17-4C84-8B79-957CD2B24055}"/>
    <cellStyle name="Normal 9 2 2 2 3 4 2 2 3" xfId="25135" xr:uid="{D426794E-CB76-4314-BF00-042580BE8C56}"/>
    <cellStyle name="Normal 9 2 2 2 3 4 2 2 4" xfId="41992" xr:uid="{A3C7BE5F-E96B-4E23-A0F6-ABB0D2B4C09E}"/>
    <cellStyle name="Normal 9 2 2 2 3 4 2 2 5" xfId="16700" xr:uid="{D5488320-DCA6-4751-907D-5F223E0D2AB9}"/>
    <cellStyle name="Normal 9 2 2 2 3 4 2 3" xfId="29346" xr:uid="{57AB2B40-14EE-4FDE-A4B7-E47C2E9D127C}"/>
    <cellStyle name="Normal 9 2 2 2 3 4 2 4" xfId="20917" xr:uid="{A719A089-1A07-4FC1-A985-E9DCA15E4B15}"/>
    <cellStyle name="Normal 9 2 2 2 3 4 2 5" xfId="37775" xr:uid="{FCAA5FED-E63B-4D56-81E9-36BBFD43CC6D}"/>
    <cellStyle name="Normal 9 2 2 2 3 4 2 6" xfId="12482" xr:uid="{891CF8ED-8B5D-4CFF-92B2-53DDB4020301}"/>
    <cellStyle name="Normal 9 2 2 2 3 4 3" xfId="6120" xr:uid="{00000000-0005-0000-0000-0000A31E0000}"/>
    <cellStyle name="Normal 9 2 2 2 3 4 3 2" xfId="31419" xr:uid="{2FB112D5-72E6-4C8E-B139-C3B9BDB745BD}"/>
    <cellStyle name="Normal 9 2 2 2 3 4 3 3" xfId="22990" xr:uid="{67728B49-2259-42B9-9569-7A13006C46B6}"/>
    <cellStyle name="Normal 9 2 2 2 3 4 3 4" xfId="39847" xr:uid="{94F7316E-ED5D-4810-9A36-B7B285AF747B}"/>
    <cellStyle name="Normal 9 2 2 2 3 4 3 5" xfId="14555" xr:uid="{23B1E81B-7643-4C28-A249-2A2D0E285982}"/>
    <cellStyle name="Normal 9 2 2 2 3 4 4" xfId="27201" xr:uid="{865133B4-BE5D-44AA-9DBC-ADEC1CA0A186}"/>
    <cellStyle name="Normal 9 2 2 2 3 4 5" xfId="18772" xr:uid="{576BA7EB-FCEA-4321-9B76-DAF4A5998015}"/>
    <cellStyle name="Normal 9 2 2 2 3 4 6" xfId="35630" xr:uid="{9588D089-D5ED-4026-8C8E-A53D0ADFB8D6}"/>
    <cellStyle name="Normal 9 2 2 2 3 4 7" xfId="10337" xr:uid="{422D67F8-4698-404F-A22A-00D66D2CA7D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33977" xr:uid="{5C682FA8-510E-44D4-9BF4-C34094616058}"/>
    <cellStyle name="Normal 9 2 2 2 3 5 2 2 3" xfId="25548" xr:uid="{2595C532-328F-43F5-BBDC-3D899217382F}"/>
    <cellStyle name="Normal 9 2 2 2 3 5 2 2 4" xfId="42405" xr:uid="{D2E32396-670B-4D0F-81F5-18F3B3C2DCCE}"/>
    <cellStyle name="Normal 9 2 2 2 3 5 2 2 5" xfId="17113" xr:uid="{A9E24CAE-7420-4961-880B-C796FFD692B0}"/>
    <cellStyle name="Normal 9 2 2 2 3 5 2 3" xfId="29759" xr:uid="{02913B1C-B759-45EF-BC4B-9721DD953E67}"/>
    <cellStyle name="Normal 9 2 2 2 3 5 2 4" xfId="21330" xr:uid="{C809B8D0-C563-44D2-A935-1F91CA93E92C}"/>
    <cellStyle name="Normal 9 2 2 2 3 5 2 5" xfId="38188" xr:uid="{91EB1ABB-BB09-4279-AB32-8EADB4F567A6}"/>
    <cellStyle name="Normal 9 2 2 2 3 5 2 6" xfId="12895" xr:uid="{0248F892-8DCF-4177-AB1D-FE1D5B235BDC}"/>
    <cellStyle name="Normal 9 2 2 2 3 5 3" xfId="6533" xr:uid="{00000000-0005-0000-0000-0000A71E0000}"/>
    <cellStyle name="Normal 9 2 2 2 3 5 3 2" xfId="31832" xr:uid="{58F72649-680A-4039-AE94-41FA77C38E6C}"/>
    <cellStyle name="Normal 9 2 2 2 3 5 3 3" xfId="23403" xr:uid="{400BB8F5-8351-4570-835B-5B61BE52A490}"/>
    <cellStyle name="Normal 9 2 2 2 3 5 3 4" xfId="40260" xr:uid="{2961C0DE-E676-4F49-B71E-52D8D21C9B41}"/>
    <cellStyle name="Normal 9 2 2 2 3 5 3 5" xfId="14968" xr:uid="{ACA5F9DA-11EC-4F2B-B19F-37C38AC25872}"/>
    <cellStyle name="Normal 9 2 2 2 3 5 4" xfId="27614" xr:uid="{60F6926B-891D-4EBD-B9E7-2C78E3E496E0}"/>
    <cellStyle name="Normal 9 2 2 2 3 5 5" xfId="19185" xr:uid="{3A419A5E-DAD3-4954-B7EF-F9C89D773E82}"/>
    <cellStyle name="Normal 9 2 2 2 3 5 6" xfId="36043" xr:uid="{88885D4C-AA53-4961-8350-3FA1B127BE0C}"/>
    <cellStyle name="Normal 9 2 2 2 3 5 7" xfId="10750" xr:uid="{5E6AD6D6-1DD4-49D4-BC07-44241082A254}"/>
    <cellStyle name="Normal 9 2 2 2 3 6" xfId="2662" xr:uid="{00000000-0005-0000-0000-0000A81E0000}"/>
    <cellStyle name="Normal 9 2 2 2 3 6 2" xfId="6946" xr:uid="{00000000-0005-0000-0000-0000A91E0000}"/>
    <cellStyle name="Normal 9 2 2 2 3 6 2 2" xfId="32245" xr:uid="{45A7E628-28D7-44CD-B755-62557EC8B1CB}"/>
    <cellStyle name="Normal 9 2 2 2 3 6 2 3" xfId="23816" xr:uid="{D793030B-817F-41A5-AAA4-A5279FA1DEEA}"/>
    <cellStyle name="Normal 9 2 2 2 3 6 2 4" xfId="40673" xr:uid="{218314CC-D15B-4EAD-A35E-5F7C283DC34D}"/>
    <cellStyle name="Normal 9 2 2 2 3 6 2 5" xfId="15381" xr:uid="{524DA3B0-C239-4013-B799-76DD495C91C2}"/>
    <cellStyle name="Normal 9 2 2 2 3 6 3" xfId="28027" xr:uid="{9BDC9B27-8C73-4C1A-B957-8BE0A76F0ECE}"/>
    <cellStyle name="Normal 9 2 2 2 3 6 4" xfId="19598" xr:uid="{B6DAC7C6-749F-410C-B47A-2F2EA6965613}"/>
    <cellStyle name="Normal 9 2 2 2 3 6 5" xfId="36456" xr:uid="{5519F392-E5B4-4F8C-9711-BEA6881D7317}"/>
    <cellStyle name="Normal 9 2 2 2 3 6 6" xfId="11163" xr:uid="{467C94CF-F350-4B86-B318-42A8406B1C4E}"/>
    <cellStyle name="Normal 9 2 2 2 3 7" xfId="4881" xr:uid="{00000000-0005-0000-0000-0000AA1E0000}"/>
    <cellStyle name="Normal 9 2 2 2 3 7 2" xfId="30180" xr:uid="{50E689DD-0F01-45BB-878F-0B38E3FD7AAB}"/>
    <cellStyle name="Normal 9 2 2 2 3 7 3" xfId="21751" xr:uid="{DD9A82FC-D57A-46B2-A6B5-2C9DE0AFDBA3}"/>
    <cellStyle name="Normal 9 2 2 2 3 7 4" xfId="38608" xr:uid="{24108E5B-F8EE-42ED-8771-2636FEC13406}"/>
    <cellStyle name="Normal 9 2 2 2 3 7 5" xfId="13316" xr:uid="{30804130-C33D-48B8-8C24-1733D9B1390F}"/>
    <cellStyle name="Normal 9 2 2 2 3 8" xfId="25962" xr:uid="{5ECD5D5C-4FD7-40DC-A678-EA39A8372E80}"/>
    <cellStyle name="Normal 9 2 2 2 3 9" xfId="17533" xr:uid="{39210B71-68F5-467D-AB0E-B5F148DEBB4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32735" xr:uid="{3B3B5AB4-F371-422F-B5DB-A2D1A56E14B1}"/>
    <cellStyle name="Normal 9 2 2 2 4 2 2 3" xfId="24306" xr:uid="{1B91ACC9-5331-42CB-9EFF-C564D2DFF0F8}"/>
    <cellStyle name="Normal 9 2 2 2 4 2 2 4" xfId="41163" xr:uid="{88970D2D-A797-4820-8E0A-D895E4840060}"/>
    <cellStyle name="Normal 9 2 2 2 4 2 2 5" xfId="15871" xr:uid="{0501D879-7075-46A2-AB3D-5A9DF846BFDE}"/>
    <cellStyle name="Normal 9 2 2 2 4 2 3" xfId="28517" xr:uid="{30F7D511-952C-4CA0-8192-67FAA4F470D6}"/>
    <cellStyle name="Normal 9 2 2 2 4 2 4" xfId="20088" xr:uid="{5B44E3D6-6D21-4D1C-893C-49E456082910}"/>
    <cellStyle name="Normal 9 2 2 2 4 2 5" xfId="36946" xr:uid="{250A5E93-16E9-45D0-ACB0-1514D4B38898}"/>
    <cellStyle name="Normal 9 2 2 2 4 2 6" xfId="11653" xr:uid="{10A3C56C-B4FA-4E8C-ACB8-C8E901AAF797}"/>
    <cellStyle name="Normal 9 2 2 2 4 3" xfId="5291" xr:uid="{00000000-0005-0000-0000-0000AE1E0000}"/>
    <cellStyle name="Normal 9 2 2 2 4 3 2" xfId="30590" xr:uid="{ED8FD8A9-47B0-4D3A-B9C5-566E570FC39A}"/>
    <cellStyle name="Normal 9 2 2 2 4 3 3" xfId="22161" xr:uid="{1BAD8484-0301-432F-B5CE-1172CEA846E3}"/>
    <cellStyle name="Normal 9 2 2 2 4 3 4" xfId="39018" xr:uid="{F7607247-3479-430C-82F1-0BD654026E68}"/>
    <cellStyle name="Normal 9 2 2 2 4 3 5" xfId="13726" xr:uid="{6091D558-99D7-40E4-8455-50824353D80A}"/>
    <cellStyle name="Normal 9 2 2 2 4 4" xfId="26372" xr:uid="{F0F3EC33-6290-4BC3-B04F-436B760C987C}"/>
    <cellStyle name="Normal 9 2 2 2 4 5" xfId="17943" xr:uid="{10966A3C-187C-4479-8F8D-5EEE2330F995}"/>
    <cellStyle name="Normal 9 2 2 2 4 6" xfId="34801" xr:uid="{3C1C8CD4-1546-4AED-8C95-DF180FCEA1DA}"/>
    <cellStyle name="Normal 9 2 2 2 4 7" xfId="9508" xr:uid="{C72C400A-DA74-4E81-8EB8-DA57087704F6}"/>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33148" xr:uid="{48776C17-8766-49E9-BE43-194B832D9205}"/>
    <cellStyle name="Normal 9 2 2 2 5 2 2 3" xfId="24719" xr:uid="{BA97857D-9F1A-4DA8-9B60-8F120DEAAE83}"/>
    <cellStyle name="Normal 9 2 2 2 5 2 2 4" xfId="41576" xr:uid="{A959D386-2A93-4789-9790-3FCED9381158}"/>
    <cellStyle name="Normal 9 2 2 2 5 2 2 5" xfId="16284" xr:uid="{4C2CC804-8502-4A1C-B7BE-E811CE0B8CA6}"/>
    <cellStyle name="Normal 9 2 2 2 5 2 3" xfId="28930" xr:uid="{20BB5BA6-4092-4AB5-AEFE-29C75C985C06}"/>
    <cellStyle name="Normal 9 2 2 2 5 2 4" xfId="20501" xr:uid="{59D3FCFF-2EF5-4CDE-B10D-2F44A6F4E107}"/>
    <cellStyle name="Normal 9 2 2 2 5 2 5" xfId="37359" xr:uid="{4D8121F0-012F-443D-B034-12175FC2F93B}"/>
    <cellStyle name="Normal 9 2 2 2 5 2 6" xfId="12066" xr:uid="{86617B71-B7DB-4453-9EB5-1CF781B97268}"/>
    <cellStyle name="Normal 9 2 2 2 5 3" xfId="5704" xr:uid="{00000000-0005-0000-0000-0000B21E0000}"/>
    <cellStyle name="Normal 9 2 2 2 5 3 2" xfId="31003" xr:uid="{60A8A784-1EEE-4F06-A0BC-D19EC500DC9B}"/>
    <cellStyle name="Normal 9 2 2 2 5 3 3" xfId="22574" xr:uid="{441A8728-7A3E-41FF-AE1F-72727F8003BD}"/>
    <cellStyle name="Normal 9 2 2 2 5 3 4" xfId="39431" xr:uid="{9AB36CC3-A0DB-4F2E-A82A-6C10271206F0}"/>
    <cellStyle name="Normal 9 2 2 2 5 3 5" xfId="14139" xr:uid="{C32E59D1-5889-4F4C-BDAF-27991A548B50}"/>
    <cellStyle name="Normal 9 2 2 2 5 4" xfId="26785" xr:uid="{11C66C93-7BE4-4D69-B380-16965B711E41}"/>
    <cellStyle name="Normal 9 2 2 2 5 5" xfId="18356" xr:uid="{91BA9BDD-AF02-4E05-972B-AEBFAE5A8E3F}"/>
    <cellStyle name="Normal 9 2 2 2 5 6" xfId="35214" xr:uid="{5246468F-DCF4-47D2-8D8C-A53E5371876C}"/>
    <cellStyle name="Normal 9 2 2 2 5 7" xfId="9921" xr:uid="{CCB064E5-1145-4E6C-9B5D-100FBDC1A6E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33561" xr:uid="{4E1A3D65-D1D2-481B-8741-C31FAB07AAE1}"/>
    <cellStyle name="Normal 9 2 2 2 6 2 2 3" xfId="25132" xr:uid="{B1DABCFC-0F05-4DDB-8AD3-8EE59D43B4DF}"/>
    <cellStyle name="Normal 9 2 2 2 6 2 2 4" xfId="41989" xr:uid="{38B136F8-82C4-45E6-ADEE-721D36F50853}"/>
    <cellStyle name="Normal 9 2 2 2 6 2 2 5" xfId="16697" xr:uid="{BCF3C144-9DCA-45CC-BB4A-063CDB73AB22}"/>
    <cellStyle name="Normal 9 2 2 2 6 2 3" xfId="29343" xr:uid="{541CC1B8-F65D-4FEF-9334-41A0535A9F1A}"/>
    <cellStyle name="Normal 9 2 2 2 6 2 4" xfId="20914" xr:uid="{FC770866-DA83-4C07-A563-08516BC2E292}"/>
    <cellStyle name="Normal 9 2 2 2 6 2 5" xfId="37772" xr:uid="{A30C1F99-A189-4A20-992F-C1A79740405F}"/>
    <cellStyle name="Normal 9 2 2 2 6 2 6" xfId="12479" xr:uid="{B791EF3B-54C1-4D6B-8459-BD632F3D1D85}"/>
    <cellStyle name="Normal 9 2 2 2 6 3" xfId="6117" xr:uid="{00000000-0005-0000-0000-0000B61E0000}"/>
    <cellStyle name="Normal 9 2 2 2 6 3 2" xfId="31416" xr:uid="{3AA76F5A-806F-43C3-B907-06E89B4A5895}"/>
    <cellStyle name="Normal 9 2 2 2 6 3 3" xfId="22987" xr:uid="{A8E47D94-E9C6-43BC-91B4-62A12B9B1839}"/>
    <cellStyle name="Normal 9 2 2 2 6 3 4" xfId="39844" xr:uid="{4EFD0F36-DDB4-47CA-88DF-8C22F3578121}"/>
    <cellStyle name="Normal 9 2 2 2 6 3 5" xfId="14552" xr:uid="{F8551D2F-0957-4D4C-A655-93BBBF27640D}"/>
    <cellStyle name="Normal 9 2 2 2 6 4" xfId="27198" xr:uid="{18C1CCD1-3638-44F9-B3DA-7A1624882176}"/>
    <cellStyle name="Normal 9 2 2 2 6 5" xfId="18769" xr:uid="{BBA46960-D735-4A3D-BBAD-FE66A192E48B}"/>
    <cellStyle name="Normal 9 2 2 2 6 6" xfId="35627" xr:uid="{6EC9E12F-13ED-408E-A0B7-2FEC6037418C}"/>
    <cellStyle name="Normal 9 2 2 2 6 7" xfId="10334" xr:uid="{73D4B10B-2BD1-4565-AE8D-9533BDF0C08D}"/>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33974" xr:uid="{9D3F53DD-2CBE-4707-A908-8BB3997EB7D9}"/>
    <cellStyle name="Normal 9 2 2 2 7 2 2 3" xfId="25545" xr:uid="{22CCAF7E-DDDD-40D3-BE66-259C1ADB8087}"/>
    <cellStyle name="Normal 9 2 2 2 7 2 2 4" xfId="42402" xr:uid="{BC6C8D0F-33A7-4328-91A2-43AB5623C0B5}"/>
    <cellStyle name="Normal 9 2 2 2 7 2 2 5" xfId="17110" xr:uid="{A35A6E47-B7D0-4923-AD13-6F3D24021524}"/>
    <cellStyle name="Normal 9 2 2 2 7 2 3" xfId="29756" xr:uid="{87636E9B-CA41-44AB-8712-11436FE2EE5E}"/>
    <cellStyle name="Normal 9 2 2 2 7 2 4" xfId="21327" xr:uid="{44262BB7-D0D5-44D3-9142-F5ABC159703D}"/>
    <cellStyle name="Normal 9 2 2 2 7 2 5" xfId="38185" xr:uid="{C60D984B-131D-4EAD-83F7-DA2BDD1DAA72}"/>
    <cellStyle name="Normal 9 2 2 2 7 2 6" xfId="12892" xr:uid="{D64A8D93-8D90-479D-974E-D121F8A423FB}"/>
    <cellStyle name="Normal 9 2 2 2 7 3" xfId="6530" xr:uid="{00000000-0005-0000-0000-0000BA1E0000}"/>
    <cellStyle name="Normal 9 2 2 2 7 3 2" xfId="31829" xr:uid="{0A101852-0BB4-4326-9FEC-49B360170A72}"/>
    <cellStyle name="Normal 9 2 2 2 7 3 3" xfId="23400" xr:uid="{C7FF0417-AFAA-44B4-B1E6-0A3AA7BC232E}"/>
    <cellStyle name="Normal 9 2 2 2 7 3 4" xfId="40257" xr:uid="{73031FB8-A1CD-41D6-AA96-49696929EBFD}"/>
    <cellStyle name="Normal 9 2 2 2 7 3 5" xfId="14965" xr:uid="{8C7A1F74-78A3-473D-80A1-AA3AA3B163C9}"/>
    <cellStyle name="Normal 9 2 2 2 7 4" xfId="27611" xr:uid="{28300121-D573-4E87-817E-0E55221FD465}"/>
    <cellStyle name="Normal 9 2 2 2 7 5" xfId="19182" xr:uid="{8DAD1DDC-AA1F-4C15-869C-9563E101B8D1}"/>
    <cellStyle name="Normal 9 2 2 2 7 6" xfId="36040" xr:uid="{58AE2354-7C31-4DC4-9A48-85C62A5C023C}"/>
    <cellStyle name="Normal 9 2 2 2 7 7" xfId="10747" xr:uid="{ACA11EE0-E6B4-4DC4-99A2-448E3AD349DC}"/>
    <cellStyle name="Normal 9 2 2 2 8" xfId="2659" xr:uid="{00000000-0005-0000-0000-0000BB1E0000}"/>
    <cellStyle name="Normal 9 2 2 2 8 2" xfId="6943" xr:uid="{00000000-0005-0000-0000-0000BC1E0000}"/>
    <cellStyle name="Normal 9 2 2 2 8 2 2" xfId="32242" xr:uid="{8B99B180-C999-478F-8104-6AECE6CD5085}"/>
    <cellStyle name="Normal 9 2 2 2 8 2 3" xfId="23813" xr:uid="{2194B4A0-EEDD-40D8-A65B-9AB121CF35B2}"/>
    <cellStyle name="Normal 9 2 2 2 8 2 4" xfId="40670" xr:uid="{344233AC-F2A0-408D-A678-833A04DA83C1}"/>
    <cellStyle name="Normal 9 2 2 2 8 2 5" xfId="15378" xr:uid="{EB68B8DF-51B3-4961-9259-930783497EFF}"/>
    <cellStyle name="Normal 9 2 2 2 8 3" xfId="28024" xr:uid="{938B4386-DADF-4B84-A101-1E0D031355CE}"/>
    <cellStyle name="Normal 9 2 2 2 8 4" xfId="19595" xr:uid="{E27C42D6-1AAD-4EB3-AEB6-95A27F89A7D6}"/>
    <cellStyle name="Normal 9 2 2 2 8 5" xfId="36453" xr:uid="{A6B26569-524C-4451-808D-FA697713041F}"/>
    <cellStyle name="Normal 9 2 2 2 8 6" xfId="11160" xr:uid="{79582D7E-9DEA-42B4-8CB9-4A43F12456DE}"/>
    <cellStyle name="Normal 9 2 2 2 9" xfId="4878" xr:uid="{00000000-0005-0000-0000-0000BD1E0000}"/>
    <cellStyle name="Normal 9 2 2 2 9 2" xfId="30177" xr:uid="{629D711A-63D0-49AA-A0DD-A1C39F150142}"/>
    <cellStyle name="Normal 9 2 2 2 9 3" xfId="21748" xr:uid="{4E110481-0C9E-44D0-818F-C7F691ACD745}"/>
    <cellStyle name="Normal 9 2 2 2 9 4" xfId="38605" xr:uid="{F5812288-218D-4CEB-AFDD-3C0336E1C04E}"/>
    <cellStyle name="Normal 9 2 2 2 9 5" xfId="13313" xr:uid="{595F153A-6975-4578-AB09-6AD830174815}"/>
    <cellStyle name="Normal 9 2 2 3" xfId="517" xr:uid="{00000000-0005-0000-0000-0000BE1E0000}"/>
    <cellStyle name="Normal 9 2 2 3 10" xfId="17534" xr:uid="{987B9E20-3381-4493-97BF-F267DEADD346}"/>
    <cellStyle name="Normal 9 2 2 3 11" xfId="34392" xr:uid="{E2EC24D7-F5C9-4015-A7E7-CD226DD6C74F}"/>
    <cellStyle name="Normal 9 2 2 3 12" xfId="9099" xr:uid="{D6E862C4-BAC8-4D22-89B8-70F6DF0ECC23}"/>
    <cellStyle name="Normal 9 2 2 3 2" xfId="518" xr:uid="{00000000-0005-0000-0000-0000BF1E0000}"/>
    <cellStyle name="Normal 9 2 2 3 2 10" xfId="34393" xr:uid="{AD9D436B-ACD7-454D-8171-7C10C5894298}"/>
    <cellStyle name="Normal 9 2 2 3 2 11" xfId="9100" xr:uid="{4B4A62B2-262A-40F4-A486-A6F29F7BA10D}"/>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32740" xr:uid="{F2B79D5D-26B8-4A3A-A79C-E19DF9A65CF4}"/>
    <cellStyle name="Normal 9 2 2 3 2 2 2 2 3" xfId="24311" xr:uid="{1585441C-5D0C-4104-A1FD-C4916858109E}"/>
    <cellStyle name="Normal 9 2 2 3 2 2 2 2 4" xfId="41168" xr:uid="{79B93B95-F35A-4FC0-9127-2BFA16037E39}"/>
    <cellStyle name="Normal 9 2 2 3 2 2 2 2 5" xfId="15876" xr:uid="{BD5E3323-E8C4-45F5-8985-7DC56E3F8C75}"/>
    <cellStyle name="Normal 9 2 2 3 2 2 2 3" xfId="28522" xr:uid="{6810A221-1EA8-419C-B28F-DC53E743E387}"/>
    <cellStyle name="Normal 9 2 2 3 2 2 2 4" xfId="20093" xr:uid="{ED9361F5-A15D-4557-ABCB-23DAC74E598D}"/>
    <cellStyle name="Normal 9 2 2 3 2 2 2 5" xfId="36951" xr:uid="{660EE947-4587-41D7-A7C5-E3F00E036978}"/>
    <cellStyle name="Normal 9 2 2 3 2 2 2 6" xfId="11658" xr:uid="{4274955A-BF55-4527-909B-FAF0C8145900}"/>
    <cellStyle name="Normal 9 2 2 3 2 2 3" xfId="5296" xr:uid="{00000000-0005-0000-0000-0000C31E0000}"/>
    <cellStyle name="Normal 9 2 2 3 2 2 3 2" xfId="30595" xr:uid="{B974C781-570F-44F6-B465-75ACCFF8386F}"/>
    <cellStyle name="Normal 9 2 2 3 2 2 3 3" xfId="22166" xr:uid="{65F39DC6-3ACA-42D1-8AE6-CABC40C36226}"/>
    <cellStyle name="Normal 9 2 2 3 2 2 3 4" xfId="39023" xr:uid="{F8D0EAAD-3FA6-48D7-9D50-BC0DC8F11CBD}"/>
    <cellStyle name="Normal 9 2 2 3 2 2 3 5" xfId="13731" xr:uid="{1D2BD2EF-F439-4D1A-80FF-238473DB02CB}"/>
    <cellStyle name="Normal 9 2 2 3 2 2 4" xfId="26377" xr:uid="{B3BEBE56-FD56-4B87-A1F7-DD8BACECEB1E}"/>
    <cellStyle name="Normal 9 2 2 3 2 2 5" xfId="17948" xr:uid="{8849BB3B-CF67-4160-9ED7-87BC8BC5B589}"/>
    <cellStyle name="Normal 9 2 2 3 2 2 6" xfId="34806" xr:uid="{164D4E46-39FB-44AD-8FDB-12AC02C74324}"/>
    <cellStyle name="Normal 9 2 2 3 2 2 7" xfId="9513" xr:uid="{F29E4259-DE08-4482-A725-2E206C0EEEA4}"/>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33153" xr:uid="{7790762D-2B02-47AF-B443-E4A5E65CC0FF}"/>
    <cellStyle name="Normal 9 2 2 3 2 3 2 2 3" xfId="24724" xr:uid="{4BB57222-6F14-43A7-9D53-3B185FBC2908}"/>
    <cellStyle name="Normal 9 2 2 3 2 3 2 2 4" xfId="41581" xr:uid="{52B1770D-8D50-4710-A2D2-9E4A8DE3D262}"/>
    <cellStyle name="Normal 9 2 2 3 2 3 2 2 5" xfId="16289" xr:uid="{50835CA0-5256-4767-87C1-55447340DA3E}"/>
    <cellStyle name="Normal 9 2 2 3 2 3 2 3" xfId="28935" xr:uid="{A206A461-0ADF-4D87-8CCB-E329481F91C8}"/>
    <cellStyle name="Normal 9 2 2 3 2 3 2 4" xfId="20506" xr:uid="{66DA260A-C046-4FBF-BF21-6B67A46814FE}"/>
    <cellStyle name="Normal 9 2 2 3 2 3 2 5" xfId="37364" xr:uid="{F585601C-0B55-48F7-A8A9-5B0A8A210255}"/>
    <cellStyle name="Normal 9 2 2 3 2 3 2 6" xfId="12071" xr:uid="{495FE165-3B40-4C85-B568-0A63F4645180}"/>
    <cellStyle name="Normal 9 2 2 3 2 3 3" xfId="5709" xr:uid="{00000000-0005-0000-0000-0000C71E0000}"/>
    <cellStyle name="Normal 9 2 2 3 2 3 3 2" xfId="31008" xr:uid="{AF8156FB-F707-486E-B88E-1E6FB627AD9E}"/>
    <cellStyle name="Normal 9 2 2 3 2 3 3 3" xfId="22579" xr:uid="{80B36198-8D06-4707-82C9-DC2BDE68BC3F}"/>
    <cellStyle name="Normal 9 2 2 3 2 3 3 4" xfId="39436" xr:uid="{7F5B7D43-F4D4-4736-9F29-2605F5201329}"/>
    <cellStyle name="Normal 9 2 2 3 2 3 3 5" xfId="14144" xr:uid="{2E50BCDC-1DB3-4350-9AEB-4D7E64C8BE5E}"/>
    <cellStyle name="Normal 9 2 2 3 2 3 4" xfId="26790" xr:uid="{D1A29A25-006A-469A-97A2-307FE56A546E}"/>
    <cellStyle name="Normal 9 2 2 3 2 3 5" xfId="18361" xr:uid="{AB5ADAAE-1110-449E-9BE8-2CFC8052A919}"/>
    <cellStyle name="Normal 9 2 2 3 2 3 6" xfId="35219" xr:uid="{01C4192B-0CD4-4F43-8727-BB0308B3F06D}"/>
    <cellStyle name="Normal 9 2 2 3 2 3 7" xfId="9926" xr:uid="{76AADA5F-5444-48CC-AAA7-E95E42A6C19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33566" xr:uid="{51E97B4A-04C2-40D0-8746-80FD12C215C7}"/>
    <cellStyle name="Normal 9 2 2 3 2 4 2 2 3" xfId="25137" xr:uid="{107D147A-2164-4FBC-A298-61D9CF5BB716}"/>
    <cellStyle name="Normal 9 2 2 3 2 4 2 2 4" xfId="41994" xr:uid="{0C8A89BD-827A-4C30-962A-E0058C1A5588}"/>
    <cellStyle name="Normal 9 2 2 3 2 4 2 2 5" xfId="16702" xr:uid="{3F8A09EA-1923-4140-A562-3A76C961790E}"/>
    <cellStyle name="Normal 9 2 2 3 2 4 2 3" xfId="29348" xr:uid="{1C604618-C3CB-41D1-B95A-CE68FE3A7DFE}"/>
    <cellStyle name="Normal 9 2 2 3 2 4 2 4" xfId="20919" xr:uid="{77E06415-A9B2-4286-AC6A-8ACE07C7D0AD}"/>
    <cellStyle name="Normal 9 2 2 3 2 4 2 5" xfId="37777" xr:uid="{232BA2FE-480D-4D33-8493-EA372959619B}"/>
    <cellStyle name="Normal 9 2 2 3 2 4 2 6" xfId="12484" xr:uid="{7E366B89-C7FA-4FEE-AF48-4B360730D5EC}"/>
    <cellStyle name="Normal 9 2 2 3 2 4 3" xfId="6122" xr:uid="{00000000-0005-0000-0000-0000CB1E0000}"/>
    <cellStyle name="Normal 9 2 2 3 2 4 3 2" xfId="31421" xr:uid="{E7DC4992-20D4-46E7-9023-146E161D8799}"/>
    <cellStyle name="Normal 9 2 2 3 2 4 3 3" xfId="22992" xr:uid="{2F1E014B-F80D-4176-9012-EBC89419041E}"/>
    <cellStyle name="Normal 9 2 2 3 2 4 3 4" xfId="39849" xr:uid="{D1186C29-C242-417F-8E94-8ED9A73AD652}"/>
    <cellStyle name="Normal 9 2 2 3 2 4 3 5" xfId="14557" xr:uid="{0EDF8330-9A3E-48BE-A4C4-3C70169D9A56}"/>
    <cellStyle name="Normal 9 2 2 3 2 4 4" xfId="27203" xr:uid="{AD6D5C82-E8B2-404B-AB8E-9DCDB41CB105}"/>
    <cellStyle name="Normal 9 2 2 3 2 4 5" xfId="18774" xr:uid="{D81B4BA3-D480-441A-A066-1E8C121853BA}"/>
    <cellStyle name="Normal 9 2 2 3 2 4 6" xfId="35632" xr:uid="{E01D751E-9B7A-49D0-9B40-97BBB40D9E19}"/>
    <cellStyle name="Normal 9 2 2 3 2 4 7" xfId="10339" xr:uid="{6F1AEE90-8B54-46C5-BC33-08AEA1DFA9D3}"/>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33979" xr:uid="{CAE866CE-228E-4A6A-9185-311E5585EB9B}"/>
    <cellStyle name="Normal 9 2 2 3 2 5 2 2 3" xfId="25550" xr:uid="{5712CCCE-4D7B-4224-B840-B2167055F008}"/>
    <cellStyle name="Normal 9 2 2 3 2 5 2 2 4" xfId="42407" xr:uid="{00F2FD56-E455-40BB-B71C-A360DFE499ED}"/>
    <cellStyle name="Normal 9 2 2 3 2 5 2 2 5" xfId="17115" xr:uid="{6C2E9234-D5B8-49AC-943D-62BBE8008E97}"/>
    <cellStyle name="Normal 9 2 2 3 2 5 2 3" xfId="29761" xr:uid="{D76F07D9-B3F1-456A-9855-787326989E71}"/>
    <cellStyle name="Normal 9 2 2 3 2 5 2 4" xfId="21332" xr:uid="{F5F9BCB5-4E37-481C-8178-B50584251E17}"/>
    <cellStyle name="Normal 9 2 2 3 2 5 2 5" xfId="38190" xr:uid="{559CF7E2-8494-494E-8721-FAEA2F6BBBD9}"/>
    <cellStyle name="Normal 9 2 2 3 2 5 2 6" xfId="12897" xr:uid="{7AF4C717-1623-4CA6-A64A-C2508D62B8B6}"/>
    <cellStyle name="Normal 9 2 2 3 2 5 3" xfId="6535" xr:uid="{00000000-0005-0000-0000-0000CF1E0000}"/>
    <cellStyle name="Normal 9 2 2 3 2 5 3 2" xfId="31834" xr:uid="{39DF997B-86FD-47A2-99AF-65F4A47C6724}"/>
    <cellStyle name="Normal 9 2 2 3 2 5 3 3" xfId="23405" xr:uid="{F86D7CB1-9818-4F15-86DD-901227666A1F}"/>
    <cellStyle name="Normal 9 2 2 3 2 5 3 4" xfId="40262" xr:uid="{C0F86407-323A-4380-BF11-231DA3A8811E}"/>
    <cellStyle name="Normal 9 2 2 3 2 5 3 5" xfId="14970" xr:uid="{FDB93EDE-F835-45E5-BEEA-A7AD587ED9A2}"/>
    <cellStyle name="Normal 9 2 2 3 2 5 4" xfId="27616" xr:uid="{36180FF7-1F35-4A68-811F-0BA6AFE7B4D5}"/>
    <cellStyle name="Normal 9 2 2 3 2 5 5" xfId="19187" xr:uid="{95B5F452-4288-4A7D-AFDB-9729371EAB07}"/>
    <cellStyle name="Normal 9 2 2 3 2 5 6" xfId="36045" xr:uid="{A4F0F04B-6A32-4368-B143-8B34390E224D}"/>
    <cellStyle name="Normal 9 2 2 3 2 5 7" xfId="10752" xr:uid="{A265C213-F913-4792-9FAC-BEE7A22EEDF8}"/>
    <cellStyle name="Normal 9 2 2 3 2 6" xfId="2664" xr:uid="{00000000-0005-0000-0000-0000D01E0000}"/>
    <cellStyle name="Normal 9 2 2 3 2 6 2" xfId="6948" xr:uid="{00000000-0005-0000-0000-0000D11E0000}"/>
    <cellStyle name="Normal 9 2 2 3 2 6 2 2" xfId="32247" xr:uid="{CF09D4E4-A850-4F76-8E57-D547D8915E40}"/>
    <cellStyle name="Normal 9 2 2 3 2 6 2 3" xfId="23818" xr:uid="{1E506816-7034-4EA7-BF34-D5065A9084A4}"/>
    <cellStyle name="Normal 9 2 2 3 2 6 2 4" xfId="40675" xr:uid="{5CF7448E-327D-436A-AE55-AEB4F83F7C95}"/>
    <cellStyle name="Normal 9 2 2 3 2 6 2 5" xfId="15383" xr:uid="{F7DCC65A-0D19-4A4A-BF8E-AA866CA7340D}"/>
    <cellStyle name="Normal 9 2 2 3 2 6 3" xfId="28029" xr:uid="{4FFB81BC-5FAB-4230-B9C2-2CC93C2F21F3}"/>
    <cellStyle name="Normal 9 2 2 3 2 6 4" xfId="19600" xr:uid="{A701F7CD-1B3E-4E4A-9DC1-83BB52E15C86}"/>
    <cellStyle name="Normal 9 2 2 3 2 6 5" xfId="36458" xr:uid="{F423E844-F506-4E5C-8192-EE6572CD7B3D}"/>
    <cellStyle name="Normal 9 2 2 3 2 6 6" xfId="11165" xr:uid="{C204030F-EA9B-439C-922A-6F755E95923E}"/>
    <cellStyle name="Normal 9 2 2 3 2 7" xfId="4883" xr:uid="{00000000-0005-0000-0000-0000D21E0000}"/>
    <cellStyle name="Normal 9 2 2 3 2 7 2" xfId="30182" xr:uid="{1E2F59F1-98F3-4C54-85FC-070B1B6A4C6B}"/>
    <cellStyle name="Normal 9 2 2 3 2 7 3" xfId="21753" xr:uid="{D45A08FE-D8E3-4A2A-A445-5E3EEC8E1462}"/>
    <cellStyle name="Normal 9 2 2 3 2 7 4" xfId="38610" xr:uid="{F494399C-3284-4F3E-B12B-35FE8889F3AB}"/>
    <cellStyle name="Normal 9 2 2 3 2 7 5" xfId="13318" xr:uid="{8EA08337-A4CF-4564-94AF-596DF2419A0C}"/>
    <cellStyle name="Normal 9 2 2 3 2 8" xfId="25964" xr:uid="{41157258-C0EE-4791-B5AA-6DA87C45B35B}"/>
    <cellStyle name="Normal 9 2 2 3 2 9" xfId="17535" xr:uid="{A10128F7-0AA3-44C7-BD35-110797054F1C}"/>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32739" xr:uid="{5D760D49-781E-4459-A150-363A89ADDBB9}"/>
    <cellStyle name="Normal 9 2 2 3 3 2 2 3" xfId="24310" xr:uid="{F8DE3716-6939-436F-AAB7-7F8E7C490696}"/>
    <cellStyle name="Normal 9 2 2 3 3 2 2 4" xfId="41167" xr:uid="{DC87CEE9-408B-4C1E-9E36-3B7D850316A6}"/>
    <cellStyle name="Normal 9 2 2 3 3 2 2 5" xfId="15875" xr:uid="{EFB76594-0F21-42CA-8125-2770347B5023}"/>
    <cellStyle name="Normal 9 2 2 3 3 2 3" xfId="28521" xr:uid="{08CBB612-1687-4EF9-BE2E-7D2164FC234B}"/>
    <cellStyle name="Normal 9 2 2 3 3 2 4" xfId="20092" xr:uid="{30A63503-B23F-4BC7-AC28-CD3AC31FCA72}"/>
    <cellStyle name="Normal 9 2 2 3 3 2 5" xfId="36950" xr:uid="{7B3E98A5-7989-4921-8C6B-6E7BAB2C8179}"/>
    <cellStyle name="Normal 9 2 2 3 3 2 6" xfId="11657" xr:uid="{E4B4BA95-F6AB-4F46-B74E-4D3B3DF152DC}"/>
    <cellStyle name="Normal 9 2 2 3 3 3" xfId="5295" xr:uid="{00000000-0005-0000-0000-0000D61E0000}"/>
    <cellStyle name="Normal 9 2 2 3 3 3 2" xfId="30594" xr:uid="{BF539E59-0B24-4784-B8C1-94B70AFE6FDC}"/>
    <cellStyle name="Normal 9 2 2 3 3 3 3" xfId="22165" xr:uid="{81FA793C-1C82-48BB-B625-DCF6429CEEE9}"/>
    <cellStyle name="Normal 9 2 2 3 3 3 4" xfId="39022" xr:uid="{0FD365E7-8289-4963-992D-7E38F0C45106}"/>
    <cellStyle name="Normal 9 2 2 3 3 3 5" xfId="13730" xr:uid="{54BF585E-D908-48B8-8BD1-BB757C2A607D}"/>
    <cellStyle name="Normal 9 2 2 3 3 4" xfId="26376" xr:uid="{56D0821E-8A80-4377-9F5C-F7A30B91BCA9}"/>
    <cellStyle name="Normal 9 2 2 3 3 5" xfId="17947" xr:uid="{20547F54-F26B-4756-96A9-EA1EBE3F0AD5}"/>
    <cellStyle name="Normal 9 2 2 3 3 6" xfId="34805" xr:uid="{2EEFED8B-77F9-47B8-8CE8-C3D26A35752B}"/>
    <cellStyle name="Normal 9 2 2 3 3 7" xfId="9512" xr:uid="{F66FF84D-C7C3-4516-BCCA-41438CF02312}"/>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33152" xr:uid="{89F9DC9F-BDA0-441F-830C-1E27B8745DA8}"/>
    <cellStyle name="Normal 9 2 2 3 4 2 2 3" xfId="24723" xr:uid="{77A645EF-6C06-49AA-8CFD-488F882C01B2}"/>
    <cellStyle name="Normal 9 2 2 3 4 2 2 4" xfId="41580" xr:uid="{45CB1480-2731-41C3-82BC-21CAE6A253E2}"/>
    <cellStyle name="Normal 9 2 2 3 4 2 2 5" xfId="16288" xr:uid="{FEE21C81-9D52-4964-860A-BF6DDCF8A962}"/>
    <cellStyle name="Normal 9 2 2 3 4 2 3" xfId="28934" xr:uid="{360A93F9-0D55-4261-9452-A5F1A5CDD640}"/>
    <cellStyle name="Normal 9 2 2 3 4 2 4" xfId="20505" xr:uid="{FAF96718-DE8E-432A-9217-FC3706378940}"/>
    <cellStyle name="Normal 9 2 2 3 4 2 5" xfId="37363" xr:uid="{B0C9C361-CCE9-49B9-A246-9E78CE94A7BB}"/>
    <cellStyle name="Normal 9 2 2 3 4 2 6" xfId="12070" xr:uid="{F37641BC-6D18-4C7D-8639-B7EF2469A030}"/>
    <cellStyle name="Normal 9 2 2 3 4 3" xfId="5708" xr:uid="{00000000-0005-0000-0000-0000DA1E0000}"/>
    <cellStyle name="Normal 9 2 2 3 4 3 2" xfId="31007" xr:uid="{132F2EDD-02BA-4C94-AE96-513DBE32BE9F}"/>
    <cellStyle name="Normal 9 2 2 3 4 3 3" xfId="22578" xr:uid="{1AB53234-0114-4850-BC87-A59DA3190102}"/>
    <cellStyle name="Normal 9 2 2 3 4 3 4" xfId="39435" xr:uid="{31D0082C-CD46-459B-B0EE-64B87F131250}"/>
    <cellStyle name="Normal 9 2 2 3 4 3 5" xfId="14143" xr:uid="{90FB14F4-7497-4360-B0F8-0A4AD6EF3A56}"/>
    <cellStyle name="Normal 9 2 2 3 4 4" xfId="26789" xr:uid="{E28DE1A6-A15B-43E7-BDC6-40A94805F9A4}"/>
    <cellStyle name="Normal 9 2 2 3 4 5" xfId="18360" xr:uid="{7BA80349-7A45-400F-B74A-E441F958B688}"/>
    <cellStyle name="Normal 9 2 2 3 4 6" xfId="35218" xr:uid="{FE318C92-B790-47F1-8319-29E071D297A0}"/>
    <cellStyle name="Normal 9 2 2 3 4 7" xfId="9925" xr:uid="{E169F5C1-0D64-4FE7-A160-50D1B87ECDD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33565" xr:uid="{5C0ADB16-5FC4-4D21-903B-9F2134F6CC7D}"/>
    <cellStyle name="Normal 9 2 2 3 5 2 2 3" xfId="25136" xr:uid="{CC57F1EB-BF4E-49B8-91E1-5CC4B34A9656}"/>
    <cellStyle name="Normal 9 2 2 3 5 2 2 4" xfId="41993" xr:uid="{F19D0349-69AF-4435-9E55-A25F00B19DB0}"/>
    <cellStyle name="Normal 9 2 2 3 5 2 2 5" xfId="16701" xr:uid="{D1878B34-5C8B-4CBF-9D17-285DC5B3E8B2}"/>
    <cellStyle name="Normal 9 2 2 3 5 2 3" xfId="29347" xr:uid="{2B5B2F64-0F0E-4DD4-A098-5B74691078E5}"/>
    <cellStyle name="Normal 9 2 2 3 5 2 4" xfId="20918" xr:uid="{DA4D07B6-12B2-4811-B5BC-FD3CEE1CA29F}"/>
    <cellStyle name="Normal 9 2 2 3 5 2 5" xfId="37776" xr:uid="{FF50D1CD-1A33-4C93-B327-05A751D7A1D7}"/>
    <cellStyle name="Normal 9 2 2 3 5 2 6" xfId="12483" xr:uid="{1B3A907A-472B-49EC-B186-EDBEDE591C0A}"/>
    <cellStyle name="Normal 9 2 2 3 5 3" xfId="6121" xr:uid="{00000000-0005-0000-0000-0000DE1E0000}"/>
    <cellStyle name="Normal 9 2 2 3 5 3 2" xfId="31420" xr:uid="{07DE9C07-6AE9-4363-8D99-EDBD8EE5C61B}"/>
    <cellStyle name="Normal 9 2 2 3 5 3 3" xfId="22991" xr:uid="{8BB42903-B42F-416D-AE5E-F7FE3924EDFF}"/>
    <cellStyle name="Normal 9 2 2 3 5 3 4" xfId="39848" xr:uid="{B2BD2376-3135-4E4B-BEA6-E386C7D71F1F}"/>
    <cellStyle name="Normal 9 2 2 3 5 3 5" xfId="14556" xr:uid="{ED96946B-0175-4A59-BF28-15B842F9F8EA}"/>
    <cellStyle name="Normal 9 2 2 3 5 4" xfId="27202" xr:uid="{3E4F2927-4C36-4C19-A6EF-9165667B2349}"/>
    <cellStyle name="Normal 9 2 2 3 5 5" xfId="18773" xr:uid="{146F6B45-DBC6-4F31-8F67-84D55ED0C497}"/>
    <cellStyle name="Normal 9 2 2 3 5 6" xfId="35631" xr:uid="{75D03A14-2A98-438F-BAA6-4893B8F5673E}"/>
    <cellStyle name="Normal 9 2 2 3 5 7" xfId="10338" xr:uid="{5547E77C-37EA-4044-AF76-37341F2B22AB}"/>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33978" xr:uid="{C9B4BD30-8C68-45D2-8B46-35D2C151751B}"/>
    <cellStyle name="Normal 9 2 2 3 6 2 2 3" xfId="25549" xr:uid="{F1853B9A-75B8-4720-9AC8-00634D8D21F0}"/>
    <cellStyle name="Normal 9 2 2 3 6 2 2 4" xfId="42406" xr:uid="{C737B38B-8A5A-44F6-B4FA-C0A0A06C55CD}"/>
    <cellStyle name="Normal 9 2 2 3 6 2 2 5" xfId="17114" xr:uid="{C3C3424A-391A-4038-B543-344E047C7465}"/>
    <cellStyle name="Normal 9 2 2 3 6 2 3" xfId="29760" xr:uid="{D59BD08E-C99C-43E1-AB43-9ABF4B3A7225}"/>
    <cellStyle name="Normal 9 2 2 3 6 2 4" xfId="21331" xr:uid="{1FF99791-4E0A-445F-8767-527C226C6DB1}"/>
    <cellStyle name="Normal 9 2 2 3 6 2 5" xfId="38189" xr:uid="{46B968BE-232F-4A95-B715-15F8838C743C}"/>
    <cellStyle name="Normal 9 2 2 3 6 2 6" xfId="12896" xr:uid="{1CEC22C6-8C2D-46A7-863C-34F1EA2D38B9}"/>
    <cellStyle name="Normal 9 2 2 3 6 3" xfId="6534" xr:uid="{00000000-0005-0000-0000-0000E21E0000}"/>
    <cellStyle name="Normal 9 2 2 3 6 3 2" xfId="31833" xr:uid="{CF9C10D9-4294-4D9C-B74C-5A928B91CA67}"/>
    <cellStyle name="Normal 9 2 2 3 6 3 3" xfId="23404" xr:uid="{6A353FF1-C396-4763-B21A-B40694222FB7}"/>
    <cellStyle name="Normal 9 2 2 3 6 3 4" xfId="40261" xr:uid="{2680BE96-8CDE-4549-839E-2FEC88BD97BD}"/>
    <cellStyle name="Normal 9 2 2 3 6 3 5" xfId="14969" xr:uid="{FA006B43-918E-4953-A697-16D96E98C073}"/>
    <cellStyle name="Normal 9 2 2 3 6 4" xfId="27615" xr:uid="{1E564333-9946-48CC-9AFE-77B2F4B8962E}"/>
    <cellStyle name="Normal 9 2 2 3 6 5" xfId="19186" xr:uid="{8CD1CFE4-CA5A-4767-BCDE-48FBF169AD1B}"/>
    <cellStyle name="Normal 9 2 2 3 6 6" xfId="36044" xr:uid="{DCA1BC66-898A-4D13-9752-AC317B6AA571}"/>
    <cellStyle name="Normal 9 2 2 3 6 7" xfId="10751" xr:uid="{ED8BC3F3-7E05-4968-8C34-46D6AAED89A0}"/>
    <cellStyle name="Normal 9 2 2 3 7" xfId="2663" xr:uid="{00000000-0005-0000-0000-0000E31E0000}"/>
    <cellStyle name="Normal 9 2 2 3 7 2" xfId="6947" xr:uid="{00000000-0005-0000-0000-0000E41E0000}"/>
    <cellStyle name="Normal 9 2 2 3 7 2 2" xfId="32246" xr:uid="{9B8F01F3-5AE1-4F85-941D-A631538843DF}"/>
    <cellStyle name="Normal 9 2 2 3 7 2 3" xfId="23817" xr:uid="{79E24984-8F55-4311-832C-ECC8ECFF3955}"/>
    <cellStyle name="Normal 9 2 2 3 7 2 4" xfId="40674" xr:uid="{6D83D797-103D-4D33-836F-30998F170DD1}"/>
    <cellStyle name="Normal 9 2 2 3 7 2 5" xfId="15382" xr:uid="{E76F5D74-B5D7-4D0B-A960-3C7E475B0549}"/>
    <cellStyle name="Normal 9 2 2 3 7 3" xfId="28028" xr:uid="{AF25BCD7-1139-427E-B7D4-61EF88DF4866}"/>
    <cellStyle name="Normal 9 2 2 3 7 4" xfId="19599" xr:uid="{1F2F3134-F5C9-4D40-984E-928D78F7BB33}"/>
    <cellStyle name="Normal 9 2 2 3 7 5" xfId="36457" xr:uid="{2D4BD49B-9B95-4E6E-A966-7EC136115AAC}"/>
    <cellStyle name="Normal 9 2 2 3 7 6" xfId="11164" xr:uid="{220E1327-552F-49FB-A143-710284F5C5C0}"/>
    <cellStyle name="Normal 9 2 2 3 8" xfId="4882" xr:uid="{00000000-0005-0000-0000-0000E51E0000}"/>
    <cellStyle name="Normal 9 2 2 3 8 2" xfId="30181" xr:uid="{30A289F2-5EB1-4414-A65C-476E2EE7939B}"/>
    <cellStyle name="Normal 9 2 2 3 8 3" xfId="21752" xr:uid="{EE95592E-9D53-4EC4-823C-16E61502C76F}"/>
    <cellStyle name="Normal 9 2 2 3 8 4" xfId="38609" xr:uid="{1D6DEF57-119E-451D-937E-AAB1CC276350}"/>
    <cellStyle name="Normal 9 2 2 3 8 5" xfId="13317" xr:uid="{64C1CF1E-4284-4673-BB38-8C72AE88ACC0}"/>
    <cellStyle name="Normal 9 2 2 3 9" xfId="25963" xr:uid="{BF47F68C-01E8-4209-8B12-D9FD5A02FA86}"/>
    <cellStyle name="Normal 9 2 2 4" xfId="519" xr:uid="{00000000-0005-0000-0000-0000E61E0000}"/>
    <cellStyle name="Normal 9 2 2 4 10" xfId="34394" xr:uid="{EA9AD65D-BE5F-4592-9958-8A3667AD0540}"/>
    <cellStyle name="Normal 9 2 2 4 11" xfId="9101" xr:uid="{529ED75F-7F35-406D-8E8D-2B4C1001CAE1}"/>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32741" xr:uid="{622694AB-BF2E-430A-AA6B-45802573B55E}"/>
    <cellStyle name="Normal 9 2 2 4 2 2 2 3" xfId="24312" xr:uid="{B966634A-8D6B-4F87-BD95-7B8D14C60530}"/>
    <cellStyle name="Normal 9 2 2 4 2 2 2 4" xfId="41169" xr:uid="{FDCA8614-8FE5-4801-B2D5-542CC8D29BF5}"/>
    <cellStyle name="Normal 9 2 2 4 2 2 2 5" xfId="15877" xr:uid="{327C9190-7F73-47A3-B9AA-CC963187F30E}"/>
    <cellStyle name="Normal 9 2 2 4 2 2 3" xfId="28523" xr:uid="{958CF3B7-9089-4AF3-A19F-D98CE1BF70A3}"/>
    <cellStyle name="Normal 9 2 2 4 2 2 4" xfId="20094" xr:uid="{27C91B1D-DD18-47D1-B1A9-FAF0A897361F}"/>
    <cellStyle name="Normal 9 2 2 4 2 2 5" xfId="36952" xr:uid="{4FD396F8-3D0F-41D0-B026-503997A3F763}"/>
    <cellStyle name="Normal 9 2 2 4 2 2 6" xfId="11659" xr:uid="{BDF207CB-2ECA-429B-AB2F-894F07E87AFD}"/>
    <cellStyle name="Normal 9 2 2 4 2 3" xfId="5297" xr:uid="{00000000-0005-0000-0000-0000EA1E0000}"/>
    <cellStyle name="Normal 9 2 2 4 2 3 2" xfId="30596" xr:uid="{4D16D352-F074-4105-BC02-6359981CD61F}"/>
    <cellStyle name="Normal 9 2 2 4 2 3 3" xfId="22167" xr:uid="{41FBB952-47A9-4965-A1A5-CF88840E7B07}"/>
    <cellStyle name="Normal 9 2 2 4 2 3 4" xfId="39024" xr:uid="{01BF5C81-F3B4-4171-90A8-6D634DB46871}"/>
    <cellStyle name="Normal 9 2 2 4 2 3 5" xfId="13732" xr:uid="{A17777C9-40A0-4576-9CA9-D14EE133D01C}"/>
    <cellStyle name="Normal 9 2 2 4 2 4" xfId="26378" xr:uid="{64CBD656-9B8B-4810-A176-01EB461E5132}"/>
    <cellStyle name="Normal 9 2 2 4 2 5" xfId="17949" xr:uid="{E1DC73DF-3A61-4DEC-85BA-88C93D937182}"/>
    <cellStyle name="Normal 9 2 2 4 2 6" xfId="34807" xr:uid="{715C5310-F439-49DE-B0C2-467F38BD2409}"/>
    <cellStyle name="Normal 9 2 2 4 2 7" xfId="9514" xr:uid="{67EE2DD1-B4D7-416A-B63B-E50D7A70F126}"/>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33154" xr:uid="{7600CCE6-992B-4BDC-A260-4078E542CBD9}"/>
    <cellStyle name="Normal 9 2 2 4 3 2 2 3" xfId="24725" xr:uid="{9270ACB3-581C-4D24-BA6B-1C6E438D4F30}"/>
    <cellStyle name="Normal 9 2 2 4 3 2 2 4" xfId="41582" xr:uid="{F887A80D-5051-4289-A9D3-0E71ED73E67D}"/>
    <cellStyle name="Normal 9 2 2 4 3 2 2 5" xfId="16290" xr:uid="{1D45C1EF-9298-4BC8-A886-9DB96C569674}"/>
    <cellStyle name="Normal 9 2 2 4 3 2 3" xfId="28936" xr:uid="{F9B18D5A-94F9-4308-AD0C-419A75A1A6E3}"/>
    <cellStyle name="Normal 9 2 2 4 3 2 4" xfId="20507" xr:uid="{31644759-F992-42FC-958E-2556691AD39E}"/>
    <cellStyle name="Normal 9 2 2 4 3 2 5" xfId="37365" xr:uid="{C39821C5-5A6D-4D9A-A945-949E0E315C55}"/>
    <cellStyle name="Normal 9 2 2 4 3 2 6" xfId="12072" xr:uid="{57AC72E5-4563-4872-A2FB-3236561FF226}"/>
    <cellStyle name="Normal 9 2 2 4 3 3" xfId="5710" xr:uid="{00000000-0005-0000-0000-0000EE1E0000}"/>
    <cellStyle name="Normal 9 2 2 4 3 3 2" xfId="31009" xr:uid="{752A5CE5-E6AF-4FFE-B1B5-087BB8AB7BD8}"/>
    <cellStyle name="Normal 9 2 2 4 3 3 3" xfId="22580" xr:uid="{B3517CAA-FDDD-4E60-AC58-642FBDF7A32A}"/>
    <cellStyle name="Normal 9 2 2 4 3 3 4" xfId="39437" xr:uid="{03F6320B-1105-458C-A9D7-6B9C22C548BC}"/>
    <cellStyle name="Normal 9 2 2 4 3 3 5" xfId="14145" xr:uid="{A030DF3E-7337-49FE-A4D5-854D379A354D}"/>
    <cellStyle name="Normal 9 2 2 4 3 4" xfId="26791" xr:uid="{D7FAD86F-B78D-4888-8C62-7C50DFEEA9A0}"/>
    <cellStyle name="Normal 9 2 2 4 3 5" xfId="18362" xr:uid="{9C57E2B5-7D47-46AA-9162-8501531FE8C4}"/>
    <cellStyle name="Normal 9 2 2 4 3 6" xfId="35220" xr:uid="{9799C6D6-3C2E-454D-85C4-16C4FD7657DD}"/>
    <cellStyle name="Normal 9 2 2 4 3 7" xfId="9927" xr:uid="{E1FF9C75-6593-48DA-8BE6-27B6F685F06E}"/>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33567" xr:uid="{0B76B4A6-97CE-436B-B9AE-5E4484850C72}"/>
    <cellStyle name="Normal 9 2 2 4 4 2 2 3" xfId="25138" xr:uid="{633A2913-70C4-4F5A-82B1-E6FA457994BB}"/>
    <cellStyle name="Normal 9 2 2 4 4 2 2 4" xfId="41995" xr:uid="{A408AC2D-D5E1-46BA-A50A-C90572C9EFB6}"/>
    <cellStyle name="Normal 9 2 2 4 4 2 2 5" xfId="16703" xr:uid="{21BF52A8-E7B7-4FD8-88CE-E32351A36DCC}"/>
    <cellStyle name="Normal 9 2 2 4 4 2 3" xfId="29349" xr:uid="{31381E19-D7F0-426E-A090-18071CE10475}"/>
    <cellStyle name="Normal 9 2 2 4 4 2 4" xfId="20920" xr:uid="{BFF48286-37CD-4557-B28D-A7841727AE41}"/>
    <cellStyle name="Normal 9 2 2 4 4 2 5" xfId="37778" xr:uid="{E29202CB-BF40-4734-BBF0-11CE6EDC1BC9}"/>
    <cellStyle name="Normal 9 2 2 4 4 2 6" xfId="12485" xr:uid="{40E88E49-560C-4155-8648-AE8FB8F02E68}"/>
    <cellStyle name="Normal 9 2 2 4 4 3" xfId="6123" xr:uid="{00000000-0005-0000-0000-0000F21E0000}"/>
    <cellStyle name="Normal 9 2 2 4 4 3 2" xfId="31422" xr:uid="{3AAFCD1F-1FD4-404E-8950-4BFB9DEF3FE1}"/>
    <cellStyle name="Normal 9 2 2 4 4 3 3" xfId="22993" xr:uid="{3DE913D6-8EC0-42BC-BA05-79039F1F02D5}"/>
    <cellStyle name="Normal 9 2 2 4 4 3 4" xfId="39850" xr:uid="{7EE82D5F-E9A9-4B95-84A7-6207686C89DF}"/>
    <cellStyle name="Normal 9 2 2 4 4 3 5" xfId="14558" xr:uid="{792EFAA6-873B-4967-BF98-EBF4E0E2D19E}"/>
    <cellStyle name="Normal 9 2 2 4 4 4" xfId="27204" xr:uid="{1654163B-D54C-4266-AD80-F6ABA8DF20A3}"/>
    <cellStyle name="Normal 9 2 2 4 4 5" xfId="18775" xr:uid="{7D10C0A5-3036-41FE-A61B-168412C8A094}"/>
    <cellStyle name="Normal 9 2 2 4 4 6" xfId="35633" xr:uid="{B8F55E49-23F7-443C-B41F-106644D6AD5B}"/>
    <cellStyle name="Normal 9 2 2 4 4 7" xfId="10340" xr:uid="{41413BB5-D0C7-4DCD-858A-762646F1C937}"/>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33980" xr:uid="{7895EE0B-4FB0-4793-A757-C18AD1BBDE77}"/>
    <cellStyle name="Normal 9 2 2 4 5 2 2 3" xfId="25551" xr:uid="{8301F59B-E40A-4FEB-B602-60E073EF2AC2}"/>
    <cellStyle name="Normal 9 2 2 4 5 2 2 4" xfId="42408" xr:uid="{6BF3AB79-1DD7-4875-BD99-19617BA97670}"/>
    <cellStyle name="Normal 9 2 2 4 5 2 2 5" xfId="17116" xr:uid="{676BF66D-FA78-4FBA-A9E1-28590A0E8CAF}"/>
    <cellStyle name="Normal 9 2 2 4 5 2 3" xfId="29762" xr:uid="{1E3E9ABA-79B8-4402-AA50-5E7F9195B329}"/>
    <cellStyle name="Normal 9 2 2 4 5 2 4" xfId="21333" xr:uid="{31EED793-C56E-43CA-9131-E83109719AFC}"/>
    <cellStyle name="Normal 9 2 2 4 5 2 5" xfId="38191" xr:uid="{D421A8AF-F3E9-4283-84AB-6B52FF4FA055}"/>
    <cellStyle name="Normal 9 2 2 4 5 2 6" xfId="12898" xr:uid="{5B1B1BC1-5AF8-43AA-8627-C79FC16F132D}"/>
    <cellStyle name="Normal 9 2 2 4 5 3" xfId="6536" xr:uid="{00000000-0005-0000-0000-0000F61E0000}"/>
    <cellStyle name="Normal 9 2 2 4 5 3 2" xfId="31835" xr:uid="{A2D7F233-1DDA-4FA2-BD5E-12ABF15B91AC}"/>
    <cellStyle name="Normal 9 2 2 4 5 3 3" xfId="23406" xr:uid="{BF0AF8ED-6BF3-4DCF-BFF6-470A0E6B5DF3}"/>
    <cellStyle name="Normal 9 2 2 4 5 3 4" xfId="40263" xr:uid="{3DA278EF-3451-4D65-8EEA-B5DD79968E07}"/>
    <cellStyle name="Normal 9 2 2 4 5 3 5" xfId="14971" xr:uid="{6E19ACE1-F90C-4341-9D29-5C13C433D732}"/>
    <cellStyle name="Normal 9 2 2 4 5 4" xfId="27617" xr:uid="{F32EB077-5346-41B7-9DCE-0316E4040335}"/>
    <cellStyle name="Normal 9 2 2 4 5 5" xfId="19188" xr:uid="{828A42C7-7AAA-4B16-9074-BDBD23F9E850}"/>
    <cellStyle name="Normal 9 2 2 4 5 6" xfId="36046" xr:uid="{6CE1356D-B069-4718-80BD-3D0088DEB7F6}"/>
    <cellStyle name="Normal 9 2 2 4 5 7" xfId="10753" xr:uid="{AB80A5BA-9D65-45D3-BAF3-8C0D5812A475}"/>
    <cellStyle name="Normal 9 2 2 4 6" xfId="2665" xr:uid="{00000000-0005-0000-0000-0000F71E0000}"/>
    <cellStyle name="Normal 9 2 2 4 6 2" xfId="6949" xr:uid="{00000000-0005-0000-0000-0000F81E0000}"/>
    <cellStyle name="Normal 9 2 2 4 6 2 2" xfId="32248" xr:uid="{7EDC4321-3020-4A89-AC2F-CD5F55243348}"/>
    <cellStyle name="Normal 9 2 2 4 6 2 3" xfId="23819" xr:uid="{B4B69F95-8169-4D35-9817-BE15153E9DEA}"/>
    <cellStyle name="Normal 9 2 2 4 6 2 4" xfId="40676" xr:uid="{8AD78B0E-0216-401E-86AF-5A0D93A0738F}"/>
    <cellStyle name="Normal 9 2 2 4 6 2 5" xfId="15384" xr:uid="{86FC84CB-E2FA-4642-8929-70A54C5D6395}"/>
    <cellStyle name="Normal 9 2 2 4 6 3" xfId="28030" xr:uid="{A1F3A61D-E593-423A-A19A-574A46563DE5}"/>
    <cellStyle name="Normal 9 2 2 4 6 4" xfId="19601" xr:uid="{5684CDA0-8E01-49B8-9B9A-42E72F99C34B}"/>
    <cellStyle name="Normal 9 2 2 4 6 5" xfId="36459" xr:uid="{4E35DCFB-69CD-46A8-8068-FF177929063B}"/>
    <cellStyle name="Normal 9 2 2 4 6 6" xfId="11166" xr:uid="{A4BD5C35-6D98-4351-8033-86BBE428F289}"/>
    <cellStyle name="Normal 9 2 2 4 7" xfId="4884" xr:uid="{00000000-0005-0000-0000-0000F91E0000}"/>
    <cellStyle name="Normal 9 2 2 4 7 2" xfId="30183" xr:uid="{2C6DF004-17BD-44A7-9238-23B446C576E2}"/>
    <cellStyle name="Normal 9 2 2 4 7 3" xfId="21754" xr:uid="{F1E6DE41-0763-4539-85D6-2984E0A08160}"/>
    <cellStyle name="Normal 9 2 2 4 7 4" xfId="38611" xr:uid="{05DD538A-53F1-49EE-90E6-78817CBB8733}"/>
    <cellStyle name="Normal 9 2 2 4 7 5" xfId="13319" xr:uid="{CEA2607F-A158-4A4E-B404-593642084264}"/>
    <cellStyle name="Normal 9 2 2 4 8" xfId="25965" xr:uid="{F1ECF931-EB5D-462B-9756-D90999837016}"/>
    <cellStyle name="Normal 9 2 2 4 9" xfId="17536" xr:uid="{01174C36-0AD9-4791-8D0E-D9A6D4542151}"/>
    <cellStyle name="Normal 9 2 2 5" xfId="979" xr:uid="{00000000-0005-0000-0000-0000FA1E0000}"/>
    <cellStyle name="Normal 9 2 2 5 2" xfId="3212" xr:uid="{00000000-0005-0000-0000-0000FB1E0000}"/>
    <cellStyle name="Normal 9 2 2 5 2 2" xfId="7435" xr:uid="{00000000-0005-0000-0000-0000FC1E0000}"/>
    <cellStyle name="Normal 9 2 2 5 2 2 2" xfId="32734" xr:uid="{BF0AEE18-DF04-4C65-8D5D-0C9A20470903}"/>
    <cellStyle name="Normal 9 2 2 5 2 2 3" xfId="24305" xr:uid="{804007CF-0DB7-40FF-8B78-BB06701784A0}"/>
    <cellStyle name="Normal 9 2 2 5 2 2 4" xfId="41162" xr:uid="{7C28608A-1F20-48B8-9351-9B38B26BB0A2}"/>
    <cellStyle name="Normal 9 2 2 5 2 2 5" xfId="15870" xr:uid="{B78BB456-B63F-415B-BA16-6E958B400EB9}"/>
    <cellStyle name="Normal 9 2 2 5 2 3" xfId="28516" xr:uid="{CD20E2FB-AF3D-4ECD-AAC2-AA6ECAE4D6CA}"/>
    <cellStyle name="Normal 9 2 2 5 2 4" xfId="20087" xr:uid="{939FA11F-21AB-4829-80D4-5C15D9445DBD}"/>
    <cellStyle name="Normal 9 2 2 5 2 5" xfId="36945" xr:uid="{257679E5-7460-4831-8839-E28986C99ED0}"/>
    <cellStyle name="Normal 9 2 2 5 2 6" xfId="11652" xr:uid="{D5B08A96-4395-40DC-8936-B199683A2705}"/>
    <cellStyle name="Normal 9 2 2 5 3" xfId="5290" xr:uid="{00000000-0005-0000-0000-0000FD1E0000}"/>
    <cellStyle name="Normal 9 2 2 5 3 2" xfId="30589" xr:uid="{E2ABEF51-B275-4917-B134-340F07F43297}"/>
    <cellStyle name="Normal 9 2 2 5 3 3" xfId="22160" xr:uid="{333C51CF-9FCC-4DF7-8F2C-7426B090ED26}"/>
    <cellStyle name="Normal 9 2 2 5 3 4" xfId="39017" xr:uid="{F476248E-51B9-4A95-98C8-1B7AA0AC0F76}"/>
    <cellStyle name="Normal 9 2 2 5 3 5" xfId="13725" xr:uid="{63867174-CD9D-40F4-AB87-79D73E091947}"/>
    <cellStyle name="Normal 9 2 2 5 4" xfId="26371" xr:uid="{C28F898F-387B-4695-A6B3-B89A39B19AD2}"/>
    <cellStyle name="Normal 9 2 2 5 5" xfId="17942" xr:uid="{AB3B7572-C6A2-4991-AC31-8D4F7744753A}"/>
    <cellStyle name="Normal 9 2 2 5 6" xfId="34800" xr:uid="{1919C84A-541C-4EC5-BED0-9608078E260F}"/>
    <cellStyle name="Normal 9 2 2 5 7" xfId="9507" xr:uid="{8B3495C4-DF20-4FF8-A113-0926AF4D1E99}"/>
    <cellStyle name="Normal 9 2 2 6" xfId="1395" xr:uid="{00000000-0005-0000-0000-0000FE1E0000}"/>
    <cellStyle name="Normal 9 2 2 6 2" xfId="3625" xr:uid="{00000000-0005-0000-0000-0000FF1E0000}"/>
    <cellStyle name="Normal 9 2 2 6 2 2" xfId="7848" xr:uid="{00000000-0005-0000-0000-0000001F0000}"/>
    <cellStyle name="Normal 9 2 2 6 2 2 2" xfId="33147" xr:uid="{CC84BC44-C27F-4F7A-83CC-D03E00D0691E}"/>
    <cellStyle name="Normal 9 2 2 6 2 2 3" xfId="24718" xr:uid="{02130C1A-4C20-4D6D-B4AD-DE7D386D1CAC}"/>
    <cellStyle name="Normal 9 2 2 6 2 2 4" xfId="41575" xr:uid="{E431697C-6BA5-4927-8721-10C60867A8F1}"/>
    <cellStyle name="Normal 9 2 2 6 2 2 5" xfId="16283" xr:uid="{3D7B4C12-84C3-4DB9-BB0D-09DBB6F87493}"/>
    <cellStyle name="Normal 9 2 2 6 2 3" xfId="28929" xr:uid="{77367CC0-F3A8-4385-A910-A99CA40BCE43}"/>
    <cellStyle name="Normal 9 2 2 6 2 4" xfId="20500" xr:uid="{6494F82C-9519-469F-9BA7-300E40F6466C}"/>
    <cellStyle name="Normal 9 2 2 6 2 5" xfId="37358" xr:uid="{2683781A-098B-4755-B501-A180285834CB}"/>
    <cellStyle name="Normal 9 2 2 6 2 6" xfId="12065" xr:uid="{3C3F8D98-AE22-4C1A-8936-462842FFC7A3}"/>
    <cellStyle name="Normal 9 2 2 6 3" xfId="5703" xr:uid="{00000000-0005-0000-0000-0000011F0000}"/>
    <cellStyle name="Normal 9 2 2 6 3 2" xfId="31002" xr:uid="{59D9F047-582D-40C3-9B5F-AE848F763862}"/>
    <cellStyle name="Normal 9 2 2 6 3 3" xfId="22573" xr:uid="{9CD161DF-28A9-41B2-85F3-F60E04678C11}"/>
    <cellStyle name="Normal 9 2 2 6 3 4" xfId="39430" xr:uid="{45DF8555-33B0-4CFD-B859-26CFF5927E04}"/>
    <cellStyle name="Normal 9 2 2 6 3 5" xfId="14138" xr:uid="{5CF91B5C-2065-4FF4-AA60-E978448F5C7B}"/>
    <cellStyle name="Normal 9 2 2 6 4" xfId="26784" xr:uid="{090CF5DA-9D6B-47C8-9D2B-3D5418063F53}"/>
    <cellStyle name="Normal 9 2 2 6 5" xfId="18355" xr:uid="{8B05972E-42EC-4E29-96BE-1DFAFEB25448}"/>
    <cellStyle name="Normal 9 2 2 6 6" xfId="35213" xr:uid="{E0BF4B77-0068-427F-9F74-9E11CDB6251D}"/>
    <cellStyle name="Normal 9 2 2 6 7" xfId="9920" xr:uid="{C78EDB00-66D9-45BD-AA4C-E93528ADDA04}"/>
    <cellStyle name="Normal 9 2 2 7" xfId="1808" xr:uid="{00000000-0005-0000-0000-0000021F0000}"/>
    <cellStyle name="Normal 9 2 2 7 2" xfId="4038" xr:uid="{00000000-0005-0000-0000-0000031F0000}"/>
    <cellStyle name="Normal 9 2 2 7 2 2" xfId="8261" xr:uid="{00000000-0005-0000-0000-0000041F0000}"/>
    <cellStyle name="Normal 9 2 2 7 2 2 2" xfId="33560" xr:uid="{B1CC9709-B386-4D88-BAFC-F665A30C2CC5}"/>
    <cellStyle name="Normal 9 2 2 7 2 2 3" xfId="25131" xr:uid="{B2063C51-063C-4F3E-A172-5D0B8BBBE563}"/>
    <cellStyle name="Normal 9 2 2 7 2 2 4" xfId="41988" xr:uid="{28A1089E-0E09-4CB0-823E-AAD05B73B5FE}"/>
    <cellStyle name="Normal 9 2 2 7 2 2 5" xfId="16696" xr:uid="{6BCCB275-B885-4822-9ED3-CF95AB68C297}"/>
    <cellStyle name="Normal 9 2 2 7 2 3" xfId="29342" xr:uid="{902ADB4C-B572-4576-8E85-EBAE0A883A83}"/>
    <cellStyle name="Normal 9 2 2 7 2 4" xfId="20913" xr:uid="{86DC53C3-814B-4DAA-B322-56A6C9EA3827}"/>
    <cellStyle name="Normal 9 2 2 7 2 5" xfId="37771" xr:uid="{E4C750CA-FEE2-40ED-9B0C-61D541A4E19A}"/>
    <cellStyle name="Normal 9 2 2 7 2 6" xfId="12478" xr:uid="{8E65CE14-1A09-4BF1-B5AB-B25D9742F97F}"/>
    <cellStyle name="Normal 9 2 2 7 3" xfId="6116" xr:uid="{00000000-0005-0000-0000-0000051F0000}"/>
    <cellStyle name="Normal 9 2 2 7 3 2" xfId="31415" xr:uid="{FF8F4A98-180C-4755-81EA-35EABAD719DF}"/>
    <cellStyle name="Normal 9 2 2 7 3 3" xfId="22986" xr:uid="{023F4E98-C43A-4084-938B-D691648C6B17}"/>
    <cellStyle name="Normal 9 2 2 7 3 4" xfId="39843" xr:uid="{B1A44B8C-131C-4222-AC2D-70123BAA48A8}"/>
    <cellStyle name="Normal 9 2 2 7 3 5" xfId="14551" xr:uid="{3F9297DF-9184-4D71-ACA6-C3C66FF14E3A}"/>
    <cellStyle name="Normal 9 2 2 7 4" xfId="27197" xr:uid="{F07FBDEE-5CD1-4C9D-8D9B-CA11CD120E1E}"/>
    <cellStyle name="Normal 9 2 2 7 5" xfId="18768" xr:uid="{9FFDEEB2-2CA4-4F25-8B3D-3E0FEC059C86}"/>
    <cellStyle name="Normal 9 2 2 7 6" xfId="35626" xr:uid="{AAADCDAD-5F10-44B7-8707-A7D58919F9EF}"/>
    <cellStyle name="Normal 9 2 2 7 7" xfId="10333" xr:uid="{93427CD2-4095-45EB-8C52-834DF775CAF9}"/>
    <cellStyle name="Normal 9 2 2 8" xfId="2222" xr:uid="{00000000-0005-0000-0000-0000061F0000}"/>
    <cellStyle name="Normal 9 2 2 8 2" xfId="4451" xr:uid="{00000000-0005-0000-0000-0000071F0000}"/>
    <cellStyle name="Normal 9 2 2 8 2 2" xfId="8674" xr:uid="{00000000-0005-0000-0000-0000081F0000}"/>
    <cellStyle name="Normal 9 2 2 8 2 2 2" xfId="33973" xr:uid="{FD3C289D-AC72-4495-9A0C-3037B255D800}"/>
    <cellStyle name="Normal 9 2 2 8 2 2 3" xfId="25544" xr:uid="{041FE026-956E-4368-8FD3-3113CF158BF5}"/>
    <cellStyle name="Normal 9 2 2 8 2 2 4" xfId="42401" xr:uid="{0A6D4706-811D-47E5-A92B-8CD9B68D9BA9}"/>
    <cellStyle name="Normal 9 2 2 8 2 2 5" xfId="17109" xr:uid="{6B6D3CF4-BFF5-4F79-BCB0-4608FE490BAD}"/>
    <cellStyle name="Normal 9 2 2 8 2 3" xfId="29755" xr:uid="{37DABD0A-AFC2-4D71-9B69-E740A12C08BD}"/>
    <cellStyle name="Normal 9 2 2 8 2 4" xfId="21326" xr:uid="{AF2EBEB6-4A18-4159-A24A-FD9BCC96AF55}"/>
    <cellStyle name="Normal 9 2 2 8 2 5" xfId="38184" xr:uid="{C38D1E43-4597-4812-9AA8-E4812CE00331}"/>
    <cellStyle name="Normal 9 2 2 8 2 6" xfId="12891" xr:uid="{030700F3-9BC0-4626-8684-CE1D32139410}"/>
    <cellStyle name="Normal 9 2 2 8 3" xfId="6529" xr:uid="{00000000-0005-0000-0000-0000091F0000}"/>
    <cellStyle name="Normal 9 2 2 8 3 2" xfId="31828" xr:uid="{9EA65E9D-D117-4000-AB62-5ED2C212292C}"/>
    <cellStyle name="Normal 9 2 2 8 3 3" xfId="23399" xr:uid="{28B0E995-5077-4517-8987-DF818C37048B}"/>
    <cellStyle name="Normal 9 2 2 8 3 4" xfId="40256" xr:uid="{2E1DCBAD-FB49-4DB8-923D-229B4C5B2825}"/>
    <cellStyle name="Normal 9 2 2 8 3 5" xfId="14964" xr:uid="{CDD4DABF-E2D0-4024-874F-0EFC07891F25}"/>
    <cellStyle name="Normal 9 2 2 8 4" xfId="27610" xr:uid="{22D3B8F6-587D-45FE-B8E8-C07E34E2778D}"/>
    <cellStyle name="Normal 9 2 2 8 5" xfId="19181" xr:uid="{B58B5785-4919-4D71-98CE-93B2619462C6}"/>
    <cellStyle name="Normal 9 2 2 8 6" xfId="36039" xr:uid="{DBD3B09F-5487-481A-9E48-D9ADDD159174}"/>
    <cellStyle name="Normal 9 2 2 8 7" xfId="10746" xr:uid="{90968851-7A29-41BF-9917-114FD2A8A75B}"/>
    <cellStyle name="Normal 9 2 2 9" xfId="2658" xr:uid="{00000000-0005-0000-0000-00000A1F0000}"/>
    <cellStyle name="Normal 9 2 2 9 2" xfId="6942" xr:uid="{00000000-0005-0000-0000-00000B1F0000}"/>
    <cellStyle name="Normal 9 2 2 9 2 2" xfId="32241" xr:uid="{FA7B09A8-E1E4-49F8-A966-A80AD0AFD8FE}"/>
    <cellStyle name="Normal 9 2 2 9 2 3" xfId="23812" xr:uid="{DD1BF010-D8AF-4224-8CC7-EEFF94DBC49E}"/>
    <cellStyle name="Normal 9 2 2 9 2 4" xfId="40669" xr:uid="{C4EB9042-DF88-43CF-9145-0279EA7875D2}"/>
    <cellStyle name="Normal 9 2 2 9 2 5" xfId="15377" xr:uid="{BBAFCDFA-6308-4C1F-B607-26C2CEBCD2E7}"/>
    <cellStyle name="Normal 9 2 2 9 3" xfId="28023" xr:uid="{08BCDBAA-D822-4F12-9076-B8C64B47EBC3}"/>
    <cellStyle name="Normal 9 2 2 9 4" xfId="19594" xr:uid="{7AED997F-A525-41A1-A640-19D08D2F3F47}"/>
    <cellStyle name="Normal 9 2 2 9 5" xfId="36452" xr:uid="{07957359-AB5E-4B8A-947F-3A8EF8156156}"/>
    <cellStyle name="Normal 9 2 2 9 6" xfId="11159" xr:uid="{82A7C721-BCB9-4643-A0D3-B7582498D4FF}"/>
    <cellStyle name="Normal 9 2 3" xfId="520" xr:uid="{00000000-0005-0000-0000-00000C1F0000}"/>
    <cellStyle name="Normal 9 2 3 10" xfId="25966" xr:uid="{91A58DDD-0E62-4AF9-864A-6DE6023333B9}"/>
    <cellStyle name="Normal 9 2 3 11" xfId="17537" xr:uid="{8197C03E-90F4-4C5A-AB92-75922F54DD12}"/>
    <cellStyle name="Normal 9 2 3 12" xfId="34395" xr:uid="{5D320876-56C4-4E38-B967-0B2A5698DA0F}"/>
    <cellStyle name="Normal 9 2 3 13" xfId="9102" xr:uid="{3530E494-3B14-475D-845D-E1A2CA7CDBA6}"/>
    <cellStyle name="Normal 9 2 3 2" xfId="521" xr:uid="{00000000-0005-0000-0000-00000D1F0000}"/>
    <cellStyle name="Normal 9 2 3 2 10" xfId="17538" xr:uid="{95FB7BCD-7D2A-480E-8F9E-BCC2409E29EB}"/>
    <cellStyle name="Normal 9 2 3 2 11" xfId="34396" xr:uid="{B0BA6AE8-B212-42EC-B94E-A329054EB0BD}"/>
    <cellStyle name="Normal 9 2 3 2 12" xfId="9103" xr:uid="{29020E91-643B-4410-916C-5129C71E1F72}"/>
    <cellStyle name="Normal 9 2 3 2 2" xfId="522" xr:uid="{00000000-0005-0000-0000-00000E1F0000}"/>
    <cellStyle name="Normal 9 2 3 2 2 10" xfId="34397" xr:uid="{A471121D-6E47-4D47-8C36-1CDAD698AADC}"/>
    <cellStyle name="Normal 9 2 3 2 2 11" xfId="9104" xr:uid="{846FD1BC-8EB4-4999-B055-85CD57DD2C8C}"/>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32744" xr:uid="{CBE05A3C-622B-4317-B3BF-FD9B7BAC29BF}"/>
    <cellStyle name="Normal 9 2 3 2 2 2 2 2 3" xfId="24315" xr:uid="{F01A159A-AAE2-499A-A158-1CCA8FF088C2}"/>
    <cellStyle name="Normal 9 2 3 2 2 2 2 2 4" xfId="41172" xr:uid="{1E8B4F5E-438D-432D-BEB3-C8FC05801AE0}"/>
    <cellStyle name="Normal 9 2 3 2 2 2 2 2 5" xfId="15880" xr:uid="{F3BD4637-1B79-487A-BDF9-00F63723308C}"/>
    <cellStyle name="Normal 9 2 3 2 2 2 2 3" xfId="28526" xr:uid="{22ABB30B-912B-4A72-BE2D-89D6EC6781DC}"/>
    <cellStyle name="Normal 9 2 3 2 2 2 2 4" xfId="20097" xr:uid="{F6C36D7F-5BE9-44B5-A810-D767BC44EC6D}"/>
    <cellStyle name="Normal 9 2 3 2 2 2 2 5" xfId="36955" xr:uid="{D15A1743-2734-4383-AAD2-46E7F599A051}"/>
    <cellStyle name="Normal 9 2 3 2 2 2 2 6" xfId="11662" xr:uid="{1C74BE48-885D-4FC7-97C5-ED70BD3C07D9}"/>
    <cellStyle name="Normal 9 2 3 2 2 2 3" xfId="5300" xr:uid="{00000000-0005-0000-0000-0000121F0000}"/>
    <cellStyle name="Normal 9 2 3 2 2 2 3 2" xfId="30599" xr:uid="{838FD3FB-A55F-4074-B691-4C9A2BF0D85F}"/>
    <cellStyle name="Normal 9 2 3 2 2 2 3 3" xfId="22170" xr:uid="{D4F53313-1424-49A8-956B-981291A4A40B}"/>
    <cellStyle name="Normal 9 2 3 2 2 2 3 4" xfId="39027" xr:uid="{B9217A5C-CA9F-4CE6-90ED-0F11C10FF6EE}"/>
    <cellStyle name="Normal 9 2 3 2 2 2 3 5" xfId="13735" xr:uid="{3E6A60A4-ACE4-446C-8061-D529E81207AE}"/>
    <cellStyle name="Normal 9 2 3 2 2 2 4" xfId="26381" xr:uid="{21C090EB-B463-4390-B2FD-6F8D2CB81D3B}"/>
    <cellStyle name="Normal 9 2 3 2 2 2 5" xfId="17952" xr:uid="{D6A4E221-DC71-4E78-9F03-2A8B7B56295D}"/>
    <cellStyle name="Normal 9 2 3 2 2 2 6" xfId="34810" xr:uid="{49A71D2A-1C8C-4BC1-8C96-C2744153226B}"/>
    <cellStyle name="Normal 9 2 3 2 2 2 7" xfId="9517" xr:uid="{B22D9BF1-6C80-425E-9C48-CA87A017334E}"/>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33157" xr:uid="{F6E8EB1F-7C88-48A2-AA0F-90B32A3A644F}"/>
    <cellStyle name="Normal 9 2 3 2 2 3 2 2 3" xfId="24728" xr:uid="{8E917C28-9DE2-4D96-930B-4C6BDBDE8C8C}"/>
    <cellStyle name="Normal 9 2 3 2 2 3 2 2 4" xfId="41585" xr:uid="{A11359D9-89FD-48F6-AE2A-872AA1A336B6}"/>
    <cellStyle name="Normal 9 2 3 2 2 3 2 2 5" xfId="16293" xr:uid="{EEEEF730-E159-4F66-8E78-EEF4C027CAED}"/>
    <cellStyle name="Normal 9 2 3 2 2 3 2 3" xfId="28939" xr:uid="{7007A623-7151-4112-BBB0-9E44279F64C4}"/>
    <cellStyle name="Normal 9 2 3 2 2 3 2 4" xfId="20510" xr:uid="{E168C2AA-A196-4B8C-9773-A387D8EEE240}"/>
    <cellStyle name="Normal 9 2 3 2 2 3 2 5" xfId="37368" xr:uid="{A2128C87-82A0-45A7-82C7-E302D97442AA}"/>
    <cellStyle name="Normal 9 2 3 2 2 3 2 6" xfId="12075" xr:uid="{429EF32B-1932-4AA0-A0E5-507FDC27AB33}"/>
    <cellStyle name="Normal 9 2 3 2 2 3 3" xfId="5713" xr:uid="{00000000-0005-0000-0000-0000161F0000}"/>
    <cellStyle name="Normal 9 2 3 2 2 3 3 2" xfId="31012" xr:uid="{4B425C03-132C-44D1-AE4B-953B4F5037F1}"/>
    <cellStyle name="Normal 9 2 3 2 2 3 3 3" xfId="22583" xr:uid="{5B917285-997F-4A8D-A887-650E645B3ADD}"/>
    <cellStyle name="Normal 9 2 3 2 2 3 3 4" xfId="39440" xr:uid="{D894B6AC-EC76-4F8D-848D-BD2E8141ABA3}"/>
    <cellStyle name="Normal 9 2 3 2 2 3 3 5" xfId="14148" xr:uid="{4EA85489-D02C-45C7-9138-C0E1165C6C65}"/>
    <cellStyle name="Normal 9 2 3 2 2 3 4" xfId="26794" xr:uid="{58909C4E-0849-4354-A6C5-34157E87AC37}"/>
    <cellStyle name="Normal 9 2 3 2 2 3 5" xfId="18365" xr:uid="{FA501A7C-5C6C-45B9-830A-CD28B6E3F36C}"/>
    <cellStyle name="Normal 9 2 3 2 2 3 6" xfId="35223" xr:uid="{EB57BA8D-029B-4721-8A91-E9BA26B47F64}"/>
    <cellStyle name="Normal 9 2 3 2 2 3 7" xfId="9930" xr:uid="{D410831B-66C3-4359-8037-BB579F182231}"/>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33570" xr:uid="{F11F89D0-BB1A-4D7B-889C-665A77988B2D}"/>
    <cellStyle name="Normal 9 2 3 2 2 4 2 2 3" xfId="25141" xr:uid="{E03819CB-FCE8-45D2-95DD-726274C98B5E}"/>
    <cellStyle name="Normal 9 2 3 2 2 4 2 2 4" xfId="41998" xr:uid="{C275DDA7-79BD-464A-A196-C02099862682}"/>
    <cellStyle name="Normal 9 2 3 2 2 4 2 2 5" xfId="16706" xr:uid="{B6FF7CBD-2225-423D-85FB-C88006113EEB}"/>
    <cellStyle name="Normal 9 2 3 2 2 4 2 3" xfId="29352" xr:uid="{C9B03DCD-B258-4875-964E-C41A025017AB}"/>
    <cellStyle name="Normal 9 2 3 2 2 4 2 4" xfId="20923" xr:uid="{00C75E68-3754-4752-8835-A7ADFD40701E}"/>
    <cellStyle name="Normal 9 2 3 2 2 4 2 5" xfId="37781" xr:uid="{E39230DE-4BF2-43F2-9658-46758A956E79}"/>
    <cellStyle name="Normal 9 2 3 2 2 4 2 6" xfId="12488" xr:uid="{8D371347-E42E-41EA-9E0D-915BB2485EB2}"/>
    <cellStyle name="Normal 9 2 3 2 2 4 3" xfId="6126" xr:uid="{00000000-0005-0000-0000-00001A1F0000}"/>
    <cellStyle name="Normal 9 2 3 2 2 4 3 2" xfId="31425" xr:uid="{9AB1F829-6CB4-49B9-8E58-C2728A8E32D8}"/>
    <cellStyle name="Normal 9 2 3 2 2 4 3 3" xfId="22996" xr:uid="{9D003114-67D7-4AA9-B02E-C699A929338E}"/>
    <cellStyle name="Normal 9 2 3 2 2 4 3 4" xfId="39853" xr:uid="{16481D5B-2B64-428C-A6AA-8D2516F52EDD}"/>
    <cellStyle name="Normal 9 2 3 2 2 4 3 5" xfId="14561" xr:uid="{CEE9B2ED-D34C-46C5-8D61-394540D5078F}"/>
    <cellStyle name="Normal 9 2 3 2 2 4 4" xfId="27207" xr:uid="{117B8F54-2CEB-4761-9C43-E5D238DFBDFB}"/>
    <cellStyle name="Normal 9 2 3 2 2 4 5" xfId="18778" xr:uid="{85975CE6-EAC8-4D99-854C-CDBB36715B36}"/>
    <cellStyle name="Normal 9 2 3 2 2 4 6" xfId="35636" xr:uid="{9931A75E-DDEE-434E-8925-1197ABF5169C}"/>
    <cellStyle name="Normal 9 2 3 2 2 4 7" xfId="10343" xr:uid="{C3E52D18-4A29-4460-8B54-A14C499E1097}"/>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33983" xr:uid="{022353EA-223A-4662-BAE6-BE7076E110D4}"/>
    <cellStyle name="Normal 9 2 3 2 2 5 2 2 3" xfId="25554" xr:uid="{1B2DC7C1-48F9-4B03-B071-28D3B55FA522}"/>
    <cellStyle name="Normal 9 2 3 2 2 5 2 2 4" xfId="42411" xr:uid="{F5C75753-F6B2-42EF-8755-8DB65A80608A}"/>
    <cellStyle name="Normal 9 2 3 2 2 5 2 2 5" xfId="17119" xr:uid="{365AF0CB-C7A5-4F50-BDB1-A039C462531F}"/>
    <cellStyle name="Normal 9 2 3 2 2 5 2 3" xfId="29765" xr:uid="{22602384-5DC9-46FB-9394-EB8E9F18397C}"/>
    <cellStyle name="Normal 9 2 3 2 2 5 2 4" xfId="21336" xr:uid="{C52C72B3-D288-479E-A2EB-C7A9004191D0}"/>
    <cellStyle name="Normal 9 2 3 2 2 5 2 5" xfId="38194" xr:uid="{8520EA35-83B7-4271-81F2-F64D71B2473E}"/>
    <cellStyle name="Normal 9 2 3 2 2 5 2 6" xfId="12901" xr:uid="{0B81D023-2AAA-4B30-94D1-0F8CAC49881E}"/>
    <cellStyle name="Normal 9 2 3 2 2 5 3" xfId="6539" xr:uid="{00000000-0005-0000-0000-00001E1F0000}"/>
    <cellStyle name="Normal 9 2 3 2 2 5 3 2" xfId="31838" xr:uid="{B7F0FD66-FE84-417C-A858-C28AA0F175F9}"/>
    <cellStyle name="Normal 9 2 3 2 2 5 3 3" xfId="23409" xr:uid="{F7D240EE-2E52-45C9-935E-8542B4306035}"/>
    <cellStyle name="Normal 9 2 3 2 2 5 3 4" xfId="40266" xr:uid="{839E6DE7-F546-437E-B50C-8E405FE2B4BD}"/>
    <cellStyle name="Normal 9 2 3 2 2 5 3 5" xfId="14974" xr:uid="{D1ED9160-C47F-43EE-881C-4F2B6586B572}"/>
    <cellStyle name="Normal 9 2 3 2 2 5 4" xfId="27620" xr:uid="{FD57D89A-AAA7-40DE-8EFF-120232989E21}"/>
    <cellStyle name="Normal 9 2 3 2 2 5 5" xfId="19191" xr:uid="{B137439B-AF25-4E01-8F98-79198A661EF7}"/>
    <cellStyle name="Normal 9 2 3 2 2 5 6" xfId="36049" xr:uid="{EB819154-612A-41AD-8A8B-ED94598D3F0C}"/>
    <cellStyle name="Normal 9 2 3 2 2 5 7" xfId="10756" xr:uid="{6A9C558B-9553-4768-8FA3-DA995D12FFA2}"/>
    <cellStyle name="Normal 9 2 3 2 2 6" xfId="2668" xr:uid="{00000000-0005-0000-0000-00001F1F0000}"/>
    <cellStyle name="Normal 9 2 3 2 2 6 2" xfId="6952" xr:uid="{00000000-0005-0000-0000-0000201F0000}"/>
    <cellStyle name="Normal 9 2 3 2 2 6 2 2" xfId="32251" xr:uid="{94209A7D-FABA-4CA6-9287-26D6E270FC83}"/>
    <cellStyle name="Normal 9 2 3 2 2 6 2 3" xfId="23822" xr:uid="{AF3D5FF6-A7DB-4AFD-B23B-B1C0D398785E}"/>
    <cellStyle name="Normal 9 2 3 2 2 6 2 4" xfId="40679" xr:uid="{FF2731FA-36C2-41CB-A1A6-B6BB79AFE889}"/>
    <cellStyle name="Normal 9 2 3 2 2 6 2 5" xfId="15387" xr:uid="{46F67197-0595-4E94-A068-9909593BD652}"/>
    <cellStyle name="Normal 9 2 3 2 2 6 3" xfId="28033" xr:uid="{ED1ED7F6-4F26-4B9B-B6CA-EC786837BDD0}"/>
    <cellStyle name="Normal 9 2 3 2 2 6 4" xfId="19604" xr:uid="{66A3027C-087E-478B-9554-BAA012377969}"/>
    <cellStyle name="Normal 9 2 3 2 2 6 5" xfId="36462" xr:uid="{772C5D6A-CD74-470D-AAA9-1B5E9D2FB8A1}"/>
    <cellStyle name="Normal 9 2 3 2 2 6 6" xfId="11169" xr:uid="{488FED5E-4CB0-4028-BA92-A2BA436D2602}"/>
    <cellStyle name="Normal 9 2 3 2 2 7" xfId="4887" xr:uid="{00000000-0005-0000-0000-0000211F0000}"/>
    <cellStyle name="Normal 9 2 3 2 2 7 2" xfId="30186" xr:uid="{E0323331-9893-44D8-8E3A-01DB9415E9D4}"/>
    <cellStyle name="Normal 9 2 3 2 2 7 3" xfId="21757" xr:uid="{C12B8B56-98EA-4A4A-9009-97421780762E}"/>
    <cellStyle name="Normal 9 2 3 2 2 7 4" xfId="38614" xr:uid="{57845AFE-5AE6-4917-9F2D-740AA99CEAD7}"/>
    <cellStyle name="Normal 9 2 3 2 2 7 5" xfId="13322" xr:uid="{7344A4F5-6081-4FAF-92C6-747EE8394AF3}"/>
    <cellStyle name="Normal 9 2 3 2 2 8" xfId="25968" xr:uid="{28C412FA-2347-4F98-8755-40521FE2290B}"/>
    <cellStyle name="Normal 9 2 3 2 2 9" xfId="17539" xr:uid="{D5DCADDE-1D8D-4E8B-837A-DA5C71FDF8EC}"/>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32743" xr:uid="{B7A19C28-7BED-47A4-B922-50992AF747E3}"/>
    <cellStyle name="Normal 9 2 3 2 3 2 2 3" xfId="24314" xr:uid="{AF35B880-8FF2-47D0-930C-EB9D60B45A43}"/>
    <cellStyle name="Normal 9 2 3 2 3 2 2 4" xfId="41171" xr:uid="{8C42BD22-37AA-4E3B-85DE-7DCFED658DD8}"/>
    <cellStyle name="Normal 9 2 3 2 3 2 2 5" xfId="15879" xr:uid="{60FDC2FC-26AF-4245-A3FC-3227D3851F42}"/>
    <cellStyle name="Normal 9 2 3 2 3 2 3" xfId="28525" xr:uid="{AA175207-A537-40C7-B4AD-008D1680A090}"/>
    <cellStyle name="Normal 9 2 3 2 3 2 4" xfId="20096" xr:uid="{C1F1B9DE-F5BC-4DBB-9285-9ABFA86BD1EC}"/>
    <cellStyle name="Normal 9 2 3 2 3 2 5" xfId="36954" xr:uid="{970DD690-5385-48D9-9284-98CFD73680D5}"/>
    <cellStyle name="Normal 9 2 3 2 3 2 6" xfId="11661" xr:uid="{6B086597-4281-46E5-AA14-547E959F1144}"/>
    <cellStyle name="Normal 9 2 3 2 3 3" xfId="5299" xr:uid="{00000000-0005-0000-0000-0000251F0000}"/>
    <cellStyle name="Normal 9 2 3 2 3 3 2" xfId="30598" xr:uid="{CF2C5A8F-0801-4E8E-B70F-DFCD22EF5E81}"/>
    <cellStyle name="Normal 9 2 3 2 3 3 3" xfId="22169" xr:uid="{B85142C4-55CA-4264-9DF1-88BB01DAA2D9}"/>
    <cellStyle name="Normal 9 2 3 2 3 3 4" xfId="39026" xr:uid="{B0B61F1E-7B47-4BF7-8E9B-30C00A191FAC}"/>
    <cellStyle name="Normal 9 2 3 2 3 3 5" xfId="13734" xr:uid="{DE420E37-83D4-4C5F-91A3-A3356BBC7A38}"/>
    <cellStyle name="Normal 9 2 3 2 3 4" xfId="26380" xr:uid="{336929F6-2018-41D9-8408-AAD40A7A4C8A}"/>
    <cellStyle name="Normal 9 2 3 2 3 5" xfId="17951" xr:uid="{8B9F69BF-3634-40BA-99CD-45F95A61C9D0}"/>
    <cellStyle name="Normal 9 2 3 2 3 6" xfId="34809" xr:uid="{44E80807-16AE-4568-8170-E5EDA90AB55C}"/>
    <cellStyle name="Normal 9 2 3 2 3 7" xfId="9516" xr:uid="{E5BE04FC-7E9E-48DE-9AD0-1372206875E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33156" xr:uid="{4014ADEE-C13C-4503-B3FA-9D3483F44059}"/>
    <cellStyle name="Normal 9 2 3 2 4 2 2 3" xfId="24727" xr:uid="{6FD25FF4-6B58-4FF9-BADB-0C228993D4B8}"/>
    <cellStyle name="Normal 9 2 3 2 4 2 2 4" xfId="41584" xr:uid="{CE807D4B-FE68-40DD-8581-A25C8B89597B}"/>
    <cellStyle name="Normal 9 2 3 2 4 2 2 5" xfId="16292" xr:uid="{65F1CE40-A06A-4B5F-B473-16F906597E12}"/>
    <cellStyle name="Normal 9 2 3 2 4 2 3" xfId="28938" xr:uid="{1CC5AC96-A450-4D1B-A433-8635764B2E51}"/>
    <cellStyle name="Normal 9 2 3 2 4 2 4" xfId="20509" xr:uid="{1C628810-1538-4CC8-9596-1ADFFDA0A5AB}"/>
    <cellStyle name="Normal 9 2 3 2 4 2 5" xfId="37367" xr:uid="{62AE61EF-9534-488D-B7CB-9A77283F9E22}"/>
    <cellStyle name="Normal 9 2 3 2 4 2 6" xfId="12074" xr:uid="{4A9D469A-70CB-4441-8E4B-18D437C8BFB2}"/>
    <cellStyle name="Normal 9 2 3 2 4 3" xfId="5712" xr:uid="{00000000-0005-0000-0000-0000291F0000}"/>
    <cellStyle name="Normal 9 2 3 2 4 3 2" xfId="31011" xr:uid="{F3B89CD1-4DB8-490C-8CD9-AF229CC579EA}"/>
    <cellStyle name="Normal 9 2 3 2 4 3 3" xfId="22582" xr:uid="{52190A54-3BF5-4C57-9CC2-5FE8936EE6C2}"/>
    <cellStyle name="Normal 9 2 3 2 4 3 4" xfId="39439" xr:uid="{C3A6D0FA-4986-4A9D-B6AE-3181CBA40A2C}"/>
    <cellStyle name="Normal 9 2 3 2 4 3 5" xfId="14147" xr:uid="{DCE9A918-0F98-4729-AB46-A0B75EB6C605}"/>
    <cellStyle name="Normal 9 2 3 2 4 4" xfId="26793" xr:uid="{B2E5CA2D-C7AB-4FB3-AB50-01DD9097668B}"/>
    <cellStyle name="Normal 9 2 3 2 4 5" xfId="18364" xr:uid="{E8BB7BE3-17C2-4309-A21B-81B94F29134F}"/>
    <cellStyle name="Normal 9 2 3 2 4 6" xfId="35222" xr:uid="{5A485616-4A38-4381-A297-6DA0C9183222}"/>
    <cellStyle name="Normal 9 2 3 2 4 7" xfId="9929" xr:uid="{B84C161D-7989-4132-B95E-9EFA8E8E168B}"/>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33569" xr:uid="{B0F70647-8DF5-4B41-A4E9-F03A99C93DA1}"/>
    <cellStyle name="Normal 9 2 3 2 5 2 2 3" xfId="25140" xr:uid="{6BBCF646-EC3B-4C22-975C-CFFBF032005B}"/>
    <cellStyle name="Normal 9 2 3 2 5 2 2 4" xfId="41997" xr:uid="{B3FC928C-2109-4809-A56A-8331E0D9DCCB}"/>
    <cellStyle name="Normal 9 2 3 2 5 2 2 5" xfId="16705" xr:uid="{B97A7589-A31F-4BB9-BE5B-9A8379AF55D6}"/>
    <cellStyle name="Normal 9 2 3 2 5 2 3" xfId="29351" xr:uid="{B090AD77-65F7-4592-AEEB-37803ED1C3F3}"/>
    <cellStyle name="Normal 9 2 3 2 5 2 4" xfId="20922" xr:uid="{478AFFEF-F078-4732-9B55-DBAB0BB003C9}"/>
    <cellStyle name="Normal 9 2 3 2 5 2 5" xfId="37780" xr:uid="{BB2D9210-14F1-4A25-BB06-50736F9BFF05}"/>
    <cellStyle name="Normal 9 2 3 2 5 2 6" xfId="12487" xr:uid="{74E99580-B095-49F3-8AD6-9094FE1441A7}"/>
    <cellStyle name="Normal 9 2 3 2 5 3" xfId="6125" xr:uid="{00000000-0005-0000-0000-00002D1F0000}"/>
    <cellStyle name="Normal 9 2 3 2 5 3 2" xfId="31424" xr:uid="{19EDF964-8295-4C09-A60B-6F8D99BAB592}"/>
    <cellStyle name="Normal 9 2 3 2 5 3 3" xfId="22995" xr:uid="{48C4FDDD-68B1-4D76-820D-34C12ED4349C}"/>
    <cellStyle name="Normal 9 2 3 2 5 3 4" xfId="39852" xr:uid="{EDBBFF63-878D-4849-9296-BB0639E5BC9F}"/>
    <cellStyle name="Normal 9 2 3 2 5 3 5" xfId="14560" xr:uid="{0704AFC5-596B-4EA8-B8BE-6D05BFBB7C1F}"/>
    <cellStyle name="Normal 9 2 3 2 5 4" xfId="27206" xr:uid="{E7194944-8DA3-4E18-B9AF-6946475A624A}"/>
    <cellStyle name="Normal 9 2 3 2 5 5" xfId="18777" xr:uid="{2909A8D8-E758-475A-9792-3A2E6436B267}"/>
    <cellStyle name="Normal 9 2 3 2 5 6" xfId="35635" xr:uid="{F1141133-0C45-430E-995B-A5106FEC0C4D}"/>
    <cellStyle name="Normal 9 2 3 2 5 7" xfId="10342" xr:uid="{B8152A7E-45C5-4006-8FB4-FB09FCAE251F}"/>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33982" xr:uid="{BB8295C8-7092-415B-BA48-066B79694CA5}"/>
    <cellStyle name="Normal 9 2 3 2 6 2 2 3" xfId="25553" xr:uid="{BBE007EB-ECA8-49A7-9A64-F596CA7A5CCC}"/>
    <cellStyle name="Normal 9 2 3 2 6 2 2 4" xfId="42410" xr:uid="{63DD9643-4685-443B-A3A6-2AFC2A456CC5}"/>
    <cellStyle name="Normal 9 2 3 2 6 2 2 5" xfId="17118" xr:uid="{28915F4A-02AD-407C-B699-CEAC9E5F9F56}"/>
    <cellStyle name="Normal 9 2 3 2 6 2 3" xfId="29764" xr:uid="{52E7EA73-B9FA-4F5B-97D0-02A89CD565D1}"/>
    <cellStyle name="Normal 9 2 3 2 6 2 4" xfId="21335" xr:uid="{90259B3A-F371-4085-BE9B-02D8D551166A}"/>
    <cellStyle name="Normal 9 2 3 2 6 2 5" xfId="38193" xr:uid="{C928982E-2A60-4B3B-8AF6-4811AC5F9755}"/>
    <cellStyle name="Normal 9 2 3 2 6 2 6" xfId="12900" xr:uid="{CAB8C373-FEEB-43C1-872D-B9208E16CB72}"/>
    <cellStyle name="Normal 9 2 3 2 6 3" xfId="6538" xr:uid="{00000000-0005-0000-0000-0000311F0000}"/>
    <cellStyle name="Normal 9 2 3 2 6 3 2" xfId="31837" xr:uid="{1F4E3547-D695-4A4C-871C-6299F558DDBE}"/>
    <cellStyle name="Normal 9 2 3 2 6 3 3" xfId="23408" xr:uid="{0210EBD2-A19C-460F-A2AA-1EFF317E60CB}"/>
    <cellStyle name="Normal 9 2 3 2 6 3 4" xfId="40265" xr:uid="{18851D24-329D-4C62-838C-0242B32E39F1}"/>
    <cellStyle name="Normal 9 2 3 2 6 3 5" xfId="14973" xr:uid="{78383876-FF31-4D3B-9B90-4A977357D70E}"/>
    <cellStyle name="Normal 9 2 3 2 6 4" xfId="27619" xr:uid="{A475A8BB-10E0-4391-A366-A1381866C0AC}"/>
    <cellStyle name="Normal 9 2 3 2 6 5" xfId="19190" xr:uid="{C728A793-646F-4C20-8F79-4F0DEDC7ABAD}"/>
    <cellStyle name="Normal 9 2 3 2 6 6" xfId="36048" xr:uid="{4BCE4C6D-D63B-42CC-A76B-433DCB2924EA}"/>
    <cellStyle name="Normal 9 2 3 2 6 7" xfId="10755" xr:uid="{FB413A79-F032-4699-95FF-B7D3B59BC45D}"/>
    <cellStyle name="Normal 9 2 3 2 7" xfId="2667" xr:uid="{00000000-0005-0000-0000-0000321F0000}"/>
    <cellStyle name="Normal 9 2 3 2 7 2" xfId="6951" xr:uid="{00000000-0005-0000-0000-0000331F0000}"/>
    <cellStyle name="Normal 9 2 3 2 7 2 2" xfId="32250" xr:uid="{DC46D093-3EBB-4743-8F38-13F7E3FFE09E}"/>
    <cellStyle name="Normal 9 2 3 2 7 2 3" xfId="23821" xr:uid="{541355D7-489C-4E70-96EB-261DC57AC4AB}"/>
    <cellStyle name="Normal 9 2 3 2 7 2 4" xfId="40678" xr:uid="{94D792B7-82B9-4651-9E01-6ECFC1D3BF9A}"/>
    <cellStyle name="Normal 9 2 3 2 7 2 5" xfId="15386" xr:uid="{2A14162A-CE1A-4FB2-814A-FE607E149909}"/>
    <cellStyle name="Normal 9 2 3 2 7 3" xfId="28032" xr:uid="{B8CEA605-169E-4120-B034-1E363FE8026D}"/>
    <cellStyle name="Normal 9 2 3 2 7 4" xfId="19603" xr:uid="{B0D8DC11-B6B5-4FA7-B5C0-A66B0B4A0F95}"/>
    <cellStyle name="Normal 9 2 3 2 7 5" xfId="36461" xr:uid="{63B5C87D-FA72-41D0-B18C-7124E58F6125}"/>
    <cellStyle name="Normal 9 2 3 2 7 6" xfId="11168" xr:uid="{6EB1D8F5-2872-4825-888C-2875546146EA}"/>
    <cellStyle name="Normal 9 2 3 2 8" xfId="4886" xr:uid="{00000000-0005-0000-0000-0000341F0000}"/>
    <cellStyle name="Normal 9 2 3 2 8 2" xfId="30185" xr:uid="{A5FC8E7A-5D0E-4B33-9391-1A754D654168}"/>
    <cellStyle name="Normal 9 2 3 2 8 3" xfId="21756" xr:uid="{0508C65B-6238-43B6-B80B-B099D6A2F9C6}"/>
    <cellStyle name="Normal 9 2 3 2 8 4" xfId="38613" xr:uid="{1CFC29E5-F954-4550-8564-4AAF676927F0}"/>
    <cellStyle name="Normal 9 2 3 2 8 5" xfId="13321" xr:uid="{5916F97C-0963-4198-989E-789A1513DA4C}"/>
    <cellStyle name="Normal 9 2 3 2 9" xfId="25967" xr:uid="{387CC7D2-776F-4D3E-A482-0F07FD4F4F52}"/>
    <cellStyle name="Normal 9 2 3 3" xfId="523" xr:uid="{00000000-0005-0000-0000-0000351F0000}"/>
    <cellStyle name="Normal 9 2 3 3 10" xfId="34398" xr:uid="{EF318022-13FF-4C13-A412-A4B997FD76A4}"/>
    <cellStyle name="Normal 9 2 3 3 11" xfId="9105" xr:uid="{2640450D-BE8A-4B24-B6DC-266B2D42CF56}"/>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32745" xr:uid="{F0B0C556-5A41-45FE-9851-932514144836}"/>
    <cellStyle name="Normal 9 2 3 3 2 2 2 3" xfId="24316" xr:uid="{5A564A48-6AF1-4DFE-99FB-BF9622ABFA81}"/>
    <cellStyle name="Normal 9 2 3 3 2 2 2 4" xfId="41173" xr:uid="{53485407-8F35-40DE-B1E3-1C82A41B29D7}"/>
    <cellStyle name="Normal 9 2 3 3 2 2 2 5" xfId="15881" xr:uid="{06BBCB2A-8854-4E1B-90EC-A75DCE3A1526}"/>
    <cellStyle name="Normal 9 2 3 3 2 2 3" xfId="28527" xr:uid="{2C99D4B2-C1DD-4258-83AD-1E6F12ABAEC3}"/>
    <cellStyle name="Normal 9 2 3 3 2 2 4" xfId="20098" xr:uid="{488262B8-1DC3-4672-ABB7-7015AA85FFA5}"/>
    <cellStyle name="Normal 9 2 3 3 2 2 5" xfId="36956" xr:uid="{93EBE323-4680-48E7-8D78-C6CFBBBEA1FA}"/>
    <cellStyle name="Normal 9 2 3 3 2 2 6" xfId="11663" xr:uid="{A5AEF37A-9CAC-4023-8B6F-D122585A1D6D}"/>
    <cellStyle name="Normal 9 2 3 3 2 3" xfId="5301" xr:uid="{00000000-0005-0000-0000-0000391F0000}"/>
    <cellStyle name="Normal 9 2 3 3 2 3 2" xfId="30600" xr:uid="{271762BA-D394-471B-BCE3-394CDD5403E2}"/>
    <cellStyle name="Normal 9 2 3 3 2 3 3" xfId="22171" xr:uid="{7DD294B6-2BF2-47BC-8D56-59FE6AFF15AE}"/>
    <cellStyle name="Normal 9 2 3 3 2 3 4" xfId="39028" xr:uid="{F37CEF35-BB40-4B7E-9523-E444DD5512C7}"/>
    <cellStyle name="Normal 9 2 3 3 2 3 5" xfId="13736" xr:uid="{8602E046-C131-426C-AADA-5A866AD384F8}"/>
    <cellStyle name="Normal 9 2 3 3 2 4" xfId="26382" xr:uid="{89D271F4-77EA-4255-8AA9-57EA1F803EEC}"/>
    <cellStyle name="Normal 9 2 3 3 2 5" xfId="17953" xr:uid="{5B4338D1-D718-401D-9478-A8538590701C}"/>
    <cellStyle name="Normal 9 2 3 3 2 6" xfId="34811" xr:uid="{57EB1B7D-3DA9-40DE-83E9-F86BD5454496}"/>
    <cellStyle name="Normal 9 2 3 3 2 7" xfId="9518" xr:uid="{DD1D597A-EB3A-4587-9082-ACA41A673CBD}"/>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33158" xr:uid="{2AFCA706-95AC-4A54-8460-CF6EA4B753A1}"/>
    <cellStyle name="Normal 9 2 3 3 3 2 2 3" xfId="24729" xr:uid="{9DDD3F20-553E-4480-B33B-1B9BDB39C665}"/>
    <cellStyle name="Normal 9 2 3 3 3 2 2 4" xfId="41586" xr:uid="{EB913CE9-7B06-4F9D-B124-44627D251A05}"/>
    <cellStyle name="Normal 9 2 3 3 3 2 2 5" xfId="16294" xr:uid="{A03E0D2B-59FE-4175-8650-0CE123A5BC9A}"/>
    <cellStyle name="Normal 9 2 3 3 3 2 3" xfId="28940" xr:uid="{EFDBFAEB-A50B-47E4-BE75-3A105C5DEE84}"/>
    <cellStyle name="Normal 9 2 3 3 3 2 4" xfId="20511" xr:uid="{021D892A-D7E6-4AC8-91C5-BBA573881CDE}"/>
    <cellStyle name="Normal 9 2 3 3 3 2 5" xfId="37369" xr:uid="{64BF9FEB-90D4-4C14-9534-0629C195704C}"/>
    <cellStyle name="Normal 9 2 3 3 3 2 6" xfId="12076" xr:uid="{1685E9E4-51CA-44F5-8643-B93E4E7C86CA}"/>
    <cellStyle name="Normal 9 2 3 3 3 3" xfId="5714" xr:uid="{00000000-0005-0000-0000-00003D1F0000}"/>
    <cellStyle name="Normal 9 2 3 3 3 3 2" xfId="31013" xr:uid="{DC97ADD4-51D8-42C5-A7BA-E41EAD3DC5EA}"/>
    <cellStyle name="Normal 9 2 3 3 3 3 3" xfId="22584" xr:uid="{FEAAA925-2116-47E4-B474-87B0BD87B92A}"/>
    <cellStyle name="Normal 9 2 3 3 3 3 4" xfId="39441" xr:uid="{6B7E1605-3137-4E20-8479-1B0914A1A432}"/>
    <cellStyle name="Normal 9 2 3 3 3 3 5" xfId="14149" xr:uid="{66CC60E7-365F-43DC-A454-E2E4AD8FFA75}"/>
    <cellStyle name="Normal 9 2 3 3 3 4" xfId="26795" xr:uid="{19348327-2366-4C4D-9749-192C72DB3D28}"/>
    <cellStyle name="Normal 9 2 3 3 3 5" xfId="18366" xr:uid="{79CFD455-DDFE-49F9-A873-5A98AC3C522A}"/>
    <cellStyle name="Normal 9 2 3 3 3 6" xfId="35224" xr:uid="{3272FDB9-5280-4FCE-9C07-FCBC697533F2}"/>
    <cellStyle name="Normal 9 2 3 3 3 7" xfId="9931" xr:uid="{405BB54B-6A55-4A89-B290-E9E8D5C347B5}"/>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33571" xr:uid="{E70EE1A1-6177-4428-81C5-C6C6E2FD8B65}"/>
    <cellStyle name="Normal 9 2 3 3 4 2 2 3" xfId="25142" xr:uid="{303A67CE-54A5-4A2B-B938-E1E49FAE51E2}"/>
    <cellStyle name="Normal 9 2 3 3 4 2 2 4" xfId="41999" xr:uid="{FA1F1BEE-0B69-4886-A557-CDB64215B546}"/>
    <cellStyle name="Normal 9 2 3 3 4 2 2 5" xfId="16707" xr:uid="{1F0D504B-8C94-4B68-BA0D-4CF6A4673557}"/>
    <cellStyle name="Normal 9 2 3 3 4 2 3" xfId="29353" xr:uid="{D51764B4-A0E6-4AF3-86FC-AE4D9FA1377C}"/>
    <cellStyle name="Normal 9 2 3 3 4 2 4" xfId="20924" xr:uid="{64CC91FF-86A7-47A7-A36D-45F005AFF441}"/>
    <cellStyle name="Normal 9 2 3 3 4 2 5" xfId="37782" xr:uid="{A6D731A3-BB71-4F69-918C-8ECC5ACB2B93}"/>
    <cellStyle name="Normal 9 2 3 3 4 2 6" xfId="12489" xr:uid="{F050ACD2-45A2-4A15-9B44-BFB2A1C984C7}"/>
    <cellStyle name="Normal 9 2 3 3 4 3" xfId="6127" xr:uid="{00000000-0005-0000-0000-0000411F0000}"/>
    <cellStyle name="Normal 9 2 3 3 4 3 2" xfId="31426" xr:uid="{0CF6B410-B097-463C-ADDC-604B2D4B14D5}"/>
    <cellStyle name="Normal 9 2 3 3 4 3 3" xfId="22997" xr:uid="{2CAC41F7-C7AC-4263-A3A3-EEB9A349D00C}"/>
    <cellStyle name="Normal 9 2 3 3 4 3 4" xfId="39854" xr:uid="{609887DF-B565-4BE8-B835-1B611363BFD9}"/>
    <cellStyle name="Normal 9 2 3 3 4 3 5" xfId="14562" xr:uid="{93553FEF-BCF6-46A2-8E81-9209B5AC8658}"/>
    <cellStyle name="Normal 9 2 3 3 4 4" xfId="27208" xr:uid="{46A3E4B7-895C-4B97-A3B4-D3B977EE10BD}"/>
    <cellStyle name="Normal 9 2 3 3 4 5" xfId="18779" xr:uid="{2AF76723-8024-405C-B139-669C9D840F87}"/>
    <cellStyle name="Normal 9 2 3 3 4 6" xfId="35637" xr:uid="{9537CB30-57DE-42ED-8332-BB3D2150C717}"/>
    <cellStyle name="Normal 9 2 3 3 4 7" xfId="10344" xr:uid="{13396574-344D-4EAB-A1EB-4DA929FA2612}"/>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33984" xr:uid="{6724BB1B-CAA8-4181-A0C9-7EB78C92CA19}"/>
    <cellStyle name="Normal 9 2 3 3 5 2 2 3" xfId="25555" xr:uid="{58150E9E-4AA6-4896-B31A-F632E580BBC6}"/>
    <cellStyle name="Normal 9 2 3 3 5 2 2 4" xfId="42412" xr:uid="{EEEF1287-3254-4432-AD09-50C69E02D0A5}"/>
    <cellStyle name="Normal 9 2 3 3 5 2 2 5" xfId="17120" xr:uid="{0B16DE11-5106-4A71-9705-4612235B22F3}"/>
    <cellStyle name="Normal 9 2 3 3 5 2 3" xfId="29766" xr:uid="{269D9447-349C-476E-B032-4799942D1CBA}"/>
    <cellStyle name="Normal 9 2 3 3 5 2 4" xfId="21337" xr:uid="{31C1B852-FA87-43A9-B509-9F337DE7C3DD}"/>
    <cellStyle name="Normal 9 2 3 3 5 2 5" xfId="38195" xr:uid="{1F4CE8C9-C44D-4AEA-8975-2BF28F61FE3F}"/>
    <cellStyle name="Normal 9 2 3 3 5 2 6" xfId="12902" xr:uid="{B798EA8E-F158-4CA5-BE9C-65F15CDE7A9D}"/>
    <cellStyle name="Normal 9 2 3 3 5 3" xfId="6540" xr:uid="{00000000-0005-0000-0000-0000451F0000}"/>
    <cellStyle name="Normal 9 2 3 3 5 3 2" xfId="31839" xr:uid="{BC82BBB2-01C8-4AEF-A4B8-AF37804E2F21}"/>
    <cellStyle name="Normal 9 2 3 3 5 3 3" xfId="23410" xr:uid="{FAFD6DB6-CE03-4F5E-9749-3FF1029A71C6}"/>
    <cellStyle name="Normal 9 2 3 3 5 3 4" xfId="40267" xr:uid="{33A89FBD-C393-4058-AA42-96DFF9E1BB13}"/>
    <cellStyle name="Normal 9 2 3 3 5 3 5" xfId="14975" xr:uid="{B0966FF1-4635-4F38-9925-4B14B3239FA0}"/>
    <cellStyle name="Normal 9 2 3 3 5 4" xfId="27621" xr:uid="{C40487DC-1C32-44D7-855A-DCD42F32019C}"/>
    <cellStyle name="Normal 9 2 3 3 5 5" xfId="19192" xr:uid="{F7B11AC8-A993-4DB2-81E1-9A4B82D24645}"/>
    <cellStyle name="Normal 9 2 3 3 5 6" xfId="36050" xr:uid="{D5535EB7-40D2-4D45-8407-81295952F848}"/>
    <cellStyle name="Normal 9 2 3 3 5 7" xfId="10757" xr:uid="{1DE86246-5607-4C20-B7E7-AA4254A0A6C8}"/>
    <cellStyle name="Normal 9 2 3 3 6" xfId="2669" xr:uid="{00000000-0005-0000-0000-0000461F0000}"/>
    <cellStyle name="Normal 9 2 3 3 6 2" xfId="6953" xr:uid="{00000000-0005-0000-0000-0000471F0000}"/>
    <cellStyle name="Normal 9 2 3 3 6 2 2" xfId="32252" xr:uid="{377EFB64-6A95-45B5-8448-AA12E1C1AC1D}"/>
    <cellStyle name="Normal 9 2 3 3 6 2 3" xfId="23823" xr:uid="{693E87E1-9BE0-4D26-841A-626EA156AE7E}"/>
    <cellStyle name="Normal 9 2 3 3 6 2 4" xfId="40680" xr:uid="{C15FF22D-8387-4840-9C9C-752CF0E1BE1E}"/>
    <cellStyle name="Normal 9 2 3 3 6 2 5" xfId="15388" xr:uid="{81A3C31C-D900-424D-A1F5-0EDF87A82D88}"/>
    <cellStyle name="Normal 9 2 3 3 6 3" xfId="28034" xr:uid="{F1C3DB0D-E7EA-43CE-A84E-C6CD08CD38AD}"/>
    <cellStyle name="Normal 9 2 3 3 6 4" xfId="19605" xr:uid="{95ADFD76-289D-4DFC-9020-CAE5DD3C5695}"/>
    <cellStyle name="Normal 9 2 3 3 6 5" xfId="36463" xr:uid="{F458FF85-B004-4629-93DC-8B39F8980218}"/>
    <cellStyle name="Normal 9 2 3 3 6 6" xfId="11170" xr:uid="{4026B75C-47E4-48A8-A33D-0F08067E6E4C}"/>
    <cellStyle name="Normal 9 2 3 3 7" xfId="4888" xr:uid="{00000000-0005-0000-0000-0000481F0000}"/>
    <cellStyle name="Normal 9 2 3 3 7 2" xfId="30187" xr:uid="{81398A75-64A2-4099-BE47-8423555CAE6F}"/>
    <cellStyle name="Normal 9 2 3 3 7 3" xfId="21758" xr:uid="{772A25FB-2BC3-4A4D-B702-48C54A213239}"/>
    <cellStyle name="Normal 9 2 3 3 7 4" xfId="38615" xr:uid="{D977940D-C01C-40C1-ADBE-E04F994B7CAA}"/>
    <cellStyle name="Normal 9 2 3 3 7 5" xfId="13323" xr:uid="{A8197FFB-5A3B-461B-9FF8-84C5985AB11C}"/>
    <cellStyle name="Normal 9 2 3 3 8" xfId="25969" xr:uid="{EE3BB318-0166-4FB1-998F-FDBCD8353650}"/>
    <cellStyle name="Normal 9 2 3 3 9" xfId="17540" xr:uid="{7996213B-FC0C-4010-9F8D-E1A7A45889EE}"/>
    <cellStyle name="Normal 9 2 3 4" xfId="987" xr:uid="{00000000-0005-0000-0000-0000491F0000}"/>
    <cellStyle name="Normal 9 2 3 4 2" xfId="3220" xr:uid="{00000000-0005-0000-0000-00004A1F0000}"/>
    <cellStyle name="Normal 9 2 3 4 2 2" xfId="7443" xr:uid="{00000000-0005-0000-0000-00004B1F0000}"/>
    <cellStyle name="Normal 9 2 3 4 2 2 2" xfId="32742" xr:uid="{23AE48F1-16B1-46B0-9027-F3100DF1156F}"/>
    <cellStyle name="Normal 9 2 3 4 2 2 3" xfId="24313" xr:uid="{56C2D26C-4763-4ADD-9BFB-1D77C49116CD}"/>
    <cellStyle name="Normal 9 2 3 4 2 2 4" xfId="41170" xr:uid="{7F563FAC-7EB4-4486-AC30-BB6B97E7142C}"/>
    <cellStyle name="Normal 9 2 3 4 2 2 5" xfId="15878" xr:uid="{96F62167-BA8B-420C-8A95-C0F17D996063}"/>
    <cellStyle name="Normal 9 2 3 4 2 3" xfId="28524" xr:uid="{2B840D00-B718-432B-BB8B-678FF6AF5FC4}"/>
    <cellStyle name="Normal 9 2 3 4 2 4" xfId="20095" xr:uid="{09DED1F6-9A44-419F-96C4-1DA814569C1F}"/>
    <cellStyle name="Normal 9 2 3 4 2 5" xfId="36953" xr:uid="{771191E6-DA64-4B99-8231-6768F2C7A179}"/>
    <cellStyle name="Normal 9 2 3 4 2 6" xfId="11660" xr:uid="{0ACF3B83-0991-4BD1-9D8B-F76C7256EC04}"/>
    <cellStyle name="Normal 9 2 3 4 3" xfId="5298" xr:uid="{00000000-0005-0000-0000-00004C1F0000}"/>
    <cellStyle name="Normal 9 2 3 4 3 2" xfId="30597" xr:uid="{67895783-6507-4B3F-AB12-DBDEA530A58A}"/>
    <cellStyle name="Normal 9 2 3 4 3 3" xfId="22168" xr:uid="{AFB908B7-99D3-4BBE-8FC6-B9B74FB91B13}"/>
    <cellStyle name="Normal 9 2 3 4 3 4" xfId="39025" xr:uid="{AF2F784F-6B7D-4035-BC96-8CB9E836C72B}"/>
    <cellStyle name="Normal 9 2 3 4 3 5" xfId="13733" xr:uid="{7499541B-1FC3-4DB8-8E8E-29B0CC4D2E2F}"/>
    <cellStyle name="Normal 9 2 3 4 4" xfId="26379" xr:uid="{2DDCC146-E396-4694-8F5E-08C498FBEDB5}"/>
    <cellStyle name="Normal 9 2 3 4 5" xfId="17950" xr:uid="{B350DB9C-565C-4919-B68A-4E07174D43AF}"/>
    <cellStyle name="Normal 9 2 3 4 6" xfId="34808" xr:uid="{E1C3C00A-1499-4FCF-9B15-773CBC4586EB}"/>
    <cellStyle name="Normal 9 2 3 4 7" xfId="9515" xr:uid="{CD33382B-13BA-46FF-8E21-62729A3408CE}"/>
    <cellStyle name="Normal 9 2 3 5" xfId="1403" xr:uid="{00000000-0005-0000-0000-00004D1F0000}"/>
    <cellStyle name="Normal 9 2 3 5 2" xfId="3633" xr:uid="{00000000-0005-0000-0000-00004E1F0000}"/>
    <cellStyle name="Normal 9 2 3 5 2 2" xfId="7856" xr:uid="{00000000-0005-0000-0000-00004F1F0000}"/>
    <cellStyle name="Normal 9 2 3 5 2 2 2" xfId="33155" xr:uid="{024E9397-E5D6-4824-9136-9505D7305A37}"/>
    <cellStyle name="Normal 9 2 3 5 2 2 3" xfId="24726" xr:uid="{F74931F1-797B-4F9B-991B-16CA1E195D35}"/>
    <cellStyle name="Normal 9 2 3 5 2 2 4" xfId="41583" xr:uid="{1549E647-9E19-4140-B634-C1DD8C1BC10E}"/>
    <cellStyle name="Normal 9 2 3 5 2 2 5" xfId="16291" xr:uid="{02B1F041-23C8-4F92-A551-0E609E275C55}"/>
    <cellStyle name="Normal 9 2 3 5 2 3" xfId="28937" xr:uid="{017F5C0A-A3AA-4269-B8BA-4B0D290006FC}"/>
    <cellStyle name="Normal 9 2 3 5 2 4" xfId="20508" xr:uid="{1E3FACC3-C9F9-4BBD-BA35-02889A62ABE2}"/>
    <cellStyle name="Normal 9 2 3 5 2 5" xfId="37366" xr:uid="{9E05FD9D-93C2-44C8-9707-0F404152B93E}"/>
    <cellStyle name="Normal 9 2 3 5 2 6" xfId="12073" xr:uid="{BEDBA204-9249-4489-BE96-4433A43DF81A}"/>
    <cellStyle name="Normal 9 2 3 5 3" xfId="5711" xr:uid="{00000000-0005-0000-0000-0000501F0000}"/>
    <cellStyle name="Normal 9 2 3 5 3 2" xfId="31010" xr:uid="{80969250-9D59-479B-8AA0-ECD8C9D74C6A}"/>
    <cellStyle name="Normal 9 2 3 5 3 3" xfId="22581" xr:uid="{1928A141-9B62-4F2C-A269-2F1F39902554}"/>
    <cellStyle name="Normal 9 2 3 5 3 4" xfId="39438" xr:uid="{CA9E02EE-4EAE-4B9A-A61F-F6488C268E4B}"/>
    <cellStyle name="Normal 9 2 3 5 3 5" xfId="14146" xr:uid="{B634A9CC-E2AB-4AFD-AF80-8D3DF2A1C096}"/>
    <cellStyle name="Normal 9 2 3 5 4" xfId="26792" xr:uid="{56A7E5FB-BA68-4B81-9AD1-B82D7D595B41}"/>
    <cellStyle name="Normal 9 2 3 5 5" xfId="18363" xr:uid="{F5E0A345-490F-4EAD-BA91-F3DAA3E168A8}"/>
    <cellStyle name="Normal 9 2 3 5 6" xfId="35221" xr:uid="{F340CAB5-4312-411E-A5EE-D4100FE93C15}"/>
    <cellStyle name="Normal 9 2 3 5 7" xfId="9928" xr:uid="{2E8A72E1-C4D0-4B1C-B3A7-999ACBA63BEA}"/>
    <cellStyle name="Normal 9 2 3 6" xfId="1816" xr:uid="{00000000-0005-0000-0000-0000511F0000}"/>
    <cellStyle name="Normal 9 2 3 6 2" xfId="4046" xr:uid="{00000000-0005-0000-0000-0000521F0000}"/>
    <cellStyle name="Normal 9 2 3 6 2 2" xfId="8269" xr:uid="{00000000-0005-0000-0000-0000531F0000}"/>
    <cellStyle name="Normal 9 2 3 6 2 2 2" xfId="33568" xr:uid="{661C4AD0-A8A6-42C2-9394-F1289302485C}"/>
    <cellStyle name="Normal 9 2 3 6 2 2 3" xfId="25139" xr:uid="{506518A5-6458-49AD-9D16-AB06CE05B015}"/>
    <cellStyle name="Normal 9 2 3 6 2 2 4" xfId="41996" xr:uid="{05E3C910-47A8-47A3-96A8-F806A533CCBA}"/>
    <cellStyle name="Normal 9 2 3 6 2 2 5" xfId="16704" xr:uid="{80D1A300-47AE-4C26-A914-F1E63EF3C97F}"/>
    <cellStyle name="Normal 9 2 3 6 2 3" xfId="29350" xr:uid="{F0B0BF21-C24E-4A82-A66B-C0FC4B753A05}"/>
    <cellStyle name="Normal 9 2 3 6 2 4" xfId="20921" xr:uid="{071B31D9-03B7-499D-BFCA-89B017C8660C}"/>
    <cellStyle name="Normal 9 2 3 6 2 5" xfId="37779" xr:uid="{2C243983-7751-4891-A17B-1513A564440B}"/>
    <cellStyle name="Normal 9 2 3 6 2 6" xfId="12486" xr:uid="{97AC98D5-84D7-4B7E-A5D3-6C8D9B98D910}"/>
    <cellStyle name="Normal 9 2 3 6 3" xfId="6124" xr:uid="{00000000-0005-0000-0000-0000541F0000}"/>
    <cellStyle name="Normal 9 2 3 6 3 2" xfId="31423" xr:uid="{6A16B516-3003-4CAA-8076-02216888C0D3}"/>
    <cellStyle name="Normal 9 2 3 6 3 3" xfId="22994" xr:uid="{631D119D-D7AB-4706-A0D5-070DE648F0A1}"/>
    <cellStyle name="Normal 9 2 3 6 3 4" xfId="39851" xr:uid="{8F930C4F-C12D-4876-9945-9056584F4A5B}"/>
    <cellStyle name="Normal 9 2 3 6 3 5" xfId="14559" xr:uid="{B1D33B9C-88A1-45E6-AEDA-F135C83CFB35}"/>
    <cellStyle name="Normal 9 2 3 6 4" xfId="27205" xr:uid="{ABCA5E37-E603-42AA-83B4-CDA60A51C23C}"/>
    <cellStyle name="Normal 9 2 3 6 5" xfId="18776" xr:uid="{6F9A6874-C01D-428B-BC40-981969D9E46C}"/>
    <cellStyle name="Normal 9 2 3 6 6" xfId="35634" xr:uid="{CB2AC1FD-1AC9-49A8-BE62-F8FDC5089F17}"/>
    <cellStyle name="Normal 9 2 3 6 7" xfId="10341" xr:uid="{835AEA3E-666E-4472-A25D-51E57A20B73F}"/>
    <cellStyle name="Normal 9 2 3 7" xfId="2230" xr:uid="{00000000-0005-0000-0000-0000551F0000}"/>
    <cellStyle name="Normal 9 2 3 7 2" xfId="4459" xr:uid="{00000000-0005-0000-0000-0000561F0000}"/>
    <cellStyle name="Normal 9 2 3 7 2 2" xfId="8682" xr:uid="{00000000-0005-0000-0000-0000571F0000}"/>
    <cellStyle name="Normal 9 2 3 7 2 2 2" xfId="33981" xr:uid="{310622E3-A95A-4C9E-84C5-10314FB98066}"/>
    <cellStyle name="Normal 9 2 3 7 2 2 3" xfId="25552" xr:uid="{DE8B0B72-D6EF-43D3-BBEE-DE6248BBC31C}"/>
    <cellStyle name="Normal 9 2 3 7 2 2 4" xfId="42409" xr:uid="{9A66EA92-0D68-44AE-B564-7100BFA41784}"/>
    <cellStyle name="Normal 9 2 3 7 2 2 5" xfId="17117" xr:uid="{460E61D8-81DD-404C-8A31-0715259CC60B}"/>
    <cellStyle name="Normal 9 2 3 7 2 3" xfId="29763" xr:uid="{E6A5ED96-1E87-4071-B280-28000FBB4200}"/>
    <cellStyle name="Normal 9 2 3 7 2 4" xfId="21334" xr:uid="{E10441BE-5679-4FED-8710-81F78C4280E6}"/>
    <cellStyle name="Normal 9 2 3 7 2 5" xfId="38192" xr:uid="{56D9D93A-848C-4720-9D37-4123EEC6EB99}"/>
    <cellStyle name="Normal 9 2 3 7 2 6" xfId="12899" xr:uid="{7229EC64-9ED7-41A6-AF1D-3B9463C3D14F}"/>
    <cellStyle name="Normal 9 2 3 7 3" xfId="6537" xr:uid="{00000000-0005-0000-0000-0000581F0000}"/>
    <cellStyle name="Normal 9 2 3 7 3 2" xfId="31836" xr:uid="{08E3BBED-3895-4AFF-8EE0-29B3618238C2}"/>
    <cellStyle name="Normal 9 2 3 7 3 3" xfId="23407" xr:uid="{4871D300-7BF2-44B7-8111-6ADDDEED1B1F}"/>
    <cellStyle name="Normal 9 2 3 7 3 4" xfId="40264" xr:uid="{FDC50F64-314C-4A1A-90C5-31AB5B6D036F}"/>
    <cellStyle name="Normal 9 2 3 7 3 5" xfId="14972" xr:uid="{A0B3DC63-7955-4D5D-8A45-6A5155380C44}"/>
    <cellStyle name="Normal 9 2 3 7 4" xfId="27618" xr:uid="{0AC59B53-72AC-49DB-8B71-0A0829D36B81}"/>
    <cellStyle name="Normal 9 2 3 7 5" xfId="19189" xr:uid="{95D45B9A-8DFF-44FD-B6AF-8DB7DE928FEA}"/>
    <cellStyle name="Normal 9 2 3 7 6" xfId="36047" xr:uid="{1930B4EA-8B96-48AB-B931-3EA0A7247C61}"/>
    <cellStyle name="Normal 9 2 3 7 7" xfId="10754" xr:uid="{4893EC36-E4DD-4CB0-84BF-FDCFFBCD8660}"/>
    <cellStyle name="Normal 9 2 3 8" xfId="2666" xr:uid="{00000000-0005-0000-0000-0000591F0000}"/>
    <cellStyle name="Normal 9 2 3 8 2" xfId="6950" xr:uid="{00000000-0005-0000-0000-00005A1F0000}"/>
    <cellStyle name="Normal 9 2 3 8 2 2" xfId="32249" xr:uid="{7E089B5B-6AE5-4205-B1B1-8B539F34542F}"/>
    <cellStyle name="Normal 9 2 3 8 2 3" xfId="23820" xr:uid="{D95598A2-C13F-400D-A936-F49135FE7785}"/>
    <cellStyle name="Normal 9 2 3 8 2 4" xfId="40677" xr:uid="{88775D90-6F11-4DE8-A2EB-D486D48C7FF3}"/>
    <cellStyle name="Normal 9 2 3 8 2 5" xfId="15385" xr:uid="{C17856B9-8B16-464E-97F5-2E1E17580E12}"/>
    <cellStyle name="Normal 9 2 3 8 3" xfId="28031" xr:uid="{0FD0747B-3E55-49F7-85F3-7BEA0D95D78E}"/>
    <cellStyle name="Normal 9 2 3 8 4" xfId="19602" xr:uid="{4E8A93DC-8DD6-4041-8272-73FAE4836ABF}"/>
    <cellStyle name="Normal 9 2 3 8 5" xfId="36460" xr:uid="{BA1BEEC5-CC75-4118-8DE9-20E8D6AE7C78}"/>
    <cellStyle name="Normal 9 2 3 8 6" xfId="11167" xr:uid="{4065D0A7-C031-4C0C-AE37-9A3052145FE6}"/>
    <cellStyle name="Normal 9 2 3 9" xfId="4885" xr:uid="{00000000-0005-0000-0000-00005B1F0000}"/>
    <cellStyle name="Normal 9 2 3 9 2" xfId="30184" xr:uid="{48845BE9-572A-4312-8668-6E83D862C519}"/>
    <cellStyle name="Normal 9 2 3 9 3" xfId="21755" xr:uid="{E1FE3DEB-D594-4D20-AA78-7679B2E50116}"/>
    <cellStyle name="Normal 9 2 3 9 4" xfId="38612" xr:uid="{A2318004-5DD9-49B2-825C-F6704E0C6A28}"/>
    <cellStyle name="Normal 9 2 3 9 5" xfId="13320" xr:uid="{ECA46A8E-4D7A-496B-9C94-1F80D22B6913}"/>
    <cellStyle name="Normal 9 2 4" xfId="524" xr:uid="{00000000-0005-0000-0000-00005C1F0000}"/>
    <cellStyle name="Normal 9 2 4 10" xfId="17541" xr:uid="{8C6BA9B3-6DB3-4F1C-8B67-9DB4EA34AC95}"/>
    <cellStyle name="Normal 9 2 4 11" xfId="34399" xr:uid="{9E47A1F3-B0A6-44AB-BF61-44389EC16340}"/>
    <cellStyle name="Normal 9 2 4 12" xfId="9106" xr:uid="{D32B9E25-3E85-43FC-A8E7-BF6307B5D01D}"/>
    <cellStyle name="Normal 9 2 4 2" xfId="525" xr:uid="{00000000-0005-0000-0000-00005D1F0000}"/>
    <cellStyle name="Normal 9 2 4 2 10" xfId="34400" xr:uid="{DDD0E146-060E-444B-A3F8-C0848A7AA2B2}"/>
    <cellStyle name="Normal 9 2 4 2 11" xfId="9107" xr:uid="{16E14320-D015-4AF5-A118-678AD5F6CE0D}"/>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32747" xr:uid="{4D8F5DB4-FC9D-4499-8208-75622EEFC48A}"/>
    <cellStyle name="Normal 9 2 4 2 2 2 2 3" xfId="24318" xr:uid="{D9859E3F-1567-4AC8-B057-67AC773D1724}"/>
    <cellStyle name="Normal 9 2 4 2 2 2 2 4" xfId="41175" xr:uid="{C8069695-8FB5-4B7C-A9D6-EC3BAAB78B86}"/>
    <cellStyle name="Normal 9 2 4 2 2 2 2 5" xfId="15883" xr:uid="{987BF4DE-DC26-49BB-9174-F1446DD3BE39}"/>
    <cellStyle name="Normal 9 2 4 2 2 2 3" xfId="28529" xr:uid="{43DB5BBB-9A75-4FF3-9A68-0D02638EAAFA}"/>
    <cellStyle name="Normal 9 2 4 2 2 2 4" xfId="20100" xr:uid="{6ABE3905-552C-4774-83BD-EBFE3192F9D0}"/>
    <cellStyle name="Normal 9 2 4 2 2 2 5" xfId="36958" xr:uid="{C4C650FE-223B-4130-807D-93E380C1AC68}"/>
    <cellStyle name="Normal 9 2 4 2 2 2 6" xfId="11665" xr:uid="{6FB3F62D-E890-4800-A74E-9A7B5DF442C5}"/>
    <cellStyle name="Normal 9 2 4 2 2 3" xfId="5303" xr:uid="{00000000-0005-0000-0000-0000611F0000}"/>
    <cellStyle name="Normal 9 2 4 2 2 3 2" xfId="30602" xr:uid="{1A36D283-373E-4C21-9850-B709FB0B2988}"/>
    <cellStyle name="Normal 9 2 4 2 2 3 3" xfId="22173" xr:uid="{A2004DF6-78B1-4850-A253-76EC29EDF06E}"/>
    <cellStyle name="Normal 9 2 4 2 2 3 4" xfId="39030" xr:uid="{D87FD9C2-AE08-4DEF-9A60-837E27111185}"/>
    <cellStyle name="Normal 9 2 4 2 2 3 5" xfId="13738" xr:uid="{5F353888-FCE0-48E7-8A81-1A79D0A11FDA}"/>
    <cellStyle name="Normal 9 2 4 2 2 4" xfId="26384" xr:uid="{AFADB36B-D8C6-4A1C-BF89-947F887B4848}"/>
    <cellStyle name="Normal 9 2 4 2 2 5" xfId="17955" xr:uid="{A17FBF79-6CF3-474E-BEC5-C967F051BCB1}"/>
    <cellStyle name="Normal 9 2 4 2 2 6" xfId="34813" xr:uid="{EAA7C456-6AA4-4227-A2A2-19C9FC162EFE}"/>
    <cellStyle name="Normal 9 2 4 2 2 7" xfId="9520" xr:uid="{ADEE5CEA-3941-4E7A-A516-CB761FC3003B}"/>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33160" xr:uid="{E42437D5-93C8-48D2-80B6-39C91529E0CC}"/>
    <cellStyle name="Normal 9 2 4 2 3 2 2 3" xfId="24731" xr:uid="{370AB3AF-73C5-43B7-AF35-B3C7A497FDDA}"/>
    <cellStyle name="Normal 9 2 4 2 3 2 2 4" xfId="41588" xr:uid="{1CA6A8C1-85BD-4750-941B-6240EE35E785}"/>
    <cellStyle name="Normal 9 2 4 2 3 2 2 5" xfId="16296" xr:uid="{5ABF50FD-3CCB-4D04-86FA-FA9725E72EA7}"/>
    <cellStyle name="Normal 9 2 4 2 3 2 3" xfId="28942" xr:uid="{F353D6CB-2135-4DDE-BE7F-349FEECEFA66}"/>
    <cellStyle name="Normal 9 2 4 2 3 2 4" xfId="20513" xr:uid="{873C5C77-EBED-4412-AE65-D4561E19B267}"/>
    <cellStyle name="Normal 9 2 4 2 3 2 5" xfId="37371" xr:uid="{C8CC7A48-3684-4E17-A72F-D1C760C690B7}"/>
    <cellStyle name="Normal 9 2 4 2 3 2 6" xfId="12078" xr:uid="{101532F1-E576-47D7-8BA6-8A953D475107}"/>
    <cellStyle name="Normal 9 2 4 2 3 3" xfId="5716" xr:uid="{00000000-0005-0000-0000-0000651F0000}"/>
    <cellStyle name="Normal 9 2 4 2 3 3 2" xfId="31015" xr:uid="{87F84062-601D-4558-BA35-16C8623B60F4}"/>
    <cellStyle name="Normal 9 2 4 2 3 3 3" xfId="22586" xr:uid="{4DA6B94E-72B2-440C-A06A-D385280D0708}"/>
    <cellStyle name="Normal 9 2 4 2 3 3 4" xfId="39443" xr:uid="{08D24FC2-2B73-4331-A120-C4FCF57EAECD}"/>
    <cellStyle name="Normal 9 2 4 2 3 3 5" xfId="14151" xr:uid="{3C491351-7F34-4075-AD10-3C601B7B251D}"/>
    <cellStyle name="Normal 9 2 4 2 3 4" xfId="26797" xr:uid="{A7CA9A6B-66CE-45DD-AEBB-89BC8ADDC8FA}"/>
    <cellStyle name="Normal 9 2 4 2 3 5" xfId="18368" xr:uid="{50C0B43E-857B-4D75-804C-87E123A5268C}"/>
    <cellStyle name="Normal 9 2 4 2 3 6" xfId="35226" xr:uid="{02489CE6-E141-44E5-B952-C38C62D51D9E}"/>
    <cellStyle name="Normal 9 2 4 2 3 7" xfId="9933" xr:uid="{BABE761D-18F2-455D-BADE-E3EBB38B7FE6}"/>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33573" xr:uid="{B1DE9EF4-8E27-476A-B0CD-47ACEAB88000}"/>
    <cellStyle name="Normal 9 2 4 2 4 2 2 3" xfId="25144" xr:uid="{7484D91E-8470-49D5-8ECC-CED779015092}"/>
    <cellStyle name="Normal 9 2 4 2 4 2 2 4" xfId="42001" xr:uid="{19B941CB-73DB-43BD-BFFF-EB4818E76FFE}"/>
    <cellStyle name="Normal 9 2 4 2 4 2 2 5" xfId="16709" xr:uid="{8C5EC95A-A398-4BF4-800A-E6A90E29F80C}"/>
    <cellStyle name="Normal 9 2 4 2 4 2 3" xfId="29355" xr:uid="{674E7D08-38E6-438F-9B0D-959092FD8A08}"/>
    <cellStyle name="Normal 9 2 4 2 4 2 4" xfId="20926" xr:uid="{FA94F005-3C8E-42CF-8AE6-173AF75BA0F7}"/>
    <cellStyle name="Normal 9 2 4 2 4 2 5" xfId="37784" xr:uid="{E19A5757-89D8-4DC0-9F22-18FCA96C6D63}"/>
    <cellStyle name="Normal 9 2 4 2 4 2 6" xfId="12491" xr:uid="{1C6A155E-6CC0-4D3D-BFE7-B39817E37D1A}"/>
    <cellStyle name="Normal 9 2 4 2 4 3" xfId="6129" xr:uid="{00000000-0005-0000-0000-0000691F0000}"/>
    <cellStyle name="Normal 9 2 4 2 4 3 2" xfId="31428" xr:uid="{E8737103-8589-4ED2-B78E-4D73E986C882}"/>
    <cellStyle name="Normal 9 2 4 2 4 3 3" xfId="22999" xr:uid="{9ABDE1E1-6025-45A2-9454-84AA112EE527}"/>
    <cellStyle name="Normal 9 2 4 2 4 3 4" xfId="39856" xr:uid="{3E3E248C-0402-4C29-8840-085E2387B043}"/>
    <cellStyle name="Normal 9 2 4 2 4 3 5" xfId="14564" xr:uid="{D4DD65F1-9E0D-416B-BEE3-D61FBA689C34}"/>
    <cellStyle name="Normal 9 2 4 2 4 4" xfId="27210" xr:uid="{EE1A7624-B4DD-4B95-B03B-6CA508B53F6B}"/>
    <cellStyle name="Normal 9 2 4 2 4 5" xfId="18781" xr:uid="{528A7717-3BB0-4677-9A18-5B3BA0399985}"/>
    <cellStyle name="Normal 9 2 4 2 4 6" xfId="35639" xr:uid="{D4FE8B64-CC2D-4A7A-ACDC-2B78304A4DC7}"/>
    <cellStyle name="Normal 9 2 4 2 4 7" xfId="10346" xr:uid="{F807BE8E-D70C-4C88-B963-4C995C831EBF}"/>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33986" xr:uid="{5CF35323-0751-4B88-96EC-964C072179A1}"/>
    <cellStyle name="Normal 9 2 4 2 5 2 2 3" xfId="25557" xr:uid="{5A884B89-6C5D-40E4-A83E-E905E1684088}"/>
    <cellStyle name="Normal 9 2 4 2 5 2 2 4" xfId="42414" xr:uid="{0000D8DA-13C6-4A68-89B2-325505BADE05}"/>
    <cellStyle name="Normal 9 2 4 2 5 2 2 5" xfId="17122" xr:uid="{A2403737-E48B-4AA7-938F-B1C16D5CFA19}"/>
    <cellStyle name="Normal 9 2 4 2 5 2 3" xfId="29768" xr:uid="{4DB6692C-CE11-4173-A100-B2C9E0826244}"/>
    <cellStyle name="Normal 9 2 4 2 5 2 4" xfId="21339" xr:uid="{749CC2C9-F39A-432F-856F-074E75B57726}"/>
    <cellStyle name="Normal 9 2 4 2 5 2 5" xfId="38197" xr:uid="{4D9EAEB0-104D-4389-9E07-45FEDBAB5416}"/>
    <cellStyle name="Normal 9 2 4 2 5 2 6" xfId="12904" xr:uid="{010992A3-48B8-4BC2-8C7D-63B5BD7F3BD8}"/>
    <cellStyle name="Normal 9 2 4 2 5 3" xfId="6542" xr:uid="{00000000-0005-0000-0000-00006D1F0000}"/>
    <cellStyle name="Normal 9 2 4 2 5 3 2" xfId="31841" xr:uid="{6213B57E-89FF-47B2-A450-7ABFCF87A5C7}"/>
    <cellStyle name="Normal 9 2 4 2 5 3 3" xfId="23412" xr:uid="{B230EC7C-228B-4D84-8BD4-6E8CBDD42E0A}"/>
    <cellStyle name="Normal 9 2 4 2 5 3 4" xfId="40269" xr:uid="{40606889-4FE0-4498-9AE4-8594A7411002}"/>
    <cellStyle name="Normal 9 2 4 2 5 3 5" xfId="14977" xr:uid="{DC9916B8-E9C4-4254-83B0-AD8EDD1B4D92}"/>
    <cellStyle name="Normal 9 2 4 2 5 4" xfId="27623" xr:uid="{E122A536-D30B-4FF0-B4CD-8703362C221E}"/>
    <cellStyle name="Normal 9 2 4 2 5 5" xfId="19194" xr:uid="{45993B4C-703A-4D00-8677-663941B0164E}"/>
    <cellStyle name="Normal 9 2 4 2 5 6" xfId="36052" xr:uid="{4E4DE4BB-BCD5-4F4D-8B18-57E9C37C699E}"/>
    <cellStyle name="Normal 9 2 4 2 5 7" xfId="10759" xr:uid="{CF08BCD0-5BF9-411A-8C82-AFDB8AF024F9}"/>
    <cellStyle name="Normal 9 2 4 2 6" xfId="2671" xr:uid="{00000000-0005-0000-0000-00006E1F0000}"/>
    <cellStyle name="Normal 9 2 4 2 6 2" xfId="6955" xr:uid="{00000000-0005-0000-0000-00006F1F0000}"/>
    <cellStyle name="Normal 9 2 4 2 6 2 2" xfId="32254" xr:uid="{A9A0E0FC-F916-4132-B8E5-4FBEDAF386A8}"/>
    <cellStyle name="Normal 9 2 4 2 6 2 3" xfId="23825" xr:uid="{C9ACBF40-0FE3-46A1-A0A4-42E5346B5EF9}"/>
    <cellStyle name="Normal 9 2 4 2 6 2 4" xfId="40682" xr:uid="{01AD26E7-FBC3-4510-B8EC-25083CF3773E}"/>
    <cellStyle name="Normal 9 2 4 2 6 2 5" xfId="15390" xr:uid="{E2CCAE76-546E-4786-907F-751A7E20BA7D}"/>
    <cellStyle name="Normal 9 2 4 2 6 3" xfId="28036" xr:uid="{DFDECB2A-42E4-4004-B335-310BC7765AE4}"/>
    <cellStyle name="Normal 9 2 4 2 6 4" xfId="19607" xr:uid="{78F22746-9F22-446E-8264-4741C6FFF713}"/>
    <cellStyle name="Normal 9 2 4 2 6 5" xfId="36465" xr:uid="{FC5271C4-C03C-4EE2-AF73-CBFB5B3772FB}"/>
    <cellStyle name="Normal 9 2 4 2 6 6" xfId="11172" xr:uid="{7C00AC10-307F-4572-86C3-A53B39DC8878}"/>
    <cellStyle name="Normal 9 2 4 2 7" xfId="4890" xr:uid="{00000000-0005-0000-0000-0000701F0000}"/>
    <cellStyle name="Normal 9 2 4 2 7 2" xfId="30189" xr:uid="{C19A180A-9CE9-4845-AB99-B6710A50CAF7}"/>
    <cellStyle name="Normal 9 2 4 2 7 3" xfId="21760" xr:uid="{B4938B10-CE1E-4B0D-B406-081E800D823A}"/>
    <cellStyle name="Normal 9 2 4 2 7 4" xfId="38617" xr:uid="{6F2773F8-27B1-4E46-B65B-8AAD2B3A4C50}"/>
    <cellStyle name="Normal 9 2 4 2 7 5" xfId="13325" xr:uid="{6101FA90-3C06-461F-9E77-C03E9309F20C}"/>
    <cellStyle name="Normal 9 2 4 2 8" xfId="25971" xr:uid="{5C48CC4A-A1DC-4851-BB44-BEA47FE62EA9}"/>
    <cellStyle name="Normal 9 2 4 2 9" xfId="17542" xr:uid="{A90619E8-0946-4347-A54C-BFDA425EA6C2}"/>
    <cellStyle name="Normal 9 2 4 3" xfId="991" xr:uid="{00000000-0005-0000-0000-0000711F0000}"/>
    <cellStyle name="Normal 9 2 4 3 2" xfId="3224" xr:uid="{00000000-0005-0000-0000-0000721F0000}"/>
    <cellStyle name="Normal 9 2 4 3 2 2" xfId="7447" xr:uid="{00000000-0005-0000-0000-0000731F0000}"/>
    <cellStyle name="Normal 9 2 4 3 2 2 2" xfId="32746" xr:uid="{D6688F2E-412B-4353-AD76-9ACD51FB8CEC}"/>
    <cellStyle name="Normal 9 2 4 3 2 2 3" xfId="24317" xr:uid="{289862CB-CAE5-4D59-8F6C-D419653959A1}"/>
    <cellStyle name="Normal 9 2 4 3 2 2 4" xfId="41174" xr:uid="{B2502B2E-32F0-4FD9-BB17-016C0DF9D765}"/>
    <cellStyle name="Normal 9 2 4 3 2 2 5" xfId="15882" xr:uid="{74483FDA-A927-4832-9481-51EFF5AC1298}"/>
    <cellStyle name="Normal 9 2 4 3 2 3" xfId="28528" xr:uid="{4A7EE148-1ED0-41DB-9BE1-BD9E1B57E2A8}"/>
    <cellStyle name="Normal 9 2 4 3 2 4" xfId="20099" xr:uid="{BE87C3EB-895F-4458-ABE1-73C19D7419C9}"/>
    <cellStyle name="Normal 9 2 4 3 2 5" xfId="36957" xr:uid="{91F45592-8B0E-4A25-B027-7782EDE2E6A1}"/>
    <cellStyle name="Normal 9 2 4 3 2 6" xfId="11664" xr:uid="{72A48607-E748-4164-B4B7-E2992DD9F8A6}"/>
    <cellStyle name="Normal 9 2 4 3 3" xfId="5302" xr:uid="{00000000-0005-0000-0000-0000741F0000}"/>
    <cellStyle name="Normal 9 2 4 3 3 2" xfId="30601" xr:uid="{ABE3E388-CE27-4107-A0BA-411ED1513CB5}"/>
    <cellStyle name="Normal 9 2 4 3 3 3" xfId="22172" xr:uid="{C6FA669B-0568-450B-9327-0334DF1FB9E0}"/>
    <cellStyle name="Normal 9 2 4 3 3 4" xfId="39029" xr:uid="{5D14EBBE-7561-458B-9E6B-0EF6063C1951}"/>
    <cellStyle name="Normal 9 2 4 3 3 5" xfId="13737" xr:uid="{CB8BEC73-8866-4DE5-B35D-9D30FA254969}"/>
    <cellStyle name="Normal 9 2 4 3 4" xfId="26383" xr:uid="{998CE27E-18EF-448E-B601-5DC760393F3A}"/>
    <cellStyle name="Normal 9 2 4 3 5" xfId="17954" xr:uid="{198FC53C-3A25-4166-95C2-19C462447ABA}"/>
    <cellStyle name="Normal 9 2 4 3 6" xfId="34812" xr:uid="{71949CEA-0CC2-4F23-9C49-E5280CDD2B31}"/>
    <cellStyle name="Normal 9 2 4 3 7" xfId="9519" xr:uid="{D8B32E38-FA8B-4A84-A8C5-0D6FD492AC3E}"/>
    <cellStyle name="Normal 9 2 4 4" xfId="1407" xr:uid="{00000000-0005-0000-0000-0000751F0000}"/>
    <cellStyle name="Normal 9 2 4 4 2" xfId="3637" xr:uid="{00000000-0005-0000-0000-0000761F0000}"/>
    <cellStyle name="Normal 9 2 4 4 2 2" xfId="7860" xr:uid="{00000000-0005-0000-0000-0000771F0000}"/>
    <cellStyle name="Normal 9 2 4 4 2 2 2" xfId="33159" xr:uid="{D3914253-FF9F-4F31-BE1F-6FCA4DB34491}"/>
    <cellStyle name="Normal 9 2 4 4 2 2 3" xfId="24730" xr:uid="{79356E49-F4F6-4895-84B2-9D37D67C3250}"/>
    <cellStyle name="Normal 9 2 4 4 2 2 4" xfId="41587" xr:uid="{1182B6A1-133D-446C-B8C3-2651AD8D8712}"/>
    <cellStyle name="Normal 9 2 4 4 2 2 5" xfId="16295" xr:uid="{21765864-81FA-4ABF-AA29-B4FD2F9E93A6}"/>
    <cellStyle name="Normal 9 2 4 4 2 3" xfId="28941" xr:uid="{F3C6A927-E878-42E2-BF01-2D02964FFC0B}"/>
    <cellStyle name="Normal 9 2 4 4 2 4" xfId="20512" xr:uid="{3ECB12D4-4A94-4167-946D-E19C7A5D47C7}"/>
    <cellStyle name="Normal 9 2 4 4 2 5" xfId="37370" xr:uid="{FA9BCAC0-795A-4DE2-8F90-F78661E16728}"/>
    <cellStyle name="Normal 9 2 4 4 2 6" xfId="12077" xr:uid="{C595487F-14E2-4172-BBEA-1CD7C6F9E252}"/>
    <cellStyle name="Normal 9 2 4 4 3" xfId="5715" xr:uid="{00000000-0005-0000-0000-0000781F0000}"/>
    <cellStyle name="Normal 9 2 4 4 3 2" xfId="31014" xr:uid="{A9DC0EC3-7D1A-4D8E-A46F-2ACA6334B94A}"/>
    <cellStyle name="Normal 9 2 4 4 3 3" xfId="22585" xr:uid="{E54D53C5-2CA2-4A86-9757-345FA19852CB}"/>
    <cellStyle name="Normal 9 2 4 4 3 4" xfId="39442" xr:uid="{8E131864-F30C-436A-8223-F3810B6F5099}"/>
    <cellStyle name="Normal 9 2 4 4 3 5" xfId="14150" xr:uid="{979174DF-3D94-4BA3-BE6D-1FD8126E7321}"/>
    <cellStyle name="Normal 9 2 4 4 4" xfId="26796" xr:uid="{7AF4646C-CEAF-46EE-86ED-D283C39F5A85}"/>
    <cellStyle name="Normal 9 2 4 4 5" xfId="18367" xr:uid="{0E1C0202-6DA4-4E3B-942E-8F2F66A35328}"/>
    <cellStyle name="Normal 9 2 4 4 6" xfId="35225" xr:uid="{E9918D5B-924C-459F-B16C-7BE0A239E1CE}"/>
    <cellStyle name="Normal 9 2 4 4 7" xfId="9932" xr:uid="{0269A65C-0D07-4F8D-A483-EFA5316112F2}"/>
    <cellStyle name="Normal 9 2 4 5" xfId="1820" xr:uid="{00000000-0005-0000-0000-0000791F0000}"/>
    <cellStyle name="Normal 9 2 4 5 2" xfId="4050" xr:uid="{00000000-0005-0000-0000-00007A1F0000}"/>
    <cellStyle name="Normal 9 2 4 5 2 2" xfId="8273" xr:uid="{00000000-0005-0000-0000-00007B1F0000}"/>
    <cellStyle name="Normal 9 2 4 5 2 2 2" xfId="33572" xr:uid="{9F76325D-4A0A-4E98-9995-CA01BE70DCA7}"/>
    <cellStyle name="Normal 9 2 4 5 2 2 3" xfId="25143" xr:uid="{65DEB314-B8AB-45B4-8670-8754E2745088}"/>
    <cellStyle name="Normal 9 2 4 5 2 2 4" xfId="42000" xr:uid="{1E91DE7E-E684-4EDF-A224-7BDAEDD3EDA1}"/>
    <cellStyle name="Normal 9 2 4 5 2 2 5" xfId="16708" xr:uid="{41759403-1414-448A-84CC-8D7C7469D84A}"/>
    <cellStyle name="Normal 9 2 4 5 2 3" xfId="29354" xr:uid="{51EF9AFA-66CC-4D3A-80D5-AC88DB2E9CD3}"/>
    <cellStyle name="Normal 9 2 4 5 2 4" xfId="20925" xr:uid="{07E0A4C3-8118-4DF3-93E4-F71E7B753992}"/>
    <cellStyle name="Normal 9 2 4 5 2 5" xfId="37783" xr:uid="{CAFEB5E8-10E7-4BF0-93CE-A68A2766267A}"/>
    <cellStyle name="Normal 9 2 4 5 2 6" xfId="12490" xr:uid="{00E7C8AD-50A3-4748-A43F-B8DF5ECC78B6}"/>
    <cellStyle name="Normal 9 2 4 5 3" xfId="6128" xr:uid="{00000000-0005-0000-0000-00007C1F0000}"/>
    <cellStyle name="Normal 9 2 4 5 3 2" xfId="31427" xr:uid="{C0004B44-A8C1-4286-BD59-302868A95882}"/>
    <cellStyle name="Normal 9 2 4 5 3 3" xfId="22998" xr:uid="{4D8451D7-E9E4-4D1E-B60B-8DB1DAB9EE42}"/>
    <cellStyle name="Normal 9 2 4 5 3 4" xfId="39855" xr:uid="{E59231F3-A4A3-4601-824C-D31FEBCF27B2}"/>
    <cellStyle name="Normal 9 2 4 5 3 5" xfId="14563" xr:uid="{BB150AD3-AD95-4AA0-971A-E4794179E417}"/>
    <cellStyle name="Normal 9 2 4 5 4" xfId="27209" xr:uid="{27020281-7330-48FA-BED6-A6A5ADDADDDD}"/>
    <cellStyle name="Normal 9 2 4 5 5" xfId="18780" xr:uid="{D1244229-2A27-4803-87E6-9ABB6D19D59F}"/>
    <cellStyle name="Normal 9 2 4 5 6" xfId="35638" xr:uid="{31D8D4FD-E1EA-4468-BFC4-E9C1FBB98284}"/>
    <cellStyle name="Normal 9 2 4 5 7" xfId="10345" xr:uid="{045B3E04-A560-4D5C-A359-1C06599738BF}"/>
    <cellStyle name="Normal 9 2 4 6" xfId="2234" xr:uid="{00000000-0005-0000-0000-00007D1F0000}"/>
    <cellStyle name="Normal 9 2 4 6 2" xfId="4463" xr:uid="{00000000-0005-0000-0000-00007E1F0000}"/>
    <cellStyle name="Normal 9 2 4 6 2 2" xfId="8686" xr:uid="{00000000-0005-0000-0000-00007F1F0000}"/>
    <cellStyle name="Normal 9 2 4 6 2 2 2" xfId="33985" xr:uid="{AB31CF63-B282-42D0-9CB6-0E722AD6752F}"/>
    <cellStyle name="Normal 9 2 4 6 2 2 3" xfId="25556" xr:uid="{03F2D637-4B27-4BCA-AF3F-696AD838105B}"/>
    <cellStyle name="Normal 9 2 4 6 2 2 4" xfId="42413" xr:uid="{91A0C7EC-DA77-4829-BBC1-0DC6964BE56B}"/>
    <cellStyle name="Normal 9 2 4 6 2 2 5" xfId="17121" xr:uid="{446251BC-9437-4EC5-88DA-D9958CA652C1}"/>
    <cellStyle name="Normal 9 2 4 6 2 3" xfId="29767" xr:uid="{9C8D513D-6153-428E-9DB4-8186895A02F2}"/>
    <cellStyle name="Normal 9 2 4 6 2 4" xfId="21338" xr:uid="{A5516692-734E-4A04-B9C3-700858C9F7F9}"/>
    <cellStyle name="Normal 9 2 4 6 2 5" xfId="38196" xr:uid="{B58F37AE-3275-43C4-B864-3A652CB6AD75}"/>
    <cellStyle name="Normal 9 2 4 6 2 6" xfId="12903" xr:uid="{4A87E7DD-E9FB-4999-B357-DD0CDDE7C190}"/>
    <cellStyle name="Normal 9 2 4 6 3" xfId="6541" xr:uid="{00000000-0005-0000-0000-0000801F0000}"/>
    <cellStyle name="Normal 9 2 4 6 3 2" xfId="31840" xr:uid="{9657DE54-DDEA-4443-B7C1-555EA6EE90B4}"/>
    <cellStyle name="Normal 9 2 4 6 3 3" xfId="23411" xr:uid="{68CDF92C-432B-44A6-A6C0-47FE46F551BB}"/>
    <cellStyle name="Normal 9 2 4 6 3 4" xfId="40268" xr:uid="{4EE9A0B9-AA9F-43C9-B7A9-F4CD938276E0}"/>
    <cellStyle name="Normal 9 2 4 6 3 5" xfId="14976" xr:uid="{3701CE83-DB46-46E6-9BC1-142D5079EC13}"/>
    <cellStyle name="Normal 9 2 4 6 4" xfId="27622" xr:uid="{D3521443-1C5E-4CEC-9801-FEB38907F2E7}"/>
    <cellStyle name="Normal 9 2 4 6 5" xfId="19193" xr:uid="{ED814A57-DAAA-4894-AA79-D92BEF8F4A59}"/>
    <cellStyle name="Normal 9 2 4 6 6" xfId="36051" xr:uid="{8D91DDCD-DD3B-4A18-AEC9-E1B03A153773}"/>
    <cellStyle name="Normal 9 2 4 6 7" xfId="10758" xr:uid="{0C42EB68-37C6-4EE6-9D5D-BE97CD68F822}"/>
    <cellStyle name="Normal 9 2 4 7" xfId="2670" xr:uid="{00000000-0005-0000-0000-0000811F0000}"/>
    <cellStyle name="Normal 9 2 4 7 2" xfId="6954" xr:uid="{00000000-0005-0000-0000-0000821F0000}"/>
    <cellStyle name="Normal 9 2 4 7 2 2" xfId="32253" xr:uid="{EFA49FF1-EED7-4678-8123-EEC3B7BD466C}"/>
    <cellStyle name="Normal 9 2 4 7 2 3" xfId="23824" xr:uid="{CAB754EB-D901-4CDA-B673-AAACE9A0DDD4}"/>
    <cellStyle name="Normal 9 2 4 7 2 4" xfId="40681" xr:uid="{1B8C84B1-23DD-49E2-9EC1-5CAC193087EF}"/>
    <cellStyle name="Normal 9 2 4 7 2 5" xfId="15389" xr:uid="{5874C357-B55E-4D66-926F-AAD8E80DE16D}"/>
    <cellStyle name="Normal 9 2 4 7 3" xfId="28035" xr:uid="{D7212AFE-B694-40D0-BC04-4C697B1D593D}"/>
    <cellStyle name="Normal 9 2 4 7 4" xfId="19606" xr:uid="{F62B8978-ABC5-4AC7-9DC8-A3B1F82713A5}"/>
    <cellStyle name="Normal 9 2 4 7 5" xfId="36464" xr:uid="{D3FA797F-4225-4512-9969-AA8E4C067EF6}"/>
    <cellStyle name="Normal 9 2 4 7 6" xfId="11171" xr:uid="{9FA11C74-C73F-4893-8680-CAC0746B99F4}"/>
    <cellStyle name="Normal 9 2 4 8" xfId="4889" xr:uid="{00000000-0005-0000-0000-0000831F0000}"/>
    <cellStyle name="Normal 9 2 4 8 2" xfId="30188" xr:uid="{B3CD7735-2463-466B-9A76-9C9D32BC29A7}"/>
    <cellStyle name="Normal 9 2 4 8 3" xfId="21759" xr:uid="{5997E11E-AC61-4EED-9355-3336012E8CC0}"/>
    <cellStyle name="Normal 9 2 4 8 4" xfId="38616" xr:uid="{A7854341-F9A9-4F29-9708-B32AB3229F2D}"/>
    <cellStyle name="Normal 9 2 4 8 5" xfId="13324" xr:uid="{2985B8B8-78F4-4102-A37A-34E74DD392F6}"/>
    <cellStyle name="Normal 9 2 4 9" xfId="25970" xr:uid="{3899E00A-9380-471B-9875-C0A2335347DB}"/>
    <cellStyle name="Normal 9 2 5" xfId="526" xr:uid="{00000000-0005-0000-0000-0000841F0000}"/>
    <cellStyle name="Normal 9 2 5 10" xfId="34401" xr:uid="{403DF7E3-F505-4139-9FD0-7991845012BC}"/>
    <cellStyle name="Normal 9 2 5 11" xfId="9108" xr:uid="{88DD660D-A6EB-4B1C-BDD2-43728E5E7084}"/>
    <cellStyle name="Normal 9 2 5 2" xfId="993" xr:uid="{00000000-0005-0000-0000-0000851F0000}"/>
    <cellStyle name="Normal 9 2 5 2 2" xfId="3226" xr:uid="{00000000-0005-0000-0000-0000861F0000}"/>
    <cellStyle name="Normal 9 2 5 2 2 2" xfId="7449" xr:uid="{00000000-0005-0000-0000-0000871F0000}"/>
    <cellStyle name="Normal 9 2 5 2 2 2 2" xfId="32748" xr:uid="{045FAD5D-88F3-4C06-965A-3E8814844432}"/>
    <cellStyle name="Normal 9 2 5 2 2 2 3" xfId="24319" xr:uid="{1B01C26F-2C5C-4E15-BC25-8D09618F030D}"/>
    <cellStyle name="Normal 9 2 5 2 2 2 4" xfId="41176" xr:uid="{86041E4B-91A2-4C07-AC3C-6A7AA4C8EFD3}"/>
    <cellStyle name="Normal 9 2 5 2 2 2 5" xfId="15884" xr:uid="{ADC26EB3-D77D-4A81-B3A3-87873BFC4E02}"/>
    <cellStyle name="Normal 9 2 5 2 2 3" xfId="28530" xr:uid="{48AAEAC3-66A2-41F0-A3C5-6684E0132D2C}"/>
    <cellStyle name="Normal 9 2 5 2 2 4" xfId="20101" xr:uid="{4DCC3EEC-0F46-4200-8792-CE6CFECA79CB}"/>
    <cellStyle name="Normal 9 2 5 2 2 5" xfId="36959" xr:uid="{51BA5E5C-5CD4-4E08-B76D-A42595611DE9}"/>
    <cellStyle name="Normal 9 2 5 2 2 6" xfId="11666" xr:uid="{69112055-0D79-443F-AAA4-0E096C40CB55}"/>
    <cellStyle name="Normal 9 2 5 2 3" xfId="5304" xr:uid="{00000000-0005-0000-0000-0000881F0000}"/>
    <cellStyle name="Normal 9 2 5 2 3 2" xfId="30603" xr:uid="{75774FA8-F716-4EAB-9D04-8ABF35581326}"/>
    <cellStyle name="Normal 9 2 5 2 3 3" xfId="22174" xr:uid="{C8B1277E-DF35-4563-A738-F333C72AF378}"/>
    <cellStyle name="Normal 9 2 5 2 3 4" xfId="39031" xr:uid="{E7855BFD-B96D-4F72-B76F-7BDD52AFDE0E}"/>
    <cellStyle name="Normal 9 2 5 2 3 5" xfId="13739" xr:uid="{C6D71934-0128-4AA0-895D-74D956E60506}"/>
    <cellStyle name="Normal 9 2 5 2 4" xfId="26385" xr:uid="{9120FD5A-5BBE-4B4C-B99F-2F6CF7263711}"/>
    <cellStyle name="Normal 9 2 5 2 5" xfId="17956" xr:uid="{B4B1483B-865C-4337-A9B7-C3EF943DC4B9}"/>
    <cellStyle name="Normal 9 2 5 2 6" xfId="34814" xr:uid="{599641D1-A103-4CF5-AE1B-A312DFEF3C57}"/>
    <cellStyle name="Normal 9 2 5 2 7" xfId="9521" xr:uid="{B279F7AB-9832-48CF-A427-C7244796D92F}"/>
    <cellStyle name="Normal 9 2 5 3" xfId="1409" xr:uid="{00000000-0005-0000-0000-0000891F0000}"/>
    <cellStyle name="Normal 9 2 5 3 2" xfId="3639" xr:uid="{00000000-0005-0000-0000-00008A1F0000}"/>
    <cellStyle name="Normal 9 2 5 3 2 2" xfId="7862" xr:uid="{00000000-0005-0000-0000-00008B1F0000}"/>
    <cellStyle name="Normal 9 2 5 3 2 2 2" xfId="33161" xr:uid="{E17402EC-35BE-4618-B224-43680A9A3DDA}"/>
    <cellStyle name="Normal 9 2 5 3 2 2 3" xfId="24732" xr:uid="{5631953C-2765-45B9-A404-A82DAFD70F35}"/>
    <cellStyle name="Normal 9 2 5 3 2 2 4" xfId="41589" xr:uid="{0674EAB2-9C54-4268-809A-F6B02FB3ED7F}"/>
    <cellStyle name="Normal 9 2 5 3 2 2 5" xfId="16297" xr:uid="{46238BCD-4451-4EFD-A53A-7C623CFD5088}"/>
    <cellStyle name="Normal 9 2 5 3 2 3" xfId="28943" xr:uid="{78841A52-2457-4381-B875-D6353125BC52}"/>
    <cellStyle name="Normal 9 2 5 3 2 4" xfId="20514" xr:uid="{EEAC9859-D64F-4366-A731-7616819DD9B2}"/>
    <cellStyle name="Normal 9 2 5 3 2 5" xfId="37372" xr:uid="{7944B9FF-D841-4877-8F99-8E276C8C05AA}"/>
    <cellStyle name="Normal 9 2 5 3 2 6" xfId="12079" xr:uid="{D97587AA-1660-4974-BB23-87A028B39059}"/>
    <cellStyle name="Normal 9 2 5 3 3" xfId="5717" xr:uid="{00000000-0005-0000-0000-00008C1F0000}"/>
    <cellStyle name="Normal 9 2 5 3 3 2" xfId="31016" xr:uid="{B953668B-E24B-4AB9-B8AE-E13C7F465FE9}"/>
    <cellStyle name="Normal 9 2 5 3 3 3" xfId="22587" xr:uid="{74792507-1621-4513-AC8A-5186B74F60AF}"/>
    <cellStyle name="Normal 9 2 5 3 3 4" xfId="39444" xr:uid="{6BB9054F-1BA8-46EB-A9DD-066EEF8B8FC6}"/>
    <cellStyle name="Normal 9 2 5 3 3 5" xfId="14152" xr:uid="{D9A1FE7B-E7F3-4A07-86A1-E83CCE26B10B}"/>
    <cellStyle name="Normal 9 2 5 3 4" xfId="26798" xr:uid="{EA93F9FC-A5D9-459F-BACA-90511D35F461}"/>
    <cellStyle name="Normal 9 2 5 3 5" xfId="18369" xr:uid="{83F2367B-0D0D-4741-A277-65C3EFC12788}"/>
    <cellStyle name="Normal 9 2 5 3 6" xfId="35227" xr:uid="{BD37F3F7-8ED8-4497-B3E4-6286374829C3}"/>
    <cellStyle name="Normal 9 2 5 3 7" xfId="9934" xr:uid="{2F94177F-54D3-4FF2-940F-7987FBBFA553}"/>
    <cellStyle name="Normal 9 2 5 4" xfId="1822" xr:uid="{00000000-0005-0000-0000-00008D1F0000}"/>
    <cellStyle name="Normal 9 2 5 4 2" xfId="4052" xr:uid="{00000000-0005-0000-0000-00008E1F0000}"/>
    <cellStyle name="Normal 9 2 5 4 2 2" xfId="8275" xr:uid="{00000000-0005-0000-0000-00008F1F0000}"/>
    <cellStyle name="Normal 9 2 5 4 2 2 2" xfId="33574" xr:uid="{C66EE031-BF43-4420-AEA3-AEC4F3448739}"/>
    <cellStyle name="Normal 9 2 5 4 2 2 3" xfId="25145" xr:uid="{11750B18-B5F0-494F-9AE9-4226BD6DC1DF}"/>
    <cellStyle name="Normal 9 2 5 4 2 2 4" xfId="42002" xr:uid="{35FE8F50-5630-41B8-9903-8E0F9CBD6D6C}"/>
    <cellStyle name="Normal 9 2 5 4 2 2 5" xfId="16710" xr:uid="{5846CFE0-C254-4669-96AA-DD22170AE305}"/>
    <cellStyle name="Normal 9 2 5 4 2 3" xfId="29356" xr:uid="{FBCB325E-522C-4963-B0B4-44C50D342C88}"/>
    <cellStyle name="Normal 9 2 5 4 2 4" xfId="20927" xr:uid="{5FD3A7DC-2B41-40EB-8ABE-0D3528027137}"/>
    <cellStyle name="Normal 9 2 5 4 2 5" xfId="37785" xr:uid="{4FEA2D35-50E9-4026-9ACB-52D2A98490EE}"/>
    <cellStyle name="Normal 9 2 5 4 2 6" xfId="12492" xr:uid="{AFA62264-BBB8-44FD-9586-7A421842B8B5}"/>
    <cellStyle name="Normal 9 2 5 4 3" xfId="6130" xr:uid="{00000000-0005-0000-0000-0000901F0000}"/>
    <cellStyle name="Normal 9 2 5 4 3 2" xfId="31429" xr:uid="{39D2CBD5-A4CB-41B6-8501-3B9E2C2F08BE}"/>
    <cellStyle name="Normal 9 2 5 4 3 3" xfId="23000" xr:uid="{DC9A4A01-0F19-4751-A64A-015C784F9E10}"/>
    <cellStyle name="Normal 9 2 5 4 3 4" xfId="39857" xr:uid="{1B0C75EC-0D8A-4A56-847E-72D50CBF35BE}"/>
    <cellStyle name="Normal 9 2 5 4 3 5" xfId="14565" xr:uid="{C6D34269-9AE1-4018-8540-D45725BD5FE5}"/>
    <cellStyle name="Normal 9 2 5 4 4" xfId="27211" xr:uid="{0A1F45D5-B8C4-4E83-9069-7A588516A4F9}"/>
    <cellStyle name="Normal 9 2 5 4 5" xfId="18782" xr:uid="{783DCFA4-2360-4E94-9832-11E938C1C217}"/>
    <cellStyle name="Normal 9 2 5 4 6" xfId="35640" xr:uid="{61F81687-3CB0-4111-A564-952A65175BB8}"/>
    <cellStyle name="Normal 9 2 5 4 7" xfId="10347" xr:uid="{FD2295A9-8ABE-43D8-9EF6-B797E72E75DF}"/>
    <cellStyle name="Normal 9 2 5 5" xfId="2236" xr:uid="{00000000-0005-0000-0000-0000911F0000}"/>
    <cellStyle name="Normal 9 2 5 5 2" xfId="4465" xr:uid="{00000000-0005-0000-0000-0000921F0000}"/>
    <cellStyle name="Normal 9 2 5 5 2 2" xfId="8688" xr:uid="{00000000-0005-0000-0000-0000931F0000}"/>
    <cellStyle name="Normal 9 2 5 5 2 2 2" xfId="33987" xr:uid="{18070962-944B-4E94-B1D0-FBE9F1D62401}"/>
    <cellStyle name="Normal 9 2 5 5 2 2 3" xfId="25558" xr:uid="{6D541D7B-ECEF-4249-A6D5-6C83AC686E1B}"/>
    <cellStyle name="Normal 9 2 5 5 2 2 4" xfId="42415" xr:uid="{A258480F-7F82-48BC-8716-E2208EF8BADD}"/>
    <cellStyle name="Normal 9 2 5 5 2 2 5" xfId="17123" xr:uid="{2EE01149-B09B-4D85-8098-84F6BE9D57BF}"/>
    <cellStyle name="Normal 9 2 5 5 2 3" xfId="29769" xr:uid="{BF6E37BB-D47C-45BF-A86D-175F787B553B}"/>
    <cellStyle name="Normal 9 2 5 5 2 4" xfId="21340" xr:uid="{10A0DA13-1DB1-4CEA-A151-6D7BE697E857}"/>
    <cellStyle name="Normal 9 2 5 5 2 5" xfId="38198" xr:uid="{A423FA47-D9B1-4C24-B6E5-9A46DA4843ED}"/>
    <cellStyle name="Normal 9 2 5 5 2 6" xfId="12905" xr:uid="{C58EF04C-84FD-43B8-8CCC-9BE13450C28E}"/>
    <cellStyle name="Normal 9 2 5 5 3" xfId="6543" xr:uid="{00000000-0005-0000-0000-0000941F0000}"/>
    <cellStyle name="Normal 9 2 5 5 3 2" xfId="31842" xr:uid="{3B8AC03F-6B76-4C2A-BFFA-9D03F9C48C8F}"/>
    <cellStyle name="Normal 9 2 5 5 3 3" xfId="23413" xr:uid="{6EACFD13-0B77-4876-B52F-E1EC859BE229}"/>
    <cellStyle name="Normal 9 2 5 5 3 4" xfId="40270" xr:uid="{9D438894-724C-4150-8F7C-AE36B91CA1ED}"/>
    <cellStyle name="Normal 9 2 5 5 3 5" xfId="14978" xr:uid="{0C393016-EFE5-49B6-9504-494C7A6B19EA}"/>
    <cellStyle name="Normal 9 2 5 5 4" xfId="27624" xr:uid="{C43A517C-7DC6-4046-B7F5-2F143F8177A3}"/>
    <cellStyle name="Normal 9 2 5 5 5" xfId="19195" xr:uid="{1CAB012F-72D6-4642-BB6E-09C11814947A}"/>
    <cellStyle name="Normal 9 2 5 5 6" xfId="36053" xr:uid="{7148227B-10D3-43F0-9AA7-079F81EDB7A0}"/>
    <cellStyle name="Normal 9 2 5 5 7" xfId="10760" xr:uid="{93019D9C-5D3F-4E4B-A3CF-6F92D8C4A857}"/>
    <cellStyle name="Normal 9 2 5 6" xfId="2672" xr:uid="{00000000-0005-0000-0000-0000951F0000}"/>
    <cellStyle name="Normal 9 2 5 6 2" xfId="6956" xr:uid="{00000000-0005-0000-0000-0000961F0000}"/>
    <cellStyle name="Normal 9 2 5 6 2 2" xfId="32255" xr:uid="{FA619E2E-8AB3-440A-AB48-11AF15D133E5}"/>
    <cellStyle name="Normal 9 2 5 6 2 3" xfId="23826" xr:uid="{A448C3AE-9B81-4D88-A715-4EDB3EA12CCA}"/>
    <cellStyle name="Normal 9 2 5 6 2 4" xfId="40683" xr:uid="{87E9A6D9-4F6D-4805-B8F2-AB89F1F48289}"/>
    <cellStyle name="Normal 9 2 5 6 2 5" xfId="15391" xr:uid="{C36CDE1A-A34B-4500-B340-395149BB8F0F}"/>
    <cellStyle name="Normal 9 2 5 6 3" xfId="28037" xr:uid="{54121122-442D-4738-806B-F281FEB00C5D}"/>
    <cellStyle name="Normal 9 2 5 6 4" xfId="19608" xr:uid="{CC7E75DE-97E6-4543-93FE-35FFA91FA46E}"/>
    <cellStyle name="Normal 9 2 5 6 5" xfId="36466" xr:uid="{4AA942E3-17AA-42AF-AFF5-C15DEFB302CB}"/>
    <cellStyle name="Normal 9 2 5 6 6" xfId="11173" xr:uid="{98C18E68-60B8-4F54-913D-88E253653437}"/>
    <cellStyle name="Normal 9 2 5 7" xfId="4891" xr:uid="{00000000-0005-0000-0000-0000971F0000}"/>
    <cellStyle name="Normal 9 2 5 7 2" xfId="30190" xr:uid="{757CE560-3780-4D5E-9286-B314F47BCC29}"/>
    <cellStyle name="Normal 9 2 5 7 3" xfId="21761" xr:uid="{7351C83B-EB8E-42C7-A785-04612E1FADD8}"/>
    <cellStyle name="Normal 9 2 5 7 4" xfId="38618" xr:uid="{3DBFCA6B-3FB7-4E53-A04F-0F034451E595}"/>
    <cellStyle name="Normal 9 2 5 7 5" xfId="13326" xr:uid="{1AA96237-6EF8-4A46-BC7F-6401E24F3F79}"/>
    <cellStyle name="Normal 9 2 5 8" xfId="25972" xr:uid="{03316DBA-73EE-4CA1-81C8-34FCEA8B5124}"/>
    <cellStyle name="Normal 9 2 5 9" xfId="17543" xr:uid="{3EDB4CC8-2346-4AFF-94D3-95EC5F78F8E9}"/>
    <cellStyle name="Normal 9 2 6" xfId="978" xr:uid="{00000000-0005-0000-0000-0000981F0000}"/>
    <cellStyle name="Normal 9 2 6 2" xfId="3211" xr:uid="{00000000-0005-0000-0000-0000991F0000}"/>
    <cellStyle name="Normal 9 2 6 2 2" xfId="7434" xr:uid="{00000000-0005-0000-0000-00009A1F0000}"/>
    <cellStyle name="Normal 9 2 6 2 2 2" xfId="32733" xr:uid="{56252D00-76A6-4454-9F0F-27D07D6D8653}"/>
    <cellStyle name="Normal 9 2 6 2 2 3" xfId="24304" xr:uid="{078D076D-1CFF-4892-B07C-DAB82CD27F07}"/>
    <cellStyle name="Normal 9 2 6 2 2 4" xfId="41161" xr:uid="{E64329DD-A593-4660-9591-B01BD39F1A51}"/>
    <cellStyle name="Normal 9 2 6 2 2 5" xfId="15869" xr:uid="{BD6C9C4B-A1EB-48F4-A82F-DF19DB9B524E}"/>
    <cellStyle name="Normal 9 2 6 2 3" xfId="28515" xr:uid="{7340E158-4B05-4AA9-97F2-9AA7AC80FA61}"/>
    <cellStyle name="Normal 9 2 6 2 4" xfId="20086" xr:uid="{1C76380A-5A9B-49F9-BE86-EA48261E482E}"/>
    <cellStyle name="Normal 9 2 6 2 5" xfId="36944" xr:uid="{43A562AF-DA08-49BF-94F0-A265D663A0F9}"/>
    <cellStyle name="Normal 9 2 6 2 6" xfId="11651" xr:uid="{54B3790F-2E2F-4EB9-B1EC-0223D9D8AACF}"/>
    <cellStyle name="Normal 9 2 6 3" xfId="5289" xr:uid="{00000000-0005-0000-0000-00009B1F0000}"/>
    <cellStyle name="Normal 9 2 6 3 2" xfId="30588" xr:uid="{C507C67D-A811-483A-B24F-BAA442614832}"/>
    <cellStyle name="Normal 9 2 6 3 3" xfId="22159" xr:uid="{B302A131-117C-4787-9B75-1F22C42995F5}"/>
    <cellStyle name="Normal 9 2 6 3 4" xfId="39016" xr:uid="{0033DE6D-2EA7-4B3D-AF2D-FFF5542EA515}"/>
    <cellStyle name="Normal 9 2 6 3 5" xfId="13724" xr:uid="{B0E9DBC5-246F-4CD2-8C9F-DE1BA185DB83}"/>
    <cellStyle name="Normal 9 2 6 4" xfId="26370" xr:uid="{ECB1DDAA-D8F9-4A79-AFBC-B3D294924E74}"/>
    <cellStyle name="Normal 9 2 6 5" xfId="17941" xr:uid="{9949DC80-9EE6-4AC7-8481-7EC959CB5D70}"/>
    <cellStyle name="Normal 9 2 6 6" xfId="34799" xr:uid="{B2F39DC2-459F-4A73-BE24-B59D0191C34F}"/>
    <cellStyle name="Normal 9 2 6 7" xfId="9506" xr:uid="{169FD91F-C2C7-4656-9CB5-4B9EAAC8DDB6}"/>
    <cellStyle name="Normal 9 2 7" xfId="1394" xr:uid="{00000000-0005-0000-0000-00009C1F0000}"/>
    <cellStyle name="Normal 9 2 7 2" xfId="3624" xr:uid="{00000000-0005-0000-0000-00009D1F0000}"/>
    <cellStyle name="Normal 9 2 7 2 2" xfId="7847" xr:uid="{00000000-0005-0000-0000-00009E1F0000}"/>
    <cellStyle name="Normal 9 2 7 2 2 2" xfId="33146" xr:uid="{4B45B90D-3CB1-49F1-A7FF-6A0B2947EE8C}"/>
    <cellStyle name="Normal 9 2 7 2 2 3" xfId="24717" xr:uid="{3DF1F956-91B1-4323-A9BA-6C1FB73BC97E}"/>
    <cellStyle name="Normal 9 2 7 2 2 4" xfId="41574" xr:uid="{2F300080-6C16-44BF-A58B-C9B53CC41CE5}"/>
    <cellStyle name="Normal 9 2 7 2 2 5" xfId="16282" xr:uid="{5571FA59-E900-44A4-9F7D-2E3C4564C725}"/>
    <cellStyle name="Normal 9 2 7 2 3" xfId="28928" xr:uid="{9CEB93ED-8E96-4310-AE29-69C7CDA8EBE4}"/>
    <cellStyle name="Normal 9 2 7 2 4" xfId="20499" xr:uid="{46605689-2DB6-40BE-99B5-42E06C67D514}"/>
    <cellStyle name="Normal 9 2 7 2 5" xfId="37357" xr:uid="{32EEB1F3-9240-4542-A8E3-1E69C1147803}"/>
    <cellStyle name="Normal 9 2 7 2 6" xfId="12064" xr:uid="{59473923-06BD-402C-9361-AED95F55A4B0}"/>
    <cellStyle name="Normal 9 2 7 3" xfId="5702" xr:uid="{00000000-0005-0000-0000-00009F1F0000}"/>
    <cellStyle name="Normal 9 2 7 3 2" xfId="31001" xr:uid="{62C9D2E4-E712-4C43-B4A8-2A6267CF1843}"/>
    <cellStyle name="Normal 9 2 7 3 3" xfId="22572" xr:uid="{75E635EA-8207-4A7C-8368-5E7A398F64C6}"/>
    <cellStyle name="Normal 9 2 7 3 4" xfId="39429" xr:uid="{FFAFF048-20B1-4E2C-A844-B85398BD57EC}"/>
    <cellStyle name="Normal 9 2 7 3 5" xfId="14137" xr:uid="{BC71796A-6717-427D-9573-7FF5B407349F}"/>
    <cellStyle name="Normal 9 2 7 4" xfId="26783" xr:uid="{A2849599-8A61-4983-ABA3-B6A00976649D}"/>
    <cellStyle name="Normal 9 2 7 5" xfId="18354" xr:uid="{4B529738-52A3-4176-A415-A9ED272FC8E8}"/>
    <cellStyle name="Normal 9 2 7 6" xfId="35212" xr:uid="{D3CCC1C1-B038-457C-88CD-AED78935E6C3}"/>
    <cellStyle name="Normal 9 2 7 7" xfId="9919" xr:uid="{4017CF86-64D6-44A6-9F65-FF4A787F0E6E}"/>
    <cellStyle name="Normal 9 2 8" xfId="1807" xr:uid="{00000000-0005-0000-0000-0000A01F0000}"/>
    <cellStyle name="Normal 9 2 8 2" xfId="4037" xr:uid="{00000000-0005-0000-0000-0000A11F0000}"/>
    <cellStyle name="Normal 9 2 8 2 2" xfId="8260" xr:uid="{00000000-0005-0000-0000-0000A21F0000}"/>
    <cellStyle name="Normal 9 2 8 2 2 2" xfId="33559" xr:uid="{908B99B8-453B-4160-AA0F-B76F84736032}"/>
    <cellStyle name="Normal 9 2 8 2 2 3" xfId="25130" xr:uid="{3FDDF3FB-2DE6-4297-9B6A-5B47E9F1EB0D}"/>
    <cellStyle name="Normal 9 2 8 2 2 4" xfId="41987" xr:uid="{3F4F13A8-31E8-46CA-ACA0-0531AA6AE7E7}"/>
    <cellStyle name="Normal 9 2 8 2 2 5" xfId="16695" xr:uid="{79F20C98-48D5-4602-9C44-8276969AEA75}"/>
    <cellStyle name="Normal 9 2 8 2 3" xfId="29341" xr:uid="{F75829D5-CE3B-41B4-BD80-6B1DA3EF4F79}"/>
    <cellStyle name="Normal 9 2 8 2 4" xfId="20912" xr:uid="{73680F87-15E8-415C-A3A9-46B1B167CFEC}"/>
    <cellStyle name="Normal 9 2 8 2 5" xfId="37770" xr:uid="{D52FD4D1-42D4-4B72-9DF8-AC5FE9FE0D21}"/>
    <cellStyle name="Normal 9 2 8 2 6" xfId="12477" xr:uid="{9C6C9F42-D1DC-407E-867A-E3DD45017C00}"/>
    <cellStyle name="Normal 9 2 8 3" xfId="6115" xr:uid="{00000000-0005-0000-0000-0000A31F0000}"/>
    <cellStyle name="Normal 9 2 8 3 2" xfId="31414" xr:uid="{FF89C093-BC0F-4662-8D6B-A5BB7D2C131F}"/>
    <cellStyle name="Normal 9 2 8 3 3" xfId="22985" xr:uid="{861ABC26-D969-4E3E-A3DB-4B8D83016DD0}"/>
    <cellStyle name="Normal 9 2 8 3 4" xfId="39842" xr:uid="{9B261685-DC69-4C1F-8D3E-AE0F6D5CBA1C}"/>
    <cellStyle name="Normal 9 2 8 3 5" xfId="14550" xr:uid="{BA921A94-8557-4D1A-AA55-4AB3EEF6B1B6}"/>
    <cellStyle name="Normal 9 2 8 4" xfId="27196" xr:uid="{937A63B8-C607-4044-A1FE-AAAC54C9D964}"/>
    <cellStyle name="Normal 9 2 8 5" xfId="18767" xr:uid="{1B074332-7B62-472F-A6BE-5B4A8BAACAA4}"/>
    <cellStyle name="Normal 9 2 8 6" xfId="35625" xr:uid="{A214D412-08A3-4677-9F6D-65199BE77F8B}"/>
    <cellStyle name="Normal 9 2 8 7" xfId="10332" xr:uid="{B36C2486-4ADA-467F-89F6-F4814C18994E}"/>
    <cellStyle name="Normal 9 2 9" xfId="2221" xr:uid="{00000000-0005-0000-0000-0000A41F0000}"/>
    <cellStyle name="Normal 9 2 9 2" xfId="4450" xr:uid="{00000000-0005-0000-0000-0000A51F0000}"/>
    <cellStyle name="Normal 9 2 9 2 2" xfId="8673" xr:uid="{00000000-0005-0000-0000-0000A61F0000}"/>
    <cellStyle name="Normal 9 2 9 2 2 2" xfId="33972" xr:uid="{87AB095E-B2A3-4E84-88BB-3527D3310333}"/>
    <cellStyle name="Normal 9 2 9 2 2 3" xfId="25543" xr:uid="{EFBA12EE-5D81-4AAF-877F-259E428F213A}"/>
    <cellStyle name="Normal 9 2 9 2 2 4" xfId="42400" xr:uid="{07DFD459-A542-430E-8000-2E1AAE34481D}"/>
    <cellStyle name="Normal 9 2 9 2 2 5" xfId="17108" xr:uid="{9F1F48B6-4E53-4D66-8B81-8B4712ADCA9B}"/>
    <cellStyle name="Normal 9 2 9 2 3" xfId="29754" xr:uid="{49C11F84-8680-47DF-B0F2-0D031B2ECB9C}"/>
    <cellStyle name="Normal 9 2 9 2 4" xfId="21325" xr:uid="{8588A462-CDD2-45EA-B889-FE6D040EF519}"/>
    <cellStyle name="Normal 9 2 9 2 5" xfId="38183" xr:uid="{C1B5E7B7-BF59-4E0A-AFD8-0BC57BAB47FA}"/>
    <cellStyle name="Normal 9 2 9 2 6" xfId="12890" xr:uid="{F1B42440-9239-4768-BEDB-66A99FB21B8C}"/>
    <cellStyle name="Normal 9 2 9 3" xfId="6528" xr:uid="{00000000-0005-0000-0000-0000A71F0000}"/>
    <cellStyle name="Normal 9 2 9 3 2" xfId="31827" xr:uid="{DC124096-6394-4128-8B8A-0E938429F4C4}"/>
    <cellStyle name="Normal 9 2 9 3 3" xfId="23398" xr:uid="{5129C89F-BD74-4E77-A94F-1332B2B51B7F}"/>
    <cellStyle name="Normal 9 2 9 3 4" xfId="40255" xr:uid="{61EED2A2-3EE1-4931-A358-893AB4644BE5}"/>
    <cellStyle name="Normal 9 2 9 3 5" xfId="14963" xr:uid="{0C8010EA-EBB8-43CC-90E4-119CABE4A205}"/>
    <cellStyle name="Normal 9 2 9 4" xfId="27609" xr:uid="{965997D5-ED6E-49CA-A86B-06228B4B19BF}"/>
    <cellStyle name="Normal 9 2 9 5" xfId="19180" xr:uid="{6288BDB5-C4F6-40CA-B632-F9CC320E1DAB}"/>
    <cellStyle name="Normal 9 2 9 6" xfId="36038" xr:uid="{8E6B2BDD-2BEB-4ED3-9A5F-E828D265F9A1}"/>
    <cellStyle name="Normal 9 2 9 7" xfId="10745" xr:uid="{99BFB997-B2A2-41A4-B5C8-775A1878906D}"/>
    <cellStyle name="Normal 9 3" xfId="527" xr:uid="{00000000-0005-0000-0000-0000A81F0000}"/>
    <cellStyle name="Normal 9 3 10" xfId="4892" xr:uid="{00000000-0005-0000-0000-0000A91F0000}"/>
    <cellStyle name="Normal 9 3 10 2" xfId="30191" xr:uid="{15B54967-81C8-4187-A802-F03BA11DEC6A}"/>
    <cellStyle name="Normal 9 3 10 3" xfId="21762" xr:uid="{B81DF412-97F6-4CF2-B396-EBC945AA1701}"/>
    <cellStyle name="Normal 9 3 10 4" xfId="38619" xr:uid="{634E5ABE-CF99-46F7-A4C7-F0CF0890E501}"/>
    <cellStyle name="Normal 9 3 10 5" xfId="13327" xr:uid="{F4839C60-DB6A-4215-83DD-8717E0086AF2}"/>
    <cellStyle name="Normal 9 3 11" xfId="25973" xr:uid="{30474CA2-5FD0-4D08-A333-F48C79D98690}"/>
    <cellStyle name="Normal 9 3 12" xfId="17544" xr:uid="{A6C2A4D8-EFD1-468D-8F70-ED2F27B9C8A0}"/>
    <cellStyle name="Normal 9 3 13" xfId="34402" xr:uid="{E81BC84B-5E21-4C2F-96F4-BBC365FAFCB2}"/>
    <cellStyle name="Normal 9 3 14" xfId="9109" xr:uid="{5710E16C-D26F-429E-9936-6675E9BD9CC4}"/>
    <cellStyle name="Normal 9 3 2" xfId="528" xr:uid="{00000000-0005-0000-0000-0000AA1F0000}"/>
    <cellStyle name="Normal 9 3 2 10" xfId="25974" xr:uid="{1DCFC65C-68C9-498C-84F1-E8CE58E4E7AA}"/>
    <cellStyle name="Normal 9 3 2 11" xfId="17545" xr:uid="{C7D1A8EC-E406-4819-BE76-7913284196D4}"/>
    <cellStyle name="Normal 9 3 2 12" xfId="34403" xr:uid="{D9C40F51-D361-4DDD-8CDE-4182CB99D458}"/>
    <cellStyle name="Normal 9 3 2 13" xfId="9110" xr:uid="{8AEDE2F4-B8D7-4CAB-BDA0-CE07B9269B2A}"/>
    <cellStyle name="Normal 9 3 2 2" xfId="529" xr:uid="{00000000-0005-0000-0000-0000AB1F0000}"/>
    <cellStyle name="Normal 9 3 2 2 10" xfId="17546" xr:uid="{6C5B3949-3A8B-459D-8452-E0A333322CA7}"/>
    <cellStyle name="Normal 9 3 2 2 11" xfId="34404" xr:uid="{5F26F2C1-CF96-4B55-B18D-2AEAA57AD61D}"/>
    <cellStyle name="Normal 9 3 2 2 12" xfId="9111" xr:uid="{A7C07A6A-4558-4D7A-8CAC-E1F45DCB0E4B}"/>
    <cellStyle name="Normal 9 3 2 2 2" xfId="530" xr:uid="{00000000-0005-0000-0000-0000AC1F0000}"/>
    <cellStyle name="Normal 9 3 2 2 2 10" xfId="34405" xr:uid="{CE499CFD-AFC5-4009-A598-6DBAA504B46E}"/>
    <cellStyle name="Normal 9 3 2 2 2 11" xfId="9112" xr:uid="{D85D6BB7-64AB-440D-A475-E7E3EC77DE4A}"/>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32752" xr:uid="{FF64FD06-DFF4-4C7F-ABC7-A13B2E20E99E}"/>
    <cellStyle name="Normal 9 3 2 2 2 2 2 2 3" xfId="24323" xr:uid="{DD570674-AAEF-4F40-99D2-D61CAB6C4A65}"/>
    <cellStyle name="Normal 9 3 2 2 2 2 2 2 4" xfId="41180" xr:uid="{DEA9306B-CBEF-42CA-9A94-E2D0E4A2273E}"/>
    <cellStyle name="Normal 9 3 2 2 2 2 2 2 5" xfId="15888" xr:uid="{35DB61D3-2CCB-4ACE-8132-0F89FC4A0A18}"/>
    <cellStyle name="Normal 9 3 2 2 2 2 2 3" xfId="28534" xr:uid="{0B89199E-3624-4C6E-9BE5-AF0C0AC932B9}"/>
    <cellStyle name="Normal 9 3 2 2 2 2 2 4" xfId="20105" xr:uid="{3F122B46-8B14-458B-886E-F541660E2433}"/>
    <cellStyle name="Normal 9 3 2 2 2 2 2 5" xfId="36963" xr:uid="{22BC4028-4052-4832-A609-51E33D1ADFA9}"/>
    <cellStyle name="Normal 9 3 2 2 2 2 2 6" xfId="11670" xr:uid="{359997CE-70BE-4ED8-B6F8-32132A235AC2}"/>
    <cellStyle name="Normal 9 3 2 2 2 2 3" xfId="5308" xr:uid="{00000000-0005-0000-0000-0000B01F0000}"/>
    <cellStyle name="Normal 9 3 2 2 2 2 3 2" xfId="30607" xr:uid="{DA198122-A7ED-430C-89C1-6FD4C40A7618}"/>
    <cellStyle name="Normal 9 3 2 2 2 2 3 3" xfId="22178" xr:uid="{F811C46F-CB9D-4BDA-AF55-A2EED3105F31}"/>
    <cellStyle name="Normal 9 3 2 2 2 2 3 4" xfId="39035" xr:uid="{5CF54D7E-5BB8-4C0E-ACE5-2DCDCD0C470F}"/>
    <cellStyle name="Normal 9 3 2 2 2 2 3 5" xfId="13743" xr:uid="{5DA0B115-B907-4977-ACD6-21093374F5A3}"/>
    <cellStyle name="Normal 9 3 2 2 2 2 4" xfId="26389" xr:uid="{238E7732-33BA-4B9E-8446-A19D65236093}"/>
    <cellStyle name="Normal 9 3 2 2 2 2 5" xfId="17960" xr:uid="{00E12366-C2A2-40F5-9639-E15B5611E8E7}"/>
    <cellStyle name="Normal 9 3 2 2 2 2 6" xfId="34818" xr:uid="{3C24DB77-6032-4C08-ACE3-E1381E727964}"/>
    <cellStyle name="Normal 9 3 2 2 2 2 7" xfId="9525" xr:uid="{276A7760-27AA-4CCD-82C3-F60597D75E5E}"/>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33165" xr:uid="{D3C7351D-108B-455F-9CAC-F32005D4AE6B}"/>
    <cellStyle name="Normal 9 3 2 2 2 3 2 2 3" xfId="24736" xr:uid="{B9C6ABDF-84BE-426A-93C0-49D4E59C572F}"/>
    <cellStyle name="Normal 9 3 2 2 2 3 2 2 4" xfId="41593" xr:uid="{AE3A8C5F-E10E-4881-BBF3-F28F34201675}"/>
    <cellStyle name="Normal 9 3 2 2 2 3 2 2 5" xfId="16301" xr:uid="{694881D8-3767-40AC-A897-151AFBCAEDDF}"/>
    <cellStyle name="Normal 9 3 2 2 2 3 2 3" xfId="28947" xr:uid="{C577A106-EA19-467C-941E-4365CF03549B}"/>
    <cellStyle name="Normal 9 3 2 2 2 3 2 4" xfId="20518" xr:uid="{F8E50D95-B075-4B15-AC49-563F1C8DB003}"/>
    <cellStyle name="Normal 9 3 2 2 2 3 2 5" xfId="37376" xr:uid="{C2B2A509-67E5-4E2F-A463-C58AFA3159B5}"/>
    <cellStyle name="Normal 9 3 2 2 2 3 2 6" xfId="12083" xr:uid="{4C3ACDC4-7B42-44E5-B1F7-2B0106334456}"/>
    <cellStyle name="Normal 9 3 2 2 2 3 3" xfId="5721" xr:uid="{00000000-0005-0000-0000-0000B41F0000}"/>
    <cellStyle name="Normal 9 3 2 2 2 3 3 2" xfId="31020" xr:uid="{61625DF3-0929-4948-949C-AF746580AEB9}"/>
    <cellStyle name="Normal 9 3 2 2 2 3 3 3" xfId="22591" xr:uid="{E00427F6-E407-4DA5-84D6-2651884B7183}"/>
    <cellStyle name="Normal 9 3 2 2 2 3 3 4" xfId="39448" xr:uid="{70A4BACF-C50D-40E6-8250-9151300D5E7F}"/>
    <cellStyle name="Normal 9 3 2 2 2 3 3 5" xfId="14156" xr:uid="{1FAB1C6C-8D55-45A5-9560-637673BDB03E}"/>
    <cellStyle name="Normal 9 3 2 2 2 3 4" xfId="26802" xr:uid="{62B463B0-45E4-4B7D-A5F7-9CFF6E2901F9}"/>
    <cellStyle name="Normal 9 3 2 2 2 3 5" xfId="18373" xr:uid="{D314C92B-1D65-4D65-AF56-DD08C655535F}"/>
    <cellStyle name="Normal 9 3 2 2 2 3 6" xfId="35231" xr:uid="{F5A47407-D91E-40E1-9483-A3466C774F7C}"/>
    <cellStyle name="Normal 9 3 2 2 2 3 7" xfId="9938" xr:uid="{1705D4FC-2DEF-4FBB-9EDD-8D270B3FF425}"/>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33578" xr:uid="{D76ECC71-1C85-4C42-A2EB-1227A98A5ECD}"/>
    <cellStyle name="Normal 9 3 2 2 2 4 2 2 3" xfId="25149" xr:uid="{2DA3CA89-8C5D-4CF0-9360-C5DC928B0288}"/>
    <cellStyle name="Normal 9 3 2 2 2 4 2 2 4" xfId="42006" xr:uid="{591F8AA3-6825-4FD2-A9E4-59B85508C652}"/>
    <cellStyle name="Normal 9 3 2 2 2 4 2 2 5" xfId="16714" xr:uid="{5250D3E7-4DEA-409F-AA14-E5AE888DEDA4}"/>
    <cellStyle name="Normal 9 3 2 2 2 4 2 3" xfId="29360" xr:uid="{56C3609B-CFBD-4464-8EF6-5C3AA2B1B348}"/>
    <cellStyle name="Normal 9 3 2 2 2 4 2 4" xfId="20931" xr:uid="{65F0195B-512A-4F6F-AA3F-469AE931D886}"/>
    <cellStyle name="Normal 9 3 2 2 2 4 2 5" xfId="37789" xr:uid="{9E74AF9C-2808-45A5-8FCF-246C697A6114}"/>
    <cellStyle name="Normal 9 3 2 2 2 4 2 6" xfId="12496" xr:uid="{7987DD37-B9E3-4B8F-AF01-2533D85E16FD}"/>
    <cellStyle name="Normal 9 3 2 2 2 4 3" xfId="6134" xr:uid="{00000000-0005-0000-0000-0000B81F0000}"/>
    <cellStyle name="Normal 9 3 2 2 2 4 3 2" xfId="31433" xr:uid="{11EA0DA6-9166-4D16-B3AC-36D12A88262D}"/>
    <cellStyle name="Normal 9 3 2 2 2 4 3 3" xfId="23004" xr:uid="{DE0FA123-D641-43C8-B5C2-F67777550E4B}"/>
    <cellStyle name="Normal 9 3 2 2 2 4 3 4" xfId="39861" xr:uid="{C47B38D3-2CC4-4DB0-839F-4B438F23DBB3}"/>
    <cellStyle name="Normal 9 3 2 2 2 4 3 5" xfId="14569" xr:uid="{24C771B3-3920-4E89-9756-CB6FCA1B6137}"/>
    <cellStyle name="Normal 9 3 2 2 2 4 4" xfId="27215" xr:uid="{4637F306-630F-42AA-9FD6-16769CAF4365}"/>
    <cellStyle name="Normal 9 3 2 2 2 4 5" xfId="18786" xr:uid="{FECFE516-26B2-4A39-AD8D-EA491FDD5893}"/>
    <cellStyle name="Normal 9 3 2 2 2 4 6" xfId="35644" xr:uid="{EAB5936E-AA9B-478E-990D-84287875DD40}"/>
    <cellStyle name="Normal 9 3 2 2 2 4 7" xfId="10351" xr:uid="{0CAEEC64-0488-4875-AED5-F43FD96967A5}"/>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33991" xr:uid="{300F003C-3CC9-45BA-A6B6-C52E0112594C}"/>
    <cellStyle name="Normal 9 3 2 2 2 5 2 2 3" xfId="25562" xr:uid="{E4AC99F3-5116-4D66-9D0E-6CC311AAA769}"/>
    <cellStyle name="Normal 9 3 2 2 2 5 2 2 4" xfId="42419" xr:uid="{628D594E-AF1F-4A8F-8843-5D01B28596DE}"/>
    <cellStyle name="Normal 9 3 2 2 2 5 2 2 5" xfId="17127" xr:uid="{BF5DEB7F-3524-40D0-91DF-7F40C0380175}"/>
    <cellStyle name="Normal 9 3 2 2 2 5 2 3" xfId="29773" xr:uid="{0BA24449-4240-44DB-AAC7-D29D977FDDD3}"/>
    <cellStyle name="Normal 9 3 2 2 2 5 2 4" xfId="21344" xr:uid="{426E8D47-B7EF-4770-8764-5987ADA659A9}"/>
    <cellStyle name="Normal 9 3 2 2 2 5 2 5" xfId="38202" xr:uid="{A67DF1DE-6498-49F7-A7D7-82428EF47564}"/>
    <cellStyle name="Normal 9 3 2 2 2 5 2 6" xfId="12909" xr:uid="{764B72D7-5AA1-4D24-831E-23A9C4B82229}"/>
    <cellStyle name="Normal 9 3 2 2 2 5 3" xfId="6547" xr:uid="{00000000-0005-0000-0000-0000BC1F0000}"/>
    <cellStyle name="Normal 9 3 2 2 2 5 3 2" xfId="31846" xr:uid="{C0DB58F8-8BD5-4E57-A17B-D87A3E9FC4BC}"/>
    <cellStyle name="Normal 9 3 2 2 2 5 3 3" xfId="23417" xr:uid="{58A0D3E4-A424-45D2-85E1-B49EDD5AB448}"/>
    <cellStyle name="Normal 9 3 2 2 2 5 3 4" xfId="40274" xr:uid="{42E4046F-53F8-45C4-99BC-36FA551F2289}"/>
    <cellStyle name="Normal 9 3 2 2 2 5 3 5" xfId="14982" xr:uid="{BE96708A-6B71-4A35-B8A9-4C940B5B9EEB}"/>
    <cellStyle name="Normal 9 3 2 2 2 5 4" xfId="27628" xr:uid="{4194762C-F247-4F3B-A8D5-C4DE59126510}"/>
    <cellStyle name="Normal 9 3 2 2 2 5 5" xfId="19199" xr:uid="{3F92C291-08F3-4638-B53D-AE66CD05A529}"/>
    <cellStyle name="Normal 9 3 2 2 2 5 6" xfId="36057" xr:uid="{72BCA643-B096-476C-89BD-D18296052D0D}"/>
    <cellStyle name="Normal 9 3 2 2 2 5 7" xfId="10764" xr:uid="{E72A26A4-E2A6-4E08-91DD-6BF9EAC58F9E}"/>
    <cellStyle name="Normal 9 3 2 2 2 6" xfId="2676" xr:uid="{00000000-0005-0000-0000-0000BD1F0000}"/>
    <cellStyle name="Normal 9 3 2 2 2 6 2" xfId="6960" xr:uid="{00000000-0005-0000-0000-0000BE1F0000}"/>
    <cellStyle name="Normal 9 3 2 2 2 6 2 2" xfId="32259" xr:uid="{9C0F6ADE-EFDC-4D3F-AC61-CA7FF6F07E86}"/>
    <cellStyle name="Normal 9 3 2 2 2 6 2 3" xfId="23830" xr:uid="{64925407-D907-453E-A02B-0E782A7731C8}"/>
    <cellStyle name="Normal 9 3 2 2 2 6 2 4" xfId="40687" xr:uid="{196D6E78-2704-4EAE-AE70-9A209FEAE1C8}"/>
    <cellStyle name="Normal 9 3 2 2 2 6 2 5" xfId="15395" xr:uid="{B0E2E8B0-E6FE-4323-8554-06CEBB6E2656}"/>
    <cellStyle name="Normal 9 3 2 2 2 6 3" xfId="28041" xr:uid="{1A9EFD56-236A-40FF-8EF0-C561D11FAE55}"/>
    <cellStyle name="Normal 9 3 2 2 2 6 4" xfId="19612" xr:uid="{9033B66D-AEAA-4BE1-9BA7-27AE460B7DD2}"/>
    <cellStyle name="Normal 9 3 2 2 2 6 5" xfId="36470" xr:uid="{0FD030D6-5507-4ACE-928F-EE730D1A89BB}"/>
    <cellStyle name="Normal 9 3 2 2 2 6 6" xfId="11177" xr:uid="{7E2B231C-C59D-469B-82EE-B495D7A4A301}"/>
    <cellStyle name="Normal 9 3 2 2 2 7" xfId="4895" xr:uid="{00000000-0005-0000-0000-0000BF1F0000}"/>
    <cellStyle name="Normal 9 3 2 2 2 7 2" xfId="30194" xr:uid="{6E873132-1198-4085-8A3C-4C887E9543C3}"/>
    <cellStyle name="Normal 9 3 2 2 2 7 3" xfId="21765" xr:uid="{D579B3ED-0E57-4F41-95FE-1A52BE664DBB}"/>
    <cellStyle name="Normal 9 3 2 2 2 7 4" xfId="38622" xr:uid="{DBCFCD70-D8D6-4244-9573-20D6235C9EE6}"/>
    <cellStyle name="Normal 9 3 2 2 2 7 5" xfId="13330" xr:uid="{0DFAA662-53E9-4BC9-A157-A162DEA655AD}"/>
    <cellStyle name="Normal 9 3 2 2 2 8" xfId="25976" xr:uid="{74FD591F-1446-4D90-B3C7-480543B9D53C}"/>
    <cellStyle name="Normal 9 3 2 2 2 9" xfId="17547" xr:uid="{F60A0F54-5F5F-4779-975C-DA4BD402FE2B}"/>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32751" xr:uid="{EE48859E-C312-4966-969C-73FCCC147A4A}"/>
    <cellStyle name="Normal 9 3 2 2 3 2 2 3" xfId="24322" xr:uid="{9BABCA18-D979-4928-BE77-FA62909D4FA9}"/>
    <cellStyle name="Normal 9 3 2 2 3 2 2 4" xfId="41179" xr:uid="{24BBE2F0-2E37-41B0-920E-C9162B767A39}"/>
    <cellStyle name="Normal 9 3 2 2 3 2 2 5" xfId="15887" xr:uid="{849E5349-F778-4D84-B8C7-8015D1A66B69}"/>
    <cellStyle name="Normal 9 3 2 2 3 2 3" xfId="28533" xr:uid="{4412FEF1-E625-4E2B-94BC-40F5307B3F0F}"/>
    <cellStyle name="Normal 9 3 2 2 3 2 4" xfId="20104" xr:uid="{8B5B1EC0-F222-4B08-B4C3-86ABB1BE5D2B}"/>
    <cellStyle name="Normal 9 3 2 2 3 2 5" xfId="36962" xr:uid="{FD7D60B7-34E4-4F9A-B63C-034D6B0D8948}"/>
    <cellStyle name="Normal 9 3 2 2 3 2 6" xfId="11669" xr:uid="{1980CCE9-C42A-46C1-9412-DB1812B892B3}"/>
    <cellStyle name="Normal 9 3 2 2 3 3" xfId="5307" xr:uid="{00000000-0005-0000-0000-0000C31F0000}"/>
    <cellStyle name="Normal 9 3 2 2 3 3 2" xfId="30606" xr:uid="{D65B4C88-5D14-4DB9-98C8-4AFAD0D0F047}"/>
    <cellStyle name="Normal 9 3 2 2 3 3 3" xfId="22177" xr:uid="{41DF80FE-D93A-499F-B3C1-80DEA49E5155}"/>
    <cellStyle name="Normal 9 3 2 2 3 3 4" xfId="39034" xr:uid="{21735F23-E2B5-4E16-A50B-87CFA546A2B1}"/>
    <cellStyle name="Normal 9 3 2 2 3 3 5" xfId="13742" xr:uid="{B49F0144-0475-4A58-AB89-754E167243DB}"/>
    <cellStyle name="Normal 9 3 2 2 3 4" xfId="26388" xr:uid="{818C3421-40A5-496F-88BB-F39119CB436F}"/>
    <cellStyle name="Normal 9 3 2 2 3 5" xfId="17959" xr:uid="{0CB42688-D547-460B-B1AB-2E2CAAEFF015}"/>
    <cellStyle name="Normal 9 3 2 2 3 6" xfId="34817" xr:uid="{65A38BAF-1338-4487-8627-F3AFBDA1DD1F}"/>
    <cellStyle name="Normal 9 3 2 2 3 7" xfId="9524" xr:uid="{3B83A8D9-A619-4141-AE84-0993CB3FEEB8}"/>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33164" xr:uid="{D12C0775-6A05-41ED-BF55-95AE5913F96C}"/>
    <cellStyle name="Normal 9 3 2 2 4 2 2 3" xfId="24735" xr:uid="{893977CA-401F-48A6-98AB-5B4B2DE8990B}"/>
    <cellStyle name="Normal 9 3 2 2 4 2 2 4" xfId="41592" xr:uid="{7A63EC4D-A547-4E74-94B8-C4DABA80AA55}"/>
    <cellStyle name="Normal 9 3 2 2 4 2 2 5" xfId="16300" xr:uid="{CC2F9139-109F-4B15-9102-CB37EEA0407F}"/>
    <cellStyle name="Normal 9 3 2 2 4 2 3" xfId="28946" xr:uid="{E1C3CF68-7E86-464B-A5A8-D04F889B25D9}"/>
    <cellStyle name="Normal 9 3 2 2 4 2 4" xfId="20517" xr:uid="{C3144FFF-1997-4344-9359-6C722060B706}"/>
    <cellStyle name="Normal 9 3 2 2 4 2 5" xfId="37375" xr:uid="{44C1BEBF-59DB-45EB-A925-70BDD303BB2F}"/>
    <cellStyle name="Normal 9 3 2 2 4 2 6" xfId="12082" xr:uid="{74551186-E2F0-4FFA-B1E4-3793A06FDCDA}"/>
    <cellStyle name="Normal 9 3 2 2 4 3" xfId="5720" xr:uid="{00000000-0005-0000-0000-0000C71F0000}"/>
    <cellStyle name="Normal 9 3 2 2 4 3 2" xfId="31019" xr:uid="{ED6D6BFC-D05C-4733-A7E3-62D17711AE34}"/>
    <cellStyle name="Normal 9 3 2 2 4 3 3" xfId="22590" xr:uid="{6ECA1BEB-C13C-4C2E-9B35-34CDF85E618B}"/>
    <cellStyle name="Normal 9 3 2 2 4 3 4" xfId="39447" xr:uid="{C1C20EDD-5375-4C25-B337-5A5FCB3CE466}"/>
    <cellStyle name="Normal 9 3 2 2 4 3 5" xfId="14155" xr:uid="{82FFCC82-84DE-42C8-9610-CBBF64FE487D}"/>
    <cellStyle name="Normal 9 3 2 2 4 4" xfId="26801" xr:uid="{7BDA8817-CD39-41F3-AD40-5004367BEABE}"/>
    <cellStyle name="Normal 9 3 2 2 4 5" xfId="18372" xr:uid="{754FC3D3-09A7-468E-B0DA-712626AE2F53}"/>
    <cellStyle name="Normal 9 3 2 2 4 6" xfId="35230" xr:uid="{D6742855-692E-47CC-B8EA-B24757A14558}"/>
    <cellStyle name="Normal 9 3 2 2 4 7" xfId="9937" xr:uid="{9F9443EC-FF4D-49C0-A091-7AEB52B9F3F8}"/>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33577" xr:uid="{4DBD9DC2-DED7-4DC9-B81F-804A5B811419}"/>
    <cellStyle name="Normal 9 3 2 2 5 2 2 3" xfId="25148" xr:uid="{3EA07564-3ECB-45DE-9AA3-3457ADEC778C}"/>
    <cellStyle name="Normal 9 3 2 2 5 2 2 4" xfId="42005" xr:uid="{A1814EC9-4C05-414A-9606-E51C61B189CD}"/>
    <cellStyle name="Normal 9 3 2 2 5 2 2 5" xfId="16713" xr:uid="{9E58097F-4E20-4FA0-874A-3FB93DB7FB87}"/>
    <cellStyle name="Normal 9 3 2 2 5 2 3" xfId="29359" xr:uid="{007F26D1-70F5-42BF-8B15-EBC719F8B39D}"/>
    <cellStyle name="Normal 9 3 2 2 5 2 4" xfId="20930" xr:uid="{AE8647C3-09AC-43F7-AA88-650ADBFA76E5}"/>
    <cellStyle name="Normal 9 3 2 2 5 2 5" xfId="37788" xr:uid="{A5D598D2-EE03-444E-AC0A-5ABC3CF9756A}"/>
    <cellStyle name="Normal 9 3 2 2 5 2 6" xfId="12495" xr:uid="{13FDB59E-7133-4130-AEE7-7884E98AC0EE}"/>
    <cellStyle name="Normal 9 3 2 2 5 3" xfId="6133" xr:uid="{00000000-0005-0000-0000-0000CB1F0000}"/>
    <cellStyle name="Normal 9 3 2 2 5 3 2" xfId="31432" xr:uid="{E2385972-669B-45BF-B892-FD0978C191F7}"/>
    <cellStyle name="Normal 9 3 2 2 5 3 3" xfId="23003" xr:uid="{5AABC863-A5B8-4E08-A435-18329E97A14E}"/>
    <cellStyle name="Normal 9 3 2 2 5 3 4" xfId="39860" xr:uid="{1F85B02E-5D00-4DDD-9930-41092B9A281C}"/>
    <cellStyle name="Normal 9 3 2 2 5 3 5" xfId="14568" xr:uid="{87DF3A22-5DBC-4918-912F-85C0E737C195}"/>
    <cellStyle name="Normal 9 3 2 2 5 4" xfId="27214" xr:uid="{B541D8E1-2E6C-4B09-8086-7A79C167D723}"/>
    <cellStyle name="Normal 9 3 2 2 5 5" xfId="18785" xr:uid="{AEFDCCBF-0EC4-4358-9040-1B346BE7E029}"/>
    <cellStyle name="Normal 9 3 2 2 5 6" xfId="35643" xr:uid="{B2DDE850-0EE1-4F88-AF1C-0A64B701E707}"/>
    <cellStyle name="Normal 9 3 2 2 5 7" xfId="10350" xr:uid="{6082E54A-8A9B-45A5-8D71-C7234C17A2BB}"/>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33990" xr:uid="{79CF6ABE-812B-451A-96AB-A8BDDF2B9946}"/>
    <cellStyle name="Normal 9 3 2 2 6 2 2 3" xfId="25561" xr:uid="{DDD1CDE3-A426-46B3-AF84-87DEAEBDB17D}"/>
    <cellStyle name="Normal 9 3 2 2 6 2 2 4" xfId="42418" xr:uid="{16AC6CEB-3594-4BC8-92B1-24E3EDB57AD3}"/>
    <cellStyle name="Normal 9 3 2 2 6 2 2 5" xfId="17126" xr:uid="{23680197-FEC8-4084-9567-9D9A095A680C}"/>
    <cellStyle name="Normal 9 3 2 2 6 2 3" xfId="29772" xr:uid="{EA8CEC11-5350-4E39-9BEA-D9300DC95423}"/>
    <cellStyle name="Normal 9 3 2 2 6 2 4" xfId="21343" xr:uid="{3149710F-E7BD-457A-BBFF-974EE21818BC}"/>
    <cellStyle name="Normal 9 3 2 2 6 2 5" xfId="38201" xr:uid="{48D2C228-E2FA-4061-B58F-C60C9C83CB86}"/>
    <cellStyle name="Normal 9 3 2 2 6 2 6" xfId="12908" xr:uid="{9E117005-A1AF-42B1-A4DF-4B92F64C71DD}"/>
    <cellStyle name="Normal 9 3 2 2 6 3" xfId="6546" xr:uid="{00000000-0005-0000-0000-0000CF1F0000}"/>
    <cellStyle name="Normal 9 3 2 2 6 3 2" xfId="31845" xr:uid="{12732C13-9798-4D83-BD4A-6BCE57E109B5}"/>
    <cellStyle name="Normal 9 3 2 2 6 3 3" xfId="23416" xr:uid="{3FBA98B3-0E26-4C04-A57F-1D3CC83E974F}"/>
    <cellStyle name="Normal 9 3 2 2 6 3 4" xfId="40273" xr:uid="{0AF71921-E72C-4B6A-B10E-95ECD53153EE}"/>
    <cellStyle name="Normal 9 3 2 2 6 3 5" xfId="14981" xr:uid="{EBB9D00C-D9A4-4502-B03A-17AB9B6F9911}"/>
    <cellStyle name="Normal 9 3 2 2 6 4" xfId="27627" xr:uid="{BF9BCBA0-17DA-452E-AC09-71EB6A3042D7}"/>
    <cellStyle name="Normal 9 3 2 2 6 5" xfId="19198" xr:uid="{48E8A591-1EE6-4B51-971D-522D04B77362}"/>
    <cellStyle name="Normal 9 3 2 2 6 6" xfId="36056" xr:uid="{28DEA6B3-BAF8-4DD2-AF22-1E1A7EB39720}"/>
    <cellStyle name="Normal 9 3 2 2 6 7" xfId="10763" xr:uid="{D97DDD11-1425-4697-B124-DABB500C62FB}"/>
    <cellStyle name="Normal 9 3 2 2 7" xfId="2675" xr:uid="{00000000-0005-0000-0000-0000D01F0000}"/>
    <cellStyle name="Normal 9 3 2 2 7 2" xfId="6959" xr:uid="{00000000-0005-0000-0000-0000D11F0000}"/>
    <cellStyle name="Normal 9 3 2 2 7 2 2" xfId="32258" xr:uid="{0F249825-292E-4727-AD01-57147DF02DF5}"/>
    <cellStyle name="Normal 9 3 2 2 7 2 3" xfId="23829" xr:uid="{279DFDBB-2BBD-4E0D-95EA-34BDE059B221}"/>
    <cellStyle name="Normal 9 3 2 2 7 2 4" xfId="40686" xr:uid="{6F5B553C-67AD-4302-AC73-AB6079450932}"/>
    <cellStyle name="Normal 9 3 2 2 7 2 5" xfId="15394" xr:uid="{0AE30148-42B6-4BD1-A726-8E14C2CDB9DD}"/>
    <cellStyle name="Normal 9 3 2 2 7 3" xfId="28040" xr:uid="{B9C1A2D2-9AE5-4DBB-AE2E-57CDDE52F9B2}"/>
    <cellStyle name="Normal 9 3 2 2 7 4" xfId="19611" xr:uid="{96831871-B815-43B6-8254-C7A18B9B60A3}"/>
    <cellStyle name="Normal 9 3 2 2 7 5" xfId="36469" xr:uid="{C9856937-5CF3-467E-BEFE-AC75CADBFFF2}"/>
    <cellStyle name="Normal 9 3 2 2 7 6" xfId="11176" xr:uid="{1EF22396-5E5E-4928-9728-085C321E3A19}"/>
    <cellStyle name="Normal 9 3 2 2 8" xfId="4894" xr:uid="{00000000-0005-0000-0000-0000D21F0000}"/>
    <cellStyle name="Normal 9 3 2 2 8 2" xfId="30193" xr:uid="{5F6A0973-F6ED-4F33-B2A9-8D65E264C3BB}"/>
    <cellStyle name="Normal 9 3 2 2 8 3" xfId="21764" xr:uid="{06740C13-AB77-442B-BD42-EC0A2FE31A64}"/>
    <cellStyle name="Normal 9 3 2 2 8 4" xfId="38621" xr:uid="{92BAB7E6-D413-4A61-9830-F8E5C427AE1C}"/>
    <cellStyle name="Normal 9 3 2 2 8 5" xfId="13329" xr:uid="{140679BC-5757-4437-A74F-EBCD8448D951}"/>
    <cellStyle name="Normal 9 3 2 2 9" xfId="25975" xr:uid="{084B7B0E-3038-44F9-A4F3-C2113D9B400A}"/>
    <cellStyle name="Normal 9 3 2 3" xfId="531" xr:uid="{00000000-0005-0000-0000-0000D31F0000}"/>
    <cellStyle name="Normal 9 3 2 3 10" xfId="34406" xr:uid="{7C6B1D9C-D8D8-4E93-8839-70D1EB0706DA}"/>
    <cellStyle name="Normal 9 3 2 3 11" xfId="9113" xr:uid="{93C1D599-F3E4-4875-AB26-314CFAC9F877}"/>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32753" xr:uid="{9F5069FA-C617-430F-8D42-A26D7E8EA98A}"/>
    <cellStyle name="Normal 9 3 2 3 2 2 2 3" xfId="24324" xr:uid="{D7E1673A-DCAF-4632-B926-1E7FFEE68B09}"/>
    <cellStyle name="Normal 9 3 2 3 2 2 2 4" xfId="41181" xr:uid="{97956258-5DEB-415B-822A-DAFBD953E3C2}"/>
    <cellStyle name="Normal 9 3 2 3 2 2 2 5" xfId="15889" xr:uid="{D4932C63-316A-45FF-924F-41EFF088CA4F}"/>
    <cellStyle name="Normal 9 3 2 3 2 2 3" xfId="28535" xr:uid="{644BAE86-FCC3-4FA3-AEF4-DD59AC9A2B39}"/>
    <cellStyle name="Normal 9 3 2 3 2 2 4" xfId="20106" xr:uid="{FC733846-5320-455F-A0E9-2F8D778821BA}"/>
    <cellStyle name="Normal 9 3 2 3 2 2 5" xfId="36964" xr:uid="{749FB029-3B63-4F50-9869-FA5A1184708C}"/>
    <cellStyle name="Normal 9 3 2 3 2 2 6" xfId="11671" xr:uid="{5930EB98-3314-4B0D-9A18-AD6E13239835}"/>
    <cellStyle name="Normal 9 3 2 3 2 3" xfId="5309" xr:uid="{00000000-0005-0000-0000-0000D71F0000}"/>
    <cellStyle name="Normal 9 3 2 3 2 3 2" xfId="30608" xr:uid="{9517BAA5-347F-4176-93EE-898F6C6003AD}"/>
    <cellStyle name="Normal 9 3 2 3 2 3 3" xfId="22179" xr:uid="{BE953644-E331-41C6-94E9-5D21B911C51B}"/>
    <cellStyle name="Normal 9 3 2 3 2 3 4" xfId="39036" xr:uid="{A1C126E7-0633-4E10-8A1F-685F1D02DA9A}"/>
    <cellStyle name="Normal 9 3 2 3 2 3 5" xfId="13744" xr:uid="{A868896F-E414-4DFE-B23F-9347C2FEC345}"/>
    <cellStyle name="Normal 9 3 2 3 2 4" xfId="26390" xr:uid="{C6B1909E-6921-4EF6-9A92-C3FCB67DFBA8}"/>
    <cellStyle name="Normal 9 3 2 3 2 5" xfId="17961" xr:uid="{9DE909FA-C392-424B-8A2E-32E4AAECE615}"/>
    <cellStyle name="Normal 9 3 2 3 2 6" xfId="34819" xr:uid="{561AF168-5B86-4F66-A078-F016C77B8C22}"/>
    <cellStyle name="Normal 9 3 2 3 2 7" xfId="9526" xr:uid="{6A9F7B7C-7A99-4F0C-B215-CCE2BF66F70F}"/>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33166" xr:uid="{A3369655-6D4E-4463-B7B5-E9DD73C6D7DC}"/>
    <cellStyle name="Normal 9 3 2 3 3 2 2 3" xfId="24737" xr:uid="{5C5F8D78-8297-4F82-8BA8-564BCA9581B1}"/>
    <cellStyle name="Normal 9 3 2 3 3 2 2 4" xfId="41594" xr:uid="{98D0D040-5A02-46F4-B876-79D626E79285}"/>
    <cellStyle name="Normal 9 3 2 3 3 2 2 5" xfId="16302" xr:uid="{8DE52AB4-7942-43AE-88D6-DA33CF859351}"/>
    <cellStyle name="Normal 9 3 2 3 3 2 3" xfId="28948" xr:uid="{A6837210-5286-434B-939F-393AF3C7A38B}"/>
    <cellStyle name="Normal 9 3 2 3 3 2 4" xfId="20519" xr:uid="{44A0C906-397B-4539-B33E-62D9234EA1B9}"/>
    <cellStyle name="Normal 9 3 2 3 3 2 5" xfId="37377" xr:uid="{01E78E7B-6F51-4212-AEB1-3901DBD72C8D}"/>
    <cellStyle name="Normal 9 3 2 3 3 2 6" xfId="12084" xr:uid="{DE606D91-A2ED-4112-98CC-E5F6A825335C}"/>
    <cellStyle name="Normal 9 3 2 3 3 3" xfId="5722" xr:uid="{00000000-0005-0000-0000-0000DB1F0000}"/>
    <cellStyle name="Normal 9 3 2 3 3 3 2" xfId="31021" xr:uid="{E4527A23-A660-46F4-874D-0457264DA2C5}"/>
    <cellStyle name="Normal 9 3 2 3 3 3 3" xfId="22592" xr:uid="{F0D3518B-D3BA-47E9-8937-92BA1F805316}"/>
    <cellStyle name="Normal 9 3 2 3 3 3 4" xfId="39449" xr:uid="{33BA5025-33FE-4E14-876A-496FA175F808}"/>
    <cellStyle name="Normal 9 3 2 3 3 3 5" xfId="14157" xr:uid="{5FEEFF29-3FB8-4F21-997D-C1F4969987B2}"/>
    <cellStyle name="Normal 9 3 2 3 3 4" xfId="26803" xr:uid="{19A193CE-B6D4-42C2-B855-ECE355353A98}"/>
    <cellStyle name="Normal 9 3 2 3 3 5" xfId="18374" xr:uid="{6C7060B2-7215-4867-A95A-B7681DCFDAB4}"/>
    <cellStyle name="Normal 9 3 2 3 3 6" xfId="35232" xr:uid="{20B68066-1DA7-4BBF-B2BF-2DB2B9D3F159}"/>
    <cellStyle name="Normal 9 3 2 3 3 7" xfId="9939" xr:uid="{02AAF363-6A1F-45B4-87BF-4204F055D77E}"/>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33579" xr:uid="{55811BE7-A28F-4C34-AEE3-D8A0CC5AE053}"/>
    <cellStyle name="Normal 9 3 2 3 4 2 2 3" xfId="25150" xr:uid="{DF8DE01D-C15A-4728-B6E2-16E5DDE810E6}"/>
    <cellStyle name="Normal 9 3 2 3 4 2 2 4" xfId="42007" xr:uid="{3273F057-4071-456A-83D3-59CF40F8F752}"/>
    <cellStyle name="Normal 9 3 2 3 4 2 2 5" xfId="16715" xr:uid="{197EA7C0-4144-44C7-BCCE-B511F797729A}"/>
    <cellStyle name="Normal 9 3 2 3 4 2 3" xfId="29361" xr:uid="{91A9A9A9-1D1F-4CEF-95B1-CDE3D1FCD2A4}"/>
    <cellStyle name="Normal 9 3 2 3 4 2 4" xfId="20932" xr:uid="{97BB98F2-1B46-4F5E-B635-5C8DDF2DD428}"/>
    <cellStyle name="Normal 9 3 2 3 4 2 5" xfId="37790" xr:uid="{6BDB6000-4CB1-4697-A32F-8F41E01A16D5}"/>
    <cellStyle name="Normal 9 3 2 3 4 2 6" xfId="12497" xr:uid="{D0036CAE-DEEF-4C12-8501-92E3A1DEA42E}"/>
    <cellStyle name="Normal 9 3 2 3 4 3" xfId="6135" xr:uid="{00000000-0005-0000-0000-0000DF1F0000}"/>
    <cellStyle name="Normal 9 3 2 3 4 3 2" xfId="31434" xr:uid="{AB46826F-7DF4-48F9-95B7-C3509AFE4AF7}"/>
    <cellStyle name="Normal 9 3 2 3 4 3 3" xfId="23005" xr:uid="{D43F0887-0FD1-4E12-B735-722D931B950C}"/>
    <cellStyle name="Normal 9 3 2 3 4 3 4" xfId="39862" xr:uid="{5A0A54B9-9A81-4E47-A120-4CCA03233CB9}"/>
    <cellStyle name="Normal 9 3 2 3 4 3 5" xfId="14570" xr:uid="{E692FA44-5B19-4846-A8FB-F7315DE69C3D}"/>
    <cellStyle name="Normal 9 3 2 3 4 4" xfId="27216" xr:uid="{D003205D-F228-4763-AFCD-0F85641C3E30}"/>
    <cellStyle name="Normal 9 3 2 3 4 5" xfId="18787" xr:uid="{D67CDDAC-5DE0-4C6F-9B99-1D27ED07BFB3}"/>
    <cellStyle name="Normal 9 3 2 3 4 6" xfId="35645" xr:uid="{EBE56E03-716E-45F6-AD7F-6E9EC8B03A9A}"/>
    <cellStyle name="Normal 9 3 2 3 4 7" xfId="10352" xr:uid="{3AC95255-9B1F-4276-B5F4-75EE5067D954}"/>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33992" xr:uid="{526262DD-AB32-4C12-BBE2-CBBC7E04BEFA}"/>
    <cellStyle name="Normal 9 3 2 3 5 2 2 3" xfId="25563" xr:uid="{8A874C27-60B7-46A1-ADA3-B3C7F365DEDE}"/>
    <cellStyle name="Normal 9 3 2 3 5 2 2 4" xfId="42420" xr:uid="{1437CEF4-B299-491D-A588-69D0345CADB1}"/>
    <cellStyle name="Normal 9 3 2 3 5 2 2 5" xfId="17128" xr:uid="{83699352-DCED-453A-A811-8816A881E1A7}"/>
    <cellStyle name="Normal 9 3 2 3 5 2 3" xfId="29774" xr:uid="{99173E38-6A2B-430D-8FDE-EFAB568F421C}"/>
    <cellStyle name="Normal 9 3 2 3 5 2 4" xfId="21345" xr:uid="{F12C4243-E403-446F-88E1-A192F3E3BC45}"/>
    <cellStyle name="Normal 9 3 2 3 5 2 5" xfId="38203" xr:uid="{AA144374-F053-4CAF-8F72-0334378889C6}"/>
    <cellStyle name="Normal 9 3 2 3 5 2 6" xfId="12910" xr:uid="{DD9AD840-0FB5-4F47-9B20-2F696DF0227D}"/>
    <cellStyle name="Normal 9 3 2 3 5 3" xfId="6548" xr:uid="{00000000-0005-0000-0000-0000E31F0000}"/>
    <cellStyle name="Normal 9 3 2 3 5 3 2" xfId="31847" xr:uid="{A239AEFA-4DBE-4AE8-A969-BB9CDF067117}"/>
    <cellStyle name="Normal 9 3 2 3 5 3 3" xfId="23418" xr:uid="{F145B880-48BF-4021-89FD-A730B1C4737E}"/>
    <cellStyle name="Normal 9 3 2 3 5 3 4" xfId="40275" xr:uid="{6A5B8C44-779C-442E-A22A-414303DFAC65}"/>
    <cellStyle name="Normal 9 3 2 3 5 3 5" xfId="14983" xr:uid="{82B62CFE-3625-4AB7-9B4C-897F1D8446D1}"/>
    <cellStyle name="Normal 9 3 2 3 5 4" xfId="27629" xr:uid="{90D6FAB6-F9D5-49A9-A21B-C9F826DE25EE}"/>
    <cellStyle name="Normal 9 3 2 3 5 5" xfId="19200" xr:uid="{9A58D3FD-5072-4670-A3FF-6312CAC9A73F}"/>
    <cellStyle name="Normal 9 3 2 3 5 6" xfId="36058" xr:uid="{C7FAD53D-BA6E-4324-9266-EA516AD7276E}"/>
    <cellStyle name="Normal 9 3 2 3 5 7" xfId="10765" xr:uid="{1900F1CA-E475-4768-A519-A0C0D78DD662}"/>
    <cellStyle name="Normal 9 3 2 3 6" xfId="2677" xr:uid="{00000000-0005-0000-0000-0000E41F0000}"/>
    <cellStyle name="Normal 9 3 2 3 6 2" xfId="6961" xr:uid="{00000000-0005-0000-0000-0000E51F0000}"/>
    <cellStyle name="Normal 9 3 2 3 6 2 2" xfId="32260" xr:uid="{A527A499-6616-41FB-9EFD-F45B6DB0AC5E}"/>
    <cellStyle name="Normal 9 3 2 3 6 2 3" xfId="23831" xr:uid="{5DBBA4B7-2BB1-423C-8E6A-71A938185003}"/>
    <cellStyle name="Normal 9 3 2 3 6 2 4" xfId="40688" xr:uid="{8BEE8849-59D8-4161-85EA-CFECA34CFF2D}"/>
    <cellStyle name="Normal 9 3 2 3 6 2 5" xfId="15396" xr:uid="{5B8C321B-F755-4172-A96B-313DEB08492C}"/>
    <cellStyle name="Normal 9 3 2 3 6 3" xfId="28042" xr:uid="{64542235-5EB7-4FFE-B18C-FFF4593B4CCB}"/>
    <cellStyle name="Normal 9 3 2 3 6 4" xfId="19613" xr:uid="{BFF39357-4A64-4593-9880-A55ECBA8910D}"/>
    <cellStyle name="Normal 9 3 2 3 6 5" xfId="36471" xr:uid="{7CDECF30-48D9-4236-8CA9-5949D713895E}"/>
    <cellStyle name="Normal 9 3 2 3 6 6" xfId="11178" xr:uid="{E87CD5EF-B58B-4E2B-957E-F2BC9EA68885}"/>
    <cellStyle name="Normal 9 3 2 3 7" xfId="4896" xr:uid="{00000000-0005-0000-0000-0000E61F0000}"/>
    <cellStyle name="Normal 9 3 2 3 7 2" xfId="30195" xr:uid="{74F6A13C-AF7A-4013-A919-27160E5935DC}"/>
    <cellStyle name="Normal 9 3 2 3 7 3" xfId="21766" xr:uid="{BCCDC184-4F13-4AEF-9FDF-D7C15B50483C}"/>
    <cellStyle name="Normal 9 3 2 3 7 4" xfId="38623" xr:uid="{E3803C0B-87E8-45E8-89F9-78538C540606}"/>
    <cellStyle name="Normal 9 3 2 3 7 5" xfId="13331" xr:uid="{D13A2DD7-D1C9-4AA5-A4C6-811564D0F192}"/>
    <cellStyle name="Normal 9 3 2 3 8" xfId="25977" xr:uid="{9C56647F-221C-4391-A965-A6C38A16BFAB}"/>
    <cellStyle name="Normal 9 3 2 3 9" xfId="17548" xr:uid="{3A22DBCF-9E05-4D7B-A3B6-BB5AD0A342AC}"/>
    <cellStyle name="Normal 9 3 2 4" xfId="995" xr:uid="{00000000-0005-0000-0000-0000E71F0000}"/>
    <cellStyle name="Normal 9 3 2 4 2" xfId="3228" xr:uid="{00000000-0005-0000-0000-0000E81F0000}"/>
    <cellStyle name="Normal 9 3 2 4 2 2" xfId="7451" xr:uid="{00000000-0005-0000-0000-0000E91F0000}"/>
    <cellStyle name="Normal 9 3 2 4 2 2 2" xfId="32750" xr:uid="{CA2DB06B-AE2F-4F14-A94C-FFEB47092DC1}"/>
    <cellStyle name="Normal 9 3 2 4 2 2 3" xfId="24321" xr:uid="{5D54B5A2-0640-429F-A15B-C5FA454056D7}"/>
    <cellStyle name="Normal 9 3 2 4 2 2 4" xfId="41178" xr:uid="{0DF7461F-E782-49C6-B174-E6C3E96460CD}"/>
    <cellStyle name="Normal 9 3 2 4 2 2 5" xfId="15886" xr:uid="{63B24D20-9A81-4B8F-93EF-98B75A1C407D}"/>
    <cellStyle name="Normal 9 3 2 4 2 3" xfId="28532" xr:uid="{1C2A19C9-D7FB-4CC4-B6D6-B765A546210A}"/>
    <cellStyle name="Normal 9 3 2 4 2 4" xfId="20103" xr:uid="{4249E620-687E-4732-8B79-0E8A3D258720}"/>
    <cellStyle name="Normal 9 3 2 4 2 5" xfId="36961" xr:uid="{EB50E027-2E0E-46A6-B204-0E2234D28EEA}"/>
    <cellStyle name="Normal 9 3 2 4 2 6" xfId="11668" xr:uid="{93F29912-EDE9-42CC-82D2-C572D18ACC11}"/>
    <cellStyle name="Normal 9 3 2 4 3" xfId="5306" xr:uid="{00000000-0005-0000-0000-0000EA1F0000}"/>
    <cellStyle name="Normal 9 3 2 4 3 2" xfId="30605" xr:uid="{2228A421-4735-4386-8CA3-6B7E5362871F}"/>
    <cellStyle name="Normal 9 3 2 4 3 3" xfId="22176" xr:uid="{AE86F7BF-C1C3-4B19-A62D-55B5616DDF10}"/>
    <cellStyle name="Normal 9 3 2 4 3 4" xfId="39033" xr:uid="{E28AE5EF-CF6E-4783-893A-C5C69330EADC}"/>
    <cellStyle name="Normal 9 3 2 4 3 5" xfId="13741" xr:uid="{E4EB0B7C-540D-4B2B-A357-66F3BDE3537F}"/>
    <cellStyle name="Normal 9 3 2 4 4" xfId="26387" xr:uid="{85F8BE00-1E62-4042-8424-C1A314225856}"/>
    <cellStyle name="Normal 9 3 2 4 5" xfId="17958" xr:uid="{E4055BED-12DD-4E64-8949-80DA86DA0844}"/>
    <cellStyle name="Normal 9 3 2 4 6" xfId="34816" xr:uid="{88B6A1FC-BA36-4787-BBD1-2877E02C6ADC}"/>
    <cellStyle name="Normal 9 3 2 4 7" xfId="9523" xr:uid="{2886BEE6-2A39-4752-867D-193C7FDA43DC}"/>
    <cellStyle name="Normal 9 3 2 5" xfId="1411" xr:uid="{00000000-0005-0000-0000-0000EB1F0000}"/>
    <cellStyle name="Normal 9 3 2 5 2" xfId="3641" xr:uid="{00000000-0005-0000-0000-0000EC1F0000}"/>
    <cellStyle name="Normal 9 3 2 5 2 2" xfId="7864" xr:uid="{00000000-0005-0000-0000-0000ED1F0000}"/>
    <cellStyle name="Normal 9 3 2 5 2 2 2" xfId="33163" xr:uid="{526D3F29-0F0B-4151-90D3-4AA99EE273BC}"/>
    <cellStyle name="Normal 9 3 2 5 2 2 3" xfId="24734" xr:uid="{8ABD69D9-B310-4442-9273-2F58D7C8D8EE}"/>
    <cellStyle name="Normal 9 3 2 5 2 2 4" xfId="41591" xr:uid="{509555FF-1F9A-40CF-A1B6-7908166C28AF}"/>
    <cellStyle name="Normal 9 3 2 5 2 2 5" xfId="16299" xr:uid="{23CBC1CE-37F0-4713-A449-899234F6FAF1}"/>
    <cellStyle name="Normal 9 3 2 5 2 3" xfId="28945" xr:uid="{06711FBE-DE37-4F62-B82A-1151C1706424}"/>
    <cellStyle name="Normal 9 3 2 5 2 4" xfId="20516" xr:uid="{E0ED0615-75DD-4EF5-AE6C-6A52291C0A23}"/>
    <cellStyle name="Normal 9 3 2 5 2 5" xfId="37374" xr:uid="{746FD928-4FCA-4A59-9192-CB6FABD30E65}"/>
    <cellStyle name="Normal 9 3 2 5 2 6" xfId="12081" xr:uid="{B35D6990-2A2D-4A71-A1F0-AD29DC99BD85}"/>
    <cellStyle name="Normal 9 3 2 5 3" xfId="5719" xr:uid="{00000000-0005-0000-0000-0000EE1F0000}"/>
    <cellStyle name="Normal 9 3 2 5 3 2" xfId="31018" xr:uid="{0D75CD30-BFF6-42AE-A690-363698A216FA}"/>
    <cellStyle name="Normal 9 3 2 5 3 3" xfId="22589" xr:uid="{B0663F7D-AADE-4AC5-8566-77EF6E2BA511}"/>
    <cellStyle name="Normal 9 3 2 5 3 4" xfId="39446" xr:uid="{8BB089D6-4D82-481D-A0C7-E28476ABBA6F}"/>
    <cellStyle name="Normal 9 3 2 5 3 5" xfId="14154" xr:uid="{2B9DDD66-06CE-4BE3-9DE0-8AC340AB9A21}"/>
    <cellStyle name="Normal 9 3 2 5 4" xfId="26800" xr:uid="{25F43678-9003-48B2-8348-3ECE0F68B924}"/>
    <cellStyle name="Normal 9 3 2 5 5" xfId="18371" xr:uid="{8D12C833-D9D5-4D8D-BC65-942B088539FC}"/>
    <cellStyle name="Normal 9 3 2 5 6" xfId="35229" xr:uid="{648D2A2E-A6BB-406E-9097-6B755E9D281C}"/>
    <cellStyle name="Normal 9 3 2 5 7" xfId="9936" xr:uid="{B8F84240-74BC-45A1-9A86-B9646FD2E8B8}"/>
    <cellStyle name="Normal 9 3 2 6" xfId="1824" xr:uid="{00000000-0005-0000-0000-0000EF1F0000}"/>
    <cellStyle name="Normal 9 3 2 6 2" xfId="4054" xr:uid="{00000000-0005-0000-0000-0000F01F0000}"/>
    <cellStyle name="Normal 9 3 2 6 2 2" xfId="8277" xr:uid="{00000000-0005-0000-0000-0000F11F0000}"/>
    <cellStyle name="Normal 9 3 2 6 2 2 2" xfId="33576" xr:uid="{88AE5C5C-78F8-44AD-A5EE-6EBFC6677B5A}"/>
    <cellStyle name="Normal 9 3 2 6 2 2 3" xfId="25147" xr:uid="{C7A7DE04-16AA-491C-A954-B44FB4060D55}"/>
    <cellStyle name="Normal 9 3 2 6 2 2 4" xfId="42004" xr:uid="{FA677FAF-DBC8-4D09-B9C2-9B44C2640456}"/>
    <cellStyle name="Normal 9 3 2 6 2 2 5" xfId="16712" xr:uid="{588F5D29-C38A-4D03-AEF2-88573E09E850}"/>
    <cellStyle name="Normal 9 3 2 6 2 3" xfId="29358" xr:uid="{3655D610-90D4-4354-B39E-E16CAA76D3F3}"/>
    <cellStyle name="Normal 9 3 2 6 2 4" xfId="20929" xr:uid="{4500450B-B24B-4E3E-A340-78C3B605F636}"/>
    <cellStyle name="Normal 9 3 2 6 2 5" xfId="37787" xr:uid="{C1B1562A-464A-4292-85D0-2883EDB65BE6}"/>
    <cellStyle name="Normal 9 3 2 6 2 6" xfId="12494" xr:uid="{5A33D1D7-E042-4B2E-AA0C-8C63C9277BE8}"/>
    <cellStyle name="Normal 9 3 2 6 3" xfId="6132" xr:uid="{00000000-0005-0000-0000-0000F21F0000}"/>
    <cellStyle name="Normal 9 3 2 6 3 2" xfId="31431" xr:uid="{22D49C30-7F1C-421F-B197-FD3AF5138C20}"/>
    <cellStyle name="Normal 9 3 2 6 3 3" xfId="23002" xr:uid="{2AF8A431-9553-46CF-8E91-C7D5D603972B}"/>
    <cellStyle name="Normal 9 3 2 6 3 4" xfId="39859" xr:uid="{9EC8A189-C3AA-48DD-942E-999CE4866AF8}"/>
    <cellStyle name="Normal 9 3 2 6 3 5" xfId="14567" xr:uid="{C5E584D8-DAF6-4946-95B4-99676DA444A1}"/>
    <cellStyle name="Normal 9 3 2 6 4" xfId="27213" xr:uid="{19F773DB-A019-4B51-859A-87142C196B7D}"/>
    <cellStyle name="Normal 9 3 2 6 5" xfId="18784" xr:uid="{6BF5D82B-97E0-44ED-B514-8ED8D9908404}"/>
    <cellStyle name="Normal 9 3 2 6 6" xfId="35642" xr:uid="{BB763CA8-1401-4310-B19C-FF5645F8D45E}"/>
    <cellStyle name="Normal 9 3 2 6 7" xfId="10349" xr:uid="{8A85E02B-07FB-4186-8DA0-80DE78E86F32}"/>
    <cellStyle name="Normal 9 3 2 7" xfId="2238" xr:uid="{00000000-0005-0000-0000-0000F31F0000}"/>
    <cellStyle name="Normal 9 3 2 7 2" xfId="4467" xr:uid="{00000000-0005-0000-0000-0000F41F0000}"/>
    <cellStyle name="Normal 9 3 2 7 2 2" xfId="8690" xr:uid="{00000000-0005-0000-0000-0000F51F0000}"/>
    <cellStyle name="Normal 9 3 2 7 2 2 2" xfId="33989" xr:uid="{EA78AE4B-23AC-4600-86AC-7D10BA3B0E9F}"/>
    <cellStyle name="Normal 9 3 2 7 2 2 3" xfId="25560" xr:uid="{97F83CDC-B842-4816-815A-B3658DE60BC2}"/>
    <cellStyle name="Normal 9 3 2 7 2 2 4" xfId="42417" xr:uid="{E916D2D7-2014-4A14-AF1F-D58A2C26B480}"/>
    <cellStyle name="Normal 9 3 2 7 2 2 5" xfId="17125" xr:uid="{E0EF026F-D75F-42C5-A348-EC432CD16650}"/>
    <cellStyle name="Normal 9 3 2 7 2 3" xfId="29771" xr:uid="{5C7F9EA3-0D54-4103-9E4B-0B62C1B303C7}"/>
    <cellStyle name="Normal 9 3 2 7 2 4" xfId="21342" xr:uid="{EF2273E3-127E-47AA-94FC-2DD4F07583C3}"/>
    <cellStyle name="Normal 9 3 2 7 2 5" xfId="38200" xr:uid="{85C0E191-18AD-4DC7-9A63-7A814ED9C078}"/>
    <cellStyle name="Normal 9 3 2 7 2 6" xfId="12907" xr:uid="{7914EBCD-5EC3-4EDF-AF6C-3685B741072E}"/>
    <cellStyle name="Normal 9 3 2 7 3" xfId="6545" xr:uid="{00000000-0005-0000-0000-0000F61F0000}"/>
    <cellStyle name="Normal 9 3 2 7 3 2" xfId="31844" xr:uid="{CF390D2E-7D6B-4D3F-897A-85CB58DDC751}"/>
    <cellStyle name="Normal 9 3 2 7 3 3" xfId="23415" xr:uid="{F82C08EF-E43F-43E9-AD81-E88F24580FEC}"/>
    <cellStyle name="Normal 9 3 2 7 3 4" xfId="40272" xr:uid="{2556B9EE-E20B-478D-B256-C1C0FF1A26B7}"/>
    <cellStyle name="Normal 9 3 2 7 3 5" xfId="14980" xr:uid="{C55020C8-DDE5-4B72-A906-DEF5B342784C}"/>
    <cellStyle name="Normal 9 3 2 7 4" xfId="27626" xr:uid="{95CBD0CE-F769-4078-B9E5-D15DA70B408B}"/>
    <cellStyle name="Normal 9 3 2 7 5" xfId="19197" xr:uid="{E677F08B-F5A3-40B5-9B99-BC7A6C63881C}"/>
    <cellStyle name="Normal 9 3 2 7 6" xfId="36055" xr:uid="{063F88A6-21BD-43B2-AB8B-BC2D84C926C3}"/>
    <cellStyle name="Normal 9 3 2 7 7" xfId="10762" xr:uid="{19E96ACE-BF3C-4383-AD63-10373B61877F}"/>
    <cellStyle name="Normal 9 3 2 8" xfId="2674" xr:uid="{00000000-0005-0000-0000-0000F71F0000}"/>
    <cellStyle name="Normal 9 3 2 8 2" xfId="6958" xr:uid="{00000000-0005-0000-0000-0000F81F0000}"/>
    <cellStyle name="Normal 9 3 2 8 2 2" xfId="32257" xr:uid="{FDB32835-1BAD-49A9-8F63-500EBC402D73}"/>
    <cellStyle name="Normal 9 3 2 8 2 3" xfId="23828" xr:uid="{16963E6A-CC78-462D-8B6E-023DEF7B5B03}"/>
    <cellStyle name="Normal 9 3 2 8 2 4" xfId="40685" xr:uid="{738CB949-F981-4763-9448-642EE1BEA681}"/>
    <cellStyle name="Normal 9 3 2 8 2 5" xfId="15393" xr:uid="{E928E3C6-774D-44B6-BA5F-CCB27910489E}"/>
    <cellStyle name="Normal 9 3 2 8 3" xfId="28039" xr:uid="{6146635B-F799-4CEF-AD32-D3821FC48EB2}"/>
    <cellStyle name="Normal 9 3 2 8 4" xfId="19610" xr:uid="{3429C6AB-F8A2-49F4-A282-1AEED0EAEDE2}"/>
    <cellStyle name="Normal 9 3 2 8 5" xfId="36468" xr:uid="{95384347-32FB-4648-95C8-F058D5FB49DE}"/>
    <cellStyle name="Normal 9 3 2 8 6" xfId="11175" xr:uid="{BD7DA531-686B-4051-B2A4-CEC2097D1F8B}"/>
    <cellStyle name="Normal 9 3 2 9" xfId="4893" xr:uid="{00000000-0005-0000-0000-0000F91F0000}"/>
    <cellStyle name="Normal 9 3 2 9 2" xfId="30192" xr:uid="{8B2CC413-BDC7-4300-B497-03CE9FEF5879}"/>
    <cellStyle name="Normal 9 3 2 9 3" xfId="21763" xr:uid="{08614618-9438-4659-88E4-D5081BD8A3E1}"/>
    <cellStyle name="Normal 9 3 2 9 4" xfId="38620" xr:uid="{1CEFB497-B0F4-443A-A696-771B9F21663E}"/>
    <cellStyle name="Normal 9 3 2 9 5" xfId="13328" xr:uid="{1146D29F-4223-4D73-878B-B0FCA598DA44}"/>
    <cellStyle name="Normal 9 3 3" xfId="532" xr:uid="{00000000-0005-0000-0000-0000FA1F0000}"/>
    <cellStyle name="Normal 9 3 3 10" xfId="17549" xr:uid="{97DC08FE-6D1B-4531-8E8E-A45AA53EB526}"/>
    <cellStyle name="Normal 9 3 3 11" xfId="34407" xr:uid="{0ED57EA5-C841-4AE7-9384-6A22111385A6}"/>
    <cellStyle name="Normal 9 3 3 12" xfId="9114" xr:uid="{9F4093B9-304F-43DD-B0C6-396524471082}"/>
    <cellStyle name="Normal 9 3 3 2" xfId="533" xr:uid="{00000000-0005-0000-0000-0000FB1F0000}"/>
    <cellStyle name="Normal 9 3 3 2 10" xfId="34408" xr:uid="{74374818-5EC2-470E-9FDA-2736F6E9A91D}"/>
    <cellStyle name="Normal 9 3 3 2 11" xfId="9115" xr:uid="{A70AD056-FD0F-4C05-A3C6-0326AA1D0C4F}"/>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32755" xr:uid="{7EC0CD05-FE1B-4FDC-9977-E027B24312C2}"/>
    <cellStyle name="Normal 9 3 3 2 2 2 2 3" xfId="24326" xr:uid="{01B46178-A87B-41AC-A2AC-E8B37D956906}"/>
    <cellStyle name="Normal 9 3 3 2 2 2 2 4" xfId="41183" xr:uid="{8C6112EE-6113-409F-9D7D-5E34C53B2D67}"/>
    <cellStyle name="Normal 9 3 3 2 2 2 2 5" xfId="15891" xr:uid="{6A425C49-5C20-4EC1-99C8-3C938C8A48B3}"/>
    <cellStyle name="Normal 9 3 3 2 2 2 3" xfId="28537" xr:uid="{CD8CD226-A860-4638-ACFC-3AC3F0069C1A}"/>
    <cellStyle name="Normal 9 3 3 2 2 2 4" xfId="20108" xr:uid="{CB393B16-050D-4114-91D9-894A2E95E9A5}"/>
    <cellStyle name="Normal 9 3 3 2 2 2 5" xfId="36966" xr:uid="{AEC4A163-D5EF-4BE8-9785-140C97C6F6A6}"/>
    <cellStyle name="Normal 9 3 3 2 2 2 6" xfId="11673" xr:uid="{F0C89AF7-018A-44EF-AE1D-590E3176751D}"/>
    <cellStyle name="Normal 9 3 3 2 2 3" xfId="5311" xr:uid="{00000000-0005-0000-0000-0000FF1F0000}"/>
    <cellStyle name="Normal 9 3 3 2 2 3 2" xfId="30610" xr:uid="{465E9530-CF44-45BA-B359-852C92BE9BEC}"/>
    <cellStyle name="Normal 9 3 3 2 2 3 3" xfId="22181" xr:uid="{F9809E8B-7880-4DAF-A5A5-5218974515C5}"/>
    <cellStyle name="Normal 9 3 3 2 2 3 4" xfId="39038" xr:uid="{766851A6-1A9C-42B3-9157-DE699E1B8D7D}"/>
    <cellStyle name="Normal 9 3 3 2 2 3 5" xfId="13746" xr:uid="{E01FF5C5-0DC6-40D7-8FF4-C85D8036492E}"/>
    <cellStyle name="Normal 9 3 3 2 2 4" xfId="26392" xr:uid="{772C22E1-13A7-4AF3-940C-4317496BF04F}"/>
    <cellStyle name="Normal 9 3 3 2 2 5" xfId="17963" xr:uid="{2BA6E03A-3EC3-4AA6-9109-58CE6FC883AC}"/>
    <cellStyle name="Normal 9 3 3 2 2 6" xfId="34821" xr:uid="{899AB624-BD1D-4FA3-940B-6B9E785C87E2}"/>
    <cellStyle name="Normal 9 3 3 2 2 7" xfId="9528" xr:uid="{A002C26B-FF8A-47F8-B196-83E92256E1E0}"/>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33168" xr:uid="{78589424-C4AE-4931-87E2-5E113C0721E7}"/>
    <cellStyle name="Normal 9 3 3 2 3 2 2 3" xfId="24739" xr:uid="{0A7D4D83-7E16-4657-8D3F-735778A46C5A}"/>
    <cellStyle name="Normal 9 3 3 2 3 2 2 4" xfId="41596" xr:uid="{BF6A864C-6947-405A-98AA-9CD9099D3A91}"/>
    <cellStyle name="Normal 9 3 3 2 3 2 2 5" xfId="16304" xr:uid="{B06C90D7-3704-4D45-A2CB-26B879519E87}"/>
    <cellStyle name="Normal 9 3 3 2 3 2 3" xfId="28950" xr:uid="{84EB926E-D4D7-46BD-81B7-3A07AD52A18C}"/>
    <cellStyle name="Normal 9 3 3 2 3 2 4" xfId="20521" xr:uid="{6BB368A3-9BBE-42D4-8CA9-9CDD02A2A2F3}"/>
    <cellStyle name="Normal 9 3 3 2 3 2 5" xfId="37379" xr:uid="{6127C276-6DF1-4B18-A0A7-D8759BF77A06}"/>
    <cellStyle name="Normal 9 3 3 2 3 2 6" xfId="12086" xr:uid="{93CE9C72-26B5-4531-99AF-306A38A2AC3A}"/>
    <cellStyle name="Normal 9 3 3 2 3 3" xfId="5724" xr:uid="{00000000-0005-0000-0000-000003200000}"/>
    <cellStyle name="Normal 9 3 3 2 3 3 2" xfId="31023" xr:uid="{C4080A59-5B64-4088-81CD-BED5EAFCB266}"/>
    <cellStyle name="Normal 9 3 3 2 3 3 3" xfId="22594" xr:uid="{42AAA745-1E26-48EC-BD51-495CB4E91D61}"/>
    <cellStyle name="Normal 9 3 3 2 3 3 4" xfId="39451" xr:uid="{C50612BA-E0AE-4B17-B036-EEB5E429005E}"/>
    <cellStyle name="Normal 9 3 3 2 3 3 5" xfId="14159" xr:uid="{1879BB21-637E-412C-927F-8BD1D1D24255}"/>
    <cellStyle name="Normal 9 3 3 2 3 4" xfId="26805" xr:uid="{742DC634-E131-42FC-A8C4-B35016357335}"/>
    <cellStyle name="Normal 9 3 3 2 3 5" xfId="18376" xr:uid="{2475923D-C22D-4F6A-9AC3-778B68507906}"/>
    <cellStyle name="Normal 9 3 3 2 3 6" xfId="35234" xr:uid="{250377DF-6C78-4AF1-BC8E-BEED6008D57E}"/>
    <cellStyle name="Normal 9 3 3 2 3 7" xfId="9941" xr:uid="{6B9544B8-E0DE-475F-A72B-28E3022EB1E6}"/>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33581" xr:uid="{AED1712B-A2C5-4B63-BC0B-939BC597CF77}"/>
    <cellStyle name="Normal 9 3 3 2 4 2 2 3" xfId="25152" xr:uid="{0EDDB014-78F4-43BF-A77D-123EE7D17ED5}"/>
    <cellStyle name="Normal 9 3 3 2 4 2 2 4" xfId="42009" xr:uid="{8D627E3A-77D9-4FF4-9174-CD1CC45B4D55}"/>
    <cellStyle name="Normal 9 3 3 2 4 2 2 5" xfId="16717" xr:uid="{8BAB8D34-24B4-4D34-83D0-63C5B1C8E277}"/>
    <cellStyle name="Normal 9 3 3 2 4 2 3" xfId="29363" xr:uid="{D1F4AA29-AABB-455D-90F4-267E80520D90}"/>
    <cellStyle name="Normal 9 3 3 2 4 2 4" xfId="20934" xr:uid="{6DDD548A-DF4C-404C-8EAD-DC5441EACBBF}"/>
    <cellStyle name="Normal 9 3 3 2 4 2 5" xfId="37792" xr:uid="{9F3FD63F-565B-4F62-A906-29C75988F28E}"/>
    <cellStyle name="Normal 9 3 3 2 4 2 6" xfId="12499" xr:uid="{EB7038A6-BB0F-417C-AFBB-941C6778FF0E}"/>
    <cellStyle name="Normal 9 3 3 2 4 3" xfId="6137" xr:uid="{00000000-0005-0000-0000-000007200000}"/>
    <cellStyle name="Normal 9 3 3 2 4 3 2" xfId="31436" xr:uid="{C536C57F-0B96-4F38-9388-65D9CDD9D63A}"/>
    <cellStyle name="Normal 9 3 3 2 4 3 3" xfId="23007" xr:uid="{0FF76525-BA0B-40E4-932F-E796AF039959}"/>
    <cellStyle name="Normal 9 3 3 2 4 3 4" xfId="39864" xr:uid="{FD8D6D79-7BA1-4BD1-A1C7-B15E9B90BFA1}"/>
    <cellStyle name="Normal 9 3 3 2 4 3 5" xfId="14572" xr:uid="{0B3DE56F-9436-4576-84DC-B35B03CA1633}"/>
    <cellStyle name="Normal 9 3 3 2 4 4" xfId="27218" xr:uid="{C2085C61-A04C-4E41-9D0E-C9EAEF80D1CC}"/>
    <cellStyle name="Normal 9 3 3 2 4 5" xfId="18789" xr:uid="{A271DB22-4DC6-49A4-BC2A-9E514D1D18ED}"/>
    <cellStyle name="Normal 9 3 3 2 4 6" xfId="35647" xr:uid="{A438F915-EE10-42B9-BF1C-5888ABE10C73}"/>
    <cellStyle name="Normal 9 3 3 2 4 7" xfId="10354" xr:uid="{1D5A7058-8739-4E70-B70C-503F77AF5784}"/>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33994" xr:uid="{4FFDFE99-B568-49DB-9ABD-5240298024E8}"/>
    <cellStyle name="Normal 9 3 3 2 5 2 2 3" xfId="25565" xr:uid="{78968141-EE05-4DA0-8C39-1F5D397771AB}"/>
    <cellStyle name="Normal 9 3 3 2 5 2 2 4" xfId="42422" xr:uid="{2E87E434-DFDD-4028-BDAD-AFDC88A80D71}"/>
    <cellStyle name="Normal 9 3 3 2 5 2 2 5" xfId="17130" xr:uid="{D69BCE55-7A92-49D0-97FF-4AC50B38748E}"/>
    <cellStyle name="Normal 9 3 3 2 5 2 3" xfId="29776" xr:uid="{5237A341-13F4-47BD-9FD2-E1C3A26B1CA5}"/>
    <cellStyle name="Normal 9 3 3 2 5 2 4" xfId="21347" xr:uid="{2ED7DE6C-E48A-4DF1-9789-7B6E964A8E3D}"/>
    <cellStyle name="Normal 9 3 3 2 5 2 5" xfId="38205" xr:uid="{D3BE5595-BDEA-4247-B0EA-1B0C89D8A287}"/>
    <cellStyle name="Normal 9 3 3 2 5 2 6" xfId="12912" xr:uid="{090F756E-F97C-4E1D-998E-2DA8D077C4B1}"/>
    <cellStyle name="Normal 9 3 3 2 5 3" xfId="6550" xr:uid="{00000000-0005-0000-0000-00000B200000}"/>
    <cellStyle name="Normal 9 3 3 2 5 3 2" xfId="31849" xr:uid="{61BC4B39-A3C0-4DA1-A497-E9DBCB279959}"/>
    <cellStyle name="Normal 9 3 3 2 5 3 3" xfId="23420" xr:uid="{688AAE13-2B26-47A1-B9AC-0DF2DC30B40B}"/>
    <cellStyle name="Normal 9 3 3 2 5 3 4" xfId="40277" xr:uid="{72A67021-17EE-467F-AA54-A5E7574C28EF}"/>
    <cellStyle name="Normal 9 3 3 2 5 3 5" xfId="14985" xr:uid="{CFDD7465-F1A7-4B5D-A742-D5813E053D25}"/>
    <cellStyle name="Normal 9 3 3 2 5 4" xfId="27631" xr:uid="{7FCE90FE-A374-42F7-A9D7-30F7C1C63285}"/>
    <cellStyle name="Normal 9 3 3 2 5 5" xfId="19202" xr:uid="{912FE3FA-03E7-4998-80E1-262D16D0FECF}"/>
    <cellStyle name="Normal 9 3 3 2 5 6" xfId="36060" xr:uid="{E4DC6071-2899-4CA4-9B98-1DEDD3379759}"/>
    <cellStyle name="Normal 9 3 3 2 5 7" xfId="10767" xr:uid="{5D8E3BCF-03A6-490B-81AC-7803BDDF3174}"/>
    <cellStyle name="Normal 9 3 3 2 6" xfId="2679" xr:uid="{00000000-0005-0000-0000-00000C200000}"/>
    <cellStyle name="Normal 9 3 3 2 6 2" xfId="6963" xr:uid="{00000000-0005-0000-0000-00000D200000}"/>
    <cellStyle name="Normal 9 3 3 2 6 2 2" xfId="32262" xr:uid="{F17EECF2-CC85-4628-8896-1DBDD87FA5EA}"/>
    <cellStyle name="Normal 9 3 3 2 6 2 3" xfId="23833" xr:uid="{CF6CC7E9-5C6B-4BF7-931F-81F7B9B1DED9}"/>
    <cellStyle name="Normal 9 3 3 2 6 2 4" xfId="40690" xr:uid="{69025541-90B3-4929-BCD1-AC45A4075826}"/>
    <cellStyle name="Normal 9 3 3 2 6 2 5" xfId="15398" xr:uid="{E575DE6F-76F9-41C0-89D0-F7C2CEFDA853}"/>
    <cellStyle name="Normal 9 3 3 2 6 3" xfId="28044" xr:uid="{6110BD57-3DAA-4BD9-B754-8A8C858D9F31}"/>
    <cellStyle name="Normal 9 3 3 2 6 4" xfId="19615" xr:uid="{39CC7407-EE6E-4A36-87F0-06D8099BDC12}"/>
    <cellStyle name="Normal 9 3 3 2 6 5" xfId="36473" xr:uid="{C7BCFC33-CCC0-43C1-9990-79B120E431DE}"/>
    <cellStyle name="Normal 9 3 3 2 6 6" xfId="11180" xr:uid="{48444217-60F3-4F55-9C3E-8281DE4268B1}"/>
    <cellStyle name="Normal 9 3 3 2 7" xfId="4898" xr:uid="{00000000-0005-0000-0000-00000E200000}"/>
    <cellStyle name="Normal 9 3 3 2 7 2" xfId="30197" xr:uid="{E855C462-BD0C-4B5B-82B1-D3F366765255}"/>
    <cellStyle name="Normal 9 3 3 2 7 3" xfId="21768" xr:uid="{578C74EB-E4DC-41E6-91F5-7706CEAEAFE5}"/>
    <cellStyle name="Normal 9 3 3 2 7 4" xfId="38625" xr:uid="{3D3A643D-95A0-410F-B193-2C4C324D5829}"/>
    <cellStyle name="Normal 9 3 3 2 7 5" xfId="13333" xr:uid="{97D6A965-64FF-4BD7-AAB0-643A7FB3756A}"/>
    <cellStyle name="Normal 9 3 3 2 8" xfId="25979" xr:uid="{48DF5F1F-1B19-42C2-AC91-3103A1553D5E}"/>
    <cellStyle name="Normal 9 3 3 2 9" xfId="17550" xr:uid="{4E94841A-6EDB-483C-BBBB-6DA752909ED6}"/>
    <cellStyle name="Normal 9 3 3 3" xfId="999" xr:uid="{00000000-0005-0000-0000-00000F200000}"/>
    <cellStyle name="Normal 9 3 3 3 2" xfId="3232" xr:uid="{00000000-0005-0000-0000-000010200000}"/>
    <cellStyle name="Normal 9 3 3 3 2 2" xfId="7455" xr:uid="{00000000-0005-0000-0000-000011200000}"/>
    <cellStyle name="Normal 9 3 3 3 2 2 2" xfId="32754" xr:uid="{C29DC026-7CF1-43C9-A8A5-39D376F3EAF0}"/>
    <cellStyle name="Normal 9 3 3 3 2 2 3" xfId="24325" xr:uid="{28122709-5C05-459B-A356-EFDB4E7FD85D}"/>
    <cellStyle name="Normal 9 3 3 3 2 2 4" xfId="41182" xr:uid="{15F7D50A-106B-4995-8082-F713059B1D21}"/>
    <cellStyle name="Normal 9 3 3 3 2 2 5" xfId="15890" xr:uid="{65D6EF18-E268-435C-A5A0-C37F15DE9CF9}"/>
    <cellStyle name="Normal 9 3 3 3 2 3" xfId="28536" xr:uid="{3AEAAC81-CDCD-4086-83E8-8DDA837F85A6}"/>
    <cellStyle name="Normal 9 3 3 3 2 4" xfId="20107" xr:uid="{391ED2D3-B357-4D9A-B617-97FF1706CA11}"/>
    <cellStyle name="Normal 9 3 3 3 2 5" xfId="36965" xr:uid="{64F6EDE3-C90C-47E0-974E-F0A855E321F0}"/>
    <cellStyle name="Normal 9 3 3 3 2 6" xfId="11672" xr:uid="{9A235E86-4D13-430A-A024-311486CBFD76}"/>
    <cellStyle name="Normal 9 3 3 3 3" xfId="5310" xr:uid="{00000000-0005-0000-0000-000012200000}"/>
    <cellStyle name="Normal 9 3 3 3 3 2" xfId="30609" xr:uid="{CD9A9122-B1D2-47F9-B3F9-9D971EEECD9D}"/>
    <cellStyle name="Normal 9 3 3 3 3 3" xfId="22180" xr:uid="{D0C28E7A-D6CC-4312-838C-D4242E9DEA01}"/>
    <cellStyle name="Normal 9 3 3 3 3 4" xfId="39037" xr:uid="{1FBF6450-4955-42AC-92C3-A997834ECBF1}"/>
    <cellStyle name="Normal 9 3 3 3 3 5" xfId="13745" xr:uid="{757187A1-2286-4C2C-8E93-82F824E8C661}"/>
    <cellStyle name="Normal 9 3 3 3 4" xfId="26391" xr:uid="{19C61431-7905-439D-B0F6-D2ABD90AAEEF}"/>
    <cellStyle name="Normal 9 3 3 3 5" xfId="17962" xr:uid="{9ADD412C-7BB5-4011-BEAE-56B9B952A1C2}"/>
    <cellStyle name="Normal 9 3 3 3 6" xfId="34820" xr:uid="{C3EC7EE0-12FB-4BDF-B12E-0D01B830B6A8}"/>
    <cellStyle name="Normal 9 3 3 3 7" xfId="9527" xr:uid="{D89F37EC-6D35-45A5-9F4E-032D85DCD0FF}"/>
    <cellStyle name="Normal 9 3 3 4" xfId="1415" xr:uid="{00000000-0005-0000-0000-000013200000}"/>
    <cellStyle name="Normal 9 3 3 4 2" xfId="3645" xr:uid="{00000000-0005-0000-0000-000014200000}"/>
    <cellStyle name="Normal 9 3 3 4 2 2" xfId="7868" xr:uid="{00000000-0005-0000-0000-000015200000}"/>
    <cellStyle name="Normal 9 3 3 4 2 2 2" xfId="33167" xr:uid="{E1011B5D-53E6-4817-ADC1-94705BCDFE72}"/>
    <cellStyle name="Normal 9 3 3 4 2 2 3" xfId="24738" xr:uid="{D0071126-FB6D-48CF-81E2-DEFC9F9A6659}"/>
    <cellStyle name="Normal 9 3 3 4 2 2 4" xfId="41595" xr:uid="{9AACE706-7505-4B8E-98EE-25E0D5BD33BD}"/>
    <cellStyle name="Normal 9 3 3 4 2 2 5" xfId="16303" xr:uid="{27BC092B-3014-4428-B8D1-69A676D120CB}"/>
    <cellStyle name="Normal 9 3 3 4 2 3" xfId="28949" xr:uid="{782CDC4F-7522-464B-B3B6-58A567B5CE92}"/>
    <cellStyle name="Normal 9 3 3 4 2 4" xfId="20520" xr:uid="{D29672FC-83F5-4B04-A603-8C9829A1807D}"/>
    <cellStyle name="Normal 9 3 3 4 2 5" xfId="37378" xr:uid="{AF3A071F-EB2A-488F-8545-13C8EAB8AE13}"/>
    <cellStyle name="Normal 9 3 3 4 2 6" xfId="12085" xr:uid="{4E43169B-C7CE-4973-AFEE-3E5C6DB444F3}"/>
    <cellStyle name="Normal 9 3 3 4 3" xfId="5723" xr:uid="{00000000-0005-0000-0000-000016200000}"/>
    <cellStyle name="Normal 9 3 3 4 3 2" xfId="31022" xr:uid="{521E5A4B-09C1-4A20-9A1A-62C5F89B7CEC}"/>
    <cellStyle name="Normal 9 3 3 4 3 3" xfId="22593" xr:uid="{95D35F55-037D-4F5E-965D-3399C831039C}"/>
    <cellStyle name="Normal 9 3 3 4 3 4" xfId="39450" xr:uid="{1C74374A-042C-455C-8EE1-467CB88D1574}"/>
    <cellStyle name="Normal 9 3 3 4 3 5" xfId="14158" xr:uid="{3665E210-07CB-4E0F-987C-5EAF00865242}"/>
    <cellStyle name="Normal 9 3 3 4 4" xfId="26804" xr:uid="{73EFE2A4-5BE6-424A-983C-3C3D1760D848}"/>
    <cellStyle name="Normal 9 3 3 4 5" xfId="18375" xr:uid="{9F7C5F87-B4B7-446E-8A62-7B2771FD1F7E}"/>
    <cellStyle name="Normal 9 3 3 4 6" xfId="35233" xr:uid="{C12A6623-9B3A-4652-BEBB-B68E49B841A7}"/>
    <cellStyle name="Normal 9 3 3 4 7" xfId="9940" xr:uid="{7DD235B0-6CD0-4E88-A4E7-490F7B98BC80}"/>
    <cellStyle name="Normal 9 3 3 5" xfId="1828" xr:uid="{00000000-0005-0000-0000-000017200000}"/>
    <cellStyle name="Normal 9 3 3 5 2" xfId="4058" xr:uid="{00000000-0005-0000-0000-000018200000}"/>
    <cellStyle name="Normal 9 3 3 5 2 2" xfId="8281" xr:uid="{00000000-0005-0000-0000-000019200000}"/>
    <cellStyle name="Normal 9 3 3 5 2 2 2" xfId="33580" xr:uid="{D76984AB-5122-4F06-B762-6A27DF8647BA}"/>
    <cellStyle name="Normal 9 3 3 5 2 2 3" xfId="25151" xr:uid="{C1974F54-8E95-412B-850F-C29F8F7B8D0D}"/>
    <cellStyle name="Normal 9 3 3 5 2 2 4" xfId="42008" xr:uid="{5A0F08B3-708E-4F00-BDCC-3781E65AA2B9}"/>
    <cellStyle name="Normal 9 3 3 5 2 2 5" xfId="16716" xr:uid="{5955D798-87CA-4589-ABC4-07821122D39B}"/>
    <cellStyle name="Normal 9 3 3 5 2 3" xfId="29362" xr:uid="{4D39E55F-CD60-421A-AA0A-F2A30D7BF2B5}"/>
    <cellStyle name="Normal 9 3 3 5 2 4" xfId="20933" xr:uid="{D3713739-5A19-41DE-BEE9-ED2B5D002DCB}"/>
    <cellStyle name="Normal 9 3 3 5 2 5" xfId="37791" xr:uid="{C7B7C95F-5E5F-4A58-95C0-FA974BF41335}"/>
    <cellStyle name="Normal 9 3 3 5 2 6" xfId="12498" xr:uid="{7E09EB14-945F-484E-ADD7-1E070EAD3C33}"/>
    <cellStyle name="Normal 9 3 3 5 3" xfId="6136" xr:uid="{00000000-0005-0000-0000-00001A200000}"/>
    <cellStyle name="Normal 9 3 3 5 3 2" xfId="31435" xr:uid="{C206751A-DB46-4F87-804F-78A82835B677}"/>
    <cellStyle name="Normal 9 3 3 5 3 3" xfId="23006" xr:uid="{7193CB95-7A4C-453E-B72A-32D1F9ACA9AA}"/>
    <cellStyle name="Normal 9 3 3 5 3 4" xfId="39863" xr:uid="{2C954C75-4F6F-4A96-A339-E0D0D37AFBC0}"/>
    <cellStyle name="Normal 9 3 3 5 3 5" xfId="14571" xr:uid="{C2376C0C-FCBD-4E74-A922-A6F626CDE1B9}"/>
    <cellStyle name="Normal 9 3 3 5 4" xfId="27217" xr:uid="{C3219C6F-8482-4588-BDA8-B32F029E7D22}"/>
    <cellStyle name="Normal 9 3 3 5 5" xfId="18788" xr:uid="{B7286F19-A8A8-4C56-85B8-A7B3C4033FE0}"/>
    <cellStyle name="Normal 9 3 3 5 6" xfId="35646" xr:uid="{282F0A29-464E-4B83-91A9-B1B1A0751CEB}"/>
    <cellStyle name="Normal 9 3 3 5 7" xfId="10353" xr:uid="{C3EFF6C4-FF59-4B02-A94A-B40F29D92EC6}"/>
    <cellStyle name="Normal 9 3 3 6" xfId="2242" xr:uid="{00000000-0005-0000-0000-00001B200000}"/>
    <cellStyle name="Normal 9 3 3 6 2" xfId="4471" xr:uid="{00000000-0005-0000-0000-00001C200000}"/>
    <cellStyle name="Normal 9 3 3 6 2 2" xfId="8694" xr:uid="{00000000-0005-0000-0000-00001D200000}"/>
    <cellStyle name="Normal 9 3 3 6 2 2 2" xfId="33993" xr:uid="{E171F830-FF54-4FB4-B281-7B8CCAA84227}"/>
    <cellStyle name="Normal 9 3 3 6 2 2 3" xfId="25564" xr:uid="{FB67426D-99F6-4EE7-9226-724D79CA10BF}"/>
    <cellStyle name="Normal 9 3 3 6 2 2 4" xfId="42421" xr:uid="{5EF3D4FB-E2F5-408D-9F5C-DC1743DFBEF9}"/>
    <cellStyle name="Normal 9 3 3 6 2 2 5" xfId="17129" xr:uid="{38AC5B7C-D6F5-4D25-930A-9AFDB545A953}"/>
    <cellStyle name="Normal 9 3 3 6 2 3" xfId="29775" xr:uid="{5BD205E9-F769-4FB3-8055-E8C55ED28CB2}"/>
    <cellStyle name="Normal 9 3 3 6 2 4" xfId="21346" xr:uid="{9675ABBD-6E8B-402A-9FB3-F36A06123740}"/>
    <cellStyle name="Normal 9 3 3 6 2 5" xfId="38204" xr:uid="{5A1361BE-9E07-4198-9BF9-4DF2D8E23176}"/>
    <cellStyle name="Normal 9 3 3 6 2 6" xfId="12911" xr:uid="{EE260507-71DA-4940-A69A-CAABDCD0C4ED}"/>
    <cellStyle name="Normal 9 3 3 6 3" xfId="6549" xr:uid="{00000000-0005-0000-0000-00001E200000}"/>
    <cellStyle name="Normal 9 3 3 6 3 2" xfId="31848" xr:uid="{A606FEA8-D7E4-4A36-85B3-0D9A0839D4FE}"/>
    <cellStyle name="Normal 9 3 3 6 3 3" xfId="23419" xr:uid="{8EFAE252-C019-46B8-87A5-52173FC20848}"/>
    <cellStyle name="Normal 9 3 3 6 3 4" xfId="40276" xr:uid="{ABE4C217-857E-4522-B03E-2268DC133C42}"/>
    <cellStyle name="Normal 9 3 3 6 3 5" xfId="14984" xr:uid="{8AA66966-4505-4534-A089-518D25D8A83C}"/>
    <cellStyle name="Normal 9 3 3 6 4" xfId="27630" xr:uid="{ADAF8A76-1FE6-4144-BE52-C53289A533B4}"/>
    <cellStyle name="Normal 9 3 3 6 5" xfId="19201" xr:uid="{9C94104F-8970-4F94-9FD6-0F8C15FE3CC2}"/>
    <cellStyle name="Normal 9 3 3 6 6" xfId="36059" xr:uid="{28C7FA42-1127-4215-86F4-B18F20160248}"/>
    <cellStyle name="Normal 9 3 3 6 7" xfId="10766" xr:uid="{A6520308-49DC-47C4-B624-823832B33620}"/>
    <cellStyle name="Normal 9 3 3 7" xfId="2678" xr:uid="{00000000-0005-0000-0000-00001F200000}"/>
    <cellStyle name="Normal 9 3 3 7 2" xfId="6962" xr:uid="{00000000-0005-0000-0000-000020200000}"/>
    <cellStyle name="Normal 9 3 3 7 2 2" xfId="32261" xr:uid="{1838E917-B21D-4FE0-B70E-A58DDE1511FF}"/>
    <cellStyle name="Normal 9 3 3 7 2 3" xfId="23832" xr:uid="{CF1FC7F6-7B78-4CBF-9F37-84A6A564FAE2}"/>
    <cellStyle name="Normal 9 3 3 7 2 4" xfId="40689" xr:uid="{D89A32F7-34CA-4294-9355-82D4AA75CD89}"/>
    <cellStyle name="Normal 9 3 3 7 2 5" xfId="15397" xr:uid="{6C38DAA6-9351-4304-86C8-3232C676B504}"/>
    <cellStyle name="Normal 9 3 3 7 3" xfId="28043" xr:uid="{B61331B6-C42F-475E-987F-E1F0A7017556}"/>
    <cellStyle name="Normal 9 3 3 7 4" xfId="19614" xr:uid="{60EC0485-0A38-43BE-B011-60FFD688C718}"/>
    <cellStyle name="Normal 9 3 3 7 5" xfId="36472" xr:uid="{893EDF84-7226-40C9-8424-64C95EBCE9B6}"/>
    <cellStyle name="Normal 9 3 3 7 6" xfId="11179" xr:uid="{59F192AE-E208-4041-B3F8-2F5C21C92097}"/>
    <cellStyle name="Normal 9 3 3 8" xfId="4897" xr:uid="{00000000-0005-0000-0000-000021200000}"/>
    <cellStyle name="Normal 9 3 3 8 2" xfId="30196" xr:uid="{7E9CAF45-7ED4-4CA5-A814-A84D5E29F849}"/>
    <cellStyle name="Normal 9 3 3 8 3" xfId="21767" xr:uid="{E6675E0F-5348-42F3-9DCF-97396D69AACE}"/>
    <cellStyle name="Normal 9 3 3 8 4" xfId="38624" xr:uid="{B97EEEA6-408D-4670-A9B8-0B4C6F78F809}"/>
    <cellStyle name="Normal 9 3 3 8 5" xfId="13332" xr:uid="{1FF46411-72D6-4142-865B-E465D56E1554}"/>
    <cellStyle name="Normal 9 3 3 9" xfId="25978" xr:uid="{0632ABD3-0A7E-4D94-8EC8-18720D25EDEE}"/>
    <cellStyle name="Normal 9 3 4" xfId="534" xr:uid="{00000000-0005-0000-0000-000022200000}"/>
    <cellStyle name="Normal 9 3 4 10" xfId="34409" xr:uid="{FD94E364-F19E-4984-AE7A-D92758258DBE}"/>
    <cellStyle name="Normal 9 3 4 11" xfId="9116" xr:uid="{B2DDE762-530B-41A6-95C6-F44F97C10017}"/>
    <cellStyle name="Normal 9 3 4 2" xfId="1001" xr:uid="{00000000-0005-0000-0000-000023200000}"/>
    <cellStyle name="Normal 9 3 4 2 2" xfId="3234" xr:uid="{00000000-0005-0000-0000-000024200000}"/>
    <cellStyle name="Normal 9 3 4 2 2 2" xfId="7457" xr:uid="{00000000-0005-0000-0000-000025200000}"/>
    <cellStyle name="Normal 9 3 4 2 2 2 2" xfId="32756" xr:uid="{D4C4AEC2-7B99-42D9-B3B8-08B5FD30583D}"/>
    <cellStyle name="Normal 9 3 4 2 2 2 3" xfId="24327" xr:uid="{BDDC789D-7501-4A8D-BBD1-9384A8E9FA6B}"/>
    <cellStyle name="Normal 9 3 4 2 2 2 4" xfId="41184" xr:uid="{FF5FBEDD-CCF4-44B0-A4A6-70C33B28BE6F}"/>
    <cellStyle name="Normal 9 3 4 2 2 2 5" xfId="15892" xr:uid="{610F0C9B-0AA3-45E3-89E5-1E945F563CD8}"/>
    <cellStyle name="Normal 9 3 4 2 2 3" xfId="28538" xr:uid="{21468708-805C-4A56-A576-BAF6EDB0C23E}"/>
    <cellStyle name="Normal 9 3 4 2 2 4" xfId="20109" xr:uid="{5EB1752A-611D-42CA-922A-15BFB457E0ED}"/>
    <cellStyle name="Normal 9 3 4 2 2 5" xfId="36967" xr:uid="{5C2A8C85-EC66-40E5-AD1A-37E5C2CB21FF}"/>
    <cellStyle name="Normal 9 3 4 2 2 6" xfId="11674" xr:uid="{93D8F1E4-56D7-4CC0-B686-C767DFEB3E40}"/>
    <cellStyle name="Normal 9 3 4 2 3" xfId="5312" xr:uid="{00000000-0005-0000-0000-000026200000}"/>
    <cellStyle name="Normal 9 3 4 2 3 2" xfId="30611" xr:uid="{C150D2EF-6D48-46C7-BED6-2948313924F5}"/>
    <cellStyle name="Normal 9 3 4 2 3 3" xfId="22182" xr:uid="{409C8461-CEFA-4470-B4CD-309F9F1F5BAA}"/>
    <cellStyle name="Normal 9 3 4 2 3 4" xfId="39039" xr:uid="{9DB5FD47-99B9-4855-B19C-8A2674BF4137}"/>
    <cellStyle name="Normal 9 3 4 2 3 5" xfId="13747" xr:uid="{F5A29199-2776-4FE0-9AD4-E3D9BB4EC109}"/>
    <cellStyle name="Normal 9 3 4 2 4" xfId="26393" xr:uid="{7E82427A-A6DB-47DA-8755-9DD2E9751ACB}"/>
    <cellStyle name="Normal 9 3 4 2 5" xfId="17964" xr:uid="{4644AF89-D76D-45AC-9FFA-3E5BC1869034}"/>
    <cellStyle name="Normal 9 3 4 2 6" xfId="34822" xr:uid="{EA3D50C3-FF23-4359-9163-D81DFDEF326B}"/>
    <cellStyle name="Normal 9 3 4 2 7" xfId="9529" xr:uid="{BD7F9159-D8AE-4C30-B392-05B010EA4F3B}"/>
    <cellStyle name="Normal 9 3 4 3" xfId="1417" xr:uid="{00000000-0005-0000-0000-000027200000}"/>
    <cellStyle name="Normal 9 3 4 3 2" xfId="3647" xr:uid="{00000000-0005-0000-0000-000028200000}"/>
    <cellStyle name="Normal 9 3 4 3 2 2" xfId="7870" xr:uid="{00000000-0005-0000-0000-000029200000}"/>
    <cellStyle name="Normal 9 3 4 3 2 2 2" xfId="33169" xr:uid="{2D55B31B-74F4-49EE-9D4A-27331478CCD7}"/>
    <cellStyle name="Normal 9 3 4 3 2 2 3" xfId="24740" xr:uid="{19DF31A9-A101-47C2-8CF5-1B4C14A37F5B}"/>
    <cellStyle name="Normal 9 3 4 3 2 2 4" xfId="41597" xr:uid="{866BF841-BD00-4615-95B1-6F9F42145391}"/>
    <cellStyle name="Normal 9 3 4 3 2 2 5" xfId="16305" xr:uid="{13D7FA4A-3C7F-41ED-B9EF-597AA607F8EF}"/>
    <cellStyle name="Normal 9 3 4 3 2 3" xfId="28951" xr:uid="{F39D914F-25B0-42C1-9644-F2B86229EA19}"/>
    <cellStyle name="Normal 9 3 4 3 2 4" xfId="20522" xr:uid="{C8E88155-4DA9-4B40-BDCA-3EFB2578F5FB}"/>
    <cellStyle name="Normal 9 3 4 3 2 5" xfId="37380" xr:uid="{22682D46-A5C1-4262-940D-BF55C19278DE}"/>
    <cellStyle name="Normal 9 3 4 3 2 6" xfId="12087" xr:uid="{34EAC76C-43E6-4D4F-9184-5C0C2A92D1AD}"/>
    <cellStyle name="Normal 9 3 4 3 3" xfId="5725" xr:uid="{00000000-0005-0000-0000-00002A200000}"/>
    <cellStyle name="Normal 9 3 4 3 3 2" xfId="31024" xr:uid="{954CB86F-7254-4D53-9348-D21491B09883}"/>
    <cellStyle name="Normal 9 3 4 3 3 3" xfId="22595" xr:uid="{99B9D1DB-72CB-4D66-B1CE-AC15250F2B0E}"/>
    <cellStyle name="Normal 9 3 4 3 3 4" xfId="39452" xr:uid="{6B9E99AA-3EA9-4E4F-8F6A-6C06E264E8D1}"/>
    <cellStyle name="Normal 9 3 4 3 3 5" xfId="14160" xr:uid="{F00BA666-3D06-450C-A97F-1E2CF8CC5101}"/>
    <cellStyle name="Normal 9 3 4 3 4" xfId="26806" xr:uid="{55AA9CFC-9231-4E41-98E9-904357234001}"/>
    <cellStyle name="Normal 9 3 4 3 5" xfId="18377" xr:uid="{69FDC89E-32C5-45CC-BF32-2F40A1B738EA}"/>
    <cellStyle name="Normal 9 3 4 3 6" xfId="35235" xr:uid="{E3F4C3F7-863E-492D-97D1-2364FCD9FDDA}"/>
    <cellStyle name="Normal 9 3 4 3 7" xfId="9942" xr:uid="{4923C761-2C49-4381-BE3B-1EC2336838E5}"/>
    <cellStyle name="Normal 9 3 4 4" xfId="1830" xr:uid="{00000000-0005-0000-0000-00002B200000}"/>
    <cellStyle name="Normal 9 3 4 4 2" xfId="4060" xr:uid="{00000000-0005-0000-0000-00002C200000}"/>
    <cellStyle name="Normal 9 3 4 4 2 2" xfId="8283" xr:uid="{00000000-0005-0000-0000-00002D200000}"/>
    <cellStyle name="Normal 9 3 4 4 2 2 2" xfId="33582" xr:uid="{60E1B15E-8332-4000-887C-915F87581EC7}"/>
    <cellStyle name="Normal 9 3 4 4 2 2 3" xfId="25153" xr:uid="{EA39B6DC-032E-46F4-BA17-62B1DBD4C601}"/>
    <cellStyle name="Normal 9 3 4 4 2 2 4" xfId="42010" xr:uid="{3123A627-11E2-42CD-B1B5-3B8BEC1763A4}"/>
    <cellStyle name="Normal 9 3 4 4 2 2 5" xfId="16718" xr:uid="{EC88047E-FA6E-4347-9522-A921C1F329E4}"/>
    <cellStyle name="Normal 9 3 4 4 2 3" xfId="29364" xr:uid="{F5070755-FD2A-4373-B521-373E8B28BA92}"/>
    <cellStyle name="Normal 9 3 4 4 2 4" xfId="20935" xr:uid="{6D82C4EC-B0DD-47CF-95E5-3E3D9B111CC7}"/>
    <cellStyle name="Normal 9 3 4 4 2 5" xfId="37793" xr:uid="{88BAD936-15C7-40AF-8AB8-3AA4300B721A}"/>
    <cellStyle name="Normal 9 3 4 4 2 6" xfId="12500" xr:uid="{96DCF278-A170-44E9-97A4-9B27D90B591D}"/>
    <cellStyle name="Normal 9 3 4 4 3" xfId="6138" xr:uid="{00000000-0005-0000-0000-00002E200000}"/>
    <cellStyle name="Normal 9 3 4 4 3 2" xfId="31437" xr:uid="{52B73987-0993-43D8-974D-0E50E333134A}"/>
    <cellStyle name="Normal 9 3 4 4 3 3" xfId="23008" xr:uid="{591B9481-ADBE-4880-9A03-6517E503A4B5}"/>
    <cellStyle name="Normal 9 3 4 4 3 4" xfId="39865" xr:uid="{BA4D0CE4-872C-42A5-A92B-32CD86D80DBB}"/>
    <cellStyle name="Normal 9 3 4 4 3 5" xfId="14573" xr:uid="{7AB53892-9076-443D-863C-F62407764B0C}"/>
    <cellStyle name="Normal 9 3 4 4 4" xfId="27219" xr:uid="{8F62A2DF-7C16-4AE4-840E-FF38F778C9ED}"/>
    <cellStyle name="Normal 9 3 4 4 5" xfId="18790" xr:uid="{1F35F2CD-B517-407D-B515-548FAE2A9523}"/>
    <cellStyle name="Normal 9 3 4 4 6" xfId="35648" xr:uid="{F9BC2A99-B856-42E3-87DE-816E464D3813}"/>
    <cellStyle name="Normal 9 3 4 4 7" xfId="10355" xr:uid="{25D9ED4A-05A0-4C11-BF79-8C55C0401654}"/>
    <cellStyle name="Normal 9 3 4 5" xfId="2244" xr:uid="{00000000-0005-0000-0000-00002F200000}"/>
    <cellStyle name="Normal 9 3 4 5 2" xfId="4473" xr:uid="{00000000-0005-0000-0000-000030200000}"/>
    <cellStyle name="Normal 9 3 4 5 2 2" xfId="8696" xr:uid="{00000000-0005-0000-0000-000031200000}"/>
    <cellStyle name="Normal 9 3 4 5 2 2 2" xfId="33995" xr:uid="{88622B1A-1033-4B0B-B502-4BD12A1EF2AF}"/>
    <cellStyle name="Normal 9 3 4 5 2 2 3" xfId="25566" xr:uid="{DFFB265B-092F-4B58-8011-E5D85C316BFD}"/>
    <cellStyle name="Normal 9 3 4 5 2 2 4" xfId="42423" xr:uid="{D53FD48F-A844-4AF2-9682-EE0DE147322C}"/>
    <cellStyle name="Normal 9 3 4 5 2 2 5" xfId="17131" xr:uid="{B915A76E-41D8-42F5-853D-9F4E7EFCB05C}"/>
    <cellStyle name="Normal 9 3 4 5 2 3" xfId="29777" xr:uid="{326E4FF2-4DF0-49D8-B58C-07FE9F0C246C}"/>
    <cellStyle name="Normal 9 3 4 5 2 4" xfId="21348" xr:uid="{228A7139-963D-416C-9E63-F95C969A3066}"/>
    <cellStyle name="Normal 9 3 4 5 2 5" xfId="38206" xr:uid="{B1679BA4-7F35-41EB-98F9-79BB1E6A621B}"/>
    <cellStyle name="Normal 9 3 4 5 2 6" xfId="12913" xr:uid="{B4C0ADF1-97A7-4191-839B-E3BEF72C4747}"/>
    <cellStyle name="Normal 9 3 4 5 3" xfId="6551" xr:uid="{00000000-0005-0000-0000-000032200000}"/>
    <cellStyle name="Normal 9 3 4 5 3 2" xfId="31850" xr:uid="{CFE7D2E3-CB0A-4893-91C3-B2640E508F5C}"/>
    <cellStyle name="Normal 9 3 4 5 3 3" xfId="23421" xr:uid="{B1D71267-9A54-4E34-B211-529FE71857BD}"/>
    <cellStyle name="Normal 9 3 4 5 3 4" xfId="40278" xr:uid="{9335E278-B682-49F0-BC05-A6810AC540AF}"/>
    <cellStyle name="Normal 9 3 4 5 3 5" xfId="14986" xr:uid="{70B509ED-D255-476E-8A91-1A047EAA2281}"/>
    <cellStyle name="Normal 9 3 4 5 4" xfId="27632" xr:uid="{784A54A4-22CF-4E58-AEB7-4776E132A9FC}"/>
    <cellStyle name="Normal 9 3 4 5 5" xfId="19203" xr:uid="{D3C6B457-2127-456E-8EA9-C312E482DA90}"/>
    <cellStyle name="Normal 9 3 4 5 6" xfId="36061" xr:uid="{8DCCEDE3-1DBA-4B08-843B-B30643DC648F}"/>
    <cellStyle name="Normal 9 3 4 5 7" xfId="10768" xr:uid="{92ACC33E-D483-4748-8201-DA6354FCC613}"/>
    <cellStyle name="Normal 9 3 4 6" xfId="2680" xr:uid="{00000000-0005-0000-0000-000033200000}"/>
    <cellStyle name="Normal 9 3 4 6 2" xfId="6964" xr:uid="{00000000-0005-0000-0000-000034200000}"/>
    <cellStyle name="Normal 9 3 4 6 2 2" xfId="32263" xr:uid="{D899E71A-45C6-4164-ABB5-DBE72AE91F40}"/>
    <cellStyle name="Normal 9 3 4 6 2 3" xfId="23834" xr:uid="{C9DEEB6F-A0EA-49F7-BA8C-945DCEE50E38}"/>
    <cellStyle name="Normal 9 3 4 6 2 4" xfId="40691" xr:uid="{4142692E-2AEC-40E2-9158-0E333BAE1932}"/>
    <cellStyle name="Normal 9 3 4 6 2 5" xfId="15399" xr:uid="{6EA77F17-0E84-4F09-B174-DF6D9ACF2DE5}"/>
    <cellStyle name="Normal 9 3 4 6 3" xfId="28045" xr:uid="{FC885503-5EBF-4354-A97B-1DEB6ABE2612}"/>
    <cellStyle name="Normal 9 3 4 6 4" xfId="19616" xr:uid="{58279C53-EF1F-4F79-9D8D-001DCD28D40C}"/>
    <cellStyle name="Normal 9 3 4 6 5" xfId="36474" xr:uid="{3BAAA8FF-C93C-4C2A-A417-D3E6238FD9FB}"/>
    <cellStyle name="Normal 9 3 4 6 6" xfId="11181" xr:uid="{A1702008-8B1A-442B-9238-3ABC72EA6122}"/>
    <cellStyle name="Normal 9 3 4 7" xfId="4899" xr:uid="{00000000-0005-0000-0000-000035200000}"/>
    <cellStyle name="Normal 9 3 4 7 2" xfId="30198" xr:uid="{40C9C4CE-F8BF-48B3-A1A6-CA2E8E95669B}"/>
    <cellStyle name="Normal 9 3 4 7 3" xfId="21769" xr:uid="{C3455DB8-7081-4A9A-91AB-E16C9975553D}"/>
    <cellStyle name="Normal 9 3 4 7 4" xfId="38626" xr:uid="{BE510513-282B-4E8A-B21F-1EF265860E00}"/>
    <cellStyle name="Normal 9 3 4 7 5" xfId="13334" xr:uid="{E5A86442-5A3A-4DFE-BB91-F316653A1F37}"/>
    <cellStyle name="Normal 9 3 4 8" xfId="25980" xr:uid="{B76896F7-BFA9-4239-BF97-E9595A3D091C}"/>
    <cellStyle name="Normal 9 3 4 9" xfId="17551" xr:uid="{AFA72F20-4DDF-4E67-82EF-0B691714B0FB}"/>
    <cellStyle name="Normal 9 3 5" xfId="994" xr:uid="{00000000-0005-0000-0000-000036200000}"/>
    <cellStyle name="Normal 9 3 5 2" xfId="3227" xr:uid="{00000000-0005-0000-0000-000037200000}"/>
    <cellStyle name="Normal 9 3 5 2 2" xfId="7450" xr:uid="{00000000-0005-0000-0000-000038200000}"/>
    <cellStyle name="Normal 9 3 5 2 2 2" xfId="32749" xr:uid="{B397CCD7-426F-4634-9D63-726DA9BF1A5F}"/>
    <cellStyle name="Normal 9 3 5 2 2 3" xfId="24320" xr:uid="{E27A10D1-02BA-4046-95C0-32F081C9F722}"/>
    <cellStyle name="Normal 9 3 5 2 2 4" xfId="41177" xr:uid="{9C61E93D-7760-4FED-81A6-E15712DB572C}"/>
    <cellStyle name="Normal 9 3 5 2 2 5" xfId="15885" xr:uid="{89FC9309-AB56-4A0A-BEF1-655E4E8EBC8D}"/>
    <cellStyle name="Normal 9 3 5 2 3" xfId="28531" xr:uid="{A5A42E4E-ABB7-47F6-A778-9A0AD206B50C}"/>
    <cellStyle name="Normal 9 3 5 2 4" xfId="20102" xr:uid="{FB92612A-03AC-4515-9F8B-0D5B4D52EB38}"/>
    <cellStyle name="Normal 9 3 5 2 5" xfId="36960" xr:uid="{86D40D16-30A5-44CB-89CC-9B67E1CF4D84}"/>
    <cellStyle name="Normal 9 3 5 2 6" xfId="11667" xr:uid="{57E2C959-354F-482E-B0CD-90C43032F43E}"/>
    <cellStyle name="Normal 9 3 5 3" xfId="5305" xr:uid="{00000000-0005-0000-0000-000039200000}"/>
    <cellStyle name="Normal 9 3 5 3 2" xfId="30604" xr:uid="{901313A2-178A-4C8F-A485-CE5B978F3F07}"/>
    <cellStyle name="Normal 9 3 5 3 3" xfId="22175" xr:uid="{C01B283F-1ABC-452C-90B1-F68F414BB092}"/>
    <cellStyle name="Normal 9 3 5 3 4" xfId="39032" xr:uid="{FA41F416-9881-4CC1-ABCF-CBB94887D282}"/>
    <cellStyle name="Normal 9 3 5 3 5" xfId="13740" xr:uid="{2A4A95C3-CF18-48F5-9C45-E2277B575CEB}"/>
    <cellStyle name="Normal 9 3 5 4" xfId="26386" xr:uid="{6236D224-138C-4D8E-9981-27105E643AF1}"/>
    <cellStyle name="Normal 9 3 5 5" xfId="17957" xr:uid="{C04AFF16-20BF-4212-9C08-BAB49DFB04ED}"/>
    <cellStyle name="Normal 9 3 5 6" xfId="34815" xr:uid="{2A77B765-DD48-463F-BCD0-2C691E53575D}"/>
    <cellStyle name="Normal 9 3 5 7" xfId="9522" xr:uid="{06D47F58-A13D-4493-85DA-9DB68432EFEF}"/>
    <cellStyle name="Normal 9 3 6" xfId="1410" xr:uid="{00000000-0005-0000-0000-00003A200000}"/>
    <cellStyle name="Normal 9 3 6 2" xfId="3640" xr:uid="{00000000-0005-0000-0000-00003B200000}"/>
    <cellStyle name="Normal 9 3 6 2 2" xfId="7863" xr:uid="{00000000-0005-0000-0000-00003C200000}"/>
    <cellStyle name="Normal 9 3 6 2 2 2" xfId="33162" xr:uid="{6F2144D0-E496-4C03-9FFA-83411973BDA1}"/>
    <cellStyle name="Normal 9 3 6 2 2 3" xfId="24733" xr:uid="{D4B83AC1-3A97-4FAC-A057-DC76CA78708F}"/>
    <cellStyle name="Normal 9 3 6 2 2 4" xfId="41590" xr:uid="{7F380AB0-1B92-43AE-8C46-D9D36FA4395E}"/>
    <cellStyle name="Normal 9 3 6 2 2 5" xfId="16298" xr:uid="{F6A64D9B-1047-4C59-8F2A-2BDC083F39B4}"/>
    <cellStyle name="Normal 9 3 6 2 3" xfId="28944" xr:uid="{D8FC4825-D4A3-4A20-BAD6-8B1D949F61D9}"/>
    <cellStyle name="Normal 9 3 6 2 4" xfId="20515" xr:uid="{D0F58564-0838-43C7-8E1A-D4757E66212F}"/>
    <cellStyle name="Normal 9 3 6 2 5" xfId="37373" xr:uid="{C5672D4A-39F0-47C1-8B46-0C3737B2A85C}"/>
    <cellStyle name="Normal 9 3 6 2 6" xfId="12080" xr:uid="{994C115F-A8D2-45B3-9FBD-7A924B0DE1FE}"/>
    <cellStyle name="Normal 9 3 6 3" xfId="5718" xr:uid="{00000000-0005-0000-0000-00003D200000}"/>
    <cellStyle name="Normal 9 3 6 3 2" xfId="31017" xr:uid="{1D4F1C3A-CE25-4837-BCC3-99263D81DFB5}"/>
    <cellStyle name="Normal 9 3 6 3 3" xfId="22588" xr:uid="{44B97378-3AC9-41FB-B743-D103D23EE2D9}"/>
    <cellStyle name="Normal 9 3 6 3 4" xfId="39445" xr:uid="{FEC64DD1-6F00-422B-BBFA-74430AAFA82E}"/>
    <cellStyle name="Normal 9 3 6 3 5" xfId="14153" xr:uid="{C8401ABB-3678-45C6-AC66-6ED95EA1AF1B}"/>
    <cellStyle name="Normal 9 3 6 4" xfId="26799" xr:uid="{158FC5FC-E36C-4EA7-B605-0184B65CC8AF}"/>
    <cellStyle name="Normal 9 3 6 5" xfId="18370" xr:uid="{12B503B7-FC5C-43C8-ADD9-AF2CD95A5914}"/>
    <cellStyle name="Normal 9 3 6 6" xfId="35228" xr:uid="{AEC0A6FA-7AD6-4B95-A4ED-2782BE4E8E11}"/>
    <cellStyle name="Normal 9 3 6 7" xfId="9935" xr:uid="{9E32E823-BF15-4142-89EF-ECEC3DE34A9C}"/>
    <cellStyle name="Normal 9 3 7" xfId="1823" xr:uid="{00000000-0005-0000-0000-00003E200000}"/>
    <cellStyle name="Normal 9 3 7 2" xfId="4053" xr:uid="{00000000-0005-0000-0000-00003F200000}"/>
    <cellStyle name="Normal 9 3 7 2 2" xfId="8276" xr:uid="{00000000-0005-0000-0000-000040200000}"/>
    <cellStyle name="Normal 9 3 7 2 2 2" xfId="33575" xr:uid="{B4E333CF-CE0F-4D07-B53A-039D0EDC7F2A}"/>
    <cellStyle name="Normal 9 3 7 2 2 3" xfId="25146" xr:uid="{CE7308A4-01C8-49E4-9633-083CA6D8ACF7}"/>
    <cellStyle name="Normal 9 3 7 2 2 4" xfId="42003" xr:uid="{78E38AD6-17AC-4D55-A92E-A047BD44DC8E}"/>
    <cellStyle name="Normal 9 3 7 2 2 5" xfId="16711" xr:uid="{975A556D-520F-4A17-8824-E17078BBD6C3}"/>
    <cellStyle name="Normal 9 3 7 2 3" xfId="29357" xr:uid="{107F5A03-A1C3-428D-A3CB-B9A5CEAA9659}"/>
    <cellStyle name="Normal 9 3 7 2 4" xfId="20928" xr:uid="{04416C36-7480-4140-8ECA-42E1928D0E5B}"/>
    <cellStyle name="Normal 9 3 7 2 5" xfId="37786" xr:uid="{6C5C1015-4900-4448-8BCE-B2DE1B909748}"/>
    <cellStyle name="Normal 9 3 7 2 6" xfId="12493" xr:uid="{40889D80-4F48-4EFF-8EBF-6DDBAC1F5A73}"/>
    <cellStyle name="Normal 9 3 7 3" xfId="6131" xr:uid="{00000000-0005-0000-0000-000041200000}"/>
    <cellStyle name="Normal 9 3 7 3 2" xfId="31430" xr:uid="{0A51816B-1F53-4B38-AA93-7CC49CC2E5C7}"/>
    <cellStyle name="Normal 9 3 7 3 3" xfId="23001" xr:uid="{699D01FB-8126-4239-ADCB-92FFFC227EE9}"/>
    <cellStyle name="Normal 9 3 7 3 4" xfId="39858" xr:uid="{C737A699-31BE-4B9F-A762-55EDEBCE77DD}"/>
    <cellStyle name="Normal 9 3 7 3 5" xfId="14566" xr:uid="{1FC1C8F6-C814-4AAC-89D5-85EC89F658FB}"/>
    <cellStyle name="Normal 9 3 7 4" xfId="27212" xr:uid="{34919D83-535D-405E-BCFE-618F1DCACBC5}"/>
    <cellStyle name="Normal 9 3 7 5" xfId="18783" xr:uid="{D125EB08-5A0A-40E2-A452-F7C09E3B9EFF}"/>
    <cellStyle name="Normal 9 3 7 6" xfId="35641" xr:uid="{FFFD39B6-CD79-48B4-923B-CE8937629397}"/>
    <cellStyle name="Normal 9 3 7 7" xfId="10348" xr:uid="{EDC35757-DFBC-414B-B6DF-A41473365B70}"/>
    <cellStyle name="Normal 9 3 8" xfId="2237" xr:uid="{00000000-0005-0000-0000-000042200000}"/>
    <cellStyle name="Normal 9 3 8 2" xfId="4466" xr:uid="{00000000-0005-0000-0000-000043200000}"/>
    <cellStyle name="Normal 9 3 8 2 2" xfId="8689" xr:uid="{00000000-0005-0000-0000-000044200000}"/>
    <cellStyle name="Normal 9 3 8 2 2 2" xfId="33988" xr:uid="{ED1C16B6-89DB-4525-AAFE-605CEE9E7163}"/>
    <cellStyle name="Normal 9 3 8 2 2 3" xfId="25559" xr:uid="{DF009FBA-0588-45CD-9F34-1C551E3DD5CD}"/>
    <cellStyle name="Normal 9 3 8 2 2 4" xfId="42416" xr:uid="{94318036-6DF0-40C4-B4E2-7C3B9BF10B7B}"/>
    <cellStyle name="Normal 9 3 8 2 2 5" xfId="17124" xr:uid="{AE192D17-31A4-4C2C-A622-721B79200105}"/>
    <cellStyle name="Normal 9 3 8 2 3" xfId="29770" xr:uid="{25D44BB6-616E-4BFB-BF89-A6EA84D3432B}"/>
    <cellStyle name="Normal 9 3 8 2 4" xfId="21341" xr:uid="{4712E423-5770-483C-80DC-FD973F318371}"/>
    <cellStyle name="Normal 9 3 8 2 5" xfId="38199" xr:uid="{7CA64147-9B05-455E-A7A0-1B962DD71283}"/>
    <cellStyle name="Normal 9 3 8 2 6" xfId="12906" xr:uid="{B8388BC7-FA14-43B1-906F-2C7DF3091BBA}"/>
    <cellStyle name="Normal 9 3 8 3" xfId="6544" xr:uid="{00000000-0005-0000-0000-000045200000}"/>
    <cellStyle name="Normal 9 3 8 3 2" xfId="31843" xr:uid="{B09D65AA-0535-4B5A-9D54-8341429C4B4C}"/>
    <cellStyle name="Normal 9 3 8 3 3" xfId="23414" xr:uid="{40F21980-58F8-4529-8336-FAD53EF2C6AE}"/>
    <cellStyle name="Normal 9 3 8 3 4" xfId="40271" xr:uid="{51C414A5-D458-48F1-ABC9-13607E83C1F2}"/>
    <cellStyle name="Normal 9 3 8 3 5" xfId="14979" xr:uid="{D887E9EF-0C07-42EC-9C4F-DC5F15FCC224}"/>
    <cellStyle name="Normal 9 3 8 4" xfId="27625" xr:uid="{F6C56D34-CE9F-4E27-959B-225D64AB13B2}"/>
    <cellStyle name="Normal 9 3 8 5" xfId="19196" xr:uid="{CD9B4543-4DE6-444B-AB38-387A60350E8B}"/>
    <cellStyle name="Normal 9 3 8 6" xfId="36054" xr:uid="{D4669B1D-5E8F-4A1B-8484-1A7EED270992}"/>
    <cellStyle name="Normal 9 3 8 7" xfId="10761" xr:uid="{35C27917-0AE3-466D-82EF-F92B7B54E80A}"/>
    <cellStyle name="Normal 9 3 9" xfId="2673" xr:uid="{00000000-0005-0000-0000-000046200000}"/>
    <cellStyle name="Normal 9 3 9 2" xfId="6957" xr:uid="{00000000-0005-0000-0000-000047200000}"/>
    <cellStyle name="Normal 9 3 9 2 2" xfId="32256" xr:uid="{844F2BBE-75EA-411D-8C6E-4B1FEC273FC7}"/>
    <cellStyle name="Normal 9 3 9 2 3" xfId="23827" xr:uid="{17AFD4DC-5A82-42EB-BFCE-EF36B52F5C75}"/>
    <cellStyle name="Normal 9 3 9 2 4" xfId="40684" xr:uid="{152131BD-F531-437A-86F7-9E011B47C366}"/>
    <cellStyle name="Normal 9 3 9 2 5" xfId="15392" xr:uid="{DB407F90-B268-4771-B0B0-DE19FFE20073}"/>
    <cellStyle name="Normal 9 3 9 3" xfId="28038" xr:uid="{E51B8168-EBEA-4E46-8E29-08590F6C3DFF}"/>
    <cellStyle name="Normal 9 3 9 4" xfId="19609" xr:uid="{450B7276-9ECF-4F89-95F2-847F163F1868}"/>
    <cellStyle name="Normal 9 3 9 5" xfId="36467" xr:uid="{914FE9D9-6564-44AC-9B98-0B131C8440C7}"/>
    <cellStyle name="Normal 9 3 9 6" xfId="11174" xr:uid="{96A2701A-E37D-4B6A-81A0-C414BCC50258}"/>
    <cellStyle name="Normal 9 4" xfId="535" xr:uid="{00000000-0005-0000-0000-000048200000}"/>
    <cellStyle name="Normal 9 4 2" xfId="1002" xr:uid="{00000000-0005-0000-0000-000049200000}"/>
    <cellStyle name="Normal 9 5" xfId="536" xr:uid="{00000000-0005-0000-0000-00004A200000}"/>
    <cellStyle name="Normal 9 5 10" xfId="17552" xr:uid="{374E11BC-F6E8-4441-BDFB-9FF47A3697A9}"/>
    <cellStyle name="Normal 9 5 11" xfId="34410" xr:uid="{16F924AB-1D52-4D9A-A0EF-B26F6B52044A}"/>
    <cellStyle name="Normal 9 5 12" xfId="9117" xr:uid="{9B51750E-6E0A-4D1F-8BA7-F79E46DA7382}"/>
    <cellStyle name="Normal 9 5 2" xfId="537" xr:uid="{00000000-0005-0000-0000-00004B200000}"/>
    <cellStyle name="Normal 9 5 2 10" xfId="34411" xr:uid="{C896F1D1-E37B-49E8-B427-CAA430C50421}"/>
    <cellStyle name="Normal 9 5 2 11" xfId="9118" xr:uid="{3372BF48-2ECB-44E2-BEDD-4BF19CA1688D}"/>
    <cellStyle name="Normal 9 5 2 2" xfId="1004" xr:uid="{00000000-0005-0000-0000-00004C200000}"/>
    <cellStyle name="Normal 9 5 2 2 2" xfId="3236" xr:uid="{00000000-0005-0000-0000-00004D200000}"/>
    <cellStyle name="Normal 9 5 2 2 2 2" xfId="7459" xr:uid="{00000000-0005-0000-0000-00004E200000}"/>
    <cellStyle name="Normal 9 5 2 2 2 2 2" xfId="32758" xr:uid="{04B19F67-D1B1-4B3D-9927-7810B5423F56}"/>
    <cellStyle name="Normal 9 5 2 2 2 2 3" xfId="24329" xr:uid="{4B290DA7-C21C-4298-84A5-9E9729BB4F49}"/>
    <cellStyle name="Normal 9 5 2 2 2 2 4" xfId="41186" xr:uid="{79880C09-5B74-4BF1-80EF-3D526A4FC40C}"/>
    <cellStyle name="Normal 9 5 2 2 2 2 5" xfId="15894" xr:uid="{79C55C27-18DC-46C4-BB27-442050EBCAAF}"/>
    <cellStyle name="Normal 9 5 2 2 2 3" xfId="28540" xr:uid="{1D6F66A8-3F74-4E53-8CC3-BEA35F7FF3A4}"/>
    <cellStyle name="Normal 9 5 2 2 2 4" xfId="20111" xr:uid="{70FA6667-6BE9-4EA4-8BA5-7ECF011C3098}"/>
    <cellStyle name="Normal 9 5 2 2 2 5" xfId="36969" xr:uid="{C6488599-77FE-4108-AF72-BD0AB2811DC8}"/>
    <cellStyle name="Normal 9 5 2 2 2 6" xfId="11676" xr:uid="{F0465DDD-9736-4638-AC6C-873C89FC705D}"/>
    <cellStyle name="Normal 9 5 2 2 3" xfId="5314" xr:uid="{00000000-0005-0000-0000-00004F200000}"/>
    <cellStyle name="Normal 9 5 2 2 3 2" xfId="30613" xr:uid="{2F05C595-4FBA-4A76-A43B-4795133F3BA6}"/>
    <cellStyle name="Normal 9 5 2 2 3 3" xfId="22184" xr:uid="{47971E53-3ACB-48F6-84B0-04A953D82CBA}"/>
    <cellStyle name="Normal 9 5 2 2 3 4" xfId="39041" xr:uid="{1C6365C8-9FAD-41A1-9AF7-4B3F56FCD9EA}"/>
    <cellStyle name="Normal 9 5 2 2 3 5" xfId="13749" xr:uid="{E40B02D4-F221-45A6-9592-94EEB3901EFE}"/>
    <cellStyle name="Normal 9 5 2 2 4" xfId="26395" xr:uid="{BB6AB755-0BED-41A6-AC3E-C92291102FB3}"/>
    <cellStyle name="Normal 9 5 2 2 5" xfId="17966" xr:uid="{D374C6EB-AEF2-4F9B-9E1B-7A509C530475}"/>
    <cellStyle name="Normal 9 5 2 2 6" xfId="34824" xr:uid="{6881373F-6A3F-4EEE-A364-DCFE60B6C2C0}"/>
    <cellStyle name="Normal 9 5 2 2 7" xfId="9531" xr:uid="{2D958340-D25E-4D4D-B765-1D71B53F14C7}"/>
    <cellStyle name="Normal 9 5 2 3" xfId="1419" xr:uid="{00000000-0005-0000-0000-000050200000}"/>
    <cellStyle name="Normal 9 5 2 3 2" xfId="3649" xr:uid="{00000000-0005-0000-0000-000051200000}"/>
    <cellStyle name="Normal 9 5 2 3 2 2" xfId="7872" xr:uid="{00000000-0005-0000-0000-000052200000}"/>
    <cellStyle name="Normal 9 5 2 3 2 2 2" xfId="33171" xr:uid="{0074A18F-EB63-4BFE-A01C-E0DBFEBC2A25}"/>
    <cellStyle name="Normal 9 5 2 3 2 2 3" xfId="24742" xr:uid="{D439A651-A564-45F5-BE25-686F30784EC8}"/>
    <cellStyle name="Normal 9 5 2 3 2 2 4" xfId="41599" xr:uid="{276F6977-A7A9-4A7E-92DE-6B0CAED7284A}"/>
    <cellStyle name="Normal 9 5 2 3 2 2 5" xfId="16307" xr:uid="{6E5A6E06-678F-4DB7-8906-CB0BE9EE09F4}"/>
    <cellStyle name="Normal 9 5 2 3 2 3" xfId="28953" xr:uid="{C338ADFD-37B4-4615-BCFE-20BC0CBE6D85}"/>
    <cellStyle name="Normal 9 5 2 3 2 4" xfId="20524" xr:uid="{E4EC017C-EF3B-47FE-A04F-9D176250B1F3}"/>
    <cellStyle name="Normal 9 5 2 3 2 5" xfId="37382" xr:uid="{D35C7DA8-0065-4547-B5B1-97E597C66BCC}"/>
    <cellStyle name="Normal 9 5 2 3 2 6" xfId="12089" xr:uid="{A7BEAAFA-5B18-4C08-8D1B-BA61DE574269}"/>
    <cellStyle name="Normal 9 5 2 3 3" xfId="5727" xr:uid="{00000000-0005-0000-0000-000053200000}"/>
    <cellStyle name="Normal 9 5 2 3 3 2" xfId="31026" xr:uid="{68304514-492D-4823-BDE2-91A48F651187}"/>
    <cellStyle name="Normal 9 5 2 3 3 3" xfId="22597" xr:uid="{DF9C1AC3-4FBA-4903-9634-B37C9E8769CA}"/>
    <cellStyle name="Normal 9 5 2 3 3 4" xfId="39454" xr:uid="{F81098BF-62F3-45C6-BB22-1E7F97E95897}"/>
    <cellStyle name="Normal 9 5 2 3 3 5" xfId="14162" xr:uid="{56FBF6BD-744A-4BA5-981F-6B5C44F07CAB}"/>
    <cellStyle name="Normal 9 5 2 3 4" xfId="26808" xr:uid="{AD13A746-0AE8-4ADC-8FA3-1CB08F5F966A}"/>
    <cellStyle name="Normal 9 5 2 3 5" xfId="18379" xr:uid="{731E393B-75C5-45C4-8F7B-87AA8AB8C16A}"/>
    <cellStyle name="Normal 9 5 2 3 6" xfId="35237" xr:uid="{F1A29885-2DCA-4D50-9B1D-830A9A6159E7}"/>
    <cellStyle name="Normal 9 5 2 3 7" xfId="9944" xr:uid="{22B57568-C10A-4696-877D-4A9DE5C33E2F}"/>
    <cellStyle name="Normal 9 5 2 4" xfId="1832" xr:uid="{00000000-0005-0000-0000-000054200000}"/>
    <cellStyle name="Normal 9 5 2 4 2" xfId="4062" xr:uid="{00000000-0005-0000-0000-000055200000}"/>
    <cellStyle name="Normal 9 5 2 4 2 2" xfId="8285" xr:uid="{00000000-0005-0000-0000-000056200000}"/>
    <cellStyle name="Normal 9 5 2 4 2 2 2" xfId="33584" xr:uid="{9B467E49-4487-4072-896C-6799A49F348A}"/>
    <cellStyle name="Normal 9 5 2 4 2 2 3" xfId="25155" xr:uid="{E32C8DF3-27BB-44B8-846F-6348EE15224E}"/>
    <cellStyle name="Normal 9 5 2 4 2 2 4" xfId="42012" xr:uid="{10E9DF5F-A907-4DFD-AC0D-19FE4B143C00}"/>
    <cellStyle name="Normal 9 5 2 4 2 2 5" xfId="16720" xr:uid="{35F55126-249F-4AA3-A956-46A05512B7E0}"/>
    <cellStyle name="Normal 9 5 2 4 2 3" xfId="29366" xr:uid="{B2DFF1B4-7836-45D2-9C3D-08A01314489F}"/>
    <cellStyle name="Normal 9 5 2 4 2 4" xfId="20937" xr:uid="{4418FEDB-56A7-429B-AEEE-5ED015072ED2}"/>
    <cellStyle name="Normal 9 5 2 4 2 5" xfId="37795" xr:uid="{BE5F5237-8356-460A-B5FF-980E705E2E79}"/>
    <cellStyle name="Normal 9 5 2 4 2 6" xfId="12502" xr:uid="{62556AB4-79F7-4A97-AC1D-E7A764F1594B}"/>
    <cellStyle name="Normal 9 5 2 4 3" xfId="6140" xr:uid="{00000000-0005-0000-0000-000057200000}"/>
    <cellStyle name="Normal 9 5 2 4 3 2" xfId="31439" xr:uid="{0C5742BF-BA6D-4E5D-81BE-986AAF236176}"/>
    <cellStyle name="Normal 9 5 2 4 3 3" xfId="23010" xr:uid="{9598E0E4-A0DB-4D49-9D52-A0A7E214A4BB}"/>
    <cellStyle name="Normal 9 5 2 4 3 4" xfId="39867" xr:uid="{58B76F91-7600-4BD4-BA0D-D1984B175C14}"/>
    <cellStyle name="Normal 9 5 2 4 3 5" xfId="14575" xr:uid="{B748C87F-4A86-4FE5-83DA-F5502032A6B3}"/>
    <cellStyle name="Normal 9 5 2 4 4" xfId="27221" xr:uid="{661AE76E-9221-4B02-A95F-557DA0570B69}"/>
    <cellStyle name="Normal 9 5 2 4 5" xfId="18792" xr:uid="{B6CF96EC-5C79-4CA7-A8D0-4A4871D4FD17}"/>
    <cellStyle name="Normal 9 5 2 4 6" xfId="35650" xr:uid="{6CAF5F47-FA83-461D-B45D-27F8A5F7815F}"/>
    <cellStyle name="Normal 9 5 2 4 7" xfId="10357" xr:uid="{F648E57F-E7B7-4CD9-A732-32A08E07E59A}"/>
    <cellStyle name="Normal 9 5 2 5" xfId="2246" xr:uid="{00000000-0005-0000-0000-000058200000}"/>
    <cellStyle name="Normal 9 5 2 5 2" xfId="4475" xr:uid="{00000000-0005-0000-0000-000059200000}"/>
    <cellStyle name="Normal 9 5 2 5 2 2" xfId="8698" xr:uid="{00000000-0005-0000-0000-00005A200000}"/>
    <cellStyle name="Normal 9 5 2 5 2 2 2" xfId="33997" xr:uid="{1ACF2F33-7CED-4A30-AFDC-BA637E332F75}"/>
    <cellStyle name="Normal 9 5 2 5 2 2 3" xfId="25568" xr:uid="{45C1AE42-94BC-4681-9C85-3BB4BDC84439}"/>
    <cellStyle name="Normal 9 5 2 5 2 2 4" xfId="42425" xr:uid="{A2D9BAF6-9652-4340-A2D3-5BC7DC08638B}"/>
    <cellStyle name="Normal 9 5 2 5 2 2 5" xfId="17133" xr:uid="{8B4E73AA-49F7-4897-B920-8876B50966C4}"/>
    <cellStyle name="Normal 9 5 2 5 2 3" xfId="29779" xr:uid="{F879E9C7-EED0-4C4E-9750-60688D77FE58}"/>
    <cellStyle name="Normal 9 5 2 5 2 4" xfId="21350" xr:uid="{2F972F6F-B4D9-452A-98C6-9CF46EF4BECA}"/>
    <cellStyle name="Normal 9 5 2 5 2 5" xfId="38208" xr:uid="{4A7CB3B8-88AB-443D-9B61-C521732CABC7}"/>
    <cellStyle name="Normal 9 5 2 5 2 6" xfId="12915" xr:uid="{3EBD8FD2-CE03-468F-BC4C-0D1F3172F2E8}"/>
    <cellStyle name="Normal 9 5 2 5 3" xfId="6553" xr:uid="{00000000-0005-0000-0000-00005B200000}"/>
    <cellStyle name="Normal 9 5 2 5 3 2" xfId="31852" xr:uid="{A6D2CDBA-A08E-4BD7-9C2D-6ABECA543989}"/>
    <cellStyle name="Normal 9 5 2 5 3 3" xfId="23423" xr:uid="{62953AA7-B93C-4832-A99E-DF272125D145}"/>
    <cellStyle name="Normal 9 5 2 5 3 4" xfId="40280" xr:uid="{68C9B1F7-4A15-4109-A5DB-6344AFC5D6EC}"/>
    <cellStyle name="Normal 9 5 2 5 3 5" xfId="14988" xr:uid="{F99E146A-4EE7-4DC2-857F-7AE4D4A669E4}"/>
    <cellStyle name="Normal 9 5 2 5 4" xfId="27634" xr:uid="{550130AF-7475-4DCF-BA7F-5CACE3E8B7E8}"/>
    <cellStyle name="Normal 9 5 2 5 5" xfId="19205" xr:uid="{9D18A117-16D4-4ED7-826D-28D8413DDAD3}"/>
    <cellStyle name="Normal 9 5 2 5 6" xfId="36063" xr:uid="{8CAF8E69-9C05-42CD-A36E-AFA463A4E189}"/>
    <cellStyle name="Normal 9 5 2 5 7" xfId="10770" xr:uid="{66E1E797-5ECD-4903-BDDB-5CB0118872B0}"/>
    <cellStyle name="Normal 9 5 2 6" xfId="2682" xr:uid="{00000000-0005-0000-0000-00005C200000}"/>
    <cellStyle name="Normal 9 5 2 6 2" xfId="6966" xr:uid="{00000000-0005-0000-0000-00005D200000}"/>
    <cellStyle name="Normal 9 5 2 6 2 2" xfId="32265" xr:uid="{AF2E356F-EAD7-4BAD-B74B-FD48DF99F795}"/>
    <cellStyle name="Normal 9 5 2 6 2 3" xfId="23836" xr:uid="{162A9548-2E97-4E57-A366-DAB6A5C51DFB}"/>
    <cellStyle name="Normal 9 5 2 6 2 4" xfId="40693" xr:uid="{6232031A-7FB8-4C80-BE96-F48FCC322B55}"/>
    <cellStyle name="Normal 9 5 2 6 2 5" xfId="15401" xr:uid="{07390591-4ECC-4A74-8FED-FFFE89CB4723}"/>
    <cellStyle name="Normal 9 5 2 6 3" xfId="28047" xr:uid="{C8249EAB-F277-4F6D-B56D-47CCBF81B14C}"/>
    <cellStyle name="Normal 9 5 2 6 4" xfId="19618" xr:uid="{6314CF02-6597-4709-A40F-F22D3F93CDD4}"/>
    <cellStyle name="Normal 9 5 2 6 5" xfId="36476" xr:uid="{C7F7B5CD-D25D-4AF6-96FC-16C805C03DF4}"/>
    <cellStyle name="Normal 9 5 2 6 6" xfId="11183" xr:uid="{0F5F4C1B-062C-4170-B40C-082A63C9E359}"/>
    <cellStyle name="Normal 9 5 2 7" xfId="4901" xr:uid="{00000000-0005-0000-0000-00005E200000}"/>
    <cellStyle name="Normal 9 5 2 7 2" xfId="30200" xr:uid="{BB19C079-96A2-4022-9F54-0C1AF21A2737}"/>
    <cellStyle name="Normal 9 5 2 7 3" xfId="21771" xr:uid="{E20E40E9-539C-41D9-8D02-00BFCC28A11C}"/>
    <cellStyle name="Normal 9 5 2 7 4" xfId="38628" xr:uid="{9F601178-713E-4BB8-940D-648CFD54C7A7}"/>
    <cellStyle name="Normal 9 5 2 7 5" xfId="13336" xr:uid="{3964025B-A035-4C1F-942E-8968E11509C3}"/>
    <cellStyle name="Normal 9 5 2 8" xfId="25982" xr:uid="{D5856C97-C54A-488A-A731-DC21ABD52D6D}"/>
    <cellStyle name="Normal 9 5 2 9" xfId="17553" xr:uid="{CF560B67-033D-4791-8872-D86557F3B2BF}"/>
    <cellStyle name="Normal 9 5 3" xfId="1003" xr:uid="{00000000-0005-0000-0000-00005F200000}"/>
    <cellStyle name="Normal 9 5 3 2" xfId="3235" xr:uid="{00000000-0005-0000-0000-000060200000}"/>
    <cellStyle name="Normal 9 5 3 2 2" xfId="7458" xr:uid="{00000000-0005-0000-0000-000061200000}"/>
    <cellStyle name="Normal 9 5 3 2 2 2" xfId="32757" xr:uid="{1EF57154-2F38-450E-AC75-615B78A3E6F8}"/>
    <cellStyle name="Normal 9 5 3 2 2 3" xfId="24328" xr:uid="{6FEA87C7-DE08-46AB-B834-67E52696D20A}"/>
    <cellStyle name="Normal 9 5 3 2 2 4" xfId="41185" xr:uid="{5869765F-2498-468A-9CD4-1F8C817E3984}"/>
    <cellStyle name="Normal 9 5 3 2 2 5" xfId="15893" xr:uid="{1E07B474-5127-4224-BA73-FBDB1A6ED327}"/>
    <cellStyle name="Normal 9 5 3 2 3" xfId="28539" xr:uid="{5E04640A-AB3B-45CE-B108-E47D116FBB72}"/>
    <cellStyle name="Normal 9 5 3 2 4" xfId="20110" xr:uid="{157C5857-1DE5-4469-A4E1-200A15682098}"/>
    <cellStyle name="Normal 9 5 3 2 5" xfId="36968" xr:uid="{610F979F-850D-4116-8E6F-821F757DE97A}"/>
    <cellStyle name="Normal 9 5 3 2 6" xfId="11675" xr:uid="{E61AE34E-66E3-4567-B2F5-BE96D4514EFB}"/>
    <cellStyle name="Normal 9 5 3 3" xfId="5313" xr:uid="{00000000-0005-0000-0000-000062200000}"/>
    <cellStyle name="Normal 9 5 3 3 2" xfId="30612" xr:uid="{CCB8F103-E58E-4BFD-B0F9-228C0BFC53D6}"/>
    <cellStyle name="Normal 9 5 3 3 3" xfId="22183" xr:uid="{CBFC164E-D187-46C6-8A7C-9E3A8B793CE2}"/>
    <cellStyle name="Normal 9 5 3 3 4" xfId="39040" xr:uid="{2ADCD90D-6083-4676-9172-BA4FF563F33D}"/>
    <cellStyle name="Normal 9 5 3 3 5" xfId="13748" xr:uid="{10D11B61-C435-435F-AFBA-E766B175BB9C}"/>
    <cellStyle name="Normal 9 5 3 4" xfId="26394" xr:uid="{214774E4-86F3-4673-BD4F-0495EC693215}"/>
    <cellStyle name="Normal 9 5 3 5" xfId="17965" xr:uid="{5F4C9368-156F-4CFA-A7FE-314592CD07E7}"/>
    <cellStyle name="Normal 9 5 3 6" xfId="34823" xr:uid="{4EBA7C4C-9B0C-4436-82D5-9C94AFC86C7D}"/>
    <cellStyle name="Normal 9 5 3 7" xfId="9530" xr:uid="{16803573-E45B-4872-B1BC-F856E3F186EC}"/>
    <cellStyle name="Normal 9 5 4" xfId="1418" xr:uid="{00000000-0005-0000-0000-000063200000}"/>
    <cellStyle name="Normal 9 5 4 2" xfId="3648" xr:uid="{00000000-0005-0000-0000-000064200000}"/>
    <cellStyle name="Normal 9 5 4 2 2" xfId="7871" xr:uid="{00000000-0005-0000-0000-000065200000}"/>
    <cellStyle name="Normal 9 5 4 2 2 2" xfId="33170" xr:uid="{2FD7B58B-4C23-4952-B93C-69AA93A90415}"/>
    <cellStyle name="Normal 9 5 4 2 2 3" xfId="24741" xr:uid="{E65055B0-3DBF-4805-94CB-35D1B7A618C1}"/>
    <cellStyle name="Normal 9 5 4 2 2 4" xfId="41598" xr:uid="{8CFF9FA9-7AF4-4D70-B0E7-DAC09705C022}"/>
    <cellStyle name="Normal 9 5 4 2 2 5" xfId="16306" xr:uid="{2D828425-F906-4583-AE8E-9A571E0EC0B5}"/>
    <cellStyle name="Normal 9 5 4 2 3" xfId="28952" xr:uid="{64ABAE22-074B-4E3E-9476-98F1F5644A86}"/>
    <cellStyle name="Normal 9 5 4 2 4" xfId="20523" xr:uid="{6247C941-831D-4908-B084-4D64063C4B64}"/>
    <cellStyle name="Normal 9 5 4 2 5" xfId="37381" xr:uid="{AA452D1F-DED5-46A2-ACE5-585E6E48392E}"/>
    <cellStyle name="Normal 9 5 4 2 6" xfId="12088" xr:uid="{662B182B-DFF5-4AA4-9788-7EE6C3C2EF6C}"/>
    <cellStyle name="Normal 9 5 4 3" xfId="5726" xr:uid="{00000000-0005-0000-0000-000066200000}"/>
    <cellStyle name="Normal 9 5 4 3 2" xfId="31025" xr:uid="{F163269E-A43F-49CE-93A0-3040B9AE064A}"/>
    <cellStyle name="Normal 9 5 4 3 3" xfId="22596" xr:uid="{597CEE18-63E8-4E94-B18F-D579AE308314}"/>
    <cellStyle name="Normal 9 5 4 3 4" xfId="39453" xr:uid="{DECEB119-88E3-426C-9DF3-764E3E400A79}"/>
    <cellStyle name="Normal 9 5 4 3 5" xfId="14161" xr:uid="{7D9A064C-11C3-41F0-A8E4-2F6A1E537414}"/>
    <cellStyle name="Normal 9 5 4 4" xfId="26807" xr:uid="{D8E2C876-361D-4B65-935B-AC1576E56FE2}"/>
    <cellStyle name="Normal 9 5 4 5" xfId="18378" xr:uid="{18AD80EF-CADD-4A9E-A425-66843EE897CA}"/>
    <cellStyle name="Normal 9 5 4 6" xfId="35236" xr:uid="{42E4C66C-9AEE-4A81-A80D-B99CCC967CC9}"/>
    <cellStyle name="Normal 9 5 4 7" xfId="9943" xr:uid="{770AC183-0C9F-4519-8549-BC6E8D9084D0}"/>
    <cellStyle name="Normal 9 5 5" xfId="1831" xr:uid="{00000000-0005-0000-0000-000067200000}"/>
    <cellStyle name="Normal 9 5 5 2" xfId="4061" xr:uid="{00000000-0005-0000-0000-000068200000}"/>
    <cellStyle name="Normal 9 5 5 2 2" xfId="8284" xr:uid="{00000000-0005-0000-0000-000069200000}"/>
    <cellStyle name="Normal 9 5 5 2 2 2" xfId="33583" xr:uid="{1304E0DA-BA38-4A40-B2DA-D6700413E532}"/>
    <cellStyle name="Normal 9 5 5 2 2 3" xfId="25154" xr:uid="{1A04A3FD-19AA-4A9E-913E-D71BBC85E03F}"/>
    <cellStyle name="Normal 9 5 5 2 2 4" xfId="42011" xr:uid="{201ED23E-96BB-4D3D-A11C-FE755E62CA82}"/>
    <cellStyle name="Normal 9 5 5 2 2 5" xfId="16719" xr:uid="{3B44BA94-2D79-4D6B-9C4E-058D5C78B547}"/>
    <cellStyle name="Normal 9 5 5 2 3" xfId="29365" xr:uid="{8B20AE26-DFE0-48D6-8441-3A18B99C9AE8}"/>
    <cellStyle name="Normal 9 5 5 2 4" xfId="20936" xr:uid="{E0B2F51A-C348-444B-94CC-D86277F09319}"/>
    <cellStyle name="Normal 9 5 5 2 5" xfId="37794" xr:uid="{15B2DFC3-7937-4A14-B574-31585EEDC976}"/>
    <cellStyle name="Normal 9 5 5 2 6" xfId="12501" xr:uid="{80CA3377-E5D1-4B92-9560-865D5887FCC8}"/>
    <cellStyle name="Normal 9 5 5 3" xfId="6139" xr:uid="{00000000-0005-0000-0000-00006A200000}"/>
    <cellStyle name="Normal 9 5 5 3 2" xfId="31438" xr:uid="{6BA8EBB5-9EAE-43D9-97CA-19C7C5726A3D}"/>
    <cellStyle name="Normal 9 5 5 3 3" xfId="23009" xr:uid="{0620D41B-DF29-40D2-B6AD-EEBCAE4B9A28}"/>
    <cellStyle name="Normal 9 5 5 3 4" xfId="39866" xr:uid="{00E983A4-11BC-4644-B0E1-4277535A6F02}"/>
    <cellStyle name="Normal 9 5 5 3 5" xfId="14574" xr:uid="{E6663D17-F089-4BD6-BA02-87A4799F97F9}"/>
    <cellStyle name="Normal 9 5 5 4" xfId="27220" xr:uid="{B80284F7-0910-4F98-8EDE-FA80C1D1D9EE}"/>
    <cellStyle name="Normal 9 5 5 5" xfId="18791" xr:uid="{42FE7BCE-9C45-411A-8F4D-442C4B270D29}"/>
    <cellStyle name="Normal 9 5 5 6" xfId="35649" xr:uid="{C15E2C0C-26A0-4170-874D-1CD1FA5BAA31}"/>
    <cellStyle name="Normal 9 5 5 7" xfId="10356" xr:uid="{C0768789-B9A8-4F69-A9E7-91A685279024}"/>
    <cellStyle name="Normal 9 5 6" xfId="2245" xr:uid="{00000000-0005-0000-0000-00006B200000}"/>
    <cellStyle name="Normal 9 5 6 2" xfId="4474" xr:uid="{00000000-0005-0000-0000-00006C200000}"/>
    <cellStyle name="Normal 9 5 6 2 2" xfId="8697" xr:uid="{00000000-0005-0000-0000-00006D200000}"/>
    <cellStyle name="Normal 9 5 6 2 2 2" xfId="33996" xr:uid="{4EC3B98E-61A5-47FA-AF85-0D79168FEF33}"/>
    <cellStyle name="Normal 9 5 6 2 2 3" xfId="25567" xr:uid="{8AA5F009-2F64-43DF-8985-E360F2E1F2C7}"/>
    <cellStyle name="Normal 9 5 6 2 2 4" xfId="42424" xr:uid="{CE678D39-6A40-470D-BCDB-82CDA00729C8}"/>
    <cellStyle name="Normal 9 5 6 2 2 5" xfId="17132" xr:uid="{770B44D6-4FDE-4D04-B5E5-6CA6A8E89855}"/>
    <cellStyle name="Normal 9 5 6 2 3" xfId="29778" xr:uid="{3F0C1E34-F928-422B-9E45-1100413AB50C}"/>
    <cellStyle name="Normal 9 5 6 2 4" xfId="21349" xr:uid="{8427D0D4-3D15-4CEF-8D13-694B96F65E1F}"/>
    <cellStyle name="Normal 9 5 6 2 5" xfId="38207" xr:uid="{A39A40BE-E563-41B8-BF6C-1FB9982CEEA2}"/>
    <cellStyle name="Normal 9 5 6 2 6" xfId="12914" xr:uid="{A23779C6-E1EB-4CFF-A9B9-8A3B09313006}"/>
    <cellStyle name="Normal 9 5 6 3" xfId="6552" xr:uid="{00000000-0005-0000-0000-00006E200000}"/>
    <cellStyle name="Normal 9 5 6 3 2" xfId="31851" xr:uid="{484D6ACC-EE8D-46DE-9E36-A115E431A5F0}"/>
    <cellStyle name="Normal 9 5 6 3 3" xfId="23422" xr:uid="{8B5511E0-39D4-449E-8269-D33B8552A486}"/>
    <cellStyle name="Normal 9 5 6 3 4" xfId="40279" xr:uid="{ACD6008B-0EA3-4264-8F9D-E7B1183C38D3}"/>
    <cellStyle name="Normal 9 5 6 3 5" xfId="14987" xr:uid="{84ACCD6E-9523-4D7D-B507-00A72E414475}"/>
    <cellStyle name="Normal 9 5 6 4" xfId="27633" xr:uid="{FA30B93D-87AF-4FF0-8EC3-61010974C5CE}"/>
    <cellStyle name="Normal 9 5 6 5" xfId="19204" xr:uid="{F7914623-6BF9-42B2-A95D-B57112170C1F}"/>
    <cellStyle name="Normal 9 5 6 6" xfId="36062" xr:uid="{77E5B76D-E290-4E3D-B16C-049363EE06D7}"/>
    <cellStyle name="Normal 9 5 6 7" xfId="10769" xr:uid="{8B3577A9-984D-40BB-BC15-7B8015BBB6E5}"/>
    <cellStyle name="Normal 9 5 7" xfId="2681" xr:uid="{00000000-0005-0000-0000-00006F200000}"/>
    <cellStyle name="Normal 9 5 7 2" xfId="6965" xr:uid="{00000000-0005-0000-0000-000070200000}"/>
    <cellStyle name="Normal 9 5 7 2 2" xfId="32264" xr:uid="{CEA13373-633C-4477-9810-9A1418E1575A}"/>
    <cellStyle name="Normal 9 5 7 2 3" xfId="23835" xr:uid="{F2BB0EAB-0D7B-4C3E-988B-CDDF7B6F409B}"/>
    <cellStyle name="Normal 9 5 7 2 4" xfId="40692" xr:uid="{BD4CFB80-A033-4626-9680-14DF0BB493C5}"/>
    <cellStyle name="Normal 9 5 7 2 5" xfId="15400" xr:uid="{A1B4A73F-6BC9-4CD4-83F1-FAAC1F592440}"/>
    <cellStyle name="Normal 9 5 7 3" xfId="28046" xr:uid="{314F4C59-9A15-41EB-8BE7-02E575D3E8A3}"/>
    <cellStyle name="Normal 9 5 7 4" xfId="19617" xr:uid="{E2F8D84B-D4AD-41C0-900C-12C8FC3B20F6}"/>
    <cellStyle name="Normal 9 5 7 5" xfId="36475" xr:uid="{18B7DBDD-8DAE-4A6C-997B-C39A2F4EEA00}"/>
    <cellStyle name="Normal 9 5 7 6" xfId="11182" xr:uid="{E8F126E7-079A-4433-9A59-96BC207FFA85}"/>
    <cellStyle name="Normal 9 5 8" xfId="4900" xr:uid="{00000000-0005-0000-0000-000071200000}"/>
    <cellStyle name="Normal 9 5 8 2" xfId="30199" xr:uid="{CC1FAB52-86A9-4DB3-AB20-B6A84855A5F2}"/>
    <cellStyle name="Normal 9 5 8 3" xfId="21770" xr:uid="{CF22767D-21B1-4BDB-BF8B-F1E89D584E00}"/>
    <cellStyle name="Normal 9 5 8 4" xfId="38627" xr:uid="{D7056298-F876-49B6-A7C9-13BF8D2890CA}"/>
    <cellStyle name="Normal 9 5 8 5" xfId="13335" xr:uid="{237C0852-5A1A-4D99-97A7-4CE94C2ABD75}"/>
    <cellStyle name="Normal 9 5 9" xfId="25981" xr:uid="{926DEAF6-149D-461F-853C-98135992D65A}"/>
    <cellStyle name="Normal 9 6" xfId="538" xr:uid="{00000000-0005-0000-0000-000072200000}"/>
    <cellStyle name="Normal 9 6 10" xfId="34412" xr:uid="{117E7246-A63D-4F1E-8B63-A3F205EDD942}"/>
    <cellStyle name="Normal 9 6 11" xfId="9119" xr:uid="{978660CE-0BF9-4683-A0BF-2A50D080ABF4}"/>
    <cellStyle name="Normal 9 6 2" xfId="1005" xr:uid="{00000000-0005-0000-0000-000073200000}"/>
    <cellStyle name="Normal 9 6 2 2" xfId="3237" xr:uid="{00000000-0005-0000-0000-000074200000}"/>
    <cellStyle name="Normal 9 6 2 2 2" xfId="7460" xr:uid="{00000000-0005-0000-0000-000075200000}"/>
    <cellStyle name="Normal 9 6 2 2 2 2" xfId="32759" xr:uid="{EF8B6168-0A5C-4BC6-A77A-39C5B03BC0F8}"/>
    <cellStyle name="Normal 9 6 2 2 2 3" xfId="24330" xr:uid="{611EE574-B8A1-45AF-9114-575038D7A126}"/>
    <cellStyle name="Normal 9 6 2 2 2 4" xfId="41187" xr:uid="{0F899544-B58A-4CBA-921A-F05FF0089A21}"/>
    <cellStyle name="Normal 9 6 2 2 2 5" xfId="15895" xr:uid="{D4DBCF77-C61A-4C10-8A6B-112C120D273D}"/>
    <cellStyle name="Normal 9 6 2 2 3" xfId="28541" xr:uid="{3B57C9CA-163E-45C9-8966-29256FE7B397}"/>
    <cellStyle name="Normal 9 6 2 2 4" xfId="20112" xr:uid="{A2BD0954-994F-4ABE-B835-5136FF465AF1}"/>
    <cellStyle name="Normal 9 6 2 2 5" xfId="36970" xr:uid="{A3AFD8F5-C02F-4F11-A16D-BB5894B9769B}"/>
    <cellStyle name="Normal 9 6 2 2 6" xfId="11677" xr:uid="{D044E1E6-BD75-445B-A8FB-9215C27AF5AD}"/>
    <cellStyle name="Normal 9 6 2 3" xfId="5315" xr:uid="{00000000-0005-0000-0000-000076200000}"/>
    <cellStyle name="Normal 9 6 2 3 2" xfId="30614" xr:uid="{81F678BA-9963-4D31-82B0-61DE2E3BCABC}"/>
    <cellStyle name="Normal 9 6 2 3 3" xfId="22185" xr:uid="{30522A8D-B0A7-47B5-9B1F-E1170528413F}"/>
    <cellStyle name="Normal 9 6 2 3 4" xfId="39042" xr:uid="{7508970A-01E4-47AA-AEC1-DA7EA3A344A0}"/>
    <cellStyle name="Normal 9 6 2 3 5" xfId="13750" xr:uid="{7CB1F37A-84D2-4C0C-A06B-CCF129AEA89B}"/>
    <cellStyle name="Normal 9 6 2 4" xfId="26396" xr:uid="{758E2652-4565-41C7-A891-6A47656BEE95}"/>
    <cellStyle name="Normal 9 6 2 5" xfId="17967" xr:uid="{3C271B3B-45D7-492A-8A31-29DBEA883664}"/>
    <cellStyle name="Normal 9 6 2 6" xfId="34825" xr:uid="{A3753388-5C79-474A-83B3-AB636D60298E}"/>
    <cellStyle name="Normal 9 6 2 7" xfId="9532" xr:uid="{354460EE-0EB1-41CC-826F-68547E5934E3}"/>
    <cellStyle name="Normal 9 6 3" xfId="1420" xr:uid="{00000000-0005-0000-0000-000077200000}"/>
    <cellStyle name="Normal 9 6 3 2" xfId="3650" xr:uid="{00000000-0005-0000-0000-000078200000}"/>
    <cellStyle name="Normal 9 6 3 2 2" xfId="7873" xr:uid="{00000000-0005-0000-0000-000079200000}"/>
    <cellStyle name="Normal 9 6 3 2 2 2" xfId="33172" xr:uid="{94CB46C1-4772-45D8-9AF7-63813DA14139}"/>
    <cellStyle name="Normal 9 6 3 2 2 3" xfId="24743" xr:uid="{9151C026-FA1A-43E2-A63B-9388C1DC5FAE}"/>
    <cellStyle name="Normal 9 6 3 2 2 4" xfId="41600" xr:uid="{B91516D7-A65B-44A5-A434-B8A4F739831B}"/>
    <cellStyle name="Normal 9 6 3 2 2 5" xfId="16308" xr:uid="{F4B470A9-3EA2-4EDF-9E5C-F9B0B870D82E}"/>
    <cellStyle name="Normal 9 6 3 2 3" xfId="28954" xr:uid="{306AE636-F18E-4D0A-B6BC-E39EBB9B15B4}"/>
    <cellStyle name="Normal 9 6 3 2 4" xfId="20525" xr:uid="{19F1F136-50F6-47FA-880E-0BF1324F695D}"/>
    <cellStyle name="Normal 9 6 3 2 5" xfId="37383" xr:uid="{2816A078-1F47-402F-9DFD-7F078B729870}"/>
    <cellStyle name="Normal 9 6 3 2 6" xfId="12090" xr:uid="{C4748047-DACC-4263-A556-45DD75106ABF}"/>
    <cellStyle name="Normal 9 6 3 3" xfId="5728" xr:uid="{00000000-0005-0000-0000-00007A200000}"/>
    <cellStyle name="Normal 9 6 3 3 2" xfId="31027" xr:uid="{B9805AC6-73AC-4676-992E-0596DD6396F1}"/>
    <cellStyle name="Normal 9 6 3 3 3" xfId="22598" xr:uid="{4FA17860-F2F0-42F3-AF83-21533C546925}"/>
    <cellStyle name="Normal 9 6 3 3 4" xfId="39455" xr:uid="{B69828C8-B05B-41AF-B4E3-3B94873EBCA1}"/>
    <cellStyle name="Normal 9 6 3 3 5" xfId="14163" xr:uid="{49B027CB-D592-41CE-BC52-B5DF22EA3B7A}"/>
    <cellStyle name="Normal 9 6 3 4" xfId="26809" xr:uid="{8976759A-253D-421C-86B9-2511D04F106C}"/>
    <cellStyle name="Normal 9 6 3 5" xfId="18380" xr:uid="{F8A78EAB-DFD5-4CAA-9395-2232C919F584}"/>
    <cellStyle name="Normal 9 6 3 6" xfId="35238" xr:uid="{D47FB474-4269-42AD-B340-EB3F58347E88}"/>
    <cellStyle name="Normal 9 6 3 7" xfId="9945" xr:uid="{C8F221E6-3813-4A25-A79A-6FD455C98E1D}"/>
    <cellStyle name="Normal 9 6 4" xfId="1833" xr:uid="{00000000-0005-0000-0000-00007B200000}"/>
    <cellStyle name="Normal 9 6 4 2" xfId="4063" xr:uid="{00000000-0005-0000-0000-00007C200000}"/>
    <cellStyle name="Normal 9 6 4 2 2" xfId="8286" xr:uid="{00000000-0005-0000-0000-00007D200000}"/>
    <cellStyle name="Normal 9 6 4 2 2 2" xfId="33585" xr:uid="{737AF224-246F-4525-A4BD-2E88B11D7011}"/>
    <cellStyle name="Normal 9 6 4 2 2 3" xfId="25156" xr:uid="{B8DE7875-F73D-46CE-A230-20F6F24875BE}"/>
    <cellStyle name="Normal 9 6 4 2 2 4" xfId="42013" xr:uid="{D551ACEA-00F4-468E-ADB4-37A021BFF110}"/>
    <cellStyle name="Normal 9 6 4 2 2 5" xfId="16721" xr:uid="{13E7B958-C020-426D-9CAE-82AAFE811E16}"/>
    <cellStyle name="Normal 9 6 4 2 3" xfId="29367" xr:uid="{19DB2A37-B363-4281-BED4-06F80B305678}"/>
    <cellStyle name="Normal 9 6 4 2 4" xfId="20938" xr:uid="{213447AE-B8F6-4E40-919A-1664AA732C1A}"/>
    <cellStyle name="Normal 9 6 4 2 5" xfId="37796" xr:uid="{27A6E94D-18B7-4FCD-9E92-D72044EF3FA3}"/>
    <cellStyle name="Normal 9 6 4 2 6" xfId="12503" xr:uid="{0A2E21EE-00F2-46D5-868C-7B097C6E4F7E}"/>
    <cellStyle name="Normal 9 6 4 3" xfId="6141" xr:uid="{00000000-0005-0000-0000-00007E200000}"/>
    <cellStyle name="Normal 9 6 4 3 2" xfId="31440" xr:uid="{510A34E5-8552-4BA7-8503-78E18D4FF4A1}"/>
    <cellStyle name="Normal 9 6 4 3 3" xfId="23011" xr:uid="{D6CF5DBE-E9E5-4675-A86F-AE1C7554FE3C}"/>
    <cellStyle name="Normal 9 6 4 3 4" xfId="39868" xr:uid="{8449BD61-8130-4638-900A-64056AAC2875}"/>
    <cellStyle name="Normal 9 6 4 3 5" xfId="14576" xr:uid="{81B35457-F81E-4C47-8B7E-426E42033983}"/>
    <cellStyle name="Normal 9 6 4 4" xfId="27222" xr:uid="{9D622912-73BF-4D09-9BA3-CB6AD0FC567A}"/>
    <cellStyle name="Normal 9 6 4 5" xfId="18793" xr:uid="{3AC39CC1-A01B-4082-83A8-5552420F4276}"/>
    <cellStyle name="Normal 9 6 4 6" xfId="35651" xr:uid="{7D7779B8-4D0A-41F5-B88F-2FA82BC9B68E}"/>
    <cellStyle name="Normal 9 6 4 7" xfId="10358" xr:uid="{BCF50B80-792C-4992-8C35-FFF7875C126E}"/>
    <cellStyle name="Normal 9 6 5" xfId="2247" xr:uid="{00000000-0005-0000-0000-00007F200000}"/>
    <cellStyle name="Normal 9 6 5 2" xfId="4476" xr:uid="{00000000-0005-0000-0000-000080200000}"/>
    <cellStyle name="Normal 9 6 5 2 2" xfId="8699" xr:uid="{00000000-0005-0000-0000-000081200000}"/>
    <cellStyle name="Normal 9 6 5 2 2 2" xfId="33998" xr:uid="{564F8245-09EE-41A0-B24E-8C72C9F3F1D3}"/>
    <cellStyle name="Normal 9 6 5 2 2 3" xfId="25569" xr:uid="{A3695FC6-EAD1-4E8F-ACB5-E536030CE6AC}"/>
    <cellStyle name="Normal 9 6 5 2 2 4" xfId="42426" xr:uid="{114D0FE0-8BD4-44EC-A377-884784FFFE19}"/>
    <cellStyle name="Normal 9 6 5 2 2 5" xfId="17134" xr:uid="{080B18B6-FF91-4B67-AA50-5FB6C7F6AE0B}"/>
    <cellStyle name="Normal 9 6 5 2 3" xfId="29780" xr:uid="{A8D5E0CA-F1C3-4BD0-BC46-B541B40A137D}"/>
    <cellStyle name="Normal 9 6 5 2 4" xfId="21351" xr:uid="{797A8583-42C7-4C9D-BB41-62E2819A7254}"/>
    <cellStyle name="Normal 9 6 5 2 5" xfId="38209" xr:uid="{2BF35395-3EAC-4178-B58C-A8AB4B4B7A38}"/>
    <cellStyle name="Normal 9 6 5 2 6" xfId="12916" xr:uid="{D5D9138B-611D-4778-9D40-8B8CC1A5CC69}"/>
    <cellStyle name="Normal 9 6 5 3" xfId="6554" xr:uid="{00000000-0005-0000-0000-000082200000}"/>
    <cellStyle name="Normal 9 6 5 3 2" xfId="31853" xr:uid="{B67F9C58-CAEF-46BA-82F7-0ECCAD2B3AAD}"/>
    <cellStyle name="Normal 9 6 5 3 3" xfId="23424" xr:uid="{D4FF403D-7D99-4DB9-A461-55EC3E8858DD}"/>
    <cellStyle name="Normal 9 6 5 3 4" xfId="40281" xr:uid="{5C4E7E3A-2F0C-4E6D-8901-5EF3E4B03D46}"/>
    <cellStyle name="Normal 9 6 5 3 5" xfId="14989" xr:uid="{10BDF129-3B8F-4FD2-A4A6-6BDBA7D73333}"/>
    <cellStyle name="Normal 9 6 5 4" xfId="27635" xr:uid="{96C5147D-51F6-460F-AC31-B327C8AAEF32}"/>
    <cellStyle name="Normal 9 6 5 5" xfId="19206" xr:uid="{A4C24A17-9C00-4A36-AA85-6BCF9EB9CB9A}"/>
    <cellStyle name="Normal 9 6 5 6" xfId="36064" xr:uid="{922D0DE8-061D-49E9-AA27-35A0A813DD33}"/>
    <cellStyle name="Normal 9 6 5 7" xfId="10771" xr:uid="{FCEBB5B9-9E5C-4BBF-A9A6-1D24C47FCCBE}"/>
    <cellStyle name="Normal 9 6 6" xfId="2683" xr:uid="{00000000-0005-0000-0000-000083200000}"/>
    <cellStyle name="Normal 9 6 6 2" xfId="6967" xr:uid="{00000000-0005-0000-0000-000084200000}"/>
    <cellStyle name="Normal 9 6 6 2 2" xfId="32266" xr:uid="{BE1EAA00-69DC-404C-89FE-47ABB59B0B99}"/>
    <cellStyle name="Normal 9 6 6 2 3" xfId="23837" xr:uid="{E2906F60-20D2-4A03-A034-4099D4497487}"/>
    <cellStyle name="Normal 9 6 6 2 4" xfId="40694" xr:uid="{E293035B-83F5-4172-93F4-BBF544233FA3}"/>
    <cellStyle name="Normal 9 6 6 2 5" xfId="15402" xr:uid="{669263B7-F9F3-47D2-8117-AC35E90E4695}"/>
    <cellStyle name="Normal 9 6 6 3" xfId="28048" xr:uid="{DB1124E5-9E28-490A-AD90-89A5122D928E}"/>
    <cellStyle name="Normal 9 6 6 4" xfId="19619" xr:uid="{AC3997D3-A960-4756-B734-94CFCED90848}"/>
    <cellStyle name="Normal 9 6 6 5" xfId="36477" xr:uid="{309A264F-3AEA-4F4E-8F70-3230F85A3A68}"/>
    <cellStyle name="Normal 9 6 6 6" xfId="11184" xr:uid="{0A6A5C73-40FC-4F69-AF8C-0CCD45074BA6}"/>
    <cellStyle name="Normal 9 6 7" xfId="4902" xr:uid="{00000000-0005-0000-0000-000085200000}"/>
    <cellStyle name="Normal 9 6 7 2" xfId="30201" xr:uid="{C0F34C9D-48E0-4F4C-ADBD-5D730D388840}"/>
    <cellStyle name="Normal 9 6 7 3" xfId="21772" xr:uid="{1A486E4D-9482-4894-A2A5-81D3ABE0B948}"/>
    <cellStyle name="Normal 9 6 7 4" xfId="38629" xr:uid="{F986FF58-3287-47F4-94A0-D8B0FAB02192}"/>
    <cellStyle name="Normal 9 6 7 5" xfId="13337" xr:uid="{7C98B1F1-8CB1-4BD2-AD14-63A084C2A1B0}"/>
    <cellStyle name="Normal 9 6 8" xfId="25983" xr:uid="{7910C7B4-9952-4607-AC1C-A50032C3540B}"/>
    <cellStyle name="Normal 9 6 9" xfId="17554" xr:uid="{E6D8240B-FED8-4A4C-9D26-6EA371CD077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32347" xr:uid="{FFF436F3-E1B4-40EE-8B01-2B78FBBE9C74}"/>
    <cellStyle name="Note 2 2 10 2 3" xfId="23918" xr:uid="{4340CE5C-E26C-4575-B7F7-74B20ABA7698}"/>
    <cellStyle name="Note 2 2 10 2 4" xfId="40775" xr:uid="{4507B775-54CC-4406-AB91-551E25161D97}"/>
    <cellStyle name="Note 2 2 10 2 5" xfId="15483" xr:uid="{8045B1FC-05A4-4050-A86C-B145FC692971}"/>
    <cellStyle name="Note 2 2 10 3" xfId="28129" xr:uid="{A7889717-E94A-44AF-B076-FC5E5377348E}"/>
    <cellStyle name="Note 2 2 10 4" xfId="19700" xr:uid="{00867C5E-49D9-4B47-B4B9-EC47091F18A4}"/>
    <cellStyle name="Note 2 2 10 5" xfId="36558" xr:uid="{3BE148EF-2C08-41CF-8B67-2392AA97A8A0}"/>
    <cellStyle name="Note 2 2 10 6" xfId="11265" xr:uid="{C30FD6A1-6EEB-4342-B2FF-9AA937BD00EC}"/>
    <cellStyle name="Note 2 2 11" xfId="4903" xr:uid="{00000000-0005-0000-0000-000094200000}"/>
    <cellStyle name="Note 2 2 11 2" xfId="30202" xr:uid="{5D37DC5D-9993-46D7-93D8-FD7F5E4CC670}"/>
    <cellStyle name="Note 2 2 11 3" xfId="21773" xr:uid="{84876A3F-9C76-4708-BCAF-734E73D9022B}"/>
    <cellStyle name="Note 2 2 11 4" xfId="38630" xr:uid="{D8F1714A-33BC-48D1-AB24-AEDB2D2F5BA1}"/>
    <cellStyle name="Note 2 2 11 5" xfId="13338" xr:uid="{3F44D2AB-9ECA-4AFE-B713-BF6F534ECA66}"/>
    <cellStyle name="Note 2 2 12" xfId="25984" xr:uid="{C48B50BD-EAC4-4F02-9B54-D9C4E57BA397}"/>
    <cellStyle name="Note 2 2 13" xfId="17555" xr:uid="{9D7B721F-0CA7-4FA7-89C8-A882D3C6BA1E}"/>
    <cellStyle name="Note 2 2 14" xfId="34413" xr:uid="{48E16E07-DEDE-42BB-9EC0-E1D4856FB254}"/>
    <cellStyle name="Note 2 2 15" xfId="9120" xr:uid="{65E48D04-B84B-4513-92AB-BF39B697FBC3}"/>
    <cellStyle name="Note 2 2 2" xfId="546" xr:uid="{00000000-0005-0000-0000-000095200000}"/>
    <cellStyle name="Note 2 2 2 10" xfId="4904" xr:uid="{00000000-0005-0000-0000-000096200000}"/>
    <cellStyle name="Note 2 2 2 10 2" xfId="30203" xr:uid="{8A3AB6AD-72EC-4CBF-AD39-BCAC960A70AA}"/>
    <cellStyle name="Note 2 2 2 10 3" xfId="21774" xr:uid="{9C391C9E-7106-4735-9311-EDD6BBA6C9FD}"/>
    <cellStyle name="Note 2 2 2 10 4" xfId="38631" xr:uid="{F701E6F0-8CA7-42A3-94CC-337999B0E1B5}"/>
    <cellStyle name="Note 2 2 2 10 5" xfId="13339" xr:uid="{FC2B48E4-8853-4A74-9376-61673B0EC4BD}"/>
    <cellStyle name="Note 2 2 2 11" xfId="25985" xr:uid="{1EF7D46C-BA42-4E4F-9A88-FDC6C12684C8}"/>
    <cellStyle name="Note 2 2 2 12" xfId="17556" xr:uid="{3E0002EC-CB1E-4051-BEAC-CEE397CA2CDD}"/>
    <cellStyle name="Note 2 2 2 13" xfId="34414" xr:uid="{7A36E378-6050-472C-AA37-5EF42B76FFB6}"/>
    <cellStyle name="Note 2 2 2 14" xfId="9121" xr:uid="{C605C4CA-C85C-4BA9-BB11-2438B3D4ECED}"/>
    <cellStyle name="Note 2 2 2 2" xfId="547" xr:uid="{00000000-0005-0000-0000-000097200000}"/>
    <cellStyle name="Note 2 2 2 2 10" xfId="25986" xr:uid="{5B5784C2-CEF7-4FBD-BD79-F88BB82143B3}"/>
    <cellStyle name="Note 2 2 2 2 11" xfId="17557" xr:uid="{2D1A6C40-2EED-424C-82F4-81A6632DF2E5}"/>
    <cellStyle name="Note 2 2 2 2 12" xfId="34415" xr:uid="{C1E300B9-574A-4EE2-A84E-FEE337D4C374}"/>
    <cellStyle name="Note 2 2 2 2 13" xfId="9122" xr:uid="{6BB6544A-B05F-42D2-B8C8-F3DA10B07BAF}"/>
    <cellStyle name="Note 2 2 2 2 2" xfId="1008" xr:uid="{00000000-0005-0000-0000-000098200000}"/>
    <cellStyle name="Note 2 2 2 2 2 2" xfId="3240" xr:uid="{00000000-0005-0000-0000-000099200000}"/>
    <cellStyle name="Note 2 2 2 2 2 2 2" xfId="7463" xr:uid="{00000000-0005-0000-0000-00009A200000}"/>
    <cellStyle name="Note 2 2 2 2 2 2 2 2" xfId="32762" xr:uid="{246F87FB-4B33-4763-87A1-37ECC249DDCF}"/>
    <cellStyle name="Note 2 2 2 2 2 2 2 3" xfId="24333" xr:uid="{21518D16-8504-45EC-B629-644D5E60F9CB}"/>
    <cellStyle name="Note 2 2 2 2 2 2 2 4" xfId="41190" xr:uid="{42718832-43B0-474E-82C4-38A328A00964}"/>
    <cellStyle name="Note 2 2 2 2 2 2 2 5" xfId="15898" xr:uid="{7CB0BEF9-2B18-4C06-B0A7-93EC3DAFBAAB}"/>
    <cellStyle name="Note 2 2 2 2 2 2 3" xfId="28544" xr:uid="{B7BC995E-8F11-40AC-93E5-552640B24A09}"/>
    <cellStyle name="Note 2 2 2 2 2 2 4" xfId="20115" xr:uid="{B04E0E3B-9325-4677-9C28-C40B05AAD19E}"/>
    <cellStyle name="Note 2 2 2 2 2 2 5" xfId="36973" xr:uid="{3B9F1FBF-2962-4992-8C3B-5C5252CF3CE6}"/>
    <cellStyle name="Note 2 2 2 2 2 2 6" xfId="11680" xr:uid="{B1CD6175-7846-4FCC-8605-BE90F56C41A4}"/>
    <cellStyle name="Note 2 2 2 2 2 3" xfId="5318" xr:uid="{00000000-0005-0000-0000-00009B200000}"/>
    <cellStyle name="Note 2 2 2 2 2 3 2" xfId="30617" xr:uid="{02307802-78D1-414D-ADF3-FEF0AA1BF803}"/>
    <cellStyle name="Note 2 2 2 2 2 3 3" xfId="22188" xr:uid="{207AED9D-5336-4B91-8848-37B28255B612}"/>
    <cellStyle name="Note 2 2 2 2 2 3 4" xfId="39045" xr:uid="{27EEDB84-EE12-4269-97A0-E6D94E92F8E8}"/>
    <cellStyle name="Note 2 2 2 2 2 3 5" xfId="13753" xr:uid="{5419FAD5-DE64-417B-9B8A-52633395FF79}"/>
    <cellStyle name="Note 2 2 2 2 2 4" xfId="26399" xr:uid="{CA667B11-F73D-4C28-BC88-8CB0333BCF86}"/>
    <cellStyle name="Note 2 2 2 2 2 5" xfId="17970" xr:uid="{B720FB60-6370-4643-9698-2862E57B7DC7}"/>
    <cellStyle name="Note 2 2 2 2 2 6" xfId="34828" xr:uid="{985759C2-9068-4513-83B7-C7DDA887A823}"/>
    <cellStyle name="Note 2 2 2 2 2 7" xfId="9535" xr:uid="{A3353A75-C096-49B6-B261-13C76D722FB5}"/>
    <cellStyle name="Note 2 2 2 2 3" xfId="1423" xr:uid="{00000000-0005-0000-0000-00009C200000}"/>
    <cellStyle name="Note 2 2 2 2 3 2" xfId="3653" xr:uid="{00000000-0005-0000-0000-00009D200000}"/>
    <cellStyle name="Note 2 2 2 2 3 2 2" xfId="7876" xr:uid="{00000000-0005-0000-0000-00009E200000}"/>
    <cellStyle name="Note 2 2 2 2 3 2 2 2" xfId="33175" xr:uid="{A6AD9917-42D3-41B6-BE1C-589C0492E753}"/>
    <cellStyle name="Note 2 2 2 2 3 2 2 3" xfId="24746" xr:uid="{05F3E5BE-B268-4DB5-B8FE-42B111CB0D32}"/>
    <cellStyle name="Note 2 2 2 2 3 2 2 4" xfId="41603" xr:uid="{D85155B1-75C9-41BD-B5B6-D83DBC922662}"/>
    <cellStyle name="Note 2 2 2 2 3 2 2 5" xfId="16311" xr:uid="{7697BCC7-BACE-4250-B6D0-245CB3792A1D}"/>
    <cellStyle name="Note 2 2 2 2 3 2 3" xfId="28957" xr:uid="{4BCA7B09-16DC-4D93-9753-9A4230912EF2}"/>
    <cellStyle name="Note 2 2 2 2 3 2 4" xfId="20528" xr:uid="{9C6F64C8-AF9D-4BCC-83EC-16D623273BDF}"/>
    <cellStyle name="Note 2 2 2 2 3 2 5" xfId="37386" xr:uid="{AD8CA736-6922-4F32-8D06-30EB19B39A1C}"/>
    <cellStyle name="Note 2 2 2 2 3 2 6" xfId="12093" xr:uid="{4AD251B5-06EB-4BB5-BF71-290191488DFD}"/>
    <cellStyle name="Note 2 2 2 2 3 3" xfId="5731" xr:uid="{00000000-0005-0000-0000-00009F200000}"/>
    <cellStyle name="Note 2 2 2 2 3 3 2" xfId="31030" xr:uid="{23BE0493-2573-4020-A665-1C3564818CD1}"/>
    <cellStyle name="Note 2 2 2 2 3 3 3" xfId="22601" xr:uid="{BBA150ED-2C4A-4169-B9F1-E24C283F2546}"/>
    <cellStyle name="Note 2 2 2 2 3 3 4" xfId="39458" xr:uid="{E4737227-BA8E-45ED-84C6-7323DD40F590}"/>
    <cellStyle name="Note 2 2 2 2 3 3 5" xfId="14166" xr:uid="{41930401-D219-4668-BDFA-BE16AE06227E}"/>
    <cellStyle name="Note 2 2 2 2 3 4" xfId="26812" xr:uid="{FB030383-9413-41D2-A374-DC7B8415C5E8}"/>
    <cellStyle name="Note 2 2 2 2 3 5" xfId="18383" xr:uid="{203D4B23-53B0-4F6C-94A1-A2E6777170E0}"/>
    <cellStyle name="Note 2 2 2 2 3 6" xfId="35241" xr:uid="{A604C822-53E4-47B6-9D17-43421697B6DC}"/>
    <cellStyle name="Note 2 2 2 2 3 7" xfId="9948" xr:uid="{41C79BD9-9139-437C-9A4F-8DE430CE8046}"/>
    <cellStyle name="Note 2 2 2 2 4" xfId="1837" xr:uid="{00000000-0005-0000-0000-0000A0200000}"/>
    <cellStyle name="Note 2 2 2 2 4 2" xfId="4066" xr:uid="{00000000-0005-0000-0000-0000A1200000}"/>
    <cellStyle name="Note 2 2 2 2 4 2 2" xfId="8289" xr:uid="{00000000-0005-0000-0000-0000A2200000}"/>
    <cellStyle name="Note 2 2 2 2 4 2 2 2" xfId="33588" xr:uid="{5CD12AFC-374D-427F-A4DE-76FA2CB1C507}"/>
    <cellStyle name="Note 2 2 2 2 4 2 2 3" xfId="25159" xr:uid="{B329219B-4C65-4E0E-9871-8ED9D7EE7569}"/>
    <cellStyle name="Note 2 2 2 2 4 2 2 4" xfId="42016" xr:uid="{FEAE8916-4351-43B2-9B5E-F9A289207B0A}"/>
    <cellStyle name="Note 2 2 2 2 4 2 2 5" xfId="16724" xr:uid="{A27FC776-DB9C-4AA4-A79C-CB4BBAE28439}"/>
    <cellStyle name="Note 2 2 2 2 4 2 3" xfId="29370" xr:uid="{06261069-E0AE-430A-BF15-37E83163A566}"/>
    <cellStyle name="Note 2 2 2 2 4 2 4" xfId="20941" xr:uid="{E74B96F5-C8B8-4AC8-B520-09F9F941C810}"/>
    <cellStyle name="Note 2 2 2 2 4 2 5" xfId="37799" xr:uid="{BB4BA859-1010-41E8-A460-D8350AAD23C8}"/>
    <cellStyle name="Note 2 2 2 2 4 2 6" xfId="12506" xr:uid="{3D841491-7C9F-4666-A6E8-CBB54B24833B}"/>
    <cellStyle name="Note 2 2 2 2 4 3" xfId="6144" xr:uid="{00000000-0005-0000-0000-0000A3200000}"/>
    <cellStyle name="Note 2 2 2 2 4 3 2" xfId="31443" xr:uid="{C47252E3-FA2D-45A4-9CDA-76A04CED5962}"/>
    <cellStyle name="Note 2 2 2 2 4 3 3" xfId="23014" xr:uid="{1EF374F7-843B-4872-BC2B-6DD21A9CDBCF}"/>
    <cellStyle name="Note 2 2 2 2 4 3 4" xfId="39871" xr:uid="{181BCCFA-E4D0-4E0E-A06E-A38C0D2DC922}"/>
    <cellStyle name="Note 2 2 2 2 4 3 5" xfId="14579" xr:uid="{12ED6059-F41D-44BF-B9BA-E39761610570}"/>
    <cellStyle name="Note 2 2 2 2 4 4" xfId="27225" xr:uid="{8D220A14-317A-4AB4-A548-821FC21FB992}"/>
    <cellStyle name="Note 2 2 2 2 4 5" xfId="18796" xr:uid="{9EC76B5B-5737-49DC-BC64-5A809F29052E}"/>
    <cellStyle name="Note 2 2 2 2 4 6" xfId="35654" xr:uid="{A2B93B85-4B3B-4944-BEEC-17D99594A458}"/>
    <cellStyle name="Note 2 2 2 2 4 7" xfId="10361" xr:uid="{26335AFE-F61B-4E07-997D-75C487B2247B}"/>
    <cellStyle name="Note 2 2 2 2 5" xfId="2250" xr:uid="{00000000-0005-0000-0000-0000A4200000}"/>
    <cellStyle name="Note 2 2 2 2 5 2" xfId="4479" xr:uid="{00000000-0005-0000-0000-0000A5200000}"/>
    <cellStyle name="Note 2 2 2 2 5 2 2" xfId="8702" xr:uid="{00000000-0005-0000-0000-0000A6200000}"/>
    <cellStyle name="Note 2 2 2 2 5 2 2 2" xfId="34001" xr:uid="{7EA5D0D9-CBDE-4825-ABD9-7151A68B7CAA}"/>
    <cellStyle name="Note 2 2 2 2 5 2 2 3" xfId="25572" xr:uid="{860A8D4C-0FA4-49C3-81C6-12E80A0A9184}"/>
    <cellStyle name="Note 2 2 2 2 5 2 2 4" xfId="42429" xr:uid="{5889A772-21DC-4F8E-BFBB-A8040F161A6F}"/>
    <cellStyle name="Note 2 2 2 2 5 2 2 5" xfId="17137" xr:uid="{D1E60B18-0DEA-4B48-8E82-F1ECD802D27D}"/>
    <cellStyle name="Note 2 2 2 2 5 2 3" xfId="29783" xr:uid="{9FF1E16F-1A3F-4A99-835B-B6FCAC5305C4}"/>
    <cellStyle name="Note 2 2 2 2 5 2 4" xfId="21354" xr:uid="{820DD89F-F522-4418-8E1A-419F5EE88FC9}"/>
    <cellStyle name="Note 2 2 2 2 5 2 5" xfId="38212" xr:uid="{9F41D74E-AEBD-44D8-B6A1-62BD82472C1D}"/>
    <cellStyle name="Note 2 2 2 2 5 2 6" xfId="12919" xr:uid="{E2A8DF18-D899-4B52-9CF2-A21334D4F0CA}"/>
    <cellStyle name="Note 2 2 2 2 5 3" xfId="6557" xr:uid="{00000000-0005-0000-0000-0000A7200000}"/>
    <cellStyle name="Note 2 2 2 2 5 3 2" xfId="31856" xr:uid="{41DD243C-2D9F-42DD-9957-EE9EBB377C93}"/>
    <cellStyle name="Note 2 2 2 2 5 3 3" xfId="23427" xr:uid="{54BCE957-B686-476D-9F0A-4F6866CA83FA}"/>
    <cellStyle name="Note 2 2 2 2 5 3 4" xfId="40284" xr:uid="{50E78608-4ADD-4518-A03C-42567FB2B883}"/>
    <cellStyle name="Note 2 2 2 2 5 3 5" xfId="14992" xr:uid="{32DA7017-AE79-4DBD-9126-DA9ACB27CDD8}"/>
    <cellStyle name="Note 2 2 2 2 5 4" xfId="27638" xr:uid="{6D643CB3-FEF1-4694-A569-134EB367ED7C}"/>
    <cellStyle name="Note 2 2 2 2 5 5" xfId="19209" xr:uid="{7CD3C73B-A4D9-4162-9062-1BF16FD818C1}"/>
    <cellStyle name="Note 2 2 2 2 5 6" xfId="36067" xr:uid="{7A553410-5CA9-40C1-8F19-91D3F83294D5}"/>
    <cellStyle name="Note 2 2 2 2 5 7" xfId="10774" xr:uid="{BB0EB28A-F3F5-454A-8AEA-46D8F76236EE}"/>
    <cellStyle name="Note 2 2 2 2 6" xfId="2686" xr:uid="{00000000-0005-0000-0000-0000A8200000}"/>
    <cellStyle name="Note 2 2 2 2 6 2" xfId="6970" xr:uid="{00000000-0005-0000-0000-0000A9200000}"/>
    <cellStyle name="Note 2 2 2 2 6 2 2" xfId="32269" xr:uid="{FECC6F2F-974A-4302-9994-AFADCB9A45FC}"/>
    <cellStyle name="Note 2 2 2 2 6 2 3" xfId="23840" xr:uid="{9A38A770-B240-4147-9F35-7D1311A7D4F8}"/>
    <cellStyle name="Note 2 2 2 2 6 2 4" xfId="40697" xr:uid="{7BAC163B-6653-4F75-8900-81524CA4F6B4}"/>
    <cellStyle name="Note 2 2 2 2 6 2 5" xfId="15405" xr:uid="{9152AA4C-BE3C-4B31-B783-93CF648D07C7}"/>
    <cellStyle name="Note 2 2 2 2 6 3" xfId="28051" xr:uid="{05296978-D752-4E76-931C-A95ECA6AD53F}"/>
    <cellStyle name="Note 2 2 2 2 6 4" xfId="19622" xr:uid="{B21736BE-9CB0-475F-B7B8-CDA8727E114F}"/>
    <cellStyle name="Note 2 2 2 2 6 5" xfId="36480" xr:uid="{A7385724-1CDB-4501-BA92-E88BCFAC79EB}"/>
    <cellStyle name="Note 2 2 2 2 6 6" xfId="11187" xr:uid="{87BF2E29-BF2B-4680-BA53-3CD667B414EC}"/>
    <cellStyle name="Note 2 2 2 2 7" xfId="2745" xr:uid="{00000000-0005-0000-0000-0000AA200000}"/>
    <cellStyle name="Note 2 2 2 2 8" xfId="2826" xr:uid="{00000000-0005-0000-0000-0000AB200000}"/>
    <cellStyle name="Note 2 2 2 2 8 2" xfId="7050" xr:uid="{00000000-0005-0000-0000-0000AC200000}"/>
    <cellStyle name="Note 2 2 2 2 8 2 2" xfId="32349" xr:uid="{B0E37DDD-93BE-4248-8021-A82C911BD3CD}"/>
    <cellStyle name="Note 2 2 2 2 8 2 3" xfId="23920" xr:uid="{1621BFCB-232D-42DF-A4B6-A90025A0B9EA}"/>
    <cellStyle name="Note 2 2 2 2 8 2 4" xfId="40777" xr:uid="{C5951304-3963-470A-86B3-C014514DC514}"/>
    <cellStyle name="Note 2 2 2 2 8 2 5" xfId="15485" xr:uid="{D48A7555-346D-4811-927F-F0727E643CE3}"/>
    <cellStyle name="Note 2 2 2 2 8 3" xfId="28131" xr:uid="{B5CB72F7-8B52-47DB-BAF1-874FD3BCB386}"/>
    <cellStyle name="Note 2 2 2 2 8 4" xfId="19702" xr:uid="{7413022F-1CC2-452C-B8C4-2DCF90F08A29}"/>
    <cellStyle name="Note 2 2 2 2 8 5" xfId="36560" xr:uid="{48618AD8-5B86-429E-993E-0EB42142BE24}"/>
    <cellStyle name="Note 2 2 2 2 8 6" xfId="11267" xr:uid="{A8D9681A-2437-4918-BADD-1DB7FC16CEF5}"/>
    <cellStyle name="Note 2 2 2 2 9" xfId="4905" xr:uid="{00000000-0005-0000-0000-0000AD200000}"/>
    <cellStyle name="Note 2 2 2 2 9 2" xfId="30204" xr:uid="{273C87FA-0935-4BDD-8F68-2FE49ECEDAC1}"/>
    <cellStyle name="Note 2 2 2 2 9 3" xfId="21775" xr:uid="{76299CFC-5152-4584-8F04-2BFE5D2369B4}"/>
    <cellStyle name="Note 2 2 2 2 9 4" xfId="38632" xr:uid="{3591F37E-6D95-4817-9824-48003FD991AE}"/>
    <cellStyle name="Note 2 2 2 2 9 5" xfId="13340" xr:uid="{7FE236F5-D98C-4330-97E1-A42FC7AF0AEA}"/>
    <cellStyle name="Note 2 2 2 3" xfId="1007" xr:uid="{00000000-0005-0000-0000-0000AE200000}"/>
    <cellStyle name="Note 2 2 2 3 2" xfId="3239" xr:uid="{00000000-0005-0000-0000-0000AF200000}"/>
    <cellStyle name="Note 2 2 2 3 2 2" xfId="7462" xr:uid="{00000000-0005-0000-0000-0000B0200000}"/>
    <cellStyle name="Note 2 2 2 3 2 2 2" xfId="32761" xr:uid="{1E860E79-DBF0-446B-91E2-29E708F73A68}"/>
    <cellStyle name="Note 2 2 2 3 2 2 3" xfId="24332" xr:uid="{A740388B-9785-413A-930E-B8CBBF36962C}"/>
    <cellStyle name="Note 2 2 2 3 2 2 4" xfId="41189" xr:uid="{DCF23266-E0F5-44CC-BBB7-41129D94BBD0}"/>
    <cellStyle name="Note 2 2 2 3 2 2 5" xfId="15897" xr:uid="{9C573F95-0FDA-47A7-B6EF-D8DCFB540CC4}"/>
    <cellStyle name="Note 2 2 2 3 2 3" xfId="28543" xr:uid="{A865A626-731E-4B46-B8C2-0827E1C04547}"/>
    <cellStyle name="Note 2 2 2 3 2 4" xfId="20114" xr:uid="{44A773B3-D67B-481F-80F3-1CA5B6CE2714}"/>
    <cellStyle name="Note 2 2 2 3 2 5" xfId="36972" xr:uid="{4FF1BE6A-11C7-4C3C-AD4C-6BDC30CCABDA}"/>
    <cellStyle name="Note 2 2 2 3 2 6" xfId="11679" xr:uid="{4C1C9A0B-9966-4CDF-9406-D24F6267179C}"/>
    <cellStyle name="Note 2 2 2 3 3" xfId="5317" xr:uid="{00000000-0005-0000-0000-0000B1200000}"/>
    <cellStyle name="Note 2 2 2 3 3 2" xfId="30616" xr:uid="{34129B8B-CAD4-4F48-BEC4-602789213D69}"/>
    <cellStyle name="Note 2 2 2 3 3 3" xfId="22187" xr:uid="{D5C6CE10-D159-48CB-AF89-FE1B92FC0AE9}"/>
    <cellStyle name="Note 2 2 2 3 3 4" xfId="39044" xr:uid="{C7136E47-6B2A-4E0F-8385-4F60DD6A547D}"/>
    <cellStyle name="Note 2 2 2 3 3 5" xfId="13752" xr:uid="{54EA2D5A-1163-4CF2-9311-06E72CA0BE2C}"/>
    <cellStyle name="Note 2 2 2 3 4" xfId="26398" xr:uid="{BD6F39CD-2523-4FB5-81D4-10B393855075}"/>
    <cellStyle name="Note 2 2 2 3 5" xfId="17969" xr:uid="{2064AF44-14F5-49B9-B372-739034F27490}"/>
    <cellStyle name="Note 2 2 2 3 6" xfId="34827" xr:uid="{17C00811-7989-490C-9637-BDAADA1FE67B}"/>
    <cellStyle name="Note 2 2 2 3 7" xfId="9534" xr:uid="{F2E8EF8B-C7BB-48CC-AAA4-1817AFE00BBE}"/>
    <cellStyle name="Note 2 2 2 4" xfId="1422" xr:uid="{00000000-0005-0000-0000-0000B2200000}"/>
    <cellStyle name="Note 2 2 2 4 2" xfId="3652" xr:uid="{00000000-0005-0000-0000-0000B3200000}"/>
    <cellStyle name="Note 2 2 2 4 2 2" xfId="7875" xr:uid="{00000000-0005-0000-0000-0000B4200000}"/>
    <cellStyle name="Note 2 2 2 4 2 2 2" xfId="33174" xr:uid="{0550A553-AF45-4AC7-9A8B-93363DC8581D}"/>
    <cellStyle name="Note 2 2 2 4 2 2 3" xfId="24745" xr:uid="{3E55B445-DF53-4F4D-AAF1-5559254FF2E2}"/>
    <cellStyle name="Note 2 2 2 4 2 2 4" xfId="41602" xr:uid="{1F0CECBC-0AF9-4037-8FFE-944B429A3BF7}"/>
    <cellStyle name="Note 2 2 2 4 2 2 5" xfId="16310" xr:uid="{A5F1D3D6-C0D6-41EA-9B67-FA4A68EB6D68}"/>
    <cellStyle name="Note 2 2 2 4 2 3" xfId="28956" xr:uid="{DA84C364-CA68-4024-93F1-636A08CAC8D2}"/>
    <cellStyle name="Note 2 2 2 4 2 4" xfId="20527" xr:uid="{934E2D01-53EF-45B2-8869-B4858B94E4BC}"/>
    <cellStyle name="Note 2 2 2 4 2 5" xfId="37385" xr:uid="{5A88B5FE-314B-4BF2-8C38-D132362F34D5}"/>
    <cellStyle name="Note 2 2 2 4 2 6" xfId="12092" xr:uid="{59B3F7CF-E11E-4827-B584-CA40418786F2}"/>
    <cellStyle name="Note 2 2 2 4 3" xfId="5730" xr:uid="{00000000-0005-0000-0000-0000B5200000}"/>
    <cellStyle name="Note 2 2 2 4 3 2" xfId="31029" xr:uid="{0CBAD1B3-33A0-4C54-9A08-36B4CDB308D6}"/>
    <cellStyle name="Note 2 2 2 4 3 3" xfId="22600" xr:uid="{DF66AC36-36CC-455B-9765-5F1275E25513}"/>
    <cellStyle name="Note 2 2 2 4 3 4" xfId="39457" xr:uid="{DCAC2A79-64E7-4531-8CE1-308D2CA7FBA4}"/>
    <cellStyle name="Note 2 2 2 4 3 5" xfId="14165" xr:uid="{4FDF802D-D3CE-48A3-AF0B-46C58086F393}"/>
    <cellStyle name="Note 2 2 2 4 4" xfId="26811" xr:uid="{9CFF3BC5-987F-4377-91B3-073B68685B91}"/>
    <cellStyle name="Note 2 2 2 4 5" xfId="18382" xr:uid="{0643113D-7A98-47C3-AA6E-B5633B4A6E45}"/>
    <cellStyle name="Note 2 2 2 4 6" xfId="35240" xr:uid="{124B3F91-452F-4A25-8A3B-3CC3819A6A40}"/>
    <cellStyle name="Note 2 2 2 4 7" xfId="9947" xr:uid="{63EE3622-7C77-4B46-AED9-7B409CFBB017}"/>
    <cellStyle name="Note 2 2 2 5" xfId="1836" xr:uid="{00000000-0005-0000-0000-0000B6200000}"/>
    <cellStyle name="Note 2 2 2 5 2" xfId="4065" xr:uid="{00000000-0005-0000-0000-0000B7200000}"/>
    <cellStyle name="Note 2 2 2 5 2 2" xfId="8288" xr:uid="{00000000-0005-0000-0000-0000B8200000}"/>
    <cellStyle name="Note 2 2 2 5 2 2 2" xfId="33587" xr:uid="{4FE32292-CC18-4F18-87E3-6ACC848D3AE4}"/>
    <cellStyle name="Note 2 2 2 5 2 2 3" xfId="25158" xr:uid="{B395441A-46E9-40C3-BE1C-A8DA11A2F098}"/>
    <cellStyle name="Note 2 2 2 5 2 2 4" xfId="42015" xr:uid="{BBF4A7BE-073E-492F-A8CE-1B2097847698}"/>
    <cellStyle name="Note 2 2 2 5 2 2 5" xfId="16723" xr:uid="{2286908C-FE2B-4100-B6B7-0DFF60204795}"/>
    <cellStyle name="Note 2 2 2 5 2 3" xfId="29369" xr:uid="{42A7FE2F-F257-4205-A96D-D796487257CD}"/>
    <cellStyle name="Note 2 2 2 5 2 4" xfId="20940" xr:uid="{6A308C9D-608C-441F-B0DD-C92223EE087A}"/>
    <cellStyle name="Note 2 2 2 5 2 5" xfId="37798" xr:uid="{D8B5B80B-5785-4DE9-A7BF-5021FD94E9E6}"/>
    <cellStyle name="Note 2 2 2 5 2 6" xfId="12505" xr:uid="{9F381A03-73CD-422B-85E4-E04B0209AA14}"/>
    <cellStyle name="Note 2 2 2 5 3" xfId="6143" xr:uid="{00000000-0005-0000-0000-0000B9200000}"/>
    <cellStyle name="Note 2 2 2 5 3 2" xfId="31442" xr:uid="{48E9A8F9-4AD1-4627-A2E4-BCC43226398E}"/>
    <cellStyle name="Note 2 2 2 5 3 3" xfId="23013" xr:uid="{91270844-58E0-4EFD-99E7-DE8C2836C971}"/>
    <cellStyle name="Note 2 2 2 5 3 4" xfId="39870" xr:uid="{385AA846-01AC-45B1-9126-D429F47813D6}"/>
    <cellStyle name="Note 2 2 2 5 3 5" xfId="14578" xr:uid="{21E6C902-3E60-433E-B5C4-48D44179FC24}"/>
    <cellStyle name="Note 2 2 2 5 4" xfId="27224" xr:uid="{E22FBD34-0329-4A33-904D-56FFD88E8F48}"/>
    <cellStyle name="Note 2 2 2 5 5" xfId="18795" xr:uid="{F8B38E54-B287-457B-928E-231DFC91557B}"/>
    <cellStyle name="Note 2 2 2 5 6" xfId="35653" xr:uid="{C2BC5625-77B8-4868-82BB-090F79E8F5DA}"/>
    <cellStyle name="Note 2 2 2 5 7" xfId="10360" xr:uid="{A11AC3A3-4E87-4629-9118-7C9341E10D60}"/>
    <cellStyle name="Note 2 2 2 6" xfId="2249" xr:uid="{00000000-0005-0000-0000-0000BA200000}"/>
    <cellStyle name="Note 2 2 2 6 2" xfId="4478" xr:uid="{00000000-0005-0000-0000-0000BB200000}"/>
    <cellStyle name="Note 2 2 2 6 2 2" xfId="8701" xr:uid="{00000000-0005-0000-0000-0000BC200000}"/>
    <cellStyle name="Note 2 2 2 6 2 2 2" xfId="34000" xr:uid="{5ED902A2-FF4A-453B-B944-D95ABEDB65CB}"/>
    <cellStyle name="Note 2 2 2 6 2 2 3" xfId="25571" xr:uid="{91F91603-065A-4596-9F6D-AA4F424DFD52}"/>
    <cellStyle name="Note 2 2 2 6 2 2 4" xfId="42428" xr:uid="{E0265F31-BFD2-493A-96F5-51B29D5FADE3}"/>
    <cellStyle name="Note 2 2 2 6 2 2 5" xfId="17136" xr:uid="{B7DDB1B1-F20B-4093-9B11-4DA0A3E07C52}"/>
    <cellStyle name="Note 2 2 2 6 2 3" xfId="29782" xr:uid="{762511E3-1186-4472-9A5F-BF1FF1E36387}"/>
    <cellStyle name="Note 2 2 2 6 2 4" xfId="21353" xr:uid="{D238C4B9-8582-44B7-9066-A56B554A855A}"/>
    <cellStyle name="Note 2 2 2 6 2 5" xfId="38211" xr:uid="{98A6B7C0-ABD0-42A2-9241-3CDAE72616E0}"/>
    <cellStyle name="Note 2 2 2 6 2 6" xfId="12918" xr:uid="{4E6C3484-A79D-45C7-B6BD-DBC77A085F24}"/>
    <cellStyle name="Note 2 2 2 6 3" xfId="6556" xr:uid="{00000000-0005-0000-0000-0000BD200000}"/>
    <cellStyle name="Note 2 2 2 6 3 2" xfId="31855" xr:uid="{A21CC829-4D00-42F2-B9BD-D9E92E06DFAA}"/>
    <cellStyle name="Note 2 2 2 6 3 3" xfId="23426" xr:uid="{809C8B6E-56DE-4F72-9A81-0EB49E827A41}"/>
    <cellStyle name="Note 2 2 2 6 3 4" xfId="40283" xr:uid="{E0E86706-66AB-4B0D-AC20-B2EF304C7F4D}"/>
    <cellStyle name="Note 2 2 2 6 3 5" xfId="14991" xr:uid="{553D3A87-9F1B-4097-953E-DBD101F66517}"/>
    <cellStyle name="Note 2 2 2 6 4" xfId="27637" xr:uid="{D8F7F80D-61E9-466C-892D-416FB9B9DACB}"/>
    <cellStyle name="Note 2 2 2 6 5" xfId="19208" xr:uid="{83415EF9-8E03-4F27-8D4A-C73F1449E3AD}"/>
    <cellStyle name="Note 2 2 2 6 6" xfId="36066" xr:uid="{D98CF060-A319-424A-9468-90C513DEA430}"/>
    <cellStyle name="Note 2 2 2 6 7" xfId="10773" xr:uid="{E8FB8945-1882-40EF-A397-D1C50809CC06}"/>
    <cellStyle name="Note 2 2 2 7" xfId="2685" xr:uid="{00000000-0005-0000-0000-0000BE200000}"/>
    <cellStyle name="Note 2 2 2 7 2" xfId="6969" xr:uid="{00000000-0005-0000-0000-0000BF200000}"/>
    <cellStyle name="Note 2 2 2 7 2 2" xfId="32268" xr:uid="{EAE6CE24-9802-4270-97C9-770C814B2DCA}"/>
    <cellStyle name="Note 2 2 2 7 2 3" xfId="23839" xr:uid="{C6692B74-23EF-45F6-AC6D-4D43DE7234CD}"/>
    <cellStyle name="Note 2 2 2 7 2 4" xfId="40696" xr:uid="{BA765493-DDF4-42D3-AFE3-4D4BABDC17DC}"/>
    <cellStyle name="Note 2 2 2 7 2 5" xfId="15404" xr:uid="{C323E394-8E0C-4880-9E82-5C3315723413}"/>
    <cellStyle name="Note 2 2 2 7 3" xfId="28050" xr:uid="{C3F22E8B-E24A-493E-957A-2187339BE125}"/>
    <cellStyle name="Note 2 2 2 7 4" xfId="19621" xr:uid="{623BCB88-4E98-47BA-AE18-347823C73AF1}"/>
    <cellStyle name="Note 2 2 2 7 5" xfId="36479" xr:uid="{056989C3-10F8-458F-9329-B9B82470A225}"/>
    <cellStyle name="Note 2 2 2 7 6" xfId="11186" xr:uid="{4BEC161A-6BE8-4994-815B-862A2FEA859A}"/>
    <cellStyle name="Note 2 2 2 8" xfId="2744" xr:uid="{00000000-0005-0000-0000-0000C0200000}"/>
    <cellStyle name="Note 2 2 2 9" xfId="2825" xr:uid="{00000000-0005-0000-0000-0000C1200000}"/>
    <cellStyle name="Note 2 2 2 9 2" xfId="7049" xr:uid="{00000000-0005-0000-0000-0000C2200000}"/>
    <cellStyle name="Note 2 2 2 9 2 2" xfId="32348" xr:uid="{22D75FFE-CB7F-46A8-BD4B-99EB82D9C7D3}"/>
    <cellStyle name="Note 2 2 2 9 2 3" xfId="23919" xr:uid="{8D71AF23-4D16-4F5F-AAC6-D043105827D5}"/>
    <cellStyle name="Note 2 2 2 9 2 4" xfId="40776" xr:uid="{329150C5-B54B-4798-BE89-FE1BD0FD772A}"/>
    <cellStyle name="Note 2 2 2 9 2 5" xfId="15484" xr:uid="{47C1B0A2-E721-4235-86B3-E0A952EB1D9A}"/>
    <cellStyle name="Note 2 2 2 9 3" xfId="28130" xr:uid="{F04A13DE-0F05-4A0C-9A55-1E942437AA74}"/>
    <cellStyle name="Note 2 2 2 9 4" xfId="19701" xr:uid="{42FE8445-280F-4DED-99FC-D982AA8486CD}"/>
    <cellStyle name="Note 2 2 2 9 5" xfId="36559" xr:uid="{BA44E1C2-7C62-43AC-BCC0-1AA2DA11C315}"/>
    <cellStyle name="Note 2 2 2 9 6" xfId="11266" xr:uid="{53D91326-DF2A-4C42-B848-781F9C5B5F45}"/>
    <cellStyle name="Note 2 2 3" xfId="548" xr:uid="{00000000-0005-0000-0000-0000C3200000}"/>
    <cellStyle name="Note 2 2 3 10" xfId="25987" xr:uid="{21E1D963-D493-48FC-B6EB-9736EB44DE44}"/>
    <cellStyle name="Note 2 2 3 11" xfId="17558" xr:uid="{B001C6D1-2B19-452E-B5C2-B669852863ED}"/>
    <cellStyle name="Note 2 2 3 12" xfId="34416" xr:uid="{F0AEAD46-CDB2-4C5B-AFE6-91F441AAABC0}"/>
    <cellStyle name="Note 2 2 3 13" xfId="9123" xr:uid="{1625D88C-D0C1-4196-A1E4-86C34D45306F}"/>
    <cellStyle name="Note 2 2 3 2" xfId="1009" xr:uid="{00000000-0005-0000-0000-0000C4200000}"/>
    <cellStyle name="Note 2 2 3 2 2" xfId="3241" xr:uid="{00000000-0005-0000-0000-0000C5200000}"/>
    <cellStyle name="Note 2 2 3 2 2 2" xfId="7464" xr:uid="{00000000-0005-0000-0000-0000C6200000}"/>
    <cellStyle name="Note 2 2 3 2 2 2 2" xfId="32763" xr:uid="{4D7F3E79-F47D-49CC-ABED-2D4DC6E5C050}"/>
    <cellStyle name="Note 2 2 3 2 2 2 3" xfId="24334" xr:uid="{10ACB67A-7DB6-4B7D-BD70-E38644D71C0A}"/>
    <cellStyle name="Note 2 2 3 2 2 2 4" xfId="41191" xr:uid="{7AFB1D7C-EC84-4CC3-A73A-7A7096A0EB32}"/>
    <cellStyle name="Note 2 2 3 2 2 2 5" xfId="15899" xr:uid="{8A7E0B27-E247-462E-B3A3-4715E798690E}"/>
    <cellStyle name="Note 2 2 3 2 2 3" xfId="28545" xr:uid="{002B9FFE-EED6-45A9-88BD-5340501B32BD}"/>
    <cellStyle name="Note 2 2 3 2 2 4" xfId="20116" xr:uid="{F0C3D719-36C9-4C00-9688-A3F6ADF1AAC8}"/>
    <cellStyle name="Note 2 2 3 2 2 5" xfId="36974" xr:uid="{FD71A2FF-4E1C-4332-A78F-D2F3FF07C1C8}"/>
    <cellStyle name="Note 2 2 3 2 2 6" xfId="11681" xr:uid="{1DE4150B-2D68-4F17-B7D5-E3E737A33B9F}"/>
    <cellStyle name="Note 2 2 3 2 3" xfId="5319" xr:uid="{00000000-0005-0000-0000-0000C7200000}"/>
    <cellStyle name="Note 2 2 3 2 3 2" xfId="30618" xr:uid="{F806E79D-C23D-4FEE-9972-B7D75639B53B}"/>
    <cellStyle name="Note 2 2 3 2 3 3" xfId="22189" xr:uid="{0E354A55-C6DE-42F4-A942-3FCCB8B9A570}"/>
    <cellStyle name="Note 2 2 3 2 3 4" xfId="39046" xr:uid="{481C5928-0A96-4319-884D-92A7AA4A9F1C}"/>
    <cellStyle name="Note 2 2 3 2 3 5" xfId="13754" xr:uid="{042E697D-02A9-4E28-8A3E-A89DB1318288}"/>
    <cellStyle name="Note 2 2 3 2 4" xfId="26400" xr:uid="{2E318B63-4FE0-4868-BEF2-B76B5E17D1AF}"/>
    <cellStyle name="Note 2 2 3 2 5" xfId="17971" xr:uid="{778640B4-9926-4599-A7B6-0A4C257E7E82}"/>
    <cellStyle name="Note 2 2 3 2 6" xfId="34829" xr:uid="{B275B665-D2BC-4501-A56F-F92648294F64}"/>
    <cellStyle name="Note 2 2 3 2 7" xfId="9536" xr:uid="{C0991437-297E-4D8B-89C4-6DE1FC969081}"/>
    <cellStyle name="Note 2 2 3 3" xfId="1424" xr:uid="{00000000-0005-0000-0000-0000C8200000}"/>
    <cellStyle name="Note 2 2 3 3 2" xfId="3654" xr:uid="{00000000-0005-0000-0000-0000C9200000}"/>
    <cellStyle name="Note 2 2 3 3 2 2" xfId="7877" xr:uid="{00000000-0005-0000-0000-0000CA200000}"/>
    <cellStyle name="Note 2 2 3 3 2 2 2" xfId="33176" xr:uid="{3170540A-534F-4237-8AB5-726DC298F453}"/>
    <cellStyle name="Note 2 2 3 3 2 2 3" xfId="24747" xr:uid="{08A6B147-4C76-496C-A18E-2B572F2C68F9}"/>
    <cellStyle name="Note 2 2 3 3 2 2 4" xfId="41604" xr:uid="{3E200169-AFB6-46BB-909F-62B68319946A}"/>
    <cellStyle name="Note 2 2 3 3 2 2 5" xfId="16312" xr:uid="{B2A7F66F-5F59-45A8-B7A4-7C233AAD6912}"/>
    <cellStyle name="Note 2 2 3 3 2 3" xfId="28958" xr:uid="{DA3FCEA1-61F0-4CB2-8EDF-36AA2CB31871}"/>
    <cellStyle name="Note 2 2 3 3 2 4" xfId="20529" xr:uid="{07C0459A-3769-4204-B2BA-C24DB577076A}"/>
    <cellStyle name="Note 2 2 3 3 2 5" xfId="37387" xr:uid="{55F3BACD-B186-4B4B-9109-12A3294C370A}"/>
    <cellStyle name="Note 2 2 3 3 2 6" xfId="12094" xr:uid="{A536B2FF-64E0-421A-8A06-0B37DA265C9A}"/>
    <cellStyle name="Note 2 2 3 3 3" xfId="5732" xr:uid="{00000000-0005-0000-0000-0000CB200000}"/>
    <cellStyle name="Note 2 2 3 3 3 2" xfId="31031" xr:uid="{1C247BC2-A350-479C-976A-70D333A4D583}"/>
    <cellStyle name="Note 2 2 3 3 3 3" xfId="22602" xr:uid="{FA4F82E6-8672-4D9D-945D-DF6CAB95F73E}"/>
    <cellStyle name="Note 2 2 3 3 3 4" xfId="39459" xr:uid="{F4AEC4C5-9EFC-4D53-B58F-9E9FBD21A38D}"/>
    <cellStyle name="Note 2 2 3 3 3 5" xfId="14167" xr:uid="{14B4A99A-828A-44A1-BD6F-A7B82AA65E58}"/>
    <cellStyle name="Note 2 2 3 3 4" xfId="26813" xr:uid="{197B16BB-8D36-49CF-A628-9EBA37413F64}"/>
    <cellStyle name="Note 2 2 3 3 5" xfId="18384" xr:uid="{021645AD-69BC-4103-9F11-AFC085A2474A}"/>
    <cellStyle name="Note 2 2 3 3 6" xfId="35242" xr:uid="{E2691618-3763-49F0-BF31-09D4390022A8}"/>
    <cellStyle name="Note 2 2 3 3 7" xfId="9949" xr:uid="{D02A626D-8DEE-4B9F-905D-D66001016DE6}"/>
    <cellStyle name="Note 2 2 3 4" xfId="1838" xr:uid="{00000000-0005-0000-0000-0000CC200000}"/>
    <cellStyle name="Note 2 2 3 4 2" xfId="4067" xr:uid="{00000000-0005-0000-0000-0000CD200000}"/>
    <cellStyle name="Note 2 2 3 4 2 2" xfId="8290" xr:uid="{00000000-0005-0000-0000-0000CE200000}"/>
    <cellStyle name="Note 2 2 3 4 2 2 2" xfId="33589" xr:uid="{565A9562-2783-4DB6-8E92-5C5842C944AA}"/>
    <cellStyle name="Note 2 2 3 4 2 2 3" xfId="25160" xr:uid="{0CA2F8FE-156D-4C93-9138-DF9E9AF2B589}"/>
    <cellStyle name="Note 2 2 3 4 2 2 4" xfId="42017" xr:uid="{EA815EDE-C5A6-4C0B-9312-A2C885DD1DB0}"/>
    <cellStyle name="Note 2 2 3 4 2 2 5" xfId="16725" xr:uid="{A9E81508-05DE-4E62-9C98-B5B012D7BC1A}"/>
    <cellStyle name="Note 2 2 3 4 2 3" xfId="29371" xr:uid="{533A03B3-6012-4E29-9559-BF383B27929C}"/>
    <cellStyle name="Note 2 2 3 4 2 4" xfId="20942" xr:uid="{E92408ED-A8F2-476C-94EB-094F41E1835A}"/>
    <cellStyle name="Note 2 2 3 4 2 5" xfId="37800" xr:uid="{D948AE16-ACAF-4C5E-AD59-8295338BF239}"/>
    <cellStyle name="Note 2 2 3 4 2 6" xfId="12507" xr:uid="{BE82192A-C45B-4AEE-95BA-FE2216B49CDE}"/>
    <cellStyle name="Note 2 2 3 4 3" xfId="6145" xr:uid="{00000000-0005-0000-0000-0000CF200000}"/>
    <cellStyle name="Note 2 2 3 4 3 2" xfId="31444" xr:uid="{DEB54F92-6059-4104-B276-60C60EB83E41}"/>
    <cellStyle name="Note 2 2 3 4 3 3" xfId="23015" xr:uid="{C44C6DDF-0732-46E9-95F7-92A9B2E32344}"/>
    <cellStyle name="Note 2 2 3 4 3 4" xfId="39872" xr:uid="{376D4485-80E2-430D-AC14-CD9BB80B3084}"/>
    <cellStyle name="Note 2 2 3 4 3 5" xfId="14580" xr:uid="{F4D945A4-E186-4FCC-9E6E-2148DF38BC49}"/>
    <cellStyle name="Note 2 2 3 4 4" xfId="27226" xr:uid="{95CD92A5-30EE-4B4B-A808-C850003B36C6}"/>
    <cellStyle name="Note 2 2 3 4 5" xfId="18797" xr:uid="{DEE0BCE1-DBED-4C29-916F-6483661E3815}"/>
    <cellStyle name="Note 2 2 3 4 6" xfId="35655" xr:uid="{2FA84765-4362-4784-850D-3EE53FB87F5F}"/>
    <cellStyle name="Note 2 2 3 4 7" xfId="10362" xr:uid="{A89D2146-8722-49A4-BF6A-F993E5CADE52}"/>
    <cellStyle name="Note 2 2 3 5" xfId="2251" xr:uid="{00000000-0005-0000-0000-0000D0200000}"/>
    <cellStyle name="Note 2 2 3 5 2" xfId="4480" xr:uid="{00000000-0005-0000-0000-0000D1200000}"/>
    <cellStyle name="Note 2 2 3 5 2 2" xfId="8703" xr:uid="{00000000-0005-0000-0000-0000D2200000}"/>
    <cellStyle name="Note 2 2 3 5 2 2 2" xfId="34002" xr:uid="{E943742B-A1C7-4DF0-BB60-60883EFFE09F}"/>
    <cellStyle name="Note 2 2 3 5 2 2 3" xfId="25573" xr:uid="{6824DE50-A6AA-4C13-8BD6-64E42EF1DA5C}"/>
    <cellStyle name="Note 2 2 3 5 2 2 4" xfId="42430" xr:uid="{D5A0B95E-9F7E-4B61-94A5-A004275DFB2A}"/>
    <cellStyle name="Note 2 2 3 5 2 2 5" xfId="17138" xr:uid="{6F423F57-5E46-4C1A-B6B8-16EEDFA854BF}"/>
    <cellStyle name="Note 2 2 3 5 2 3" xfId="29784" xr:uid="{8ED41D14-50AE-45FD-9D78-68FCA081313C}"/>
    <cellStyle name="Note 2 2 3 5 2 4" xfId="21355" xr:uid="{E030A0C3-5BA3-4B64-8783-7B5B4615679F}"/>
    <cellStyle name="Note 2 2 3 5 2 5" xfId="38213" xr:uid="{9CE8D178-FD3C-4E42-B640-68D2F7EF87C7}"/>
    <cellStyle name="Note 2 2 3 5 2 6" xfId="12920" xr:uid="{41FB9F95-5854-4EF3-9382-6A6560DCA9B8}"/>
    <cellStyle name="Note 2 2 3 5 3" xfId="6558" xr:uid="{00000000-0005-0000-0000-0000D3200000}"/>
    <cellStyle name="Note 2 2 3 5 3 2" xfId="31857" xr:uid="{C7351323-1F95-4C1E-B0A6-B6943F83151A}"/>
    <cellStyle name="Note 2 2 3 5 3 3" xfId="23428" xr:uid="{49994CA6-C2D8-417C-B2D4-BAB0BD551178}"/>
    <cellStyle name="Note 2 2 3 5 3 4" xfId="40285" xr:uid="{C06244DC-62B0-45C1-AD1E-6D4CA8B5EA6E}"/>
    <cellStyle name="Note 2 2 3 5 3 5" xfId="14993" xr:uid="{14DA4F99-85DF-4741-B7A0-F6C3B1A39E57}"/>
    <cellStyle name="Note 2 2 3 5 4" xfId="27639" xr:uid="{4EC388CC-3001-4231-AD15-B1FC7D30EEAF}"/>
    <cellStyle name="Note 2 2 3 5 5" xfId="19210" xr:uid="{A8D7B314-D175-46F8-AEAD-8712316C4BDD}"/>
    <cellStyle name="Note 2 2 3 5 6" xfId="36068" xr:uid="{16387D43-2BC9-427C-929D-3EE47D2F7B5D}"/>
    <cellStyle name="Note 2 2 3 5 7" xfId="10775" xr:uid="{107CE0DC-4BD4-48D7-8C0E-4B59C1551B77}"/>
    <cellStyle name="Note 2 2 3 6" xfId="2687" xr:uid="{00000000-0005-0000-0000-0000D4200000}"/>
    <cellStyle name="Note 2 2 3 6 2" xfId="6971" xr:uid="{00000000-0005-0000-0000-0000D5200000}"/>
    <cellStyle name="Note 2 2 3 6 2 2" xfId="32270" xr:uid="{989FF295-DFBB-4A3F-966A-90DFA3980231}"/>
    <cellStyle name="Note 2 2 3 6 2 3" xfId="23841" xr:uid="{175955D2-4B93-405F-ACD1-06B6A48B0CFB}"/>
    <cellStyle name="Note 2 2 3 6 2 4" xfId="40698" xr:uid="{D3EC5C43-47D9-4AFB-A894-B3A88278DA49}"/>
    <cellStyle name="Note 2 2 3 6 2 5" xfId="15406" xr:uid="{41E289A2-F935-42F0-8FF1-CB4BFF1B74AE}"/>
    <cellStyle name="Note 2 2 3 6 3" xfId="28052" xr:uid="{09BA5F80-6E8A-463C-9904-7E84B79D8C67}"/>
    <cellStyle name="Note 2 2 3 6 4" xfId="19623" xr:uid="{78275688-E132-4D7E-B02D-F845EC68BB9F}"/>
    <cellStyle name="Note 2 2 3 6 5" xfId="36481" xr:uid="{F35036A9-F7E8-47BC-AABC-285E3C426464}"/>
    <cellStyle name="Note 2 2 3 6 6" xfId="11188" xr:uid="{259BEC4B-719E-4A6A-8EC2-88ED544B5B80}"/>
    <cellStyle name="Note 2 2 3 7" xfId="2746" xr:uid="{00000000-0005-0000-0000-0000D6200000}"/>
    <cellStyle name="Note 2 2 3 8" xfId="2827" xr:uid="{00000000-0005-0000-0000-0000D7200000}"/>
    <cellStyle name="Note 2 2 3 8 2" xfId="7051" xr:uid="{00000000-0005-0000-0000-0000D8200000}"/>
    <cellStyle name="Note 2 2 3 8 2 2" xfId="32350" xr:uid="{E7995020-A582-4DFF-9B7F-9E71C23FA902}"/>
    <cellStyle name="Note 2 2 3 8 2 3" xfId="23921" xr:uid="{888A5A2A-CA05-4687-8288-75112CE870B8}"/>
    <cellStyle name="Note 2 2 3 8 2 4" xfId="40778" xr:uid="{1153E0D4-8491-4148-892F-001D43507F28}"/>
    <cellStyle name="Note 2 2 3 8 2 5" xfId="15486" xr:uid="{FD1F86CD-A29B-43A3-90F7-1BA962FBB948}"/>
    <cellStyle name="Note 2 2 3 8 3" xfId="28132" xr:uid="{2D2F83FA-B6B5-41D9-BFCC-BE5868981469}"/>
    <cellStyle name="Note 2 2 3 8 4" xfId="19703" xr:uid="{48E61D40-D75D-41DB-A1C4-A86ECCF1E8C0}"/>
    <cellStyle name="Note 2 2 3 8 5" xfId="36561" xr:uid="{14FDEFD1-26DB-49C9-BFC1-ABFA697182C4}"/>
    <cellStyle name="Note 2 2 3 8 6" xfId="11268" xr:uid="{611EB699-0B15-4818-A2F1-EFC760B1DC48}"/>
    <cellStyle name="Note 2 2 3 9" xfId="4906" xr:uid="{00000000-0005-0000-0000-0000D9200000}"/>
    <cellStyle name="Note 2 2 3 9 2" xfId="30205" xr:uid="{684CE61A-E154-4F25-BA1A-2DF356B5FD7C}"/>
    <cellStyle name="Note 2 2 3 9 3" xfId="21776" xr:uid="{E8C3B85C-4716-4B24-8FA1-1FA3AB1183A7}"/>
    <cellStyle name="Note 2 2 3 9 4" xfId="38633" xr:uid="{FB0511C1-AFDA-4B40-9BA4-9F76F7F3417D}"/>
    <cellStyle name="Note 2 2 3 9 5" xfId="13341" xr:uid="{4A7F526A-A741-49EB-8E43-8B381B552AE5}"/>
    <cellStyle name="Note 2 2 4" xfId="1006" xr:uid="{00000000-0005-0000-0000-0000DA200000}"/>
    <cellStyle name="Note 2 2 4 2" xfId="3238" xr:uid="{00000000-0005-0000-0000-0000DB200000}"/>
    <cellStyle name="Note 2 2 4 2 2" xfId="7461" xr:uid="{00000000-0005-0000-0000-0000DC200000}"/>
    <cellStyle name="Note 2 2 4 2 2 2" xfId="32760" xr:uid="{4C0C09EE-5262-47A2-AAEE-A8D4F3036070}"/>
    <cellStyle name="Note 2 2 4 2 2 3" xfId="24331" xr:uid="{4ACECD85-B8FF-4649-85B6-D56CC9319CC4}"/>
    <cellStyle name="Note 2 2 4 2 2 4" xfId="41188" xr:uid="{1BF6B2C1-CCD2-4F40-AFE6-6D62B67419FB}"/>
    <cellStyle name="Note 2 2 4 2 2 5" xfId="15896" xr:uid="{0B5EB446-DE57-4655-8413-F713C61FA70A}"/>
    <cellStyle name="Note 2 2 4 2 3" xfId="28542" xr:uid="{172537CB-793A-47CE-A093-915A8B286ABD}"/>
    <cellStyle name="Note 2 2 4 2 4" xfId="20113" xr:uid="{D961A05C-96F8-4767-96FA-60A38D76694A}"/>
    <cellStyle name="Note 2 2 4 2 5" xfId="36971" xr:uid="{23E24E70-081E-4CC8-894E-0668134D022B}"/>
    <cellStyle name="Note 2 2 4 2 6" xfId="11678" xr:uid="{CBBE7E29-A7E2-4820-ADE3-94CB2FFA018F}"/>
    <cellStyle name="Note 2 2 4 3" xfId="5316" xr:uid="{00000000-0005-0000-0000-0000DD200000}"/>
    <cellStyle name="Note 2 2 4 3 2" xfId="30615" xr:uid="{973B2567-F431-4512-9C89-0002B021BAB4}"/>
    <cellStyle name="Note 2 2 4 3 3" xfId="22186" xr:uid="{5507AD89-BF8C-4825-BFE7-5912829F5B20}"/>
    <cellStyle name="Note 2 2 4 3 4" xfId="39043" xr:uid="{BCE480D1-9047-429E-B64D-F374C8FAD65E}"/>
    <cellStyle name="Note 2 2 4 3 5" xfId="13751" xr:uid="{91F12F55-B327-4DA0-91DA-300877A27677}"/>
    <cellStyle name="Note 2 2 4 4" xfId="26397" xr:uid="{BF342834-C815-4480-8C3C-446F68EBBD01}"/>
    <cellStyle name="Note 2 2 4 5" xfId="17968" xr:uid="{92857E15-786E-41A1-87DC-AEE7C4E3A821}"/>
    <cellStyle name="Note 2 2 4 6" xfId="34826" xr:uid="{E05753C2-2003-4B6D-B135-D01A489CEEA8}"/>
    <cellStyle name="Note 2 2 4 7" xfId="9533" xr:uid="{AD7F170D-18D6-43A8-A59A-DFB1F529E96F}"/>
    <cellStyle name="Note 2 2 5" xfId="1421" xr:uid="{00000000-0005-0000-0000-0000DE200000}"/>
    <cellStyle name="Note 2 2 5 2" xfId="3651" xr:uid="{00000000-0005-0000-0000-0000DF200000}"/>
    <cellStyle name="Note 2 2 5 2 2" xfId="7874" xr:uid="{00000000-0005-0000-0000-0000E0200000}"/>
    <cellStyle name="Note 2 2 5 2 2 2" xfId="33173" xr:uid="{D474E264-132F-40A8-97EF-C9C47395A812}"/>
    <cellStyle name="Note 2 2 5 2 2 3" xfId="24744" xr:uid="{34F75775-3DEE-4B9A-A3D5-67EDDD4D3B64}"/>
    <cellStyle name="Note 2 2 5 2 2 4" xfId="41601" xr:uid="{844E9276-F38E-4E07-A6C3-A74535693466}"/>
    <cellStyle name="Note 2 2 5 2 2 5" xfId="16309" xr:uid="{E0D4F9CC-70E4-4C2A-A990-7EBA4A11103D}"/>
    <cellStyle name="Note 2 2 5 2 3" xfId="28955" xr:uid="{3AAF99FE-CAD4-4ACD-81AD-CABE67F0D43C}"/>
    <cellStyle name="Note 2 2 5 2 4" xfId="20526" xr:uid="{51EE3C9A-209E-40AD-A3E0-75A90823CE5B}"/>
    <cellStyle name="Note 2 2 5 2 5" xfId="37384" xr:uid="{41A1344F-ACB7-40D9-A951-62C66898CEAB}"/>
    <cellStyle name="Note 2 2 5 2 6" xfId="12091" xr:uid="{81AD9051-E8C5-4418-BF50-451289FC7D17}"/>
    <cellStyle name="Note 2 2 5 3" xfId="5729" xr:uid="{00000000-0005-0000-0000-0000E1200000}"/>
    <cellStyle name="Note 2 2 5 3 2" xfId="31028" xr:uid="{063A65D9-455B-41BF-B4C4-C47DC9C8E5E2}"/>
    <cellStyle name="Note 2 2 5 3 3" xfId="22599" xr:uid="{2F663A59-CDF2-4960-B5CC-9FDD94EE230B}"/>
    <cellStyle name="Note 2 2 5 3 4" xfId="39456" xr:uid="{D2CF0238-B686-4F29-973C-5DD552A130AD}"/>
    <cellStyle name="Note 2 2 5 3 5" xfId="14164" xr:uid="{DA5C229D-2F70-4822-9BBE-76DA9ED1E6F1}"/>
    <cellStyle name="Note 2 2 5 4" xfId="26810" xr:uid="{67D41C29-E98D-4937-95C1-6DE944BDC8D6}"/>
    <cellStyle name="Note 2 2 5 5" xfId="18381" xr:uid="{2B3BD3D2-CE35-4386-8C62-0E6FE36EC9A9}"/>
    <cellStyle name="Note 2 2 5 6" xfId="35239" xr:uid="{C1826787-E280-4ECC-83F9-7EBA33F7FFA5}"/>
    <cellStyle name="Note 2 2 5 7" xfId="9946" xr:uid="{0FB46096-0CBD-4514-B8BE-FDCF71BC7944}"/>
    <cellStyle name="Note 2 2 6" xfId="1835" xr:uid="{00000000-0005-0000-0000-0000E2200000}"/>
    <cellStyle name="Note 2 2 6 2" xfId="4064" xr:uid="{00000000-0005-0000-0000-0000E3200000}"/>
    <cellStyle name="Note 2 2 6 2 2" xfId="8287" xr:uid="{00000000-0005-0000-0000-0000E4200000}"/>
    <cellStyle name="Note 2 2 6 2 2 2" xfId="33586" xr:uid="{C8CBB6B5-8B4F-47BB-AC69-F6EEECE6E0FB}"/>
    <cellStyle name="Note 2 2 6 2 2 3" xfId="25157" xr:uid="{1444F8AC-D4BD-4902-9825-1F5B5A924AB2}"/>
    <cellStyle name="Note 2 2 6 2 2 4" xfId="42014" xr:uid="{DFB26DA0-FD21-4BEB-A7A2-66C26E48878D}"/>
    <cellStyle name="Note 2 2 6 2 2 5" xfId="16722" xr:uid="{36D7EA03-8ADE-41F7-A00E-B8627E90A4C2}"/>
    <cellStyle name="Note 2 2 6 2 3" xfId="29368" xr:uid="{F41F7D9D-B6F1-4A36-88AF-EE77ED0EC000}"/>
    <cellStyle name="Note 2 2 6 2 4" xfId="20939" xr:uid="{86611AA6-5966-4A4C-82C4-2F5464C85CAA}"/>
    <cellStyle name="Note 2 2 6 2 5" xfId="37797" xr:uid="{85BC6D9A-8D82-4903-9DB2-43C14C80E974}"/>
    <cellStyle name="Note 2 2 6 2 6" xfId="12504" xr:uid="{2D236DF9-6817-438A-A01F-6EF68C94981B}"/>
    <cellStyle name="Note 2 2 6 3" xfId="6142" xr:uid="{00000000-0005-0000-0000-0000E5200000}"/>
    <cellStyle name="Note 2 2 6 3 2" xfId="31441" xr:uid="{E28106C5-621A-4479-804E-543274326433}"/>
    <cellStyle name="Note 2 2 6 3 3" xfId="23012" xr:uid="{46D822FD-D62E-43A0-9E33-B90A4C6772D5}"/>
    <cellStyle name="Note 2 2 6 3 4" xfId="39869" xr:uid="{613F6C58-D536-4172-A3A4-C4F11C930C95}"/>
    <cellStyle name="Note 2 2 6 3 5" xfId="14577" xr:uid="{A37188CF-B45F-4E3C-908A-7E2E2B255F1C}"/>
    <cellStyle name="Note 2 2 6 4" xfId="27223" xr:uid="{6C75B6C1-9AFA-4FD2-A9BC-C4EB8B74D624}"/>
    <cellStyle name="Note 2 2 6 5" xfId="18794" xr:uid="{3C8BAE1B-5FB7-4E81-8C22-394B0ABE5CE6}"/>
    <cellStyle name="Note 2 2 6 6" xfId="35652" xr:uid="{1D94F19E-91D1-4B7D-91A3-3DDB190AB7D0}"/>
    <cellStyle name="Note 2 2 6 7" xfId="10359" xr:uid="{1A6BE88D-B83D-4672-9AA6-A30DED6E5DA5}"/>
    <cellStyle name="Note 2 2 7" xfId="2248" xr:uid="{00000000-0005-0000-0000-0000E6200000}"/>
    <cellStyle name="Note 2 2 7 2" xfId="4477" xr:uid="{00000000-0005-0000-0000-0000E7200000}"/>
    <cellStyle name="Note 2 2 7 2 2" xfId="8700" xr:uid="{00000000-0005-0000-0000-0000E8200000}"/>
    <cellStyle name="Note 2 2 7 2 2 2" xfId="33999" xr:uid="{9903EEE8-7E6A-4FA0-BE1C-8B97638AAEA8}"/>
    <cellStyle name="Note 2 2 7 2 2 3" xfId="25570" xr:uid="{BB54E759-BE96-466A-AD2F-19F565EB4959}"/>
    <cellStyle name="Note 2 2 7 2 2 4" xfId="42427" xr:uid="{834C862E-3F9D-43DC-A10E-2D68D50BAA7D}"/>
    <cellStyle name="Note 2 2 7 2 2 5" xfId="17135" xr:uid="{E903B9DC-B3B0-42FA-AE50-F235AA0D445B}"/>
    <cellStyle name="Note 2 2 7 2 3" xfId="29781" xr:uid="{43B3120C-2CF2-4188-993B-7737E63A7390}"/>
    <cellStyle name="Note 2 2 7 2 4" xfId="21352" xr:uid="{CA053F38-A2FC-41F2-B062-2D657E139073}"/>
    <cellStyle name="Note 2 2 7 2 5" xfId="38210" xr:uid="{BA7AC58B-6CCA-4CA6-A622-58A64B8CC85B}"/>
    <cellStyle name="Note 2 2 7 2 6" xfId="12917" xr:uid="{FC859E4E-91A0-4B99-BD77-E8461D0AF30A}"/>
    <cellStyle name="Note 2 2 7 3" xfId="6555" xr:uid="{00000000-0005-0000-0000-0000E9200000}"/>
    <cellStyle name="Note 2 2 7 3 2" xfId="31854" xr:uid="{3277320D-36B5-48C2-82A3-2CA1EB70AC47}"/>
    <cellStyle name="Note 2 2 7 3 3" xfId="23425" xr:uid="{430F4645-813A-467B-82CD-4B751EA4479A}"/>
    <cellStyle name="Note 2 2 7 3 4" xfId="40282" xr:uid="{B993E373-3FE1-4599-ACDC-68438D485533}"/>
    <cellStyle name="Note 2 2 7 3 5" xfId="14990" xr:uid="{4F8561DF-4DBB-4C84-B325-62FB21A01A1F}"/>
    <cellStyle name="Note 2 2 7 4" xfId="27636" xr:uid="{E9585E2A-BFD5-456A-86F5-0866E4EA0AC9}"/>
    <cellStyle name="Note 2 2 7 5" xfId="19207" xr:uid="{A5AAEFC9-4BCD-4B99-AB63-19990DAD8F9F}"/>
    <cellStyle name="Note 2 2 7 6" xfId="36065" xr:uid="{6BDBBCA0-EE2B-4E16-97EA-0D9F48F82865}"/>
    <cellStyle name="Note 2 2 7 7" xfId="10772" xr:uid="{89EE7A44-DAF5-4C27-885A-78CE31EFFFE6}"/>
    <cellStyle name="Note 2 2 8" xfId="2684" xr:uid="{00000000-0005-0000-0000-0000EA200000}"/>
    <cellStyle name="Note 2 2 8 2" xfId="6968" xr:uid="{00000000-0005-0000-0000-0000EB200000}"/>
    <cellStyle name="Note 2 2 8 2 2" xfId="32267" xr:uid="{8FBB644F-B2F9-4631-ACF8-455AB748EFDD}"/>
    <cellStyle name="Note 2 2 8 2 3" xfId="23838" xr:uid="{E047AB03-A088-48D0-B5D4-85E785357C7E}"/>
    <cellStyle name="Note 2 2 8 2 4" xfId="40695" xr:uid="{D978E782-905A-4734-84C4-40ACB6C3A6AD}"/>
    <cellStyle name="Note 2 2 8 2 5" xfId="15403" xr:uid="{2F68D0F9-93B6-4CE5-B598-139C91B5462A}"/>
    <cellStyle name="Note 2 2 8 3" xfId="28049" xr:uid="{97DBE021-9333-43DF-BB97-8E8CA69FDF34}"/>
    <cellStyle name="Note 2 2 8 4" xfId="19620" xr:uid="{1A2F86B1-6651-447C-AEBF-C9327A49CFF5}"/>
    <cellStyle name="Note 2 2 8 5" xfId="36478" xr:uid="{12EA57CB-40A2-4D26-9522-226E43BAA00F}"/>
    <cellStyle name="Note 2 2 8 6" xfId="11185" xr:uid="{31D037A3-C986-4499-94D2-5CF98AC4DE59}"/>
    <cellStyle name="Note 2 2 9" xfId="2743" xr:uid="{00000000-0005-0000-0000-0000EC200000}"/>
    <cellStyle name="Note 2 3" xfId="549" xr:uid="{00000000-0005-0000-0000-0000ED200000}"/>
    <cellStyle name="Note 2 3 10" xfId="4907" xr:uid="{00000000-0005-0000-0000-0000EE200000}"/>
    <cellStyle name="Note 2 3 10 2" xfId="30206" xr:uid="{A7513AC6-B19E-43DC-BBE0-58AF9D9C2291}"/>
    <cellStyle name="Note 2 3 10 3" xfId="21777" xr:uid="{070A1888-8E2E-45F8-8B37-940B9AA8ABB2}"/>
    <cellStyle name="Note 2 3 10 4" xfId="38634" xr:uid="{A871F601-E472-490A-9C52-3E3ED9A68224}"/>
    <cellStyle name="Note 2 3 10 5" xfId="13342" xr:uid="{586B9A34-0F73-4D3A-AC51-3DF8E1BEDB96}"/>
    <cellStyle name="Note 2 3 11" xfId="25988" xr:uid="{13C1BAAF-2660-41C7-9535-3337B8E2492C}"/>
    <cellStyle name="Note 2 3 12" xfId="17559" xr:uid="{CBBBD72E-FCE6-4D59-B92E-DC7BF19BE173}"/>
    <cellStyle name="Note 2 3 13" xfId="34417" xr:uid="{232B445C-9124-42D5-8564-04EA0B1D8283}"/>
    <cellStyle name="Note 2 3 14" xfId="9124" xr:uid="{EFBC9D05-424C-4BDE-860E-592796C57D0C}"/>
    <cellStyle name="Note 2 3 2" xfId="550" xr:uid="{00000000-0005-0000-0000-0000EF200000}"/>
    <cellStyle name="Note 2 3 2 10" xfId="25989" xr:uid="{DC652E31-21A1-43F8-B50D-97395624CA23}"/>
    <cellStyle name="Note 2 3 2 11" xfId="17560" xr:uid="{DC93C696-4AE9-4294-AB99-3CA9BEB355CA}"/>
    <cellStyle name="Note 2 3 2 12" xfId="34418" xr:uid="{B3F2A986-4410-47D9-BB55-B881DC675017}"/>
    <cellStyle name="Note 2 3 2 13" xfId="9125" xr:uid="{0D7779C7-7F40-4837-9D8B-D380BFAFC320}"/>
    <cellStyle name="Note 2 3 2 2" xfId="1011" xr:uid="{00000000-0005-0000-0000-0000F0200000}"/>
    <cellStyle name="Note 2 3 2 2 2" xfId="3243" xr:uid="{00000000-0005-0000-0000-0000F1200000}"/>
    <cellStyle name="Note 2 3 2 2 2 2" xfId="7466" xr:uid="{00000000-0005-0000-0000-0000F2200000}"/>
    <cellStyle name="Note 2 3 2 2 2 2 2" xfId="32765" xr:uid="{09159AFE-87EC-4067-A6D1-6FB7EF1E95C1}"/>
    <cellStyle name="Note 2 3 2 2 2 2 3" xfId="24336" xr:uid="{6F800863-5363-4D55-BD92-35A7336BE561}"/>
    <cellStyle name="Note 2 3 2 2 2 2 4" xfId="41193" xr:uid="{FA1B7A34-7081-426A-AA4E-92E69F46E741}"/>
    <cellStyle name="Note 2 3 2 2 2 2 5" xfId="15901" xr:uid="{479759AA-8B4A-4836-B598-B872D1B1DD12}"/>
    <cellStyle name="Note 2 3 2 2 2 3" xfId="28547" xr:uid="{5A625FD5-C28E-4584-AE56-6A1E59038591}"/>
    <cellStyle name="Note 2 3 2 2 2 4" xfId="20118" xr:uid="{E00181F8-B230-4805-96CE-E27672C008A0}"/>
    <cellStyle name="Note 2 3 2 2 2 5" xfId="36976" xr:uid="{AE1284AF-6ECA-4911-BDD5-2487EA778F3C}"/>
    <cellStyle name="Note 2 3 2 2 2 6" xfId="11683" xr:uid="{E589906E-A1AE-419E-90CF-C3C3FCBFDE7B}"/>
    <cellStyle name="Note 2 3 2 2 3" xfId="5321" xr:uid="{00000000-0005-0000-0000-0000F3200000}"/>
    <cellStyle name="Note 2 3 2 2 3 2" xfId="30620" xr:uid="{D9511F0D-5A9C-4C4F-A026-550D2F400BEF}"/>
    <cellStyle name="Note 2 3 2 2 3 3" xfId="22191" xr:uid="{8A6CE196-2E2A-4756-9C8C-B8B3210334AC}"/>
    <cellStyle name="Note 2 3 2 2 3 4" xfId="39048" xr:uid="{8EED826B-9E47-48A7-BF2B-2EF6DD82F428}"/>
    <cellStyle name="Note 2 3 2 2 3 5" xfId="13756" xr:uid="{CD85C713-CFEE-493F-B3A0-3018D819BE83}"/>
    <cellStyle name="Note 2 3 2 2 4" xfId="26402" xr:uid="{A03B1890-93B0-4DCE-B909-1716B6695389}"/>
    <cellStyle name="Note 2 3 2 2 5" xfId="17973" xr:uid="{FABEBBFE-3ADF-4FD7-BBF5-990EF51F9779}"/>
    <cellStyle name="Note 2 3 2 2 6" xfId="34831" xr:uid="{8A81A8E5-C4AD-4A5F-BB0B-344293410325}"/>
    <cellStyle name="Note 2 3 2 2 7" xfId="9538" xr:uid="{3CEB6007-4147-42B7-B44F-9F54B2F7E72F}"/>
    <cellStyle name="Note 2 3 2 3" xfId="1426" xr:uid="{00000000-0005-0000-0000-0000F4200000}"/>
    <cellStyle name="Note 2 3 2 3 2" xfId="3656" xr:uid="{00000000-0005-0000-0000-0000F5200000}"/>
    <cellStyle name="Note 2 3 2 3 2 2" xfId="7879" xr:uid="{00000000-0005-0000-0000-0000F6200000}"/>
    <cellStyle name="Note 2 3 2 3 2 2 2" xfId="33178" xr:uid="{19C1A08A-05AD-49C2-B3FE-584AF21358C8}"/>
    <cellStyle name="Note 2 3 2 3 2 2 3" xfId="24749" xr:uid="{243EAC84-9D02-41F0-944C-19E863F36B94}"/>
    <cellStyle name="Note 2 3 2 3 2 2 4" xfId="41606" xr:uid="{10B3B25C-B680-43C8-8EA3-6BB62B5DC0F4}"/>
    <cellStyle name="Note 2 3 2 3 2 2 5" xfId="16314" xr:uid="{ABCE4B9E-542A-41E8-AC16-20050D5711FB}"/>
    <cellStyle name="Note 2 3 2 3 2 3" xfId="28960" xr:uid="{A092A716-9F9E-44D8-8E5A-5E9C7D239105}"/>
    <cellStyle name="Note 2 3 2 3 2 4" xfId="20531" xr:uid="{90453F4D-CD3C-4049-A6B8-1471D55C457A}"/>
    <cellStyle name="Note 2 3 2 3 2 5" xfId="37389" xr:uid="{C9A4DD15-DF99-4622-9BD9-739E92CE7498}"/>
    <cellStyle name="Note 2 3 2 3 2 6" xfId="12096" xr:uid="{63102746-375F-489B-832D-0500E3A746A9}"/>
    <cellStyle name="Note 2 3 2 3 3" xfId="5734" xr:uid="{00000000-0005-0000-0000-0000F7200000}"/>
    <cellStyle name="Note 2 3 2 3 3 2" xfId="31033" xr:uid="{EC369250-862E-429B-87AA-4F2CA9D00F10}"/>
    <cellStyle name="Note 2 3 2 3 3 3" xfId="22604" xr:uid="{C9E71881-5D85-424E-9960-42867335091F}"/>
    <cellStyle name="Note 2 3 2 3 3 4" xfId="39461" xr:uid="{433AE2BC-8234-420F-9F88-F392F771FF70}"/>
    <cellStyle name="Note 2 3 2 3 3 5" xfId="14169" xr:uid="{6AC5C96C-B4BB-48C2-B07D-331476C56299}"/>
    <cellStyle name="Note 2 3 2 3 4" xfId="26815" xr:uid="{5F9AD284-AE13-43A2-95DF-C0A93369CB32}"/>
    <cellStyle name="Note 2 3 2 3 5" xfId="18386" xr:uid="{122A7578-846A-4B8E-86DA-FC5AC83F1AFE}"/>
    <cellStyle name="Note 2 3 2 3 6" xfId="35244" xr:uid="{DC732240-046C-41EA-9BF7-FD9A5175532D}"/>
    <cellStyle name="Note 2 3 2 3 7" xfId="9951" xr:uid="{E242A72D-E1CC-4B4A-B32F-D0554767C51A}"/>
    <cellStyle name="Note 2 3 2 4" xfId="1840" xr:uid="{00000000-0005-0000-0000-0000F8200000}"/>
    <cellStyle name="Note 2 3 2 4 2" xfId="4069" xr:uid="{00000000-0005-0000-0000-0000F9200000}"/>
    <cellStyle name="Note 2 3 2 4 2 2" xfId="8292" xr:uid="{00000000-0005-0000-0000-0000FA200000}"/>
    <cellStyle name="Note 2 3 2 4 2 2 2" xfId="33591" xr:uid="{24AE4A18-B14B-4601-AC87-684F8867C21C}"/>
    <cellStyle name="Note 2 3 2 4 2 2 3" xfId="25162" xr:uid="{659AB2BB-B122-412B-A999-A3DFEAAD8555}"/>
    <cellStyle name="Note 2 3 2 4 2 2 4" xfId="42019" xr:uid="{557F3B2D-326D-4AD5-989C-87C439F7563B}"/>
    <cellStyle name="Note 2 3 2 4 2 2 5" xfId="16727" xr:uid="{9D43A376-9354-4A6F-915F-34466B83748E}"/>
    <cellStyle name="Note 2 3 2 4 2 3" xfId="29373" xr:uid="{AE6253D8-0519-4F43-86C1-93FBD1EE2BD8}"/>
    <cellStyle name="Note 2 3 2 4 2 4" xfId="20944" xr:uid="{C28F959B-ECD2-41AA-B0F1-C52658A6C851}"/>
    <cellStyle name="Note 2 3 2 4 2 5" xfId="37802" xr:uid="{BDE23593-78C2-4CC6-AAB1-75FA4F40E3F2}"/>
    <cellStyle name="Note 2 3 2 4 2 6" xfId="12509" xr:uid="{27FE09E3-51B8-4169-A4C5-E1F563E420AD}"/>
    <cellStyle name="Note 2 3 2 4 3" xfId="6147" xr:uid="{00000000-0005-0000-0000-0000FB200000}"/>
    <cellStyle name="Note 2 3 2 4 3 2" xfId="31446" xr:uid="{1E21D444-A187-4633-870D-63828A6F4A58}"/>
    <cellStyle name="Note 2 3 2 4 3 3" xfId="23017" xr:uid="{1B6737B2-C89D-4804-94FB-4E3BBC05384A}"/>
    <cellStyle name="Note 2 3 2 4 3 4" xfId="39874" xr:uid="{2D9BC194-E240-4CD1-9732-83AA10279D57}"/>
    <cellStyle name="Note 2 3 2 4 3 5" xfId="14582" xr:uid="{78D79E6D-1EEE-4D26-A939-00DB9B03C2D0}"/>
    <cellStyle name="Note 2 3 2 4 4" xfId="27228" xr:uid="{3B187C51-A10B-4697-A6B4-3348213317B6}"/>
    <cellStyle name="Note 2 3 2 4 5" xfId="18799" xr:uid="{4E067C8C-F026-4738-B13E-BCE2EFCF6E18}"/>
    <cellStyle name="Note 2 3 2 4 6" xfId="35657" xr:uid="{D107EDAC-EA7A-4819-A199-D61942201AFA}"/>
    <cellStyle name="Note 2 3 2 4 7" xfId="10364" xr:uid="{A98A11D7-9323-447F-84E5-E8E75A2FCF93}"/>
    <cellStyle name="Note 2 3 2 5" xfId="2253" xr:uid="{00000000-0005-0000-0000-0000FC200000}"/>
    <cellStyle name="Note 2 3 2 5 2" xfId="4482" xr:uid="{00000000-0005-0000-0000-0000FD200000}"/>
    <cellStyle name="Note 2 3 2 5 2 2" xfId="8705" xr:uid="{00000000-0005-0000-0000-0000FE200000}"/>
    <cellStyle name="Note 2 3 2 5 2 2 2" xfId="34004" xr:uid="{7959405F-147B-414E-A705-0C47C9D105D6}"/>
    <cellStyle name="Note 2 3 2 5 2 2 3" xfId="25575" xr:uid="{867FFCD7-3D62-4A57-8D61-20B7D50D1994}"/>
    <cellStyle name="Note 2 3 2 5 2 2 4" xfId="42432" xr:uid="{F11D9EB6-858D-45FD-9857-20DA85077426}"/>
    <cellStyle name="Note 2 3 2 5 2 2 5" xfId="17140" xr:uid="{7E997A74-0436-4F6F-8465-679351C2152D}"/>
    <cellStyle name="Note 2 3 2 5 2 3" xfId="29786" xr:uid="{DFB5A3A1-BFF8-46FA-A028-4444FE41F8A5}"/>
    <cellStyle name="Note 2 3 2 5 2 4" xfId="21357" xr:uid="{49C3D7B6-3091-4426-AF3A-C61BA653EEF3}"/>
    <cellStyle name="Note 2 3 2 5 2 5" xfId="38215" xr:uid="{413CD9FA-BF39-4199-A9EE-721164C557BA}"/>
    <cellStyle name="Note 2 3 2 5 2 6" xfId="12922" xr:uid="{E1ED790D-9747-4161-9F40-119A9134199A}"/>
    <cellStyle name="Note 2 3 2 5 3" xfId="6560" xr:uid="{00000000-0005-0000-0000-0000FF200000}"/>
    <cellStyle name="Note 2 3 2 5 3 2" xfId="31859" xr:uid="{9D738648-E72F-454F-91E5-E43A017E94E5}"/>
    <cellStyle name="Note 2 3 2 5 3 3" xfId="23430" xr:uid="{DF783C7E-5D1E-48F6-A08B-DDB4446E0E70}"/>
    <cellStyle name="Note 2 3 2 5 3 4" xfId="40287" xr:uid="{1CA46225-8C50-45D5-8B18-C19F8C676FE2}"/>
    <cellStyle name="Note 2 3 2 5 3 5" xfId="14995" xr:uid="{C9E62C37-CF72-490B-BDA5-F67440F4AA82}"/>
    <cellStyle name="Note 2 3 2 5 4" xfId="27641" xr:uid="{782DB699-C52F-4A0D-82E1-AA9EC21CCE53}"/>
    <cellStyle name="Note 2 3 2 5 5" xfId="19212" xr:uid="{69093537-652E-46F6-9DC5-BDDABBC567AB}"/>
    <cellStyle name="Note 2 3 2 5 6" xfId="36070" xr:uid="{F6315E91-1264-4489-8908-73DBD3E78DCA}"/>
    <cellStyle name="Note 2 3 2 5 7" xfId="10777" xr:uid="{147C0655-78AC-4B9A-B4E7-32502CE97D31}"/>
    <cellStyle name="Note 2 3 2 6" xfId="2689" xr:uid="{00000000-0005-0000-0000-000000210000}"/>
    <cellStyle name="Note 2 3 2 6 2" xfId="6973" xr:uid="{00000000-0005-0000-0000-000001210000}"/>
    <cellStyle name="Note 2 3 2 6 2 2" xfId="32272" xr:uid="{7F9EC888-4B7C-4409-817E-E3F2CC683D80}"/>
    <cellStyle name="Note 2 3 2 6 2 3" xfId="23843" xr:uid="{23CA09AD-70AA-4B4D-87D9-DD71C72F5E88}"/>
    <cellStyle name="Note 2 3 2 6 2 4" xfId="40700" xr:uid="{8CA97032-C8B4-48B1-A73A-69B3A08133D2}"/>
    <cellStyle name="Note 2 3 2 6 2 5" xfId="15408" xr:uid="{88D50FE0-F8BB-48A7-AA61-C75019229228}"/>
    <cellStyle name="Note 2 3 2 6 3" xfId="28054" xr:uid="{54C6C740-516A-43EC-B2DC-A403FBACECA8}"/>
    <cellStyle name="Note 2 3 2 6 4" xfId="19625" xr:uid="{AFA4F27C-73B4-456B-BD63-1CE9EEDA9773}"/>
    <cellStyle name="Note 2 3 2 6 5" xfId="36483" xr:uid="{2D376A50-B93C-4F1F-870F-E536A4B3135D}"/>
    <cellStyle name="Note 2 3 2 6 6" xfId="11190" xr:uid="{0AF45E56-97D0-48CF-8A53-DCD48A4BD450}"/>
    <cellStyle name="Note 2 3 2 7" xfId="2748" xr:uid="{00000000-0005-0000-0000-000002210000}"/>
    <cellStyle name="Note 2 3 2 8" xfId="2829" xr:uid="{00000000-0005-0000-0000-000003210000}"/>
    <cellStyle name="Note 2 3 2 8 2" xfId="7053" xr:uid="{00000000-0005-0000-0000-000004210000}"/>
    <cellStyle name="Note 2 3 2 8 2 2" xfId="32352" xr:uid="{D3E5C361-41E6-407C-95FD-09EC0DB72B76}"/>
    <cellStyle name="Note 2 3 2 8 2 3" xfId="23923" xr:uid="{1774243E-0563-4A53-937A-7326655E548D}"/>
    <cellStyle name="Note 2 3 2 8 2 4" xfId="40780" xr:uid="{39FA8857-22F3-476F-95A1-789BC368A7F1}"/>
    <cellStyle name="Note 2 3 2 8 2 5" xfId="15488" xr:uid="{D4BF2AF9-4EF6-4949-87E0-9C1BD6D7703B}"/>
    <cellStyle name="Note 2 3 2 8 3" xfId="28134" xr:uid="{93DA1B52-B4BE-436C-B292-D3A015229961}"/>
    <cellStyle name="Note 2 3 2 8 4" xfId="19705" xr:uid="{10FB7D19-499B-47BF-AF61-83DDCFA9F6B2}"/>
    <cellStyle name="Note 2 3 2 8 5" xfId="36563" xr:uid="{44FE578E-7ED2-45F1-A9A4-06AC5B5E9F04}"/>
    <cellStyle name="Note 2 3 2 8 6" xfId="11270" xr:uid="{D1E4D7A1-2EB8-4E84-B0A0-037028108FFA}"/>
    <cellStyle name="Note 2 3 2 9" xfId="4908" xr:uid="{00000000-0005-0000-0000-000005210000}"/>
    <cellStyle name="Note 2 3 2 9 2" xfId="30207" xr:uid="{516C6758-FADA-48F2-B763-A692C4913C85}"/>
    <cellStyle name="Note 2 3 2 9 3" xfId="21778" xr:uid="{185428F8-D947-4C3E-82C2-7DCF99C378CB}"/>
    <cellStyle name="Note 2 3 2 9 4" xfId="38635" xr:uid="{2917DD32-10F8-4CD4-B69E-80A22B2C78F6}"/>
    <cellStyle name="Note 2 3 2 9 5" xfId="13343" xr:uid="{D3CE3986-F168-4B2C-B1DF-A01E36275B5F}"/>
    <cellStyle name="Note 2 3 3" xfId="1010" xr:uid="{00000000-0005-0000-0000-000006210000}"/>
    <cellStyle name="Note 2 3 3 2" xfId="3242" xr:uid="{00000000-0005-0000-0000-000007210000}"/>
    <cellStyle name="Note 2 3 3 2 2" xfId="7465" xr:uid="{00000000-0005-0000-0000-000008210000}"/>
    <cellStyle name="Note 2 3 3 2 2 2" xfId="32764" xr:uid="{8D63D381-F0DB-448D-A37D-21C613C821C8}"/>
    <cellStyle name="Note 2 3 3 2 2 3" xfId="24335" xr:uid="{367DF1E1-4768-4A21-A695-2CDF3D7D513E}"/>
    <cellStyle name="Note 2 3 3 2 2 4" xfId="41192" xr:uid="{FD0C2492-0145-434B-93A1-2069147B4A9B}"/>
    <cellStyle name="Note 2 3 3 2 2 5" xfId="15900" xr:uid="{4928F7C1-6C34-44D4-94D9-841C4E5B2E5A}"/>
    <cellStyle name="Note 2 3 3 2 3" xfId="28546" xr:uid="{B1DE3AB5-2C9D-4724-8723-A85D30AD8676}"/>
    <cellStyle name="Note 2 3 3 2 4" xfId="20117" xr:uid="{F17C3BAA-F60E-44E4-844B-970EB13BC857}"/>
    <cellStyle name="Note 2 3 3 2 5" xfId="36975" xr:uid="{47000E5B-EBD7-41BC-B74B-DCC29B129947}"/>
    <cellStyle name="Note 2 3 3 2 6" xfId="11682" xr:uid="{1AA1D32C-0103-4A52-AAC6-5CCF75FA0B5D}"/>
    <cellStyle name="Note 2 3 3 3" xfId="5320" xr:uid="{00000000-0005-0000-0000-000009210000}"/>
    <cellStyle name="Note 2 3 3 3 2" xfId="30619" xr:uid="{ECFEAB4C-496B-4867-A8BE-0AC3B343314C}"/>
    <cellStyle name="Note 2 3 3 3 3" xfId="22190" xr:uid="{70B679EB-C96C-4560-BFA4-146F0151438D}"/>
    <cellStyle name="Note 2 3 3 3 4" xfId="39047" xr:uid="{A1DF2812-7837-489A-8588-B2C147ACF86C}"/>
    <cellStyle name="Note 2 3 3 3 5" xfId="13755" xr:uid="{9E4F67A4-B10F-4F58-B044-CC04AE9DAADB}"/>
    <cellStyle name="Note 2 3 3 4" xfId="26401" xr:uid="{42BBAFCA-8E21-42DF-A29E-C47EB8360AB3}"/>
    <cellStyle name="Note 2 3 3 5" xfId="17972" xr:uid="{4EB123F3-CAAC-4A47-AA18-606742DACEBD}"/>
    <cellStyle name="Note 2 3 3 6" xfId="34830" xr:uid="{131B5214-75D6-4225-8098-D54A99686046}"/>
    <cellStyle name="Note 2 3 3 7" xfId="9537" xr:uid="{80E77C22-F800-428A-820C-4F1C3C3B904B}"/>
    <cellStyle name="Note 2 3 4" xfId="1425" xr:uid="{00000000-0005-0000-0000-00000A210000}"/>
    <cellStyle name="Note 2 3 4 2" xfId="3655" xr:uid="{00000000-0005-0000-0000-00000B210000}"/>
    <cellStyle name="Note 2 3 4 2 2" xfId="7878" xr:uid="{00000000-0005-0000-0000-00000C210000}"/>
    <cellStyle name="Note 2 3 4 2 2 2" xfId="33177" xr:uid="{BDB1D24D-DB86-44CC-BDA9-199403C4699F}"/>
    <cellStyle name="Note 2 3 4 2 2 3" xfId="24748" xr:uid="{DFEFFC3B-3685-4432-8C9A-C9EF3F9332FE}"/>
    <cellStyle name="Note 2 3 4 2 2 4" xfId="41605" xr:uid="{D3E86E02-1DF7-4658-9178-F9A294C59406}"/>
    <cellStyle name="Note 2 3 4 2 2 5" xfId="16313" xr:uid="{95140A76-B56A-4C5A-ADB0-AD17ABC948F5}"/>
    <cellStyle name="Note 2 3 4 2 3" xfId="28959" xr:uid="{2F9A6645-08FC-42F6-A921-67F26B26BEA2}"/>
    <cellStyle name="Note 2 3 4 2 4" xfId="20530" xr:uid="{F6DE12CC-061E-4F91-9E53-805B492983E4}"/>
    <cellStyle name="Note 2 3 4 2 5" xfId="37388" xr:uid="{74F90A9A-A8AC-4051-AE10-6EB0625CA6BE}"/>
    <cellStyle name="Note 2 3 4 2 6" xfId="12095" xr:uid="{7FB6006F-EED6-4930-848F-0395897237FD}"/>
    <cellStyle name="Note 2 3 4 3" xfId="5733" xr:uid="{00000000-0005-0000-0000-00000D210000}"/>
    <cellStyle name="Note 2 3 4 3 2" xfId="31032" xr:uid="{CFA692CF-F953-4EE8-87D3-9A3D10657B8E}"/>
    <cellStyle name="Note 2 3 4 3 3" xfId="22603" xr:uid="{37D391A4-6266-4090-A428-11E169301B58}"/>
    <cellStyle name="Note 2 3 4 3 4" xfId="39460" xr:uid="{D8B72179-8CBB-4373-B485-6E95CF13758D}"/>
    <cellStyle name="Note 2 3 4 3 5" xfId="14168" xr:uid="{9BFA11E5-D039-43B9-B049-7B8A700FA552}"/>
    <cellStyle name="Note 2 3 4 4" xfId="26814" xr:uid="{E9EACAB0-5D1B-43BF-9ABF-B725B2087BCA}"/>
    <cellStyle name="Note 2 3 4 5" xfId="18385" xr:uid="{AE8BFA5B-86A2-431C-94B1-34D1B0403726}"/>
    <cellStyle name="Note 2 3 4 6" xfId="35243" xr:uid="{4A41350A-CCF0-4448-883D-A1C0D7120752}"/>
    <cellStyle name="Note 2 3 4 7" xfId="9950" xr:uid="{2C422668-3AE5-46D3-B50A-BD649690F6CC}"/>
    <cellStyle name="Note 2 3 5" xfId="1839" xr:uid="{00000000-0005-0000-0000-00000E210000}"/>
    <cellStyle name="Note 2 3 5 2" xfId="4068" xr:uid="{00000000-0005-0000-0000-00000F210000}"/>
    <cellStyle name="Note 2 3 5 2 2" xfId="8291" xr:uid="{00000000-0005-0000-0000-000010210000}"/>
    <cellStyle name="Note 2 3 5 2 2 2" xfId="33590" xr:uid="{CAAF5750-950C-45E7-9CCE-EB89DAD6CB6E}"/>
    <cellStyle name="Note 2 3 5 2 2 3" xfId="25161" xr:uid="{F0AD075D-B1DC-46FE-BABD-1F47EB8D99D7}"/>
    <cellStyle name="Note 2 3 5 2 2 4" xfId="42018" xr:uid="{D6796AF6-517D-4A0A-8EBA-B7FD04980DCE}"/>
    <cellStyle name="Note 2 3 5 2 2 5" xfId="16726" xr:uid="{83E739AE-8F7D-424E-AEE5-114B27A94174}"/>
    <cellStyle name="Note 2 3 5 2 3" xfId="29372" xr:uid="{0934D3AE-A85F-415E-BE28-132D31596B58}"/>
    <cellStyle name="Note 2 3 5 2 4" xfId="20943" xr:uid="{90CAD520-71CD-4A57-BE4E-4F972055BF6D}"/>
    <cellStyle name="Note 2 3 5 2 5" xfId="37801" xr:uid="{9F922248-84C8-40AC-BE6F-0F12CD7DCDC4}"/>
    <cellStyle name="Note 2 3 5 2 6" xfId="12508" xr:uid="{A8FB84D2-44A4-46A0-9349-22523EA6A5A3}"/>
    <cellStyle name="Note 2 3 5 3" xfId="6146" xr:uid="{00000000-0005-0000-0000-000011210000}"/>
    <cellStyle name="Note 2 3 5 3 2" xfId="31445" xr:uid="{0C694E53-258E-4A2F-AD64-057D03E6E109}"/>
    <cellStyle name="Note 2 3 5 3 3" xfId="23016" xr:uid="{9357A056-1AF4-4C2C-8F0F-98036B233FDD}"/>
    <cellStyle name="Note 2 3 5 3 4" xfId="39873" xr:uid="{4F3DC2D5-354D-4BDC-A9CE-5A768F003859}"/>
    <cellStyle name="Note 2 3 5 3 5" xfId="14581" xr:uid="{3271B983-67B4-4F01-B3CD-306477760A43}"/>
    <cellStyle name="Note 2 3 5 4" xfId="27227" xr:uid="{60576304-E8E4-4716-8D7D-CB44669C59F5}"/>
    <cellStyle name="Note 2 3 5 5" xfId="18798" xr:uid="{5993AF5F-6036-4A09-B38C-ED65FFC3E345}"/>
    <cellStyle name="Note 2 3 5 6" xfId="35656" xr:uid="{C5DE839C-BBD4-4AE0-B19B-2F95B3B8F3E6}"/>
    <cellStyle name="Note 2 3 5 7" xfId="10363" xr:uid="{B808A59A-C009-46CA-8A42-35DE482E537E}"/>
    <cellStyle name="Note 2 3 6" xfId="2252" xr:uid="{00000000-0005-0000-0000-000012210000}"/>
    <cellStyle name="Note 2 3 6 2" xfId="4481" xr:uid="{00000000-0005-0000-0000-000013210000}"/>
    <cellStyle name="Note 2 3 6 2 2" xfId="8704" xr:uid="{00000000-0005-0000-0000-000014210000}"/>
    <cellStyle name="Note 2 3 6 2 2 2" xfId="34003" xr:uid="{14EAB0DE-FBE7-4F04-8B26-E0C9DBF3F842}"/>
    <cellStyle name="Note 2 3 6 2 2 3" xfId="25574" xr:uid="{3924FD0D-1A17-44DA-AF1F-5B5A27F79D94}"/>
    <cellStyle name="Note 2 3 6 2 2 4" xfId="42431" xr:uid="{231BBACE-A3CE-40EB-B8BB-FDDACF69DA07}"/>
    <cellStyle name="Note 2 3 6 2 2 5" xfId="17139" xr:uid="{445A6EED-A399-4EE8-A95B-4048A95D239D}"/>
    <cellStyle name="Note 2 3 6 2 3" xfId="29785" xr:uid="{5AB44B57-94C1-41F6-902B-3022B7C830F8}"/>
    <cellStyle name="Note 2 3 6 2 4" xfId="21356" xr:uid="{E5F12C57-CB84-4658-AE82-074ABB9620D5}"/>
    <cellStyle name="Note 2 3 6 2 5" xfId="38214" xr:uid="{12006AC2-C4BE-4203-AC28-EBDE500B9334}"/>
    <cellStyle name="Note 2 3 6 2 6" xfId="12921" xr:uid="{0244E5D1-2077-4682-9B6A-F2798F0C1D91}"/>
    <cellStyle name="Note 2 3 6 3" xfId="6559" xr:uid="{00000000-0005-0000-0000-000015210000}"/>
    <cellStyle name="Note 2 3 6 3 2" xfId="31858" xr:uid="{3524F1B2-3BAF-411B-9C13-1B5543DB6BFE}"/>
    <cellStyle name="Note 2 3 6 3 3" xfId="23429" xr:uid="{9EAD232C-C096-4888-94FF-43F45C32C876}"/>
    <cellStyle name="Note 2 3 6 3 4" xfId="40286" xr:uid="{43EF30F5-2BD4-4169-9CF6-7EB07BA4E5DB}"/>
    <cellStyle name="Note 2 3 6 3 5" xfId="14994" xr:uid="{F2C768BD-6BD3-47C7-AB94-097847C57907}"/>
    <cellStyle name="Note 2 3 6 4" xfId="27640" xr:uid="{F5CB6948-2E8F-49FA-84AD-1F89AA946371}"/>
    <cellStyle name="Note 2 3 6 5" xfId="19211" xr:uid="{C85A1247-AC08-4E40-B650-24ECA21BF28D}"/>
    <cellStyle name="Note 2 3 6 6" xfId="36069" xr:uid="{A68AF46A-E98C-4D3C-9AB8-77C349452C04}"/>
    <cellStyle name="Note 2 3 6 7" xfId="10776" xr:uid="{B7DCE8AB-B8A1-4307-9BD3-A3C0C560FF77}"/>
    <cellStyle name="Note 2 3 7" xfId="2688" xr:uid="{00000000-0005-0000-0000-000016210000}"/>
    <cellStyle name="Note 2 3 7 2" xfId="6972" xr:uid="{00000000-0005-0000-0000-000017210000}"/>
    <cellStyle name="Note 2 3 7 2 2" xfId="32271" xr:uid="{8DA86372-AA7C-4ED1-A73E-902C13B3D39D}"/>
    <cellStyle name="Note 2 3 7 2 3" xfId="23842" xr:uid="{493CC28D-EE2A-48F8-8864-DCE8BA5D5638}"/>
    <cellStyle name="Note 2 3 7 2 4" xfId="40699" xr:uid="{CFCEA890-5318-4A63-8AD5-665AEF9A3782}"/>
    <cellStyle name="Note 2 3 7 2 5" xfId="15407" xr:uid="{016A412C-DBE6-4C5E-BCB5-6CA8F0B85E21}"/>
    <cellStyle name="Note 2 3 7 3" xfId="28053" xr:uid="{7615AB58-273A-40DE-9CD7-1F9FDC83A02D}"/>
    <cellStyle name="Note 2 3 7 4" xfId="19624" xr:uid="{2E6A303B-C1A3-43D3-96E5-C5EDDBCCC62B}"/>
    <cellStyle name="Note 2 3 7 5" xfId="36482" xr:uid="{97BDCD6F-6668-4DB5-96D8-8A44190FC52C}"/>
    <cellStyle name="Note 2 3 7 6" xfId="11189" xr:uid="{AE2C8BE8-6FAA-4A6C-A7CB-DA29824CB605}"/>
    <cellStyle name="Note 2 3 8" xfId="2747" xr:uid="{00000000-0005-0000-0000-000018210000}"/>
    <cellStyle name="Note 2 3 9" xfId="2828" xr:uid="{00000000-0005-0000-0000-000019210000}"/>
    <cellStyle name="Note 2 3 9 2" xfId="7052" xr:uid="{00000000-0005-0000-0000-00001A210000}"/>
    <cellStyle name="Note 2 3 9 2 2" xfId="32351" xr:uid="{0B836DD2-E9AE-4B71-9C04-A4F373DC9FC2}"/>
    <cellStyle name="Note 2 3 9 2 3" xfId="23922" xr:uid="{53EA0944-8B84-40B9-A7EB-8CF668A81347}"/>
    <cellStyle name="Note 2 3 9 2 4" xfId="40779" xr:uid="{A89CF890-C333-45E9-8B6B-48520DD14CDD}"/>
    <cellStyle name="Note 2 3 9 2 5" xfId="15487" xr:uid="{81ECAEB1-3ACC-4F6E-9851-0DBF15EB8CC7}"/>
    <cellStyle name="Note 2 3 9 3" xfId="28133" xr:uid="{4A0B03EB-4E6E-445A-9A50-289D176FD73B}"/>
    <cellStyle name="Note 2 3 9 4" xfId="19704" xr:uid="{4EC97B80-039D-4D3A-A8F8-9422278926CF}"/>
    <cellStyle name="Note 2 3 9 5" xfId="36562" xr:uid="{6C50F3A0-0AE3-4138-9BA5-3E29DD32DFB2}"/>
    <cellStyle name="Note 2 3 9 6" xfId="11269" xr:uid="{CC901E61-9839-4D9D-90E3-51F225305832}"/>
    <cellStyle name="Note 2 4" xfId="551" xr:uid="{00000000-0005-0000-0000-00001B210000}"/>
    <cellStyle name="Note 2 4 10" xfId="25990" xr:uid="{927ABC3D-F633-4AE8-AAD9-1E570E8BDB56}"/>
    <cellStyle name="Note 2 4 11" xfId="17561" xr:uid="{A23E8232-D583-4981-95D2-F3CEAB8F3BCC}"/>
    <cellStyle name="Note 2 4 12" xfId="34419" xr:uid="{68D9AEC9-F406-4C62-8C5A-E7E8F84ABCC1}"/>
    <cellStyle name="Note 2 4 13" xfId="9126" xr:uid="{84D9C9D8-25DF-4E05-AF07-31AF06CBC40E}"/>
    <cellStyle name="Note 2 4 2" xfId="1012" xr:uid="{00000000-0005-0000-0000-00001C210000}"/>
    <cellStyle name="Note 2 4 2 2" xfId="3244" xr:uid="{00000000-0005-0000-0000-00001D210000}"/>
    <cellStyle name="Note 2 4 2 2 2" xfId="7467" xr:uid="{00000000-0005-0000-0000-00001E210000}"/>
    <cellStyle name="Note 2 4 2 2 2 2" xfId="32766" xr:uid="{241FB47F-8BEE-4893-BCDF-B43099C37B95}"/>
    <cellStyle name="Note 2 4 2 2 2 3" xfId="24337" xr:uid="{2864B9AC-F63C-4C49-9636-75FB237F839B}"/>
    <cellStyle name="Note 2 4 2 2 2 4" xfId="41194" xr:uid="{4B2582C0-7EA2-4643-B794-9F98AA6D3660}"/>
    <cellStyle name="Note 2 4 2 2 2 5" xfId="15902" xr:uid="{8FC40940-4487-4768-83B9-AB7CB5989CA6}"/>
    <cellStyle name="Note 2 4 2 2 3" xfId="28548" xr:uid="{9ECEF2AB-D3A1-48CA-B610-CBDCC938DCC0}"/>
    <cellStyle name="Note 2 4 2 2 4" xfId="20119" xr:uid="{AEDF5533-52F0-443F-9F2D-E60E2FAFF95A}"/>
    <cellStyle name="Note 2 4 2 2 5" xfId="36977" xr:uid="{2F5B48D0-723D-47E0-A9BF-33AA7B22B2B1}"/>
    <cellStyle name="Note 2 4 2 2 6" xfId="11684" xr:uid="{ED2ABDDB-3B64-4E2D-BE6B-7E5FD9110383}"/>
    <cellStyle name="Note 2 4 2 3" xfId="5322" xr:uid="{00000000-0005-0000-0000-00001F210000}"/>
    <cellStyle name="Note 2 4 2 3 2" xfId="30621" xr:uid="{6B61292B-92BD-4A19-8AE2-E875286B53C2}"/>
    <cellStyle name="Note 2 4 2 3 3" xfId="22192" xr:uid="{42B19A1A-4C3D-4EE4-B83A-FC005FDCDC14}"/>
    <cellStyle name="Note 2 4 2 3 4" xfId="39049" xr:uid="{82FD9D93-EC39-414E-BF18-EB97B9E3BE1D}"/>
    <cellStyle name="Note 2 4 2 3 5" xfId="13757" xr:uid="{0BB72C4B-9E42-4D03-8D8A-5A3D82DD1B23}"/>
    <cellStyle name="Note 2 4 2 4" xfId="26403" xr:uid="{A8BB20B4-59F4-4079-8B48-737439842F00}"/>
    <cellStyle name="Note 2 4 2 5" xfId="17974" xr:uid="{CEF6AD31-B758-4230-AA16-6E50417FC5C6}"/>
    <cellStyle name="Note 2 4 2 6" xfId="34832" xr:uid="{9D2B18D5-3503-423C-851E-DA58A4FE5197}"/>
    <cellStyle name="Note 2 4 2 7" xfId="9539" xr:uid="{07D22F34-739A-4092-A841-68A7215A73C7}"/>
    <cellStyle name="Note 2 4 3" xfId="1427" xr:uid="{00000000-0005-0000-0000-000020210000}"/>
    <cellStyle name="Note 2 4 3 2" xfId="3657" xr:uid="{00000000-0005-0000-0000-000021210000}"/>
    <cellStyle name="Note 2 4 3 2 2" xfId="7880" xr:uid="{00000000-0005-0000-0000-000022210000}"/>
    <cellStyle name="Note 2 4 3 2 2 2" xfId="33179" xr:uid="{16BB570F-7A9B-4892-84A9-56DBA7FAE71C}"/>
    <cellStyle name="Note 2 4 3 2 2 3" xfId="24750" xr:uid="{F80E16BE-EACA-4D66-8235-A688AB6A1AAD}"/>
    <cellStyle name="Note 2 4 3 2 2 4" xfId="41607" xr:uid="{469C997B-4F12-41AD-BC10-70414DA13D8F}"/>
    <cellStyle name="Note 2 4 3 2 2 5" xfId="16315" xr:uid="{BFF69344-0D76-4E07-90A6-C07E22795B4D}"/>
    <cellStyle name="Note 2 4 3 2 3" xfId="28961" xr:uid="{66A38660-9FED-4587-BB96-58A28F6971CA}"/>
    <cellStyle name="Note 2 4 3 2 4" xfId="20532" xr:uid="{15D79270-1F4C-42B6-B0E7-795CC8474610}"/>
    <cellStyle name="Note 2 4 3 2 5" xfId="37390" xr:uid="{ADEBDE25-5CB5-4555-BCA5-97BACC0EBBD4}"/>
    <cellStyle name="Note 2 4 3 2 6" xfId="12097" xr:uid="{DF0DA7F7-305A-4BEA-B6EC-DC38E1350BBF}"/>
    <cellStyle name="Note 2 4 3 3" xfId="5735" xr:uid="{00000000-0005-0000-0000-000023210000}"/>
    <cellStyle name="Note 2 4 3 3 2" xfId="31034" xr:uid="{A1B71CDF-E97C-4DB2-AFF7-84E980FEC4AE}"/>
    <cellStyle name="Note 2 4 3 3 3" xfId="22605" xr:uid="{1E75DE86-CA42-4850-A0B1-7F5472C2CAAD}"/>
    <cellStyle name="Note 2 4 3 3 4" xfId="39462" xr:uid="{BCF211A8-57FB-415A-A592-0239335F159C}"/>
    <cellStyle name="Note 2 4 3 3 5" xfId="14170" xr:uid="{815CEDC1-CD94-472C-A59D-086B79F875E7}"/>
    <cellStyle name="Note 2 4 3 4" xfId="26816" xr:uid="{99F0E66B-C28F-43FB-9666-BB0E8FAF8E1E}"/>
    <cellStyle name="Note 2 4 3 5" xfId="18387" xr:uid="{F4075C14-1D5A-4974-A7DB-19C3015AA2A7}"/>
    <cellStyle name="Note 2 4 3 6" xfId="35245" xr:uid="{60E7F0EB-CD3F-4AF7-90E4-FDB9E1697502}"/>
    <cellStyle name="Note 2 4 3 7" xfId="9952" xr:uid="{841C44C6-14D1-40FF-92E9-F96B4F622E17}"/>
    <cellStyle name="Note 2 4 4" xfId="1841" xr:uid="{00000000-0005-0000-0000-000024210000}"/>
    <cellStyle name="Note 2 4 4 2" xfId="4070" xr:uid="{00000000-0005-0000-0000-000025210000}"/>
    <cellStyle name="Note 2 4 4 2 2" xfId="8293" xr:uid="{00000000-0005-0000-0000-000026210000}"/>
    <cellStyle name="Note 2 4 4 2 2 2" xfId="33592" xr:uid="{7909AF1D-82FC-4F7C-9D0B-F7DAF3B08B19}"/>
    <cellStyle name="Note 2 4 4 2 2 3" xfId="25163" xr:uid="{A53618E2-2E40-4AB4-B981-0A4BA0AD996E}"/>
    <cellStyle name="Note 2 4 4 2 2 4" xfId="42020" xr:uid="{97B37DEE-5222-4199-9A11-F63E7BD1AE39}"/>
    <cellStyle name="Note 2 4 4 2 2 5" xfId="16728" xr:uid="{DA18F356-2C14-45C5-AEDC-16790A6A80FD}"/>
    <cellStyle name="Note 2 4 4 2 3" xfId="29374" xr:uid="{509240ED-BE87-4B8D-B5F6-4F34D31F2855}"/>
    <cellStyle name="Note 2 4 4 2 4" xfId="20945" xr:uid="{B59D4EC7-4D63-41FB-9017-C773398192E8}"/>
    <cellStyle name="Note 2 4 4 2 5" xfId="37803" xr:uid="{F9188F6C-4643-4619-BDDD-C352F566D30C}"/>
    <cellStyle name="Note 2 4 4 2 6" xfId="12510" xr:uid="{8B0F06FD-AF3B-4ED4-8529-B7B143192C93}"/>
    <cellStyle name="Note 2 4 4 3" xfId="6148" xr:uid="{00000000-0005-0000-0000-000027210000}"/>
    <cellStyle name="Note 2 4 4 3 2" xfId="31447" xr:uid="{2A937783-6447-4036-96C2-B00039311F6F}"/>
    <cellStyle name="Note 2 4 4 3 3" xfId="23018" xr:uid="{F9938DCF-7299-4D95-9B0E-9849A412C586}"/>
    <cellStyle name="Note 2 4 4 3 4" xfId="39875" xr:uid="{28991412-914F-437B-B48B-91FCE45484EC}"/>
    <cellStyle name="Note 2 4 4 3 5" xfId="14583" xr:uid="{4C117734-1C16-4FFD-BFC4-DDBD7A43FA05}"/>
    <cellStyle name="Note 2 4 4 4" xfId="27229" xr:uid="{2E930118-6F40-474F-9E81-CEFC9F06E842}"/>
    <cellStyle name="Note 2 4 4 5" xfId="18800" xr:uid="{B005E458-44C4-4FF3-BD66-4FA7E07FE500}"/>
    <cellStyle name="Note 2 4 4 6" xfId="35658" xr:uid="{1558CE5B-A1F2-4E9C-945D-A2CFF1E4C6A3}"/>
    <cellStyle name="Note 2 4 4 7" xfId="10365" xr:uid="{AF82C538-7AA6-400B-87CE-1E11F3C830BE}"/>
    <cellStyle name="Note 2 4 5" xfId="2254" xr:uid="{00000000-0005-0000-0000-000028210000}"/>
    <cellStyle name="Note 2 4 5 2" xfId="4483" xr:uid="{00000000-0005-0000-0000-000029210000}"/>
    <cellStyle name="Note 2 4 5 2 2" xfId="8706" xr:uid="{00000000-0005-0000-0000-00002A210000}"/>
    <cellStyle name="Note 2 4 5 2 2 2" xfId="34005" xr:uid="{E7515451-D16A-4F9D-BED6-43B9A47891B4}"/>
    <cellStyle name="Note 2 4 5 2 2 3" xfId="25576" xr:uid="{B9E2D4A1-7776-4D5C-ACDB-114FFEA4ABE9}"/>
    <cellStyle name="Note 2 4 5 2 2 4" xfId="42433" xr:uid="{FAFD67B6-B580-4F45-BE77-7BAD87CC0E3D}"/>
    <cellStyle name="Note 2 4 5 2 2 5" xfId="17141" xr:uid="{D3CD613F-6D1C-4363-9F2C-17AE6F8B4B3F}"/>
    <cellStyle name="Note 2 4 5 2 3" xfId="29787" xr:uid="{2603AD62-FD06-4F41-980F-3195705FA315}"/>
    <cellStyle name="Note 2 4 5 2 4" xfId="21358" xr:uid="{8E2D78AF-0932-4643-B86C-8D6C073C3A4E}"/>
    <cellStyle name="Note 2 4 5 2 5" xfId="38216" xr:uid="{DA71706D-6BBD-4E3E-AA0A-038B3564AEAF}"/>
    <cellStyle name="Note 2 4 5 2 6" xfId="12923" xr:uid="{C92D80D7-F918-494D-A6F4-DA730475895A}"/>
    <cellStyle name="Note 2 4 5 3" xfId="6561" xr:uid="{00000000-0005-0000-0000-00002B210000}"/>
    <cellStyle name="Note 2 4 5 3 2" xfId="31860" xr:uid="{9042238E-F457-4D4B-ACA7-EB1418806CB8}"/>
    <cellStyle name="Note 2 4 5 3 3" xfId="23431" xr:uid="{AB4BEE99-DFF8-4B82-A387-FED92D70DADD}"/>
    <cellStyle name="Note 2 4 5 3 4" xfId="40288" xr:uid="{644945E6-DD82-49D6-B064-CD15B2D035E1}"/>
    <cellStyle name="Note 2 4 5 3 5" xfId="14996" xr:uid="{BB93FEA2-CC24-414F-8A44-A057C529BB3C}"/>
    <cellStyle name="Note 2 4 5 4" xfId="27642" xr:uid="{EDB06D45-EF26-42A9-B5C5-D8687EB268FA}"/>
    <cellStyle name="Note 2 4 5 5" xfId="19213" xr:uid="{825B5F1C-C7E9-43BC-8D49-763046F65F3E}"/>
    <cellStyle name="Note 2 4 5 6" xfId="36071" xr:uid="{6DBC8B2F-5AA9-4BB9-B0D7-CD42892E7C8F}"/>
    <cellStyle name="Note 2 4 5 7" xfId="10778" xr:uid="{B6B2D98A-CEC9-4365-A1BA-8A5B624547B4}"/>
    <cellStyle name="Note 2 4 6" xfId="2690" xr:uid="{00000000-0005-0000-0000-00002C210000}"/>
    <cellStyle name="Note 2 4 6 2" xfId="6974" xr:uid="{00000000-0005-0000-0000-00002D210000}"/>
    <cellStyle name="Note 2 4 6 2 2" xfId="32273" xr:uid="{512B14EC-AB39-4D46-8C08-5A43B1371C91}"/>
    <cellStyle name="Note 2 4 6 2 3" xfId="23844" xr:uid="{22A76A22-1A88-4D97-8201-8CC8029D6DC8}"/>
    <cellStyle name="Note 2 4 6 2 4" xfId="40701" xr:uid="{38223774-378F-4B59-9262-7F8F7EA94527}"/>
    <cellStyle name="Note 2 4 6 2 5" xfId="15409" xr:uid="{F883DD85-1210-4F69-B56B-BBCE8B225963}"/>
    <cellStyle name="Note 2 4 6 3" xfId="28055" xr:uid="{1689215C-2D58-4BE1-B01B-4BEB9DFFE360}"/>
    <cellStyle name="Note 2 4 6 4" xfId="19626" xr:uid="{0AB9DB49-6D20-4E40-B008-3B30E2A91596}"/>
    <cellStyle name="Note 2 4 6 5" xfId="36484" xr:uid="{E10B75E7-7B0F-46E3-8CD4-B64F994B6B2B}"/>
    <cellStyle name="Note 2 4 6 6" xfId="11191" xr:uid="{4896CBFA-DE8D-4DDA-963A-99F172F32354}"/>
    <cellStyle name="Note 2 4 7" xfId="2749" xr:uid="{00000000-0005-0000-0000-00002E210000}"/>
    <cellStyle name="Note 2 4 8" xfId="2830" xr:uid="{00000000-0005-0000-0000-00002F210000}"/>
    <cellStyle name="Note 2 4 8 2" xfId="7054" xr:uid="{00000000-0005-0000-0000-000030210000}"/>
    <cellStyle name="Note 2 4 8 2 2" xfId="32353" xr:uid="{73DE9F00-50B7-4FFE-83EF-4C8AA0BF2DC5}"/>
    <cellStyle name="Note 2 4 8 2 3" xfId="23924" xr:uid="{F8A9FD2B-559E-4393-AD05-7476759AAC61}"/>
    <cellStyle name="Note 2 4 8 2 4" xfId="40781" xr:uid="{32DBE855-5223-4AAD-ACFF-3C0CBCE07A68}"/>
    <cellStyle name="Note 2 4 8 2 5" xfId="15489" xr:uid="{88057D0B-CF0F-45A5-B10E-FC1C76AF3E99}"/>
    <cellStyle name="Note 2 4 8 3" xfId="28135" xr:uid="{5F854731-0366-47B1-9644-5C328B0EB7CE}"/>
    <cellStyle name="Note 2 4 8 4" xfId="19706" xr:uid="{870F6C8F-F021-43E6-A37E-67ABD679EFD8}"/>
    <cellStyle name="Note 2 4 8 5" xfId="36564" xr:uid="{6313B195-DF70-4FB9-8261-6429E84979AB}"/>
    <cellStyle name="Note 2 4 8 6" xfId="11271" xr:uid="{BC4F6B31-EB41-47DE-8482-E2146EB44C1A}"/>
    <cellStyle name="Note 2 4 9" xfId="4909" xr:uid="{00000000-0005-0000-0000-000031210000}"/>
    <cellStyle name="Note 2 4 9 2" xfId="30208" xr:uid="{DF04501B-687F-49B6-A2D1-3A9D60F2EC7C}"/>
    <cellStyle name="Note 2 4 9 3" xfId="21779" xr:uid="{935AF6F5-C635-4405-9CB5-194858D60929}"/>
    <cellStyle name="Note 2 4 9 4" xfId="38636" xr:uid="{7C272D37-01AC-4A41-B324-7199D9EF8B87}"/>
    <cellStyle name="Note 2 4 9 5" xfId="13344" xr:uid="{150517D1-71AC-4078-A08C-7F9B7DD6D07B}"/>
    <cellStyle name="Note 2 5" xfId="552" xr:uid="{00000000-0005-0000-0000-000032210000}"/>
    <cellStyle name="Note 2 5 10" xfId="25991" xr:uid="{5DAD5540-F49A-4C4E-B49B-430AAA5F1C7B}"/>
    <cellStyle name="Note 2 5 11" xfId="17562" xr:uid="{14FA2380-0973-452A-9BC4-E4CB10E8808C}"/>
    <cellStyle name="Note 2 5 12" xfId="34420" xr:uid="{C3C7B0D3-77C3-4424-92CC-07AAD6FB5933}"/>
    <cellStyle name="Note 2 5 13" xfId="9127" xr:uid="{39760C35-94BA-45C2-917B-95A875A40F30}"/>
    <cellStyle name="Note 2 5 2" xfId="1013" xr:uid="{00000000-0005-0000-0000-000033210000}"/>
    <cellStyle name="Note 2 5 2 2" xfId="3245" xr:uid="{00000000-0005-0000-0000-000034210000}"/>
    <cellStyle name="Note 2 5 2 2 2" xfId="7468" xr:uid="{00000000-0005-0000-0000-000035210000}"/>
    <cellStyle name="Note 2 5 2 2 2 2" xfId="32767" xr:uid="{6E1E854D-CD18-4D32-9B33-0637F4B4EBE2}"/>
    <cellStyle name="Note 2 5 2 2 2 3" xfId="24338" xr:uid="{06416BD2-E300-4EFA-8B5C-15503650CB4B}"/>
    <cellStyle name="Note 2 5 2 2 2 4" xfId="41195" xr:uid="{1FB94C30-1CE2-4723-B753-6F341A7A9085}"/>
    <cellStyle name="Note 2 5 2 2 2 5" xfId="15903" xr:uid="{196DB127-389F-491F-8978-89654198FE5D}"/>
    <cellStyle name="Note 2 5 2 2 3" xfId="28549" xr:uid="{F14D2C3D-9B3B-4DB9-86E7-EF173DDED440}"/>
    <cellStyle name="Note 2 5 2 2 4" xfId="20120" xr:uid="{341524FE-E064-4F71-8CD2-8620834222B4}"/>
    <cellStyle name="Note 2 5 2 2 5" xfId="36978" xr:uid="{8E63BF70-7BED-4857-848F-46BFA900F635}"/>
    <cellStyle name="Note 2 5 2 2 6" xfId="11685" xr:uid="{147C4D95-E8A6-4E9F-9E89-1AB8EA962A73}"/>
    <cellStyle name="Note 2 5 2 3" xfId="5323" xr:uid="{00000000-0005-0000-0000-000036210000}"/>
    <cellStyle name="Note 2 5 2 3 2" xfId="30622" xr:uid="{FED1D712-4929-4DDC-BD30-EAC3AAF22D95}"/>
    <cellStyle name="Note 2 5 2 3 3" xfId="22193" xr:uid="{ABA13FBF-F28C-4A82-9B12-459F3CFEDA69}"/>
    <cellStyle name="Note 2 5 2 3 4" xfId="39050" xr:uid="{6BE70165-1DA9-4AB2-A6EB-63C31E0F1F6A}"/>
    <cellStyle name="Note 2 5 2 3 5" xfId="13758" xr:uid="{57D74417-2FD6-48B1-8F61-537A3CD70D25}"/>
    <cellStyle name="Note 2 5 2 4" xfId="26404" xr:uid="{DB375184-4BDF-4BD5-9537-D0EBDAA9A767}"/>
    <cellStyle name="Note 2 5 2 5" xfId="17975" xr:uid="{45981605-6187-4B2E-BFCA-51673507A038}"/>
    <cellStyle name="Note 2 5 2 6" xfId="34833" xr:uid="{6ACE153B-9F23-42F8-A4C0-8F5293AC85EF}"/>
    <cellStyle name="Note 2 5 2 7" xfId="9540" xr:uid="{58CAD320-5AB3-46F4-8436-58D82C3ECDBE}"/>
    <cellStyle name="Note 2 5 3" xfId="1428" xr:uid="{00000000-0005-0000-0000-000037210000}"/>
    <cellStyle name="Note 2 5 3 2" xfId="3658" xr:uid="{00000000-0005-0000-0000-000038210000}"/>
    <cellStyle name="Note 2 5 3 2 2" xfId="7881" xr:uid="{00000000-0005-0000-0000-000039210000}"/>
    <cellStyle name="Note 2 5 3 2 2 2" xfId="33180" xr:uid="{047C1C3C-5AF6-4A12-8957-B3F51606446A}"/>
    <cellStyle name="Note 2 5 3 2 2 3" xfId="24751" xr:uid="{3FC71269-6112-4E11-94EB-CF8698C2AA29}"/>
    <cellStyle name="Note 2 5 3 2 2 4" xfId="41608" xr:uid="{C4CAB589-5FB0-46CF-A897-EECC024A7A45}"/>
    <cellStyle name="Note 2 5 3 2 2 5" xfId="16316" xr:uid="{10C22B52-D648-4644-BB51-1E2015F14B98}"/>
    <cellStyle name="Note 2 5 3 2 3" xfId="28962" xr:uid="{9A566FE5-AA43-43A3-8B39-463445EACB55}"/>
    <cellStyle name="Note 2 5 3 2 4" xfId="20533" xr:uid="{56F813EB-3E4E-44F9-9312-2B47453E703A}"/>
    <cellStyle name="Note 2 5 3 2 5" xfId="37391" xr:uid="{33F34EEA-E2E0-4AFC-B464-9B34F5A7077C}"/>
    <cellStyle name="Note 2 5 3 2 6" xfId="12098" xr:uid="{553E4FF4-4E00-460B-9772-F4CAA1395561}"/>
    <cellStyle name="Note 2 5 3 3" xfId="5736" xr:uid="{00000000-0005-0000-0000-00003A210000}"/>
    <cellStyle name="Note 2 5 3 3 2" xfId="31035" xr:uid="{76D2AD5E-05C8-4EC7-AF1F-0FCC4E24BD32}"/>
    <cellStyle name="Note 2 5 3 3 3" xfId="22606" xr:uid="{FFFB3CDE-D050-4570-86D9-3D1914AD5C9F}"/>
    <cellStyle name="Note 2 5 3 3 4" xfId="39463" xr:uid="{C976A9AB-1864-4B53-9155-50C75B6FD06A}"/>
    <cellStyle name="Note 2 5 3 3 5" xfId="14171" xr:uid="{276441F3-9F65-4CB5-838A-F7249DD0DC60}"/>
    <cellStyle name="Note 2 5 3 4" xfId="26817" xr:uid="{3F611A75-62B0-46BD-86CF-05F8CA0E636A}"/>
    <cellStyle name="Note 2 5 3 5" xfId="18388" xr:uid="{0E45D11C-C462-4EEB-A696-373B783795B8}"/>
    <cellStyle name="Note 2 5 3 6" xfId="35246" xr:uid="{FB46C7BC-92F2-4A54-9325-5E84A7DB8D35}"/>
    <cellStyle name="Note 2 5 3 7" xfId="9953" xr:uid="{441CC081-877C-4E04-AAAB-C584C28F93FD}"/>
    <cellStyle name="Note 2 5 4" xfId="1842" xr:uid="{00000000-0005-0000-0000-00003B210000}"/>
    <cellStyle name="Note 2 5 4 2" xfId="4071" xr:uid="{00000000-0005-0000-0000-00003C210000}"/>
    <cellStyle name="Note 2 5 4 2 2" xfId="8294" xr:uid="{00000000-0005-0000-0000-00003D210000}"/>
    <cellStyle name="Note 2 5 4 2 2 2" xfId="33593" xr:uid="{B85B25D7-F712-415F-8A22-E4C2A4396D0E}"/>
    <cellStyle name="Note 2 5 4 2 2 3" xfId="25164" xr:uid="{FEF31098-C4B9-41A3-BB5B-351EC28C84B3}"/>
    <cellStyle name="Note 2 5 4 2 2 4" xfId="42021" xr:uid="{AF4F409E-DE3B-4018-98E9-4680D6682758}"/>
    <cellStyle name="Note 2 5 4 2 2 5" xfId="16729" xr:uid="{A2617E57-6633-4F63-9555-4A9DDBC1E7F2}"/>
    <cellStyle name="Note 2 5 4 2 3" xfId="29375" xr:uid="{5FA7EADC-5E63-4747-8FA5-20E6229FC9CD}"/>
    <cellStyle name="Note 2 5 4 2 4" xfId="20946" xr:uid="{4CE0F878-0F1F-4244-93BA-6153063AE551}"/>
    <cellStyle name="Note 2 5 4 2 5" xfId="37804" xr:uid="{2F6DEE3E-BDF6-4635-9605-EF4B798EA802}"/>
    <cellStyle name="Note 2 5 4 2 6" xfId="12511" xr:uid="{B8EA1E9B-87F0-4CD3-BAFD-1E9F218FFF3E}"/>
    <cellStyle name="Note 2 5 4 3" xfId="6149" xr:uid="{00000000-0005-0000-0000-00003E210000}"/>
    <cellStyle name="Note 2 5 4 3 2" xfId="31448" xr:uid="{0DCECAED-E771-4884-A26E-87D88159E295}"/>
    <cellStyle name="Note 2 5 4 3 3" xfId="23019" xr:uid="{5EDC6073-2DFD-45C3-B87F-592A5671A7C6}"/>
    <cellStyle name="Note 2 5 4 3 4" xfId="39876" xr:uid="{9C2B2F4D-8C8C-4CA5-BE10-F9260D6E9619}"/>
    <cellStyle name="Note 2 5 4 3 5" xfId="14584" xr:uid="{9B0DBEBA-54F1-4845-8423-BDC07BD0874F}"/>
    <cellStyle name="Note 2 5 4 4" xfId="27230" xr:uid="{0CA32660-9B35-476A-9BF0-E0480E49F440}"/>
    <cellStyle name="Note 2 5 4 5" xfId="18801" xr:uid="{171DFF96-10EB-4ED8-A0B0-CEB15F3BB651}"/>
    <cellStyle name="Note 2 5 4 6" xfId="35659" xr:uid="{4C3ACD23-79D3-47C4-BCA3-6E2A54E4B5C5}"/>
    <cellStyle name="Note 2 5 4 7" xfId="10366" xr:uid="{6BD57CA4-0D06-48C8-A190-5DD5BABC7423}"/>
    <cellStyle name="Note 2 5 5" xfId="2255" xr:uid="{00000000-0005-0000-0000-00003F210000}"/>
    <cellStyle name="Note 2 5 5 2" xfId="4484" xr:uid="{00000000-0005-0000-0000-000040210000}"/>
    <cellStyle name="Note 2 5 5 2 2" xfId="8707" xr:uid="{00000000-0005-0000-0000-000041210000}"/>
    <cellStyle name="Note 2 5 5 2 2 2" xfId="34006" xr:uid="{A4945ABC-58A2-4B2A-840A-04583051D168}"/>
    <cellStyle name="Note 2 5 5 2 2 3" xfId="25577" xr:uid="{9F738C6D-D59F-4CE5-B0A2-7C6E45BDE5C0}"/>
    <cellStyle name="Note 2 5 5 2 2 4" xfId="42434" xr:uid="{ECA45E8B-E59A-458C-B3C9-FE2691655800}"/>
    <cellStyle name="Note 2 5 5 2 2 5" xfId="17142" xr:uid="{1D03E548-5E17-4C9C-9C40-91453D8C6F88}"/>
    <cellStyle name="Note 2 5 5 2 3" xfId="29788" xr:uid="{82F30358-6726-4BF2-8CAE-2E936AC0E694}"/>
    <cellStyle name="Note 2 5 5 2 4" xfId="21359" xr:uid="{F9299FF9-108B-4A55-B06E-AB415D6C9E18}"/>
    <cellStyle name="Note 2 5 5 2 5" xfId="38217" xr:uid="{783E056B-5E01-4E7B-A6DE-D1067427E21B}"/>
    <cellStyle name="Note 2 5 5 2 6" xfId="12924" xr:uid="{C25F3E69-9B5B-4E8B-B7DE-ACB64F60CCB1}"/>
    <cellStyle name="Note 2 5 5 3" xfId="6562" xr:uid="{00000000-0005-0000-0000-000042210000}"/>
    <cellStyle name="Note 2 5 5 3 2" xfId="31861" xr:uid="{2DF5B0AB-0A2C-4EA3-AFA6-38BB1B63FECD}"/>
    <cellStyle name="Note 2 5 5 3 3" xfId="23432" xr:uid="{5C1E9EA7-868E-49E8-81F3-338739EC8A0C}"/>
    <cellStyle name="Note 2 5 5 3 4" xfId="40289" xr:uid="{0C444454-11CA-4437-A9C9-F115E883A393}"/>
    <cellStyle name="Note 2 5 5 3 5" xfId="14997" xr:uid="{C8B1840F-CEA0-4A4F-8A83-4FB78DD5171E}"/>
    <cellStyle name="Note 2 5 5 4" xfId="27643" xr:uid="{117BAFE1-FF87-4E93-A276-8DADC28C6B53}"/>
    <cellStyle name="Note 2 5 5 5" xfId="19214" xr:uid="{140D7613-9E02-4301-A5A0-78DD518356DB}"/>
    <cellStyle name="Note 2 5 5 6" xfId="36072" xr:uid="{F8C62992-21A7-4FF1-8E0B-7C1B9DADFF6B}"/>
    <cellStyle name="Note 2 5 5 7" xfId="10779" xr:uid="{69BEE57E-B913-44B3-8C18-C8D5AA292628}"/>
    <cellStyle name="Note 2 5 6" xfId="2691" xr:uid="{00000000-0005-0000-0000-000043210000}"/>
    <cellStyle name="Note 2 5 6 2" xfId="6975" xr:uid="{00000000-0005-0000-0000-000044210000}"/>
    <cellStyle name="Note 2 5 6 2 2" xfId="32274" xr:uid="{0FE23B6D-B299-4ED8-9663-EC04D7FC5F32}"/>
    <cellStyle name="Note 2 5 6 2 3" xfId="23845" xr:uid="{CEE1AC1A-80E4-4153-AA48-5F26DDAD707A}"/>
    <cellStyle name="Note 2 5 6 2 4" xfId="40702" xr:uid="{F66450D3-C348-45EC-A34A-687D838A0764}"/>
    <cellStyle name="Note 2 5 6 2 5" xfId="15410" xr:uid="{8D4CAE72-7F07-4D90-B483-F8639232F1FC}"/>
    <cellStyle name="Note 2 5 6 3" xfId="28056" xr:uid="{A9E2E816-16DC-4D71-99BC-355D207702AB}"/>
    <cellStyle name="Note 2 5 6 4" xfId="19627" xr:uid="{ADB1DB4C-6DE6-42DC-A4AA-0B63C6E54969}"/>
    <cellStyle name="Note 2 5 6 5" xfId="36485" xr:uid="{F7208879-B6D1-42A6-87AE-545A1CF79080}"/>
    <cellStyle name="Note 2 5 6 6" xfId="11192" xr:uid="{63BC369E-68EA-40B6-8D01-92A8415009FC}"/>
    <cellStyle name="Note 2 5 7" xfId="2750" xr:uid="{00000000-0005-0000-0000-000045210000}"/>
    <cellStyle name="Note 2 5 8" xfId="2831" xr:uid="{00000000-0005-0000-0000-000046210000}"/>
    <cellStyle name="Note 2 5 8 2" xfId="7055" xr:uid="{00000000-0005-0000-0000-000047210000}"/>
    <cellStyle name="Note 2 5 8 2 2" xfId="32354" xr:uid="{EB98E3E1-AB56-4855-BB8D-E111948B9A63}"/>
    <cellStyle name="Note 2 5 8 2 3" xfId="23925" xr:uid="{FC124D46-AB6B-4D51-92FC-2E9FC7A865D3}"/>
    <cellStyle name="Note 2 5 8 2 4" xfId="40782" xr:uid="{9D706159-F7CF-434A-AE12-3CEDE23ED1D0}"/>
    <cellStyle name="Note 2 5 8 2 5" xfId="15490" xr:uid="{DAE32A7E-1E7A-4A7A-BD4E-9B54CE9475FE}"/>
    <cellStyle name="Note 2 5 8 3" xfId="28136" xr:uid="{EB49C3B7-FE8C-4B4D-B181-CC86F1249C8A}"/>
    <cellStyle name="Note 2 5 8 4" xfId="19707" xr:uid="{1035BF4A-F0A6-4CB1-9F67-422D93E295B1}"/>
    <cellStyle name="Note 2 5 8 5" xfId="36565" xr:uid="{C371FC1F-5759-47CD-80D6-1721ED7433C8}"/>
    <cellStyle name="Note 2 5 8 6" xfId="11272" xr:uid="{212297FB-476C-44D5-A5C5-5B0EF461D1B1}"/>
    <cellStyle name="Note 2 5 9" xfId="4910" xr:uid="{00000000-0005-0000-0000-000048210000}"/>
    <cellStyle name="Note 2 5 9 2" xfId="30209" xr:uid="{70C3B46B-9073-42B0-A31F-C00FA26DBEA6}"/>
    <cellStyle name="Note 2 5 9 3" xfId="21780" xr:uid="{B43F2BBC-B95C-4DC7-8FC0-77E4676C0D83}"/>
    <cellStyle name="Note 2 5 9 4" xfId="38637" xr:uid="{2A843990-7E0C-41FB-8DE5-AADCCB6AF37C}"/>
    <cellStyle name="Note 2 5 9 5" xfId="13345" xr:uid="{59FC54BD-CCC6-419B-8DB7-97730B0B2177}"/>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32355" xr:uid="{11923465-2BCD-4B3A-825D-D6A8E5699A2C}"/>
    <cellStyle name="Note 3 2 10 2 3" xfId="23926" xr:uid="{77CAA3A0-FC9A-488A-BA25-BF0D1F9391B3}"/>
    <cellStyle name="Note 3 2 10 2 4" xfId="40783" xr:uid="{0A9B25AD-F8E4-4EAC-8929-6FAEC4C81901}"/>
    <cellStyle name="Note 3 2 10 2 5" xfId="15491" xr:uid="{0F73BFBF-DC6E-4A1C-B653-696884E195DE}"/>
    <cellStyle name="Note 3 2 10 3" xfId="28137" xr:uid="{25295C97-431F-4A6A-B28C-48B6202F9901}"/>
    <cellStyle name="Note 3 2 10 4" xfId="19708" xr:uid="{CC5FB0EB-BFF1-4440-8623-A9CE2AE8A68B}"/>
    <cellStyle name="Note 3 2 10 5" xfId="36566" xr:uid="{81D0961A-1B3D-4061-983C-E91196496480}"/>
    <cellStyle name="Note 3 2 10 6" xfId="11273" xr:uid="{112282A7-8FE8-48DC-8EFC-BAB3DDCD0D3A}"/>
    <cellStyle name="Note 3 2 11" xfId="4911" xr:uid="{00000000-0005-0000-0000-00004D210000}"/>
    <cellStyle name="Note 3 2 11 2" xfId="30210" xr:uid="{9109EC5D-C0A2-4919-94C5-C01139AC037E}"/>
    <cellStyle name="Note 3 2 11 3" xfId="21781" xr:uid="{86705411-105B-4C7A-8158-13227978EB68}"/>
    <cellStyle name="Note 3 2 11 4" xfId="38638" xr:uid="{4F2D31BB-BD28-488F-9710-83A4C47CA95C}"/>
    <cellStyle name="Note 3 2 11 5" xfId="13346" xr:uid="{5EDE0192-0CEB-42E8-AF86-77A911E05C37}"/>
    <cellStyle name="Note 3 2 12" xfId="25992" xr:uid="{27E6F9C5-AE8D-4FFB-B675-4F1EE0C82CF9}"/>
    <cellStyle name="Note 3 2 13" xfId="17563" xr:uid="{E9F53B24-6C82-4A80-8406-B25CB97C508A}"/>
    <cellStyle name="Note 3 2 14" xfId="34421" xr:uid="{AECFAB42-8D49-4B0B-AC2E-0A1220168085}"/>
    <cellStyle name="Note 3 2 15" xfId="9128" xr:uid="{ED8F9E04-4E93-4EA1-8A2B-BD0C919955E4}"/>
    <cellStyle name="Note 3 2 2" xfId="555" xr:uid="{00000000-0005-0000-0000-00004E210000}"/>
    <cellStyle name="Note 3 2 2 10" xfId="4912" xr:uid="{00000000-0005-0000-0000-00004F210000}"/>
    <cellStyle name="Note 3 2 2 10 2" xfId="30211" xr:uid="{D95A5F5A-CCDA-4425-8A35-DDAB64D06529}"/>
    <cellStyle name="Note 3 2 2 10 3" xfId="21782" xr:uid="{4BE8A482-A22D-4956-A562-2B50B0D33AB3}"/>
    <cellStyle name="Note 3 2 2 10 4" xfId="38639" xr:uid="{7C839ADA-F891-4BFC-BB89-68E184C45541}"/>
    <cellStyle name="Note 3 2 2 10 5" xfId="13347" xr:uid="{B5C9B5CE-2710-4064-9C7F-97D9BE2EFB37}"/>
    <cellStyle name="Note 3 2 2 11" xfId="25993" xr:uid="{DD3FD014-098B-4DFD-9B44-6E150E3F8DF6}"/>
    <cellStyle name="Note 3 2 2 12" xfId="17564" xr:uid="{3A1CF496-3549-472C-AADB-03428B65EEA8}"/>
    <cellStyle name="Note 3 2 2 13" xfId="34422" xr:uid="{0AEC8266-1B7C-429D-A700-888765C42ABE}"/>
    <cellStyle name="Note 3 2 2 14" xfId="9129" xr:uid="{606319E6-E2DC-491F-A664-FAA9B1ED76AE}"/>
    <cellStyle name="Note 3 2 2 2" xfId="556" xr:uid="{00000000-0005-0000-0000-000050210000}"/>
    <cellStyle name="Note 3 2 2 2 10" xfId="25994" xr:uid="{FAD37E62-463B-48BC-8C8D-66339A82A48B}"/>
    <cellStyle name="Note 3 2 2 2 11" xfId="17565" xr:uid="{4C5F5BDF-A591-411F-8F5F-B773B318DB87}"/>
    <cellStyle name="Note 3 2 2 2 12" xfId="34423" xr:uid="{05F78F25-1B59-4F82-B301-CA21277E67AA}"/>
    <cellStyle name="Note 3 2 2 2 13" xfId="9130" xr:uid="{AD73FE92-1A05-4FA7-9E96-A3047CEAA5B0}"/>
    <cellStyle name="Note 3 2 2 2 2" xfId="1016" xr:uid="{00000000-0005-0000-0000-000051210000}"/>
    <cellStyle name="Note 3 2 2 2 2 2" xfId="3248" xr:uid="{00000000-0005-0000-0000-000052210000}"/>
    <cellStyle name="Note 3 2 2 2 2 2 2" xfId="7471" xr:uid="{00000000-0005-0000-0000-000053210000}"/>
    <cellStyle name="Note 3 2 2 2 2 2 2 2" xfId="32770" xr:uid="{16D23AD4-9BA1-47F4-98E8-9FB4B0F5179D}"/>
    <cellStyle name="Note 3 2 2 2 2 2 2 3" xfId="24341" xr:uid="{4614875B-BED2-4268-8A8D-721CB972F1AE}"/>
    <cellStyle name="Note 3 2 2 2 2 2 2 4" xfId="41198" xr:uid="{E3647BD6-EC4E-4A2E-BCE1-62B226C47036}"/>
    <cellStyle name="Note 3 2 2 2 2 2 2 5" xfId="15906" xr:uid="{7C455888-D8FF-4C52-BB92-13476C0F6309}"/>
    <cellStyle name="Note 3 2 2 2 2 2 3" xfId="28552" xr:uid="{9078E388-422D-43AE-8B9F-778990F715BE}"/>
    <cellStyle name="Note 3 2 2 2 2 2 4" xfId="20123" xr:uid="{2FB8CB59-5EF3-4521-A0AF-BC41BFF92BE7}"/>
    <cellStyle name="Note 3 2 2 2 2 2 5" xfId="36981" xr:uid="{515BF834-CBC8-427D-945C-9C039F94B957}"/>
    <cellStyle name="Note 3 2 2 2 2 2 6" xfId="11688" xr:uid="{4F3513DF-FCD8-4998-9183-0559F6050ABD}"/>
    <cellStyle name="Note 3 2 2 2 2 3" xfId="5326" xr:uid="{00000000-0005-0000-0000-000054210000}"/>
    <cellStyle name="Note 3 2 2 2 2 3 2" xfId="30625" xr:uid="{BB0096AD-4133-415A-8EBE-C7B3A48A9706}"/>
    <cellStyle name="Note 3 2 2 2 2 3 3" xfId="22196" xr:uid="{AD63D844-44F1-4BA3-BAB5-4F6956F485EA}"/>
    <cellStyle name="Note 3 2 2 2 2 3 4" xfId="39053" xr:uid="{BB13F613-86A4-4FF2-8471-3B93FBE5E9CB}"/>
    <cellStyle name="Note 3 2 2 2 2 3 5" xfId="13761" xr:uid="{9D6A04E7-3E2A-4686-82CC-09E88911CBF0}"/>
    <cellStyle name="Note 3 2 2 2 2 4" xfId="26407" xr:uid="{7F7BDAC9-4F2D-4EC2-88D3-D25A1B8F7F8A}"/>
    <cellStyle name="Note 3 2 2 2 2 5" xfId="17978" xr:uid="{8D7020C6-91C0-4870-8C21-B693BF6DDBBF}"/>
    <cellStyle name="Note 3 2 2 2 2 6" xfId="34836" xr:uid="{CB91D3FC-B28F-4B22-9B71-CCCEA3F2189C}"/>
    <cellStyle name="Note 3 2 2 2 2 7" xfId="9543" xr:uid="{4CFAE771-04B4-4E82-90A0-CD302B9B7CB0}"/>
    <cellStyle name="Note 3 2 2 2 3" xfId="1431" xr:uid="{00000000-0005-0000-0000-000055210000}"/>
    <cellStyle name="Note 3 2 2 2 3 2" xfId="3661" xr:uid="{00000000-0005-0000-0000-000056210000}"/>
    <cellStyle name="Note 3 2 2 2 3 2 2" xfId="7884" xr:uid="{00000000-0005-0000-0000-000057210000}"/>
    <cellStyle name="Note 3 2 2 2 3 2 2 2" xfId="33183" xr:uid="{C640A000-65B7-4FBD-A228-93E8DE69C579}"/>
    <cellStyle name="Note 3 2 2 2 3 2 2 3" xfId="24754" xr:uid="{10F3C8EE-9E06-4B75-9E39-6E813A20B907}"/>
    <cellStyle name="Note 3 2 2 2 3 2 2 4" xfId="41611" xr:uid="{DDF593B6-BDC8-44D6-96CC-0B443185BE39}"/>
    <cellStyle name="Note 3 2 2 2 3 2 2 5" xfId="16319" xr:uid="{36CCF528-ED79-4D77-BA15-ABE82C887EBA}"/>
    <cellStyle name="Note 3 2 2 2 3 2 3" xfId="28965" xr:uid="{1D9EDD21-7366-4D2B-86D4-DA35B07774F8}"/>
    <cellStyle name="Note 3 2 2 2 3 2 4" xfId="20536" xr:uid="{477EABA2-C787-4FCD-8BD7-B554170EE973}"/>
    <cellStyle name="Note 3 2 2 2 3 2 5" xfId="37394" xr:uid="{9458521B-CEC2-4988-96E7-0DEE1287CCCA}"/>
    <cellStyle name="Note 3 2 2 2 3 2 6" xfId="12101" xr:uid="{C2309284-4EA1-474F-9EC3-00359D42C61F}"/>
    <cellStyle name="Note 3 2 2 2 3 3" xfId="5739" xr:uid="{00000000-0005-0000-0000-000058210000}"/>
    <cellStyle name="Note 3 2 2 2 3 3 2" xfId="31038" xr:uid="{A4D423CC-8321-4055-9657-C4068717AA3B}"/>
    <cellStyle name="Note 3 2 2 2 3 3 3" xfId="22609" xr:uid="{8231155A-5DCF-45A8-AC85-D55312EB50A7}"/>
    <cellStyle name="Note 3 2 2 2 3 3 4" xfId="39466" xr:uid="{B4BD7CDD-305F-4B8A-AD62-A1D43892A2BA}"/>
    <cellStyle name="Note 3 2 2 2 3 3 5" xfId="14174" xr:uid="{36B6A1EB-D480-4610-93A7-E5B7356AB6A8}"/>
    <cellStyle name="Note 3 2 2 2 3 4" xfId="26820" xr:uid="{61F42192-6CCF-4EFF-A06E-B145A62E0E13}"/>
    <cellStyle name="Note 3 2 2 2 3 5" xfId="18391" xr:uid="{D91EE625-B2BD-4821-AD69-65990A099FA4}"/>
    <cellStyle name="Note 3 2 2 2 3 6" xfId="35249" xr:uid="{5092EC57-85F2-4B48-B1B8-8B9FBD4172F5}"/>
    <cellStyle name="Note 3 2 2 2 3 7" xfId="9956" xr:uid="{8B2711BB-269A-46CB-AED2-228DDE1CAFCC}"/>
    <cellStyle name="Note 3 2 2 2 4" xfId="1845" xr:uid="{00000000-0005-0000-0000-000059210000}"/>
    <cellStyle name="Note 3 2 2 2 4 2" xfId="4074" xr:uid="{00000000-0005-0000-0000-00005A210000}"/>
    <cellStyle name="Note 3 2 2 2 4 2 2" xfId="8297" xr:uid="{00000000-0005-0000-0000-00005B210000}"/>
    <cellStyle name="Note 3 2 2 2 4 2 2 2" xfId="33596" xr:uid="{60ADA66D-5267-40B9-BAFA-96C9BA4D9B8B}"/>
    <cellStyle name="Note 3 2 2 2 4 2 2 3" xfId="25167" xr:uid="{6BA7A81C-EE1A-4FE3-BD87-2C2DCCCAD00B}"/>
    <cellStyle name="Note 3 2 2 2 4 2 2 4" xfId="42024" xr:uid="{02B7F352-E978-43A5-9AAD-FEEE1A472754}"/>
    <cellStyle name="Note 3 2 2 2 4 2 2 5" xfId="16732" xr:uid="{DA7CCB6A-613E-4D92-8E09-28476A97F92B}"/>
    <cellStyle name="Note 3 2 2 2 4 2 3" xfId="29378" xr:uid="{59E48DCE-9AC0-433B-B736-EC7645EC24B5}"/>
    <cellStyle name="Note 3 2 2 2 4 2 4" xfId="20949" xr:uid="{65C51430-8724-4BEC-8663-1F43F965051D}"/>
    <cellStyle name="Note 3 2 2 2 4 2 5" xfId="37807" xr:uid="{3EDD664C-DBC2-4B2B-B26A-E81C5F339118}"/>
    <cellStyle name="Note 3 2 2 2 4 2 6" xfId="12514" xr:uid="{BA02B34F-18CC-489F-BC1E-EA46503C2217}"/>
    <cellStyle name="Note 3 2 2 2 4 3" xfId="6152" xr:uid="{00000000-0005-0000-0000-00005C210000}"/>
    <cellStyle name="Note 3 2 2 2 4 3 2" xfId="31451" xr:uid="{50DD8BE1-E851-48DA-8853-A63ABF045B1D}"/>
    <cellStyle name="Note 3 2 2 2 4 3 3" xfId="23022" xr:uid="{3FBC4B60-E909-4723-9F72-FA0E9204F58F}"/>
    <cellStyle name="Note 3 2 2 2 4 3 4" xfId="39879" xr:uid="{7799C72E-0A7E-447F-8204-5857710202B0}"/>
    <cellStyle name="Note 3 2 2 2 4 3 5" xfId="14587" xr:uid="{0F0515AB-A125-434B-94AB-11BB66528251}"/>
    <cellStyle name="Note 3 2 2 2 4 4" xfId="27233" xr:uid="{A71C9D3D-5FD9-4766-B566-D8D1C7D27C4C}"/>
    <cellStyle name="Note 3 2 2 2 4 5" xfId="18804" xr:uid="{509E8EAC-5CB5-42B5-8C6F-7008DB0C6DD6}"/>
    <cellStyle name="Note 3 2 2 2 4 6" xfId="35662" xr:uid="{C58F07B1-9F41-48BF-BA37-9C602963C695}"/>
    <cellStyle name="Note 3 2 2 2 4 7" xfId="10369" xr:uid="{B64ECDA9-7B43-4510-BE9A-9BCF072BD142}"/>
    <cellStyle name="Note 3 2 2 2 5" xfId="2258" xr:uid="{00000000-0005-0000-0000-00005D210000}"/>
    <cellStyle name="Note 3 2 2 2 5 2" xfId="4487" xr:uid="{00000000-0005-0000-0000-00005E210000}"/>
    <cellStyle name="Note 3 2 2 2 5 2 2" xfId="8710" xr:uid="{00000000-0005-0000-0000-00005F210000}"/>
    <cellStyle name="Note 3 2 2 2 5 2 2 2" xfId="34009" xr:uid="{AC7EE39D-583B-497D-BEB2-568A57BC0DEA}"/>
    <cellStyle name="Note 3 2 2 2 5 2 2 3" xfId="25580" xr:uid="{D2C3588E-26AF-41E4-B770-8E8FFBA322DC}"/>
    <cellStyle name="Note 3 2 2 2 5 2 2 4" xfId="42437" xr:uid="{C8B52954-1CBE-408E-9A62-7BDD10CCC811}"/>
    <cellStyle name="Note 3 2 2 2 5 2 2 5" xfId="17145" xr:uid="{7313BAC2-6F54-4B38-AD04-D1A9AAF4B01F}"/>
    <cellStyle name="Note 3 2 2 2 5 2 3" xfId="29791" xr:uid="{38EAFEB6-D922-494B-898A-C6346F627BC0}"/>
    <cellStyle name="Note 3 2 2 2 5 2 4" xfId="21362" xr:uid="{A7BFE05D-9CBC-4AEE-BAD1-EBF6373BEF5B}"/>
    <cellStyle name="Note 3 2 2 2 5 2 5" xfId="38220" xr:uid="{1A54FD35-872D-46B2-A8B2-BD5E00B09E2F}"/>
    <cellStyle name="Note 3 2 2 2 5 2 6" xfId="12927" xr:uid="{E826A7C8-E268-49E2-8BFB-C42592020307}"/>
    <cellStyle name="Note 3 2 2 2 5 3" xfId="6565" xr:uid="{00000000-0005-0000-0000-000060210000}"/>
    <cellStyle name="Note 3 2 2 2 5 3 2" xfId="31864" xr:uid="{E9DC2EA2-A44C-4CC4-A114-9FDCAFA2DFCA}"/>
    <cellStyle name="Note 3 2 2 2 5 3 3" xfId="23435" xr:uid="{2D06D939-7B63-4BA3-AAB5-5ECAC2C29C0B}"/>
    <cellStyle name="Note 3 2 2 2 5 3 4" xfId="40292" xr:uid="{9F61473C-D32B-41FC-9160-8D47D210087E}"/>
    <cellStyle name="Note 3 2 2 2 5 3 5" xfId="15000" xr:uid="{18154BBB-E83A-4063-9724-960F5EA025F8}"/>
    <cellStyle name="Note 3 2 2 2 5 4" xfId="27646" xr:uid="{DD4619CE-E9F0-4AEE-95FB-01668975781B}"/>
    <cellStyle name="Note 3 2 2 2 5 5" xfId="19217" xr:uid="{A6B3063A-51B3-4DB4-A6AB-E0D7D5EB79E1}"/>
    <cellStyle name="Note 3 2 2 2 5 6" xfId="36075" xr:uid="{165A7FE1-C32D-4C39-B148-D22DA30D7337}"/>
    <cellStyle name="Note 3 2 2 2 5 7" xfId="10782" xr:uid="{010BD6D1-39C4-4C01-B0F1-B651235C6947}"/>
    <cellStyle name="Note 3 2 2 2 6" xfId="2694" xr:uid="{00000000-0005-0000-0000-000061210000}"/>
    <cellStyle name="Note 3 2 2 2 6 2" xfId="6978" xr:uid="{00000000-0005-0000-0000-000062210000}"/>
    <cellStyle name="Note 3 2 2 2 6 2 2" xfId="32277" xr:uid="{F056C78E-BFB7-4703-9E17-1147689B5926}"/>
    <cellStyle name="Note 3 2 2 2 6 2 3" xfId="23848" xr:uid="{B886F28A-AE3E-473C-AEC0-4362D77CEBEA}"/>
    <cellStyle name="Note 3 2 2 2 6 2 4" xfId="40705" xr:uid="{73B3A800-5C46-4C63-8445-8F25C8EA1690}"/>
    <cellStyle name="Note 3 2 2 2 6 2 5" xfId="15413" xr:uid="{B74BD1B1-24DC-41A9-8429-F70EFDBA67D5}"/>
    <cellStyle name="Note 3 2 2 2 6 3" xfId="28059" xr:uid="{A54A5393-73D2-4F44-8590-F026CBDB2039}"/>
    <cellStyle name="Note 3 2 2 2 6 4" xfId="19630" xr:uid="{B285633F-A584-44D5-9100-764B80524289}"/>
    <cellStyle name="Note 3 2 2 2 6 5" xfId="36488" xr:uid="{3F2054F5-C028-4732-AD16-A0D89CE059C0}"/>
    <cellStyle name="Note 3 2 2 2 6 6" xfId="11195" xr:uid="{14A12FC2-0622-4224-A783-FCCC363AF687}"/>
    <cellStyle name="Note 3 2 2 2 7" xfId="2753" xr:uid="{00000000-0005-0000-0000-000063210000}"/>
    <cellStyle name="Note 3 2 2 2 8" xfId="2834" xr:uid="{00000000-0005-0000-0000-000064210000}"/>
    <cellStyle name="Note 3 2 2 2 8 2" xfId="7058" xr:uid="{00000000-0005-0000-0000-000065210000}"/>
    <cellStyle name="Note 3 2 2 2 8 2 2" xfId="32357" xr:uid="{22126E97-E620-430A-99B2-FABA70BF248E}"/>
    <cellStyle name="Note 3 2 2 2 8 2 3" xfId="23928" xr:uid="{1E31D51D-BCEB-4834-98B0-8D2F16A281F1}"/>
    <cellStyle name="Note 3 2 2 2 8 2 4" xfId="40785" xr:uid="{7EF61DC6-3F35-40D9-A202-DDAB98002DA2}"/>
    <cellStyle name="Note 3 2 2 2 8 2 5" xfId="15493" xr:uid="{9AA853D7-67A2-4925-9657-BD4DEBEA1200}"/>
    <cellStyle name="Note 3 2 2 2 8 3" xfId="28139" xr:uid="{5B1F9B87-54B2-4797-A3FD-BB8F1F1546A9}"/>
    <cellStyle name="Note 3 2 2 2 8 4" xfId="19710" xr:uid="{3D1C9D0D-D0C0-4797-8D53-E2961E380846}"/>
    <cellStyle name="Note 3 2 2 2 8 5" xfId="36568" xr:uid="{FDCA68DC-8061-4F34-BAA4-D5E283586641}"/>
    <cellStyle name="Note 3 2 2 2 8 6" xfId="11275" xr:uid="{866314F1-6A53-4A0B-8FAA-FF387ACB6BC8}"/>
    <cellStyle name="Note 3 2 2 2 9" xfId="4913" xr:uid="{00000000-0005-0000-0000-000066210000}"/>
    <cellStyle name="Note 3 2 2 2 9 2" xfId="30212" xr:uid="{890D6244-8DFD-49C7-A7D7-9BACF048B529}"/>
    <cellStyle name="Note 3 2 2 2 9 3" xfId="21783" xr:uid="{CF60E642-D3FE-4E4D-B891-E32E574B3803}"/>
    <cellStyle name="Note 3 2 2 2 9 4" xfId="38640" xr:uid="{67A557D4-F43F-4EF0-B4E0-0A35F37E022F}"/>
    <cellStyle name="Note 3 2 2 2 9 5" xfId="13348" xr:uid="{5BCB6F0D-7B01-4799-B4A9-B2ACD496A09A}"/>
    <cellStyle name="Note 3 2 2 3" xfId="1015" xr:uid="{00000000-0005-0000-0000-000067210000}"/>
    <cellStyle name="Note 3 2 2 3 2" xfId="3247" xr:uid="{00000000-0005-0000-0000-000068210000}"/>
    <cellStyle name="Note 3 2 2 3 2 2" xfId="7470" xr:uid="{00000000-0005-0000-0000-000069210000}"/>
    <cellStyle name="Note 3 2 2 3 2 2 2" xfId="32769" xr:uid="{B29CD84D-E0F5-4C97-BCD9-629AEA1606F5}"/>
    <cellStyle name="Note 3 2 2 3 2 2 3" xfId="24340" xr:uid="{816C61FF-29AC-4B1E-9841-6DC761C594A2}"/>
    <cellStyle name="Note 3 2 2 3 2 2 4" xfId="41197" xr:uid="{2414B4C5-DA3B-4C18-8564-29864D3BCDD6}"/>
    <cellStyle name="Note 3 2 2 3 2 2 5" xfId="15905" xr:uid="{C84AFEF0-431D-4C67-94C9-C7995D103B18}"/>
    <cellStyle name="Note 3 2 2 3 2 3" xfId="28551" xr:uid="{16F1D918-FE4F-466D-89DC-DEE75D387762}"/>
    <cellStyle name="Note 3 2 2 3 2 4" xfId="20122" xr:uid="{3F3D0E98-4BB6-4E73-BBC5-AAD8694F404C}"/>
    <cellStyle name="Note 3 2 2 3 2 5" xfId="36980" xr:uid="{47A9793D-3134-491E-8652-6DCD327DCA53}"/>
    <cellStyle name="Note 3 2 2 3 2 6" xfId="11687" xr:uid="{AF598EFC-37AC-4EEE-B4B9-2867C0A96122}"/>
    <cellStyle name="Note 3 2 2 3 3" xfId="5325" xr:uid="{00000000-0005-0000-0000-00006A210000}"/>
    <cellStyle name="Note 3 2 2 3 3 2" xfId="30624" xr:uid="{2071F999-8D33-4427-B0E4-900DBDE5638F}"/>
    <cellStyle name="Note 3 2 2 3 3 3" xfId="22195" xr:uid="{1C70C9BF-A3FA-4576-BE50-2331031E058D}"/>
    <cellStyle name="Note 3 2 2 3 3 4" xfId="39052" xr:uid="{7CC36527-687E-4DC8-B10B-70F52A60BC92}"/>
    <cellStyle name="Note 3 2 2 3 3 5" xfId="13760" xr:uid="{7007F7D0-F276-451A-B4AE-FB3B16B88C16}"/>
    <cellStyle name="Note 3 2 2 3 4" xfId="26406" xr:uid="{6A804915-B7DB-4492-98FD-462686597715}"/>
    <cellStyle name="Note 3 2 2 3 5" xfId="17977" xr:uid="{BB556CA1-0CA0-48F2-A217-6C3865C84F36}"/>
    <cellStyle name="Note 3 2 2 3 6" xfId="34835" xr:uid="{8577BA1A-651D-4BC7-A2A4-092343AD6EDB}"/>
    <cellStyle name="Note 3 2 2 3 7" xfId="9542" xr:uid="{0512A663-2BAA-4521-9A84-CAB363BC6E26}"/>
    <cellStyle name="Note 3 2 2 4" xfId="1430" xr:uid="{00000000-0005-0000-0000-00006B210000}"/>
    <cellStyle name="Note 3 2 2 4 2" xfId="3660" xr:uid="{00000000-0005-0000-0000-00006C210000}"/>
    <cellStyle name="Note 3 2 2 4 2 2" xfId="7883" xr:uid="{00000000-0005-0000-0000-00006D210000}"/>
    <cellStyle name="Note 3 2 2 4 2 2 2" xfId="33182" xr:uid="{FFB749A6-6A8C-4F53-AD67-75884F347EF2}"/>
    <cellStyle name="Note 3 2 2 4 2 2 3" xfId="24753" xr:uid="{1ABA4E98-025C-4B45-B24F-EB51A4D33892}"/>
    <cellStyle name="Note 3 2 2 4 2 2 4" xfId="41610" xr:uid="{F91FF4AE-F057-4563-BED8-3CCEC68DC879}"/>
    <cellStyle name="Note 3 2 2 4 2 2 5" xfId="16318" xr:uid="{95D453FB-27FE-464F-BF7D-DA0ACA09F413}"/>
    <cellStyle name="Note 3 2 2 4 2 3" xfId="28964" xr:uid="{D6199349-0E26-4EB5-8B81-7EC86BFEA3BB}"/>
    <cellStyle name="Note 3 2 2 4 2 4" xfId="20535" xr:uid="{CA3470FD-F27E-4941-B673-DB94CB034663}"/>
    <cellStyle name="Note 3 2 2 4 2 5" xfId="37393" xr:uid="{8B6FA82A-D8A4-494F-8CB6-2B86844909B4}"/>
    <cellStyle name="Note 3 2 2 4 2 6" xfId="12100" xr:uid="{15FC2FAA-C4EB-439E-AFCF-D6D04024CDC4}"/>
    <cellStyle name="Note 3 2 2 4 3" xfId="5738" xr:uid="{00000000-0005-0000-0000-00006E210000}"/>
    <cellStyle name="Note 3 2 2 4 3 2" xfId="31037" xr:uid="{A4D6F391-A29E-4FCD-AF16-14EE88E94C17}"/>
    <cellStyle name="Note 3 2 2 4 3 3" xfId="22608" xr:uid="{363E4C8A-399C-4B49-B39A-6250C2FD6D6D}"/>
    <cellStyle name="Note 3 2 2 4 3 4" xfId="39465" xr:uid="{AB9094DE-C2C6-4AF8-997E-48825447974F}"/>
    <cellStyle name="Note 3 2 2 4 3 5" xfId="14173" xr:uid="{C04EF6B5-49D4-4993-AFA4-221FB4C9F912}"/>
    <cellStyle name="Note 3 2 2 4 4" xfId="26819" xr:uid="{D178E411-ED1B-4CBB-BE95-B028B3E60A28}"/>
    <cellStyle name="Note 3 2 2 4 5" xfId="18390" xr:uid="{1E8727BC-939C-44D7-A09B-63EC14E59B3E}"/>
    <cellStyle name="Note 3 2 2 4 6" xfId="35248" xr:uid="{131CFC44-D4A9-4337-A156-05E8278C17CA}"/>
    <cellStyle name="Note 3 2 2 4 7" xfId="9955" xr:uid="{8549CC06-9AE2-4145-AA46-BC286DD12673}"/>
    <cellStyle name="Note 3 2 2 5" xfId="1844" xr:uid="{00000000-0005-0000-0000-00006F210000}"/>
    <cellStyle name="Note 3 2 2 5 2" xfId="4073" xr:uid="{00000000-0005-0000-0000-000070210000}"/>
    <cellStyle name="Note 3 2 2 5 2 2" xfId="8296" xr:uid="{00000000-0005-0000-0000-000071210000}"/>
    <cellStyle name="Note 3 2 2 5 2 2 2" xfId="33595" xr:uid="{21B9B7BC-8D29-4D10-9689-E1B8C0342B10}"/>
    <cellStyle name="Note 3 2 2 5 2 2 3" xfId="25166" xr:uid="{283C701B-5903-4A2C-9FA1-6A9C5C2AE52A}"/>
    <cellStyle name="Note 3 2 2 5 2 2 4" xfId="42023" xr:uid="{3DD42A31-9220-4B79-B42E-6E3C1D021877}"/>
    <cellStyle name="Note 3 2 2 5 2 2 5" xfId="16731" xr:uid="{800B06ED-5A95-4F4D-A508-3B4A6AB7B5FE}"/>
    <cellStyle name="Note 3 2 2 5 2 3" xfId="29377" xr:uid="{CE8C0E6E-687E-44C5-AD82-BE65E8ABCD45}"/>
    <cellStyle name="Note 3 2 2 5 2 4" xfId="20948" xr:uid="{6B04795B-DC34-49B3-89EB-344B47436DBF}"/>
    <cellStyle name="Note 3 2 2 5 2 5" xfId="37806" xr:uid="{B3BEFDEC-7077-4C5D-BE66-3CB6BC85F755}"/>
    <cellStyle name="Note 3 2 2 5 2 6" xfId="12513" xr:uid="{79EE72CF-1766-4C4D-91AA-A52D642D95FC}"/>
    <cellStyle name="Note 3 2 2 5 3" xfId="6151" xr:uid="{00000000-0005-0000-0000-000072210000}"/>
    <cellStyle name="Note 3 2 2 5 3 2" xfId="31450" xr:uid="{3A6245CC-6AEC-4F99-A6AC-96FFCD10DF91}"/>
    <cellStyle name="Note 3 2 2 5 3 3" xfId="23021" xr:uid="{1AC5E332-3D0A-45E9-BC44-781E5A65C09C}"/>
    <cellStyle name="Note 3 2 2 5 3 4" xfId="39878" xr:uid="{41B4B8C2-C412-49E6-A5CE-3E5CD8CD2CA5}"/>
    <cellStyle name="Note 3 2 2 5 3 5" xfId="14586" xr:uid="{C698A295-7616-4BA9-9C90-39A17CF3E672}"/>
    <cellStyle name="Note 3 2 2 5 4" xfId="27232" xr:uid="{F6B50B64-56BE-46A4-9E29-19F70794B4EB}"/>
    <cellStyle name="Note 3 2 2 5 5" xfId="18803" xr:uid="{48D93A27-C441-48E8-8EB9-D5F3A911D982}"/>
    <cellStyle name="Note 3 2 2 5 6" xfId="35661" xr:uid="{429BD4A5-C8D9-48AF-A674-CE934C881731}"/>
    <cellStyle name="Note 3 2 2 5 7" xfId="10368" xr:uid="{AA6785BE-D7B2-4E17-9A65-0FBF38D46A5B}"/>
    <cellStyle name="Note 3 2 2 6" xfId="2257" xr:uid="{00000000-0005-0000-0000-000073210000}"/>
    <cellStyle name="Note 3 2 2 6 2" xfId="4486" xr:uid="{00000000-0005-0000-0000-000074210000}"/>
    <cellStyle name="Note 3 2 2 6 2 2" xfId="8709" xr:uid="{00000000-0005-0000-0000-000075210000}"/>
    <cellStyle name="Note 3 2 2 6 2 2 2" xfId="34008" xr:uid="{FB3AE4CD-8FC3-41B6-A207-EFC30C7A0FFD}"/>
    <cellStyle name="Note 3 2 2 6 2 2 3" xfId="25579" xr:uid="{489F2D5F-029A-4C2F-9534-065B0789AE3A}"/>
    <cellStyle name="Note 3 2 2 6 2 2 4" xfId="42436" xr:uid="{F6A3C865-610B-4DB5-8E1A-D7562B071291}"/>
    <cellStyle name="Note 3 2 2 6 2 2 5" xfId="17144" xr:uid="{33993CEF-0DA0-4C7C-BF1C-8D636E26D319}"/>
    <cellStyle name="Note 3 2 2 6 2 3" xfId="29790" xr:uid="{589881F1-0B9E-4478-8772-C38458CA4D11}"/>
    <cellStyle name="Note 3 2 2 6 2 4" xfId="21361" xr:uid="{C8BB1670-CDE1-47AA-8281-ED816520B1E4}"/>
    <cellStyle name="Note 3 2 2 6 2 5" xfId="38219" xr:uid="{04C2D181-1866-407B-85CF-9DED398BF67E}"/>
    <cellStyle name="Note 3 2 2 6 2 6" xfId="12926" xr:uid="{99A13C86-951B-4A9E-92D7-FDA439D2D7C5}"/>
    <cellStyle name="Note 3 2 2 6 3" xfId="6564" xr:uid="{00000000-0005-0000-0000-000076210000}"/>
    <cellStyle name="Note 3 2 2 6 3 2" xfId="31863" xr:uid="{0218E545-A1BA-4762-839B-94530E70CF5D}"/>
    <cellStyle name="Note 3 2 2 6 3 3" xfId="23434" xr:uid="{826F8BF1-336F-4CE5-891C-C340927EE79C}"/>
    <cellStyle name="Note 3 2 2 6 3 4" xfId="40291" xr:uid="{97EDA132-CBD2-415C-9C6F-C56BBA0E2E2D}"/>
    <cellStyle name="Note 3 2 2 6 3 5" xfId="14999" xr:uid="{F4FDD51C-FE0A-4BA7-A47A-0C043211D8B3}"/>
    <cellStyle name="Note 3 2 2 6 4" xfId="27645" xr:uid="{6C47F659-1C33-403B-B56E-BF05B95E479A}"/>
    <cellStyle name="Note 3 2 2 6 5" xfId="19216" xr:uid="{AA258172-B26B-46E6-8C78-BB14B7F4B387}"/>
    <cellStyle name="Note 3 2 2 6 6" xfId="36074" xr:uid="{461CCDF2-8296-4246-A1FD-B1C768267AD3}"/>
    <cellStyle name="Note 3 2 2 6 7" xfId="10781" xr:uid="{78CB136F-1031-4141-843D-D228D4FDBFB8}"/>
    <cellStyle name="Note 3 2 2 7" xfId="2693" xr:uid="{00000000-0005-0000-0000-000077210000}"/>
    <cellStyle name="Note 3 2 2 7 2" xfId="6977" xr:uid="{00000000-0005-0000-0000-000078210000}"/>
    <cellStyle name="Note 3 2 2 7 2 2" xfId="32276" xr:uid="{8A72461F-CE06-4A59-B6B7-3A7F08E40B76}"/>
    <cellStyle name="Note 3 2 2 7 2 3" xfId="23847" xr:uid="{0A1C777E-4A77-4A30-AB5E-BE87F86BBF46}"/>
    <cellStyle name="Note 3 2 2 7 2 4" xfId="40704" xr:uid="{42CB93DE-C01D-4015-A226-BB9255B6807D}"/>
    <cellStyle name="Note 3 2 2 7 2 5" xfId="15412" xr:uid="{56160A4D-3EB9-4D74-8203-149B16DFF390}"/>
    <cellStyle name="Note 3 2 2 7 3" xfId="28058" xr:uid="{F268D817-8FAB-4DAE-8EF5-50B5B7CE5AC2}"/>
    <cellStyle name="Note 3 2 2 7 4" xfId="19629" xr:uid="{EDBE1194-E8F1-4D2A-AB15-A499BFC8512D}"/>
    <cellStyle name="Note 3 2 2 7 5" xfId="36487" xr:uid="{C0770C02-C5F4-4176-B951-FA1D31355848}"/>
    <cellStyle name="Note 3 2 2 7 6" xfId="11194" xr:uid="{C422C3FB-5511-49EE-BB55-0668F9850132}"/>
    <cellStyle name="Note 3 2 2 8" xfId="2752" xr:uid="{00000000-0005-0000-0000-000079210000}"/>
    <cellStyle name="Note 3 2 2 9" xfId="2833" xr:uid="{00000000-0005-0000-0000-00007A210000}"/>
    <cellStyle name="Note 3 2 2 9 2" xfId="7057" xr:uid="{00000000-0005-0000-0000-00007B210000}"/>
    <cellStyle name="Note 3 2 2 9 2 2" xfId="32356" xr:uid="{4CE88256-86FB-4438-8F73-FDAB32731712}"/>
    <cellStyle name="Note 3 2 2 9 2 3" xfId="23927" xr:uid="{111D3F48-958E-4DD1-86DD-C6337EDA446F}"/>
    <cellStyle name="Note 3 2 2 9 2 4" xfId="40784" xr:uid="{BE4A09B0-0434-4B35-B6A1-1141C7E3F353}"/>
    <cellStyle name="Note 3 2 2 9 2 5" xfId="15492" xr:uid="{616C3741-EEA2-459D-A871-474AEB04E5CF}"/>
    <cellStyle name="Note 3 2 2 9 3" xfId="28138" xr:uid="{AA88DB1C-C450-4FED-920A-406CFB65AF5D}"/>
    <cellStyle name="Note 3 2 2 9 4" xfId="19709" xr:uid="{6FC64973-EB78-44F0-9075-067AD0A2A5A5}"/>
    <cellStyle name="Note 3 2 2 9 5" xfId="36567" xr:uid="{33A232CE-6D12-4429-90F7-512FB5F95CEA}"/>
    <cellStyle name="Note 3 2 2 9 6" xfId="11274" xr:uid="{C6212643-46CF-4702-B403-CBC2C3124FF7}"/>
    <cellStyle name="Note 3 2 3" xfId="557" xr:uid="{00000000-0005-0000-0000-00007C210000}"/>
    <cellStyle name="Note 3 2 3 10" xfId="25995" xr:uid="{F59AD89F-0D11-4890-94EF-92D05586AEAC}"/>
    <cellStyle name="Note 3 2 3 11" xfId="17566" xr:uid="{F3526D78-958A-4C5C-B5BA-602207B0ED0A}"/>
    <cellStyle name="Note 3 2 3 12" xfId="34424" xr:uid="{7FC2DB0D-9F38-4A05-9EF3-61FA3CBD432F}"/>
    <cellStyle name="Note 3 2 3 13" xfId="9131" xr:uid="{A00FD481-0670-49CC-A265-940C120AB45A}"/>
    <cellStyle name="Note 3 2 3 2" xfId="1017" xr:uid="{00000000-0005-0000-0000-00007D210000}"/>
    <cellStyle name="Note 3 2 3 2 2" xfId="3249" xr:uid="{00000000-0005-0000-0000-00007E210000}"/>
    <cellStyle name="Note 3 2 3 2 2 2" xfId="7472" xr:uid="{00000000-0005-0000-0000-00007F210000}"/>
    <cellStyle name="Note 3 2 3 2 2 2 2" xfId="32771" xr:uid="{B72123D5-9D91-472B-B02F-DD27D839C0D7}"/>
    <cellStyle name="Note 3 2 3 2 2 2 3" xfId="24342" xr:uid="{0D785095-CA7B-42BF-AEFA-77F2956D8E93}"/>
    <cellStyle name="Note 3 2 3 2 2 2 4" xfId="41199" xr:uid="{59B56FF2-CE95-4D1F-993F-F3D1C8AB30B5}"/>
    <cellStyle name="Note 3 2 3 2 2 2 5" xfId="15907" xr:uid="{88897704-176F-4192-88A0-95B3EE7FD28E}"/>
    <cellStyle name="Note 3 2 3 2 2 3" xfId="28553" xr:uid="{5FC3E2F4-13B1-417E-B066-1F47B5A0B11B}"/>
    <cellStyle name="Note 3 2 3 2 2 4" xfId="20124" xr:uid="{59A12663-AAD2-4410-A519-BE83B952176D}"/>
    <cellStyle name="Note 3 2 3 2 2 5" xfId="36982" xr:uid="{FAC800B8-3525-4D93-B308-EA4FA7B8E82A}"/>
    <cellStyle name="Note 3 2 3 2 2 6" xfId="11689" xr:uid="{676ED217-9F46-44AF-B22C-D2E6DCA4198A}"/>
    <cellStyle name="Note 3 2 3 2 3" xfId="5327" xr:uid="{00000000-0005-0000-0000-000080210000}"/>
    <cellStyle name="Note 3 2 3 2 3 2" xfId="30626" xr:uid="{189E42FB-895F-4E7B-9743-88961584E1F0}"/>
    <cellStyle name="Note 3 2 3 2 3 3" xfId="22197" xr:uid="{C3697241-FD80-494D-9E16-9945C6D45BBA}"/>
    <cellStyle name="Note 3 2 3 2 3 4" xfId="39054" xr:uid="{73498144-4828-4167-AFB9-D85F43FAF63A}"/>
    <cellStyle name="Note 3 2 3 2 3 5" xfId="13762" xr:uid="{01DFD5C6-E63D-4802-A9F4-9A77E7E2FC50}"/>
    <cellStyle name="Note 3 2 3 2 4" xfId="26408" xr:uid="{F51C7241-0C37-4E1B-8EB9-81745174FC64}"/>
    <cellStyle name="Note 3 2 3 2 5" xfId="17979" xr:uid="{B83EBEB0-98D0-4B83-9FBA-E38F1B9A09C1}"/>
    <cellStyle name="Note 3 2 3 2 6" xfId="34837" xr:uid="{7DFCAB5D-EAA0-4823-BA54-2D03CC3E665F}"/>
    <cellStyle name="Note 3 2 3 2 7" xfId="9544" xr:uid="{B98C1881-5095-40EE-AECB-2CCFC466AF17}"/>
    <cellStyle name="Note 3 2 3 3" xfId="1432" xr:uid="{00000000-0005-0000-0000-000081210000}"/>
    <cellStyle name="Note 3 2 3 3 2" xfId="3662" xr:uid="{00000000-0005-0000-0000-000082210000}"/>
    <cellStyle name="Note 3 2 3 3 2 2" xfId="7885" xr:uid="{00000000-0005-0000-0000-000083210000}"/>
    <cellStyle name="Note 3 2 3 3 2 2 2" xfId="33184" xr:uid="{7A20082D-EAB8-491E-BE8B-64A3453CD9DB}"/>
    <cellStyle name="Note 3 2 3 3 2 2 3" xfId="24755" xr:uid="{441D8E5D-D6E4-457B-82CD-B048317706A7}"/>
    <cellStyle name="Note 3 2 3 3 2 2 4" xfId="41612" xr:uid="{20F7F411-0479-4505-A0A6-AB432FF6963A}"/>
    <cellStyle name="Note 3 2 3 3 2 2 5" xfId="16320" xr:uid="{034473AD-9052-4CD1-871D-9B523442A5AF}"/>
    <cellStyle name="Note 3 2 3 3 2 3" xfId="28966" xr:uid="{5A44C90D-48AF-4AE8-B26F-60D0EE082DA3}"/>
    <cellStyle name="Note 3 2 3 3 2 4" xfId="20537" xr:uid="{71709B83-A8C9-4392-86BD-5FA00EE336B1}"/>
    <cellStyle name="Note 3 2 3 3 2 5" xfId="37395" xr:uid="{420260D5-4426-4DAA-BA5F-14DA90DEA74E}"/>
    <cellStyle name="Note 3 2 3 3 2 6" xfId="12102" xr:uid="{895F2D4E-FC76-409F-BDF9-EB54D0F719F9}"/>
    <cellStyle name="Note 3 2 3 3 3" xfId="5740" xr:uid="{00000000-0005-0000-0000-000084210000}"/>
    <cellStyle name="Note 3 2 3 3 3 2" xfId="31039" xr:uid="{84CD9CAE-DD44-41A6-A5BF-8AD411151B3A}"/>
    <cellStyle name="Note 3 2 3 3 3 3" xfId="22610" xr:uid="{5143F744-BD5A-4649-A285-25E0D5200A69}"/>
    <cellStyle name="Note 3 2 3 3 3 4" xfId="39467" xr:uid="{ADDFFD3D-2F21-44CF-9F0E-33FEEBFF8EF8}"/>
    <cellStyle name="Note 3 2 3 3 3 5" xfId="14175" xr:uid="{D4865BBE-B7B3-4171-BBFD-8AF9AC9D9491}"/>
    <cellStyle name="Note 3 2 3 3 4" xfId="26821" xr:uid="{6BE65039-AC57-49B5-9467-E7895A45213A}"/>
    <cellStyle name="Note 3 2 3 3 5" xfId="18392" xr:uid="{05F15524-19DF-40D4-A0BE-D60CA6BAE425}"/>
    <cellStyle name="Note 3 2 3 3 6" xfId="35250" xr:uid="{3D891741-1388-4B7B-A31F-1C7596228F45}"/>
    <cellStyle name="Note 3 2 3 3 7" xfId="9957" xr:uid="{AC3AFFB4-69A3-4726-B417-15AE63F875AE}"/>
    <cellStyle name="Note 3 2 3 4" xfId="1846" xr:uid="{00000000-0005-0000-0000-000085210000}"/>
    <cellStyle name="Note 3 2 3 4 2" xfId="4075" xr:uid="{00000000-0005-0000-0000-000086210000}"/>
    <cellStyle name="Note 3 2 3 4 2 2" xfId="8298" xr:uid="{00000000-0005-0000-0000-000087210000}"/>
    <cellStyle name="Note 3 2 3 4 2 2 2" xfId="33597" xr:uid="{68F607B7-2215-47D7-9ED1-EB9238BFFC0F}"/>
    <cellStyle name="Note 3 2 3 4 2 2 3" xfId="25168" xr:uid="{963577D7-4AB0-4892-BFCD-5C76E47CCD12}"/>
    <cellStyle name="Note 3 2 3 4 2 2 4" xfId="42025" xr:uid="{2FA2BDDD-243F-49B4-B938-C35D49EB5660}"/>
    <cellStyle name="Note 3 2 3 4 2 2 5" xfId="16733" xr:uid="{98D17F48-4FC7-4EF1-B838-050BAE0FBC18}"/>
    <cellStyle name="Note 3 2 3 4 2 3" xfId="29379" xr:uid="{8FB01FAD-DCE7-4326-9ADE-EFDDAD034B2E}"/>
    <cellStyle name="Note 3 2 3 4 2 4" xfId="20950" xr:uid="{B7F6488F-2B9F-4899-82A5-7A35B23BD525}"/>
    <cellStyle name="Note 3 2 3 4 2 5" xfId="37808" xr:uid="{F96B6E05-BF3E-4EA5-BBD8-5A75C729BB3A}"/>
    <cellStyle name="Note 3 2 3 4 2 6" xfId="12515" xr:uid="{93167A47-B148-4630-8AB6-63982DB84505}"/>
    <cellStyle name="Note 3 2 3 4 3" xfId="6153" xr:uid="{00000000-0005-0000-0000-000088210000}"/>
    <cellStyle name="Note 3 2 3 4 3 2" xfId="31452" xr:uid="{F0C2408C-1F01-497A-A873-ACDC9C2DCAFC}"/>
    <cellStyle name="Note 3 2 3 4 3 3" xfId="23023" xr:uid="{F78B3B3B-A2B4-4565-9481-35B1799E5957}"/>
    <cellStyle name="Note 3 2 3 4 3 4" xfId="39880" xr:uid="{78E8012D-51F1-4FBE-983D-443237A94A55}"/>
    <cellStyle name="Note 3 2 3 4 3 5" xfId="14588" xr:uid="{DD659E9A-0486-460A-9330-4656765A0838}"/>
    <cellStyle name="Note 3 2 3 4 4" xfId="27234" xr:uid="{F0974A4E-E19E-453B-9987-37EB1BC2A78E}"/>
    <cellStyle name="Note 3 2 3 4 5" xfId="18805" xr:uid="{3FCF6F94-8854-4E2F-A682-78D15BB2E7E6}"/>
    <cellStyle name="Note 3 2 3 4 6" xfId="35663" xr:uid="{41794697-6576-43FE-B8C3-33525CE74A32}"/>
    <cellStyle name="Note 3 2 3 4 7" xfId="10370" xr:uid="{CA5CD255-800A-4BC5-97FD-BD29A5000928}"/>
    <cellStyle name="Note 3 2 3 5" xfId="2259" xr:uid="{00000000-0005-0000-0000-000089210000}"/>
    <cellStyle name="Note 3 2 3 5 2" xfId="4488" xr:uid="{00000000-0005-0000-0000-00008A210000}"/>
    <cellStyle name="Note 3 2 3 5 2 2" xfId="8711" xr:uid="{00000000-0005-0000-0000-00008B210000}"/>
    <cellStyle name="Note 3 2 3 5 2 2 2" xfId="34010" xr:uid="{0312933E-90FA-43CB-A338-84E833196DA0}"/>
    <cellStyle name="Note 3 2 3 5 2 2 3" xfId="25581" xr:uid="{15AA2C8E-1D8F-4C09-A605-DA7F57BB369C}"/>
    <cellStyle name="Note 3 2 3 5 2 2 4" xfId="42438" xr:uid="{8597F278-FF97-4017-89B0-442E85D7A08F}"/>
    <cellStyle name="Note 3 2 3 5 2 2 5" xfId="17146" xr:uid="{FB00FB09-0623-41A4-9F19-8EC5889CA6E7}"/>
    <cellStyle name="Note 3 2 3 5 2 3" xfId="29792" xr:uid="{6F06BCEA-7B65-4001-89A2-072CAF90B1CD}"/>
    <cellStyle name="Note 3 2 3 5 2 4" xfId="21363" xr:uid="{6136F873-4684-4F34-85A9-9BA2C36BC5E7}"/>
    <cellStyle name="Note 3 2 3 5 2 5" xfId="38221" xr:uid="{F2D961F4-ED00-46AB-B25F-3FAFD0D23061}"/>
    <cellStyle name="Note 3 2 3 5 2 6" xfId="12928" xr:uid="{2B11FA44-0BFE-4DC0-A662-797D99E4D317}"/>
    <cellStyle name="Note 3 2 3 5 3" xfId="6566" xr:uid="{00000000-0005-0000-0000-00008C210000}"/>
    <cellStyle name="Note 3 2 3 5 3 2" xfId="31865" xr:uid="{6C5DCD5F-0367-4FF5-A16E-2F621997E40C}"/>
    <cellStyle name="Note 3 2 3 5 3 3" xfId="23436" xr:uid="{A06A2460-110F-4035-923B-A2DB207D2553}"/>
    <cellStyle name="Note 3 2 3 5 3 4" xfId="40293" xr:uid="{AB4577CE-82D5-46FC-939C-22C17140C0D6}"/>
    <cellStyle name="Note 3 2 3 5 3 5" xfId="15001" xr:uid="{226A716F-0516-46BF-9EBD-3020F84156F7}"/>
    <cellStyle name="Note 3 2 3 5 4" xfId="27647" xr:uid="{6A3C5BEC-D036-4D3B-9C17-53CB5AF58443}"/>
    <cellStyle name="Note 3 2 3 5 5" xfId="19218" xr:uid="{A94A88C3-7A3F-49F5-9B28-C58D1378F273}"/>
    <cellStyle name="Note 3 2 3 5 6" xfId="36076" xr:uid="{A2431BFB-74BA-493C-BA7E-60652BECBC75}"/>
    <cellStyle name="Note 3 2 3 5 7" xfId="10783" xr:uid="{969A2F51-38D6-475F-A605-2D09CEF744ED}"/>
    <cellStyle name="Note 3 2 3 6" xfId="2695" xr:uid="{00000000-0005-0000-0000-00008D210000}"/>
    <cellStyle name="Note 3 2 3 6 2" xfId="6979" xr:uid="{00000000-0005-0000-0000-00008E210000}"/>
    <cellStyle name="Note 3 2 3 6 2 2" xfId="32278" xr:uid="{7043A3E8-058E-4656-96B5-3B7ACDC86052}"/>
    <cellStyle name="Note 3 2 3 6 2 3" xfId="23849" xr:uid="{8843F634-5B53-445A-ACA6-8262CF917998}"/>
    <cellStyle name="Note 3 2 3 6 2 4" xfId="40706" xr:uid="{1A3E8014-9D11-449D-9295-C1F863806D3A}"/>
    <cellStyle name="Note 3 2 3 6 2 5" xfId="15414" xr:uid="{7313CACC-54B5-472A-A604-DA467EC775EB}"/>
    <cellStyle name="Note 3 2 3 6 3" xfId="28060" xr:uid="{B4F3847A-558E-4027-BA3C-5FAB035BF729}"/>
    <cellStyle name="Note 3 2 3 6 4" xfId="19631" xr:uid="{EDB4FCC0-D3B1-4E91-821E-BF96B8811D08}"/>
    <cellStyle name="Note 3 2 3 6 5" xfId="36489" xr:uid="{395FF142-958A-46FE-9829-C7662BC44968}"/>
    <cellStyle name="Note 3 2 3 6 6" xfId="11196" xr:uid="{1DA241EB-5EE3-47FF-BBC8-9FAC30943B2B}"/>
    <cellStyle name="Note 3 2 3 7" xfId="2754" xr:uid="{00000000-0005-0000-0000-00008F210000}"/>
    <cellStyle name="Note 3 2 3 8" xfId="2835" xr:uid="{00000000-0005-0000-0000-000090210000}"/>
    <cellStyle name="Note 3 2 3 8 2" xfId="7059" xr:uid="{00000000-0005-0000-0000-000091210000}"/>
    <cellStyle name="Note 3 2 3 8 2 2" xfId="32358" xr:uid="{F6C73118-51CE-4F78-B233-43F2428A2F87}"/>
    <cellStyle name="Note 3 2 3 8 2 3" xfId="23929" xr:uid="{0AB3BCF6-2D0D-4D0D-819D-37A0AFE99F83}"/>
    <cellStyle name="Note 3 2 3 8 2 4" xfId="40786" xr:uid="{F5317691-9398-4630-B7C7-E505478132E3}"/>
    <cellStyle name="Note 3 2 3 8 2 5" xfId="15494" xr:uid="{01C4E4C7-0C15-462E-862E-E4BCBF71D4C2}"/>
    <cellStyle name="Note 3 2 3 8 3" xfId="28140" xr:uid="{EDE3BDBA-B546-4607-A5ED-FF3C698010CD}"/>
    <cellStyle name="Note 3 2 3 8 4" xfId="19711" xr:uid="{6A11E185-E407-46D5-8464-CF6FA9CD1B7B}"/>
    <cellStyle name="Note 3 2 3 8 5" xfId="36569" xr:uid="{09E14066-8060-4001-BEC3-B11BCD0B5CF4}"/>
    <cellStyle name="Note 3 2 3 8 6" xfId="11276" xr:uid="{9385918A-96A2-4A84-90B4-FDF5631955F3}"/>
    <cellStyle name="Note 3 2 3 9" xfId="4914" xr:uid="{00000000-0005-0000-0000-000092210000}"/>
    <cellStyle name="Note 3 2 3 9 2" xfId="30213" xr:uid="{53066F45-DC06-4A2C-8355-37E3A3CF4DE4}"/>
    <cellStyle name="Note 3 2 3 9 3" xfId="21784" xr:uid="{821513B7-956E-4276-A059-CCE3AFCBB1EC}"/>
    <cellStyle name="Note 3 2 3 9 4" xfId="38641" xr:uid="{3EDD69EC-1250-4925-9923-BAFFA5653722}"/>
    <cellStyle name="Note 3 2 3 9 5" xfId="13349" xr:uid="{DF18779D-A669-41E9-8C6B-F335ED9E0583}"/>
    <cellStyle name="Note 3 2 4" xfId="1014" xr:uid="{00000000-0005-0000-0000-000093210000}"/>
    <cellStyle name="Note 3 2 4 2" xfId="3246" xr:uid="{00000000-0005-0000-0000-000094210000}"/>
    <cellStyle name="Note 3 2 4 2 2" xfId="7469" xr:uid="{00000000-0005-0000-0000-000095210000}"/>
    <cellStyle name="Note 3 2 4 2 2 2" xfId="32768" xr:uid="{AAAC1793-B976-46CE-9BAF-54E0D01FEBB9}"/>
    <cellStyle name="Note 3 2 4 2 2 3" xfId="24339" xr:uid="{218B2B51-6DEA-4318-87AB-CAAD975E7E18}"/>
    <cellStyle name="Note 3 2 4 2 2 4" xfId="41196" xr:uid="{81B11E01-71EC-4DE1-835B-5D339895B75D}"/>
    <cellStyle name="Note 3 2 4 2 2 5" xfId="15904" xr:uid="{F510DC69-F0A7-4C85-A88F-C99F33E3B3FA}"/>
    <cellStyle name="Note 3 2 4 2 3" xfId="28550" xr:uid="{AA66EFA2-E059-46F3-A76C-BA5EB9BC8C3C}"/>
    <cellStyle name="Note 3 2 4 2 4" xfId="20121" xr:uid="{C7721A83-778A-44D3-834F-7B53B943D5B8}"/>
    <cellStyle name="Note 3 2 4 2 5" xfId="36979" xr:uid="{2A8C617A-BD93-4A0C-A893-90F2276DCE18}"/>
    <cellStyle name="Note 3 2 4 2 6" xfId="11686" xr:uid="{52FE06C6-23F5-4051-AE1D-D2DF9A4FAD78}"/>
    <cellStyle name="Note 3 2 4 3" xfId="5324" xr:uid="{00000000-0005-0000-0000-000096210000}"/>
    <cellStyle name="Note 3 2 4 3 2" xfId="30623" xr:uid="{485BEA31-110E-423E-87B6-4AE74CA7B194}"/>
    <cellStyle name="Note 3 2 4 3 3" xfId="22194" xr:uid="{FFF96579-753F-4E01-B575-1BB40A0BF4C4}"/>
    <cellStyle name="Note 3 2 4 3 4" xfId="39051" xr:uid="{5D8E34EF-08DB-417B-BF33-436290557AE3}"/>
    <cellStyle name="Note 3 2 4 3 5" xfId="13759" xr:uid="{447E2030-DC6F-45B1-A6CC-4864F0960EB6}"/>
    <cellStyle name="Note 3 2 4 4" xfId="26405" xr:uid="{6224928D-16B0-4B04-AA88-C9EB4B17710B}"/>
    <cellStyle name="Note 3 2 4 5" xfId="17976" xr:uid="{3C4A80D3-BC14-43D2-9444-89570B399C52}"/>
    <cellStyle name="Note 3 2 4 6" xfId="34834" xr:uid="{A2655C3C-77E1-4077-B832-B0BD2B91FE83}"/>
    <cellStyle name="Note 3 2 4 7" xfId="9541" xr:uid="{4BFC1A91-77A0-4DA7-A48D-968C801CBE93}"/>
    <cellStyle name="Note 3 2 5" xfId="1429" xr:uid="{00000000-0005-0000-0000-000097210000}"/>
    <cellStyle name="Note 3 2 5 2" xfId="3659" xr:uid="{00000000-0005-0000-0000-000098210000}"/>
    <cellStyle name="Note 3 2 5 2 2" xfId="7882" xr:uid="{00000000-0005-0000-0000-000099210000}"/>
    <cellStyle name="Note 3 2 5 2 2 2" xfId="33181" xr:uid="{4C894EA2-AB88-4263-9327-01008C5AB02F}"/>
    <cellStyle name="Note 3 2 5 2 2 3" xfId="24752" xr:uid="{91277DD9-A0D8-4404-BBA1-9B0C7AAD6E6F}"/>
    <cellStyle name="Note 3 2 5 2 2 4" xfId="41609" xr:uid="{C796EB34-18D3-41E0-9856-6F843A32517E}"/>
    <cellStyle name="Note 3 2 5 2 2 5" xfId="16317" xr:uid="{E56DB001-98CC-4693-B6D9-B09906DCA870}"/>
    <cellStyle name="Note 3 2 5 2 3" xfId="28963" xr:uid="{7CDCA3F6-6DCE-46FB-AEE6-8FD6224988BE}"/>
    <cellStyle name="Note 3 2 5 2 4" xfId="20534" xr:uid="{0A6AF63C-0468-47A7-B050-38BF7619E397}"/>
    <cellStyle name="Note 3 2 5 2 5" xfId="37392" xr:uid="{AD745A47-E0D2-4C97-A933-5D6C17259DDC}"/>
    <cellStyle name="Note 3 2 5 2 6" xfId="12099" xr:uid="{C58642DB-356E-4BB7-BFD2-E9BFC3A78672}"/>
    <cellStyle name="Note 3 2 5 3" xfId="5737" xr:uid="{00000000-0005-0000-0000-00009A210000}"/>
    <cellStyle name="Note 3 2 5 3 2" xfId="31036" xr:uid="{716C8DCB-793E-47DF-97E9-C5C1AD55BCCE}"/>
    <cellStyle name="Note 3 2 5 3 3" xfId="22607" xr:uid="{6452F309-3C12-4E17-923D-A27618448C91}"/>
    <cellStyle name="Note 3 2 5 3 4" xfId="39464" xr:uid="{8E482A95-6D16-4C72-B1C5-49342C1A4C23}"/>
    <cellStyle name="Note 3 2 5 3 5" xfId="14172" xr:uid="{D99D61E5-6AFE-45C1-B8CB-4246A7AF7E2C}"/>
    <cellStyle name="Note 3 2 5 4" xfId="26818" xr:uid="{C0AC1F50-6EE6-43D4-8696-BB5FD6DC9859}"/>
    <cellStyle name="Note 3 2 5 5" xfId="18389" xr:uid="{C3FE698B-F5C4-4FCA-8285-65E09D3079A2}"/>
    <cellStyle name="Note 3 2 5 6" xfId="35247" xr:uid="{1020B2A1-A19E-40A4-A764-51E3B816B8EA}"/>
    <cellStyle name="Note 3 2 5 7" xfId="9954" xr:uid="{C66E8B4C-C0C1-45FF-8B2D-E1314F143F68}"/>
    <cellStyle name="Note 3 2 6" xfId="1843" xr:uid="{00000000-0005-0000-0000-00009B210000}"/>
    <cellStyle name="Note 3 2 6 2" xfId="4072" xr:uid="{00000000-0005-0000-0000-00009C210000}"/>
    <cellStyle name="Note 3 2 6 2 2" xfId="8295" xr:uid="{00000000-0005-0000-0000-00009D210000}"/>
    <cellStyle name="Note 3 2 6 2 2 2" xfId="33594" xr:uid="{E1FFD00F-168B-4BE8-BE7D-7A3C1F84C893}"/>
    <cellStyle name="Note 3 2 6 2 2 3" xfId="25165" xr:uid="{967696F7-7588-4D22-8695-9D1403D36ED5}"/>
    <cellStyle name="Note 3 2 6 2 2 4" xfId="42022" xr:uid="{5E8328A6-1625-4104-A2FA-9F44023CF8ED}"/>
    <cellStyle name="Note 3 2 6 2 2 5" xfId="16730" xr:uid="{86527337-8E86-4F97-9C84-B6159699CFB7}"/>
    <cellStyle name="Note 3 2 6 2 3" xfId="29376" xr:uid="{1F45805D-66A9-4184-A2A3-6422699DC8BC}"/>
    <cellStyle name="Note 3 2 6 2 4" xfId="20947" xr:uid="{D195DD8D-2AC5-4C10-ADC0-6FF6AC3DF8AB}"/>
    <cellStyle name="Note 3 2 6 2 5" xfId="37805" xr:uid="{9E013DD6-18F0-40B0-A802-BC9F7BB0D9B2}"/>
    <cellStyle name="Note 3 2 6 2 6" xfId="12512" xr:uid="{91F0B29C-46B6-4B6D-AD3F-C15ABEDE2DC2}"/>
    <cellStyle name="Note 3 2 6 3" xfId="6150" xr:uid="{00000000-0005-0000-0000-00009E210000}"/>
    <cellStyle name="Note 3 2 6 3 2" xfId="31449" xr:uid="{B1F1F05F-3D15-493B-B4F7-3621ACA857BE}"/>
    <cellStyle name="Note 3 2 6 3 3" xfId="23020" xr:uid="{AA420178-DCAB-4850-99E9-E8FF120DFCA5}"/>
    <cellStyle name="Note 3 2 6 3 4" xfId="39877" xr:uid="{B4AFFAA9-F861-49B3-9E47-ED72220FDCE7}"/>
    <cellStyle name="Note 3 2 6 3 5" xfId="14585" xr:uid="{AADF8637-F254-47BB-ADBE-7DC007A9B021}"/>
    <cellStyle name="Note 3 2 6 4" xfId="27231" xr:uid="{438F99A2-A4ED-4B4B-805F-361B02A28A0E}"/>
    <cellStyle name="Note 3 2 6 5" xfId="18802" xr:uid="{353A75B6-F69A-40AD-8DA0-31FB14BC6D7B}"/>
    <cellStyle name="Note 3 2 6 6" xfId="35660" xr:uid="{6AB8F41F-95FC-41C2-8733-8B7D1C69A60D}"/>
    <cellStyle name="Note 3 2 6 7" xfId="10367" xr:uid="{18C9B10B-8B19-42E8-B39B-F40A21998F5E}"/>
    <cellStyle name="Note 3 2 7" xfId="2256" xr:uid="{00000000-0005-0000-0000-00009F210000}"/>
    <cellStyle name="Note 3 2 7 2" xfId="4485" xr:uid="{00000000-0005-0000-0000-0000A0210000}"/>
    <cellStyle name="Note 3 2 7 2 2" xfId="8708" xr:uid="{00000000-0005-0000-0000-0000A1210000}"/>
    <cellStyle name="Note 3 2 7 2 2 2" xfId="34007" xr:uid="{0AFF66CC-3A14-4135-AEA8-3B6D9AA2AF22}"/>
    <cellStyle name="Note 3 2 7 2 2 3" xfId="25578" xr:uid="{005D12E9-82C0-443D-AB53-8D3A793D4C16}"/>
    <cellStyle name="Note 3 2 7 2 2 4" xfId="42435" xr:uid="{2150683A-6AE9-427F-9057-000D3B34BC0A}"/>
    <cellStyle name="Note 3 2 7 2 2 5" xfId="17143" xr:uid="{69EE9378-0C1F-4E97-B92E-3D5B0EE4B01A}"/>
    <cellStyle name="Note 3 2 7 2 3" xfId="29789" xr:uid="{BBC84724-E627-4FA6-9B24-8CDAC50B30AD}"/>
    <cellStyle name="Note 3 2 7 2 4" xfId="21360" xr:uid="{69C8872B-1005-4043-BA72-E06F071D21F7}"/>
    <cellStyle name="Note 3 2 7 2 5" xfId="38218" xr:uid="{14EFD6C9-4EED-4B81-B985-63095299FBC5}"/>
    <cellStyle name="Note 3 2 7 2 6" xfId="12925" xr:uid="{EB34EB0A-16DF-4478-980D-5555AD198914}"/>
    <cellStyle name="Note 3 2 7 3" xfId="6563" xr:uid="{00000000-0005-0000-0000-0000A2210000}"/>
    <cellStyle name="Note 3 2 7 3 2" xfId="31862" xr:uid="{2079FCB9-0E56-4E5E-8F2C-D546FD2DEEAB}"/>
    <cellStyle name="Note 3 2 7 3 3" xfId="23433" xr:uid="{9F4C491C-1CDB-472D-98B1-4E64A02CD886}"/>
    <cellStyle name="Note 3 2 7 3 4" xfId="40290" xr:uid="{E12CC638-8719-48C1-BDE5-29FA1ABB9674}"/>
    <cellStyle name="Note 3 2 7 3 5" xfId="14998" xr:uid="{CFD23DD6-4AF6-40C5-A319-5AF3515503B0}"/>
    <cellStyle name="Note 3 2 7 4" xfId="27644" xr:uid="{DD5C2262-4E28-4AA2-87BD-03DF5608AB63}"/>
    <cellStyle name="Note 3 2 7 5" xfId="19215" xr:uid="{FF93BACE-92A4-49AE-862C-8CD8B91364F3}"/>
    <cellStyle name="Note 3 2 7 6" xfId="36073" xr:uid="{CEA38105-00DF-47B1-8F22-DD7CFA3F1B13}"/>
    <cellStyle name="Note 3 2 7 7" xfId="10780" xr:uid="{D60CC2DC-69F1-4C2B-9090-4F11B3C1424E}"/>
    <cellStyle name="Note 3 2 8" xfId="2692" xr:uid="{00000000-0005-0000-0000-0000A3210000}"/>
    <cellStyle name="Note 3 2 8 2" xfId="6976" xr:uid="{00000000-0005-0000-0000-0000A4210000}"/>
    <cellStyle name="Note 3 2 8 2 2" xfId="32275" xr:uid="{594E1DAF-8D11-4B78-923D-358BF6F719E1}"/>
    <cellStyle name="Note 3 2 8 2 3" xfId="23846" xr:uid="{0B4BF567-BF02-42C5-9F2C-59BDFDA9997E}"/>
    <cellStyle name="Note 3 2 8 2 4" xfId="40703" xr:uid="{26EDE58E-B612-486C-9CFF-37455E16A3F9}"/>
    <cellStyle name="Note 3 2 8 2 5" xfId="15411" xr:uid="{B1E716B5-0996-4E66-97DD-810586BC1A18}"/>
    <cellStyle name="Note 3 2 8 3" xfId="28057" xr:uid="{C65B7717-50F7-456C-874C-F3817B385761}"/>
    <cellStyle name="Note 3 2 8 4" xfId="19628" xr:uid="{B79E4469-9ED0-41E4-8C5E-14833007536D}"/>
    <cellStyle name="Note 3 2 8 5" xfId="36486" xr:uid="{D02EEDAF-6F39-4DB8-BCD6-95C376F3D7DE}"/>
    <cellStyle name="Note 3 2 8 6" xfId="11193" xr:uid="{71A4A598-E909-438B-BB5E-2EE1F60E7E72}"/>
    <cellStyle name="Note 3 2 9" xfId="2751" xr:uid="{00000000-0005-0000-0000-0000A5210000}"/>
    <cellStyle name="Note 3 3" xfId="558" xr:uid="{00000000-0005-0000-0000-0000A6210000}"/>
    <cellStyle name="Note 3 3 10" xfId="4915" xr:uid="{00000000-0005-0000-0000-0000A7210000}"/>
    <cellStyle name="Note 3 3 10 2" xfId="30214" xr:uid="{E16B7271-01AC-402E-A0D4-E938CCBE43E7}"/>
    <cellStyle name="Note 3 3 10 3" xfId="21785" xr:uid="{4C7CF920-56D5-4C1B-9854-2765D4DF4F50}"/>
    <cellStyle name="Note 3 3 10 4" xfId="38642" xr:uid="{47B1E213-E401-427D-83AD-AE982870348A}"/>
    <cellStyle name="Note 3 3 10 5" xfId="13350" xr:uid="{3CEA16AA-BA8D-4877-9E74-91873EAAA4C7}"/>
    <cellStyle name="Note 3 3 11" xfId="25996" xr:uid="{CA918F75-D5C1-415E-935F-8FBD42DC56A8}"/>
    <cellStyle name="Note 3 3 12" xfId="17567" xr:uid="{9EC2CB9B-FB43-4307-A792-BE62F2FFCD25}"/>
    <cellStyle name="Note 3 3 13" xfId="34425" xr:uid="{60EDEF93-19B9-4AED-ACD0-194FB41D773A}"/>
    <cellStyle name="Note 3 3 14" xfId="9132" xr:uid="{E08C4094-731A-4E84-B387-7C9A87166151}"/>
    <cellStyle name="Note 3 3 2" xfId="559" xr:uid="{00000000-0005-0000-0000-0000A8210000}"/>
    <cellStyle name="Note 3 3 2 10" xfId="25997" xr:uid="{6399CECA-F334-475E-A13F-B2BB745F5612}"/>
    <cellStyle name="Note 3 3 2 11" xfId="17568" xr:uid="{04572343-0E04-4D9B-88A2-AB9E9507284C}"/>
    <cellStyle name="Note 3 3 2 12" xfId="34426" xr:uid="{1F8E44DF-A27F-4F0D-A3A7-D1F2D0E0A77C}"/>
    <cellStyle name="Note 3 3 2 13" xfId="9133" xr:uid="{22F92D96-821F-4112-8B35-597E4D1089FA}"/>
    <cellStyle name="Note 3 3 2 2" xfId="1019" xr:uid="{00000000-0005-0000-0000-0000A9210000}"/>
    <cellStyle name="Note 3 3 2 2 2" xfId="3251" xr:uid="{00000000-0005-0000-0000-0000AA210000}"/>
    <cellStyle name="Note 3 3 2 2 2 2" xfId="7474" xr:uid="{00000000-0005-0000-0000-0000AB210000}"/>
    <cellStyle name="Note 3 3 2 2 2 2 2" xfId="32773" xr:uid="{6A9B6DDB-97B6-44C0-98CA-9709E3744EA8}"/>
    <cellStyle name="Note 3 3 2 2 2 2 3" xfId="24344" xr:uid="{1580830C-D808-4491-BE15-366BDAB9C28E}"/>
    <cellStyle name="Note 3 3 2 2 2 2 4" xfId="41201" xr:uid="{7ABA387E-8CCF-499E-B135-20D4D1E57FDF}"/>
    <cellStyle name="Note 3 3 2 2 2 2 5" xfId="15909" xr:uid="{D479798B-58B0-4ADA-A40C-E123D697A9DB}"/>
    <cellStyle name="Note 3 3 2 2 2 3" xfId="28555" xr:uid="{D40D93C0-2098-4F6B-A2BF-BA05E7B3B614}"/>
    <cellStyle name="Note 3 3 2 2 2 4" xfId="20126" xr:uid="{3E0BC91E-E450-4C6D-8B81-D9B404C5C8BC}"/>
    <cellStyle name="Note 3 3 2 2 2 5" xfId="36984" xr:uid="{898AC848-2DEB-479D-8ABF-7A1302FDD442}"/>
    <cellStyle name="Note 3 3 2 2 2 6" xfId="11691" xr:uid="{EFE95492-5EEC-4311-A7E4-E582DBEA505A}"/>
    <cellStyle name="Note 3 3 2 2 3" xfId="5329" xr:uid="{00000000-0005-0000-0000-0000AC210000}"/>
    <cellStyle name="Note 3 3 2 2 3 2" xfId="30628" xr:uid="{7F8052C3-D9EC-4F22-BB11-C72453CE1403}"/>
    <cellStyle name="Note 3 3 2 2 3 3" xfId="22199" xr:uid="{DD3402ED-8DFA-4697-B8CB-E67C86D84DEA}"/>
    <cellStyle name="Note 3 3 2 2 3 4" xfId="39056" xr:uid="{C1575561-9E8A-4D35-A3E8-9704951C4DF3}"/>
    <cellStyle name="Note 3 3 2 2 3 5" xfId="13764" xr:uid="{93203275-0408-4128-870D-8D0F0B4C7093}"/>
    <cellStyle name="Note 3 3 2 2 4" xfId="26410" xr:uid="{4F69AEB9-D9C8-400F-AD47-35AB5C7C2349}"/>
    <cellStyle name="Note 3 3 2 2 5" xfId="17981" xr:uid="{07DFFB3C-9F52-44FC-8032-1DF5DBEFC5AB}"/>
    <cellStyle name="Note 3 3 2 2 6" xfId="34839" xr:uid="{33F70EB0-0B08-46E4-A4DB-D517941EDD8E}"/>
    <cellStyle name="Note 3 3 2 2 7" xfId="9546" xr:uid="{21A65045-76C3-4985-B919-02F0FB10D2BC}"/>
    <cellStyle name="Note 3 3 2 3" xfId="1434" xr:uid="{00000000-0005-0000-0000-0000AD210000}"/>
    <cellStyle name="Note 3 3 2 3 2" xfId="3664" xr:uid="{00000000-0005-0000-0000-0000AE210000}"/>
    <cellStyle name="Note 3 3 2 3 2 2" xfId="7887" xr:uid="{00000000-0005-0000-0000-0000AF210000}"/>
    <cellStyle name="Note 3 3 2 3 2 2 2" xfId="33186" xr:uid="{CF793038-4F56-462A-B57D-B13BABD7AAA7}"/>
    <cellStyle name="Note 3 3 2 3 2 2 3" xfId="24757" xr:uid="{0640BFBA-EDE2-4DC9-92E3-6ADB245881E4}"/>
    <cellStyle name="Note 3 3 2 3 2 2 4" xfId="41614" xr:uid="{1DD0A8E5-A0C0-438B-993F-CD67B2DF4A8C}"/>
    <cellStyle name="Note 3 3 2 3 2 2 5" xfId="16322" xr:uid="{AF4443EB-FE30-4269-B93B-53AE2F45837B}"/>
    <cellStyle name="Note 3 3 2 3 2 3" xfId="28968" xr:uid="{43A250E0-E9C4-478F-900E-76895AD57546}"/>
    <cellStyle name="Note 3 3 2 3 2 4" xfId="20539" xr:uid="{A2326D7D-9227-4F5A-B0D4-FB50B093F235}"/>
    <cellStyle name="Note 3 3 2 3 2 5" xfId="37397" xr:uid="{15E8A8A4-3CA9-4A95-A20F-84FCE197DEC9}"/>
    <cellStyle name="Note 3 3 2 3 2 6" xfId="12104" xr:uid="{096783B8-A528-4A57-94D3-5EAC4B35FD09}"/>
    <cellStyle name="Note 3 3 2 3 3" xfId="5742" xr:uid="{00000000-0005-0000-0000-0000B0210000}"/>
    <cellStyle name="Note 3 3 2 3 3 2" xfId="31041" xr:uid="{64826180-2355-4232-AA11-E8F146F431FD}"/>
    <cellStyle name="Note 3 3 2 3 3 3" xfId="22612" xr:uid="{7A18361E-3EBC-4866-9639-ABB2B1930B0B}"/>
    <cellStyle name="Note 3 3 2 3 3 4" xfId="39469" xr:uid="{6D554AC7-2E73-4CF9-9A86-CA000B6F5526}"/>
    <cellStyle name="Note 3 3 2 3 3 5" xfId="14177" xr:uid="{A716BF9E-05FB-414F-AB65-203724815895}"/>
    <cellStyle name="Note 3 3 2 3 4" xfId="26823" xr:uid="{000B63CC-C7EC-4A28-9DA0-A5FCACA24EE6}"/>
    <cellStyle name="Note 3 3 2 3 5" xfId="18394" xr:uid="{FB96F98A-176E-4A1C-B15E-404AA88CA5CC}"/>
    <cellStyle name="Note 3 3 2 3 6" xfId="35252" xr:uid="{4EB68E5C-7B23-4B3B-A381-1B785181DE19}"/>
    <cellStyle name="Note 3 3 2 3 7" xfId="9959" xr:uid="{68D526E8-39B3-4127-837B-2832D6C5D051}"/>
    <cellStyle name="Note 3 3 2 4" xfId="1848" xr:uid="{00000000-0005-0000-0000-0000B1210000}"/>
    <cellStyle name="Note 3 3 2 4 2" xfId="4077" xr:uid="{00000000-0005-0000-0000-0000B2210000}"/>
    <cellStyle name="Note 3 3 2 4 2 2" xfId="8300" xr:uid="{00000000-0005-0000-0000-0000B3210000}"/>
    <cellStyle name="Note 3 3 2 4 2 2 2" xfId="33599" xr:uid="{67569CF9-2F41-4E60-A636-09B230429481}"/>
    <cellStyle name="Note 3 3 2 4 2 2 3" xfId="25170" xr:uid="{EFE6F4A4-CDA3-413E-AE58-129366C7C3CA}"/>
    <cellStyle name="Note 3 3 2 4 2 2 4" xfId="42027" xr:uid="{AC1DE1DB-C751-41EB-A165-6ECE110A40C5}"/>
    <cellStyle name="Note 3 3 2 4 2 2 5" xfId="16735" xr:uid="{461BE48E-DFE3-4E25-ABCC-C05E08FFC4A3}"/>
    <cellStyle name="Note 3 3 2 4 2 3" xfId="29381" xr:uid="{78D2C579-8CA6-450E-BCF3-74B286BFB7D7}"/>
    <cellStyle name="Note 3 3 2 4 2 4" xfId="20952" xr:uid="{AA3E5217-DC7E-4EAF-AC09-FD25CCD08532}"/>
    <cellStyle name="Note 3 3 2 4 2 5" xfId="37810" xr:uid="{B96A173D-C09E-4285-B6E3-9FFF09F97A08}"/>
    <cellStyle name="Note 3 3 2 4 2 6" xfId="12517" xr:uid="{8423BCA1-CA36-461B-898B-715F39A06876}"/>
    <cellStyle name="Note 3 3 2 4 3" xfId="6155" xr:uid="{00000000-0005-0000-0000-0000B4210000}"/>
    <cellStyle name="Note 3 3 2 4 3 2" xfId="31454" xr:uid="{DE0EC958-95A1-4E72-B8A1-A1E92A7FB5B0}"/>
    <cellStyle name="Note 3 3 2 4 3 3" xfId="23025" xr:uid="{F483977D-0482-4DB4-A645-723887CF02CB}"/>
    <cellStyle name="Note 3 3 2 4 3 4" xfId="39882" xr:uid="{8DA9D949-1D38-43EB-AAC5-34CACC5F28C8}"/>
    <cellStyle name="Note 3 3 2 4 3 5" xfId="14590" xr:uid="{26985500-979B-4498-86B7-3848E7DC09C5}"/>
    <cellStyle name="Note 3 3 2 4 4" xfId="27236" xr:uid="{E7DAFA10-3F4B-4DD3-B2CC-B26E438B11B6}"/>
    <cellStyle name="Note 3 3 2 4 5" xfId="18807" xr:uid="{6D84CE3E-A705-4809-89E7-0C725FC6BBA4}"/>
    <cellStyle name="Note 3 3 2 4 6" xfId="35665" xr:uid="{9087CC1B-36EA-4873-934A-2AFD89959C5F}"/>
    <cellStyle name="Note 3 3 2 4 7" xfId="10372" xr:uid="{28E6F235-B508-4B94-BF12-2BDEA9790689}"/>
    <cellStyle name="Note 3 3 2 5" xfId="2261" xr:uid="{00000000-0005-0000-0000-0000B5210000}"/>
    <cellStyle name="Note 3 3 2 5 2" xfId="4490" xr:uid="{00000000-0005-0000-0000-0000B6210000}"/>
    <cellStyle name="Note 3 3 2 5 2 2" xfId="8713" xr:uid="{00000000-0005-0000-0000-0000B7210000}"/>
    <cellStyle name="Note 3 3 2 5 2 2 2" xfId="34012" xr:uid="{A5CFFF86-BCB6-45F7-8CBF-225F82532BA1}"/>
    <cellStyle name="Note 3 3 2 5 2 2 3" xfId="25583" xr:uid="{A51CF723-EE34-4493-B727-E8BF17E4D0FF}"/>
    <cellStyle name="Note 3 3 2 5 2 2 4" xfId="42440" xr:uid="{D711975B-373B-44BA-94C2-EB64C1C04896}"/>
    <cellStyle name="Note 3 3 2 5 2 2 5" xfId="17148" xr:uid="{0A300805-B330-4004-ACF4-4B858C8B78C1}"/>
    <cellStyle name="Note 3 3 2 5 2 3" xfId="29794" xr:uid="{1D5FA495-1B80-4283-87E1-0E2A53FE4D88}"/>
    <cellStyle name="Note 3 3 2 5 2 4" xfId="21365" xr:uid="{BD1B5A6C-6479-43CC-89E6-1685B7212583}"/>
    <cellStyle name="Note 3 3 2 5 2 5" xfId="38223" xr:uid="{EC5B061E-D6A6-41DC-8883-573FABF14D48}"/>
    <cellStyle name="Note 3 3 2 5 2 6" xfId="12930" xr:uid="{F9798D29-7C8C-4AF0-A992-B7FAAE9ED215}"/>
    <cellStyle name="Note 3 3 2 5 3" xfId="6568" xr:uid="{00000000-0005-0000-0000-0000B8210000}"/>
    <cellStyle name="Note 3 3 2 5 3 2" xfId="31867" xr:uid="{DAA043FB-8615-497A-9573-B352FC2FCE40}"/>
    <cellStyle name="Note 3 3 2 5 3 3" xfId="23438" xr:uid="{84481047-A3B7-4EAF-BB32-9F037DD7C66F}"/>
    <cellStyle name="Note 3 3 2 5 3 4" xfId="40295" xr:uid="{2059E6B1-0874-44B3-9EA9-59EFE4BABBE9}"/>
    <cellStyle name="Note 3 3 2 5 3 5" xfId="15003" xr:uid="{1EE07FD8-2D1F-4FB2-ACD9-D5C2AF627036}"/>
    <cellStyle name="Note 3 3 2 5 4" xfId="27649" xr:uid="{C9330768-05C7-4F46-B12E-B562EF362C0F}"/>
    <cellStyle name="Note 3 3 2 5 5" xfId="19220" xr:uid="{13C09730-49EE-42F4-8640-A5F86D5E2299}"/>
    <cellStyle name="Note 3 3 2 5 6" xfId="36078" xr:uid="{B1A3772B-3715-4CB1-AEA6-DCC10D7EA840}"/>
    <cellStyle name="Note 3 3 2 5 7" xfId="10785" xr:uid="{31CC12FC-CEB3-47F3-A46C-BCB2DD51C819}"/>
    <cellStyle name="Note 3 3 2 6" xfId="2697" xr:uid="{00000000-0005-0000-0000-0000B9210000}"/>
    <cellStyle name="Note 3 3 2 6 2" xfId="6981" xr:uid="{00000000-0005-0000-0000-0000BA210000}"/>
    <cellStyle name="Note 3 3 2 6 2 2" xfId="32280" xr:uid="{57B9D8E1-020C-4466-8EF3-680B5721B77D}"/>
    <cellStyle name="Note 3 3 2 6 2 3" xfId="23851" xr:uid="{388FBAA3-3157-43B7-AF33-77F1C2357E60}"/>
    <cellStyle name="Note 3 3 2 6 2 4" xfId="40708" xr:uid="{5FF1D078-333D-4FFA-8CA8-04E2EAF51C4A}"/>
    <cellStyle name="Note 3 3 2 6 2 5" xfId="15416" xr:uid="{0D33BEF3-FCC1-41CD-B2DE-9E0A9003F214}"/>
    <cellStyle name="Note 3 3 2 6 3" xfId="28062" xr:uid="{7CDD9DCD-3214-423E-BA49-5CE61833853D}"/>
    <cellStyle name="Note 3 3 2 6 4" xfId="19633" xr:uid="{338EBEB2-98EC-47DC-B777-ED2B656F9DD7}"/>
    <cellStyle name="Note 3 3 2 6 5" xfId="36491" xr:uid="{99E23237-6E91-4BB1-9C08-C82F6FA08E75}"/>
    <cellStyle name="Note 3 3 2 6 6" xfId="11198" xr:uid="{CFC37AC6-0554-4D7E-8A65-034CC259BF8E}"/>
    <cellStyle name="Note 3 3 2 7" xfId="2756" xr:uid="{00000000-0005-0000-0000-0000BB210000}"/>
    <cellStyle name="Note 3 3 2 8" xfId="2837" xr:uid="{00000000-0005-0000-0000-0000BC210000}"/>
    <cellStyle name="Note 3 3 2 8 2" xfId="7061" xr:uid="{00000000-0005-0000-0000-0000BD210000}"/>
    <cellStyle name="Note 3 3 2 8 2 2" xfId="32360" xr:uid="{8DC3FC77-0F83-4061-A43E-D27AC05C0651}"/>
    <cellStyle name="Note 3 3 2 8 2 3" xfId="23931" xr:uid="{434769CE-79E5-4D0B-B1E6-7387167D9BE8}"/>
    <cellStyle name="Note 3 3 2 8 2 4" xfId="40788" xr:uid="{391C3A6C-3B04-4A69-A4EA-A9B27833FC30}"/>
    <cellStyle name="Note 3 3 2 8 2 5" xfId="15496" xr:uid="{B81F89A1-BA1D-43EF-A028-EB047C2394C6}"/>
    <cellStyle name="Note 3 3 2 8 3" xfId="28142" xr:uid="{D230C097-9009-4DC0-A7D4-3C3CCB2A4FD0}"/>
    <cellStyle name="Note 3 3 2 8 4" xfId="19713" xr:uid="{E5624970-8952-4D96-9674-118E2337D6B3}"/>
    <cellStyle name="Note 3 3 2 8 5" xfId="36571" xr:uid="{CFFDDD49-3AA6-4EFA-85FA-E2EAD20DE9A7}"/>
    <cellStyle name="Note 3 3 2 8 6" xfId="11278" xr:uid="{B075F843-AE51-4B95-8C5C-D89EC6A465B6}"/>
    <cellStyle name="Note 3 3 2 9" xfId="4916" xr:uid="{00000000-0005-0000-0000-0000BE210000}"/>
    <cellStyle name="Note 3 3 2 9 2" xfId="30215" xr:uid="{1A328352-0467-483D-BB72-32ABF955A998}"/>
    <cellStyle name="Note 3 3 2 9 3" xfId="21786" xr:uid="{1F245E59-4BCB-405D-BE08-C462CB08C80A}"/>
    <cellStyle name="Note 3 3 2 9 4" xfId="38643" xr:uid="{69A0A6C7-2BE2-4409-BFAD-33718C62A3F7}"/>
    <cellStyle name="Note 3 3 2 9 5" xfId="13351" xr:uid="{E3DF0217-DA53-4F64-BE75-F2C21E29F1E7}"/>
    <cellStyle name="Note 3 3 3" xfId="1018" xr:uid="{00000000-0005-0000-0000-0000BF210000}"/>
    <cellStyle name="Note 3 3 3 2" xfId="3250" xr:uid="{00000000-0005-0000-0000-0000C0210000}"/>
    <cellStyle name="Note 3 3 3 2 2" xfId="7473" xr:uid="{00000000-0005-0000-0000-0000C1210000}"/>
    <cellStyle name="Note 3 3 3 2 2 2" xfId="32772" xr:uid="{1406C11A-C0A9-4BC2-98B3-895D5EECDBBD}"/>
    <cellStyle name="Note 3 3 3 2 2 3" xfId="24343" xr:uid="{D9C763F2-A003-483A-8F2F-9F122CE5BD9F}"/>
    <cellStyle name="Note 3 3 3 2 2 4" xfId="41200" xr:uid="{126B07D8-0E11-43C9-946C-024AE46A0E96}"/>
    <cellStyle name="Note 3 3 3 2 2 5" xfId="15908" xr:uid="{5CAF1D83-2F77-4BEA-947B-60DEEAA0B2FF}"/>
    <cellStyle name="Note 3 3 3 2 3" xfId="28554" xr:uid="{7F94439B-F427-4F6E-93B4-78663ED4FF5F}"/>
    <cellStyle name="Note 3 3 3 2 4" xfId="20125" xr:uid="{0B88240E-1AEA-439F-B686-63054EBB4435}"/>
    <cellStyle name="Note 3 3 3 2 5" xfId="36983" xr:uid="{2F6970D6-EC19-4BA1-9A4C-2D21414388B6}"/>
    <cellStyle name="Note 3 3 3 2 6" xfId="11690" xr:uid="{06A08FE2-76BE-45A7-83D0-CBD2D5336C81}"/>
    <cellStyle name="Note 3 3 3 3" xfId="5328" xr:uid="{00000000-0005-0000-0000-0000C2210000}"/>
    <cellStyle name="Note 3 3 3 3 2" xfId="30627" xr:uid="{70F1112E-D34D-4B18-945A-8DEAA694C0C7}"/>
    <cellStyle name="Note 3 3 3 3 3" xfId="22198" xr:uid="{2181DEA4-94F9-4886-A277-B16B52C69848}"/>
    <cellStyle name="Note 3 3 3 3 4" xfId="39055" xr:uid="{7FA8D0D7-F31E-455A-B302-7A3739D70265}"/>
    <cellStyle name="Note 3 3 3 3 5" xfId="13763" xr:uid="{530A3400-AB90-4C00-A2D5-F11E322D74C3}"/>
    <cellStyle name="Note 3 3 3 4" xfId="26409" xr:uid="{39A212F1-F2AB-4862-9897-189A45874160}"/>
    <cellStyle name="Note 3 3 3 5" xfId="17980" xr:uid="{5568DDFF-95D4-4715-A102-A9367F316ED3}"/>
    <cellStyle name="Note 3 3 3 6" xfId="34838" xr:uid="{7425C2C7-0424-47F7-A461-3889D4CC5D58}"/>
    <cellStyle name="Note 3 3 3 7" xfId="9545" xr:uid="{BA33D215-E04E-41B1-83CF-9B5A67025A74}"/>
    <cellStyle name="Note 3 3 4" xfId="1433" xr:uid="{00000000-0005-0000-0000-0000C3210000}"/>
    <cellStyle name="Note 3 3 4 2" xfId="3663" xr:uid="{00000000-0005-0000-0000-0000C4210000}"/>
    <cellStyle name="Note 3 3 4 2 2" xfId="7886" xr:uid="{00000000-0005-0000-0000-0000C5210000}"/>
    <cellStyle name="Note 3 3 4 2 2 2" xfId="33185" xr:uid="{019F2D50-9AFC-4C4A-8E90-999AC84F0C6D}"/>
    <cellStyle name="Note 3 3 4 2 2 3" xfId="24756" xr:uid="{1E7CDF67-4E5B-4331-B896-4AF011C15614}"/>
    <cellStyle name="Note 3 3 4 2 2 4" xfId="41613" xr:uid="{39BC6CEF-CE27-4FBC-9FA2-BFA76AFD9F7C}"/>
    <cellStyle name="Note 3 3 4 2 2 5" xfId="16321" xr:uid="{7382AE43-6F5C-4011-A5BE-5F40D64D1559}"/>
    <cellStyle name="Note 3 3 4 2 3" xfId="28967" xr:uid="{53272ADD-9CB2-4F4C-8043-7C9888729BB3}"/>
    <cellStyle name="Note 3 3 4 2 4" xfId="20538" xr:uid="{F61AB0B9-6A1C-4BAC-9E81-77232F597E4B}"/>
    <cellStyle name="Note 3 3 4 2 5" xfId="37396" xr:uid="{A470BE38-251F-4F9D-B8CB-0EE75D3AE5B4}"/>
    <cellStyle name="Note 3 3 4 2 6" xfId="12103" xr:uid="{E5549010-320C-4209-B346-7C68931938EC}"/>
    <cellStyle name="Note 3 3 4 3" xfId="5741" xr:uid="{00000000-0005-0000-0000-0000C6210000}"/>
    <cellStyle name="Note 3 3 4 3 2" xfId="31040" xr:uid="{C06840EE-B966-4472-BD06-FE87E54E2D70}"/>
    <cellStyle name="Note 3 3 4 3 3" xfId="22611" xr:uid="{A5529E98-D33C-4D9B-9F19-F938564277EA}"/>
    <cellStyle name="Note 3 3 4 3 4" xfId="39468" xr:uid="{4B214C78-20FD-453E-8D15-3FB79688225D}"/>
    <cellStyle name="Note 3 3 4 3 5" xfId="14176" xr:uid="{FAD1A3E9-3833-4614-BB77-4455A07371C6}"/>
    <cellStyle name="Note 3 3 4 4" xfId="26822" xr:uid="{C574721D-9E00-4519-A9DB-A23AE83E2A46}"/>
    <cellStyle name="Note 3 3 4 5" xfId="18393" xr:uid="{530AC092-1E55-4FEE-A680-4FF580B074FD}"/>
    <cellStyle name="Note 3 3 4 6" xfId="35251" xr:uid="{E7BE7A31-4BF4-43DA-BD42-043EACFDEC18}"/>
    <cellStyle name="Note 3 3 4 7" xfId="9958" xr:uid="{A343D05E-3BD6-4404-B4DE-6F4D0BC9B5B1}"/>
    <cellStyle name="Note 3 3 5" xfId="1847" xr:uid="{00000000-0005-0000-0000-0000C7210000}"/>
    <cellStyle name="Note 3 3 5 2" xfId="4076" xr:uid="{00000000-0005-0000-0000-0000C8210000}"/>
    <cellStyle name="Note 3 3 5 2 2" xfId="8299" xr:uid="{00000000-0005-0000-0000-0000C9210000}"/>
    <cellStyle name="Note 3 3 5 2 2 2" xfId="33598" xr:uid="{D028A87A-C3D7-45B0-B45D-7A5480687BC1}"/>
    <cellStyle name="Note 3 3 5 2 2 3" xfId="25169" xr:uid="{A93EBF4A-7F08-4D66-8468-F3304E76FD29}"/>
    <cellStyle name="Note 3 3 5 2 2 4" xfId="42026" xr:uid="{4E06C569-0074-4CB3-A8E9-15DA3DEAA385}"/>
    <cellStyle name="Note 3 3 5 2 2 5" xfId="16734" xr:uid="{618C3444-05BF-4766-9DAD-8F0583D62AFF}"/>
    <cellStyle name="Note 3 3 5 2 3" xfId="29380" xr:uid="{45A85D9B-C9BD-42D3-89CF-127D2B00AFF0}"/>
    <cellStyle name="Note 3 3 5 2 4" xfId="20951" xr:uid="{775224CB-E98D-4781-BD20-077BA7442EF3}"/>
    <cellStyle name="Note 3 3 5 2 5" xfId="37809" xr:uid="{DB19430F-B694-4EAB-A7E1-07668414ADE0}"/>
    <cellStyle name="Note 3 3 5 2 6" xfId="12516" xr:uid="{6D597CF5-1982-431D-85A8-158261B77826}"/>
    <cellStyle name="Note 3 3 5 3" xfId="6154" xr:uid="{00000000-0005-0000-0000-0000CA210000}"/>
    <cellStyle name="Note 3 3 5 3 2" xfId="31453" xr:uid="{FECAE011-A323-43F5-A9D5-5E09840D9521}"/>
    <cellStyle name="Note 3 3 5 3 3" xfId="23024" xr:uid="{B1D4CA63-357A-4DC4-BD88-FFEEF5B979E4}"/>
    <cellStyle name="Note 3 3 5 3 4" xfId="39881" xr:uid="{9EB5DD3C-C04C-47B9-9E73-044009FED8CB}"/>
    <cellStyle name="Note 3 3 5 3 5" xfId="14589" xr:uid="{E2CC2A3B-C4F5-4EFF-B056-D88A154500BB}"/>
    <cellStyle name="Note 3 3 5 4" xfId="27235" xr:uid="{33D00CEF-B5AE-420C-93DA-AEB99AAAACB8}"/>
    <cellStyle name="Note 3 3 5 5" xfId="18806" xr:uid="{2FC5A2A1-4EE5-4C73-9882-DD0F2736AECE}"/>
    <cellStyle name="Note 3 3 5 6" xfId="35664" xr:uid="{01F562D3-0F06-46D6-8EF5-C034F2828E04}"/>
    <cellStyle name="Note 3 3 5 7" xfId="10371" xr:uid="{962C3D20-44B1-4EAB-B469-261805380159}"/>
    <cellStyle name="Note 3 3 6" xfId="2260" xr:uid="{00000000-0005-0000-0000-0000CB210000}"/>
    <cellStyle name="Note 3 3 6 2" xfId="4489" xr:uid="{00000000-0005-0000-0000-0000CC210000}"/>
    <cellStyle name="Note 3 3 6 2 2" xfId="8712" xr:uid="{00000000-0005-0000-0000-0000CD210000}"/>
    <cellStyle name="Note 3 3 6 2 2 2" xfId="34011" xr:uid="{2BCEF6BF-0750-41FE-B798-99C5827FB87C}"/>
    <cellStyle name="Note 3 3 6 2 2 3" xfId="25582" xr:uid="{5DCFBEA7-6D40-48B5-BC13-32AD66CABEB5}"/>
    <cellStyle name="Note 3 3 6 2 2 4" xfId="42439" xr:uid="{3F48ECAA-4735-4914-9589-B13B8FB7625D}"/>
    <cellStyle name="Note 3 3 6 2 2 5" xfId="17147" xr:uid="{52B70D91-4311-4FB0-8955-6D8F3C1ED4AC}"/>
    <cellStyle name="Note 3 3 6 2 3" xfId="29793" xr:uid="{E47363AF-28C4-4A5C-9166-9F731D483F16}"/>
    <cellStyle name="Note 3 3 6 2 4" xfId="21364" xr:uid="{A30631CB-270B-47EE-8A32-A4EAC90D79A2}"/>
    <cellStyle name="Note 3 3 6 2 5" xfId="38222" xr:uid="{9B7BA570-1042-40BB-A6B0-85C284C1C2EB}"/>
    <cellStyle name="Note 3 3 6 2 6" xfId="12929" xr:uid="{0EBB3BCF-2E5B-4EC2-8B56-072496C5BDA7}"/>
    <cellStyle name="Note 3 3 6 3" xfId="6567" xr:uid="{00000000-0005-0000-0000-0000CE210000}"/>
    <cellStyle name="Note 3 3 6 3 2" xfId="31866" xr:uid="{CB766358-224F-46BC-8853-9F054FDCE8A9}"/>
    <cellStyle name="Note 3 3 6 3 3" xfId="23437" xr:uid="{F0C30942-CE01-4695-BEB3-E912E3EB2F35}"/>
    <cellStyle name="Note 3 3 6 3 4" xfId="40294" xr:uid="{3F25E634-0937-4388-BBF6-DAB956C30F4E}"/>
    <cellStyle name="Note 3 3 6 3 5" xfId="15002" xr:uid="{E8A4ACA5-A0E3-40AC-B1FE-7A825FAB4FF4}"/>
    <cellStyle name="Note 3 3 6 4" xfId="27648" xr:uid="{3CF5B1F1-13AB-4B75-B4AE-C792BB3A5935}"/>
    <cellStyle name="Note 3 3 6 5" xfId="19219" xr:uid="{8E0028DE-BFB3-4E1B-8F74-CDE63C5E5790}"/>
    <cellStyle name="Note 3 3 6 6" xfId="36077" xr:uid="{5D74713E-2FA9-42ED-8979-F38D77134F74}"/>
    <cellStyle name="Note 3 3 6 7" xfId="10784" xr:uid="{DE3D87A2-6CBC-4247-AF29-180C784CFDC1}"/>
    <cellStyle name="Note 3 3 7" xfId="2696" xr:uid="{00000000-0005-0000-0000-0000CF210000}"/>
    <cellStyle name="Note 3 3 7 2" xfId="6980" xr:uid="{00000000-0005-0000-0000-0000D0210000}"/>
    <cellStyle name="Note 3 3 7 2 2" xfId="32279" xr:uid="{098071BA-9A32-4637-9AA1-29320B7E78E3}"/>
    <cellStyle name="Note 3 3 7 2 3" xfId="23850" xr:uid="{16E41153-2E29-4123-AB5D-F36A9E8CB67C}"/>
    <cellStyle name="Note 3 3 7 2 4" xfId="40707" xr:uid="{77876CF9-60EB-4C0D-90A8-2358A4A5C5ED}"/>
    <cellStyle name="Note 3 3 7 2 5" xfId="15415" xr:uid="{135BE656-0C9B-4360-8FFE-F24C3E7361FA}"/>
    <cellStyle name="Note 3 3 7 3" xfId="28061" xr:uid="{2A6A203A-949F-42C3-9FE9-659FDF5307D6}"/>
    <cellStyle name="Note 3 3 7 4" xfId="19632" xr:uid="{CCE5D5B1-18BF-45F7-8B71-315AF0A6011B}"/>
    <cellStyle name="Note 3 3 7 5" xfId="36490" xr:uid="{0F2B80FF-08C4-42BE-89F4-EA5F713E97DE}"/>
    <cellStyle name="Note 3 3 7 6" xfId="11197" xr:uid="{59D43160-500B-4A75-801C-34374C129C5D}"/>
    <cellStyle name="Note 3 3 8" xfId="2755" xr:uid="{00000000-0005-0000-0000-0000D1210000}"/>
    <cellStyle name="Note 3 3 9" xfId="2836" xr:uid="{00000000-0005-0000-0000-0000D2210000}"/>
    <cellStyle name="Note 3 3 9 2" xfId="7060" xr:uid="{00000000-0005-0000-0000-0000D3210000}"/>
    <cellStyle name="Note 3 3 9 2 2" xfId="32359" xr:uid="{EFA2FB40-ECE5-4F69-AF91-0474C78BABE8}"/>
    <cellStyle name="Note 3 3 9 2 3" xfId="23930" xr:uid="{E7A6E67C-A197-45A6-B7D1-828559B5A10D}"/>
    <cellStyle name="Note 3 3 9 2 4" xfId="40787" xr:uid="{D10B2B26-3DB7-4B9A-A976-6BBC5A09DFA2}"/>
    <cellStyle name="Note 3 3 9 2 5" xfId="15495" xr:uid="{27FBB3D6-3577-4C34-B593-68C94BB4EBCB}"/>
    <cellStyle name="Note 3 3 9 3" xfId="28141" xr:uid="{460DF431-F05E-426F-8CB7-9A253D2E2B7E}"/>
    <cellStyle name="Note 3 3 9 4" xfId="19712" xr:uid="{71FBF755-7585-40B0-900B-F972FE545040}"/>
    <cellStyle name="Note 3 3 9 5" xfId="36570" xr:uid="{8DC3E240-BFFE-452E-9B8C-8A80137303F8}"/>
    <cellStyle name="Note 3 3 9 6" xfId="11277" xr:uid="{F7948031-1053-4DA5-A6F7-0B2DD3ADF944}"/>
    <cellStyle name="Note 3 4" xfId="560" xr:uid="{00000000-0005-0000-0000-0000D4210000}"/>
    <cellStyle name="Note 3 4 10" xfId="25998" xr:uid="{3205C96E-D8B4-4922-8339-32ED55C0B2EF}"/>
    <cellStyle name="Note 3 4 11" xfId="17569" xr:uid="{48A34DFC-ABFB-4AE3-8E4A-470EA59CA09A}"/>
    <cellStyle name="Note 3 4 12" xfId="34427" xr:uid="{5A766E7C-2BE0-4E97-9519-3BFDC893A9A6}"/>
    <cellStyle name="Note 3 4 13" xfId="9134" xr:uid="{B4B53DA6-2303-4C0A-983D-2BE8583FC74D}"/>
    <cellStyle name="Note 3 4 2" xfId="1020" xr:uid="{00000000-0005-0000-0000-0000D5210000}"/>
    <cellStyle name="Note 3 4 2 2" xfId="3252" xr:uid="{00000000-0005-0000-0000-0000D6210000}"/>
    <cellStyle name="Note 3 4 2 2 2" xfId="7475" xr:uid="{00000000-0005-0000-0000-0000D7210000}"/>
    <cellStyle name="Note 3 4 2 2 2 2" xfId="32774" xr:uid="{9A69120B-3BC3-41AE-91B0-C7776AE47BF3}"/>
    <cellStyle name="Note 3 4 2 2 2 3" xfId="24345" xr:uid="{456F1D7D-8FD2-41EB-88CE-B7308A3F01FD}"/>
    <cellStyle name="Note 3 4 2 2 2 4" xfId="41202" xr:uid="{B774CAC4-475E-4BD5-9A9C-7C9B40DC4BC9}"/>
    <cellStyle name="Note 3 4 2 2 2 5" xfId="15910" xr:uid="{9412C2A7-518E-422B-8ADE-16B574116B1E}"/>
    <cellStyle name="Note 3 4 2 2 3" xfId="28556" xr:uid="{FD829241-7E54-4D7E-8F78-61A57C784733}"/>
    <cellStyle name="Note 3 4 2 2 4" xfId="20127" xr:uid="{8D527DF1-1EF4-44A9-9D88-7F1245A0C301}"/>
    <cellStyle name="Note 3 4 2 2 5" xfId="36985" xr:uid="{FF334F4B-A8C5-4D8D-A03A-D825C35D6577}"/>
    <cellStyle name="Note 3 4 2 2 6" xfId="11692" xr:uid="{8A2C4A0D-535D-41BB-9FED-510EEE4B6A57}"/>
    <cellStyle name="Note 3 4 2 3" xfId="5330" xr:uid="{00000000-0005-0000-0000-0000D8210000}"/>
    <cellStyle name="Note 3 4 2 3 2" xfId="30629" xr:uid="{284871BB-B779-4D77-8E5E-6DCF4369F16A}"/>
    <cellStyle name="Note 3 4 2 3 3" xfId="22200" xr:uid="{F0CACD13-AD56-4BB2-B4BE-D2AD670E136A}"/>
    <cellStyle name="Note 3 4 2 3 4" xfId="39057" xr:uid="{517552CA-C3E8-46BF-8859-C9B21EF3AE80}"/>
    <cellStyle name="Note 3 4 2 3 5" xfId="13765" xr:uid="{828FC167-82AD-4EBA-9FD2-E5EB3FB337F4}"/>
    <cellStyle name="Note 3 4 2 4" xfId="26411" xr:uid="{44A00578-87FB-4064-90A1-F2953D30DF31}"/>
    <cellStyle name="Note 3 4 2 5" xfId="17982" xr:uid="{03BFEC75-321E-43C3-AAEA-EAF06727DAD1}"/>
    <cellStyle name="Note 3 4 2 6" xfId="34840" xr:uid="{E86B3110-0E5E-4BAE-BAFB-E20222441B3A}"/>
    <cellStyle name="Note 3 4 2 7" xfId="9547" xr:uid="{DCE467AC-D7A5-42C1-99BE-095CAEC8326E}"/>
    <cellStyle name="Note 3 4 3" xfId="1435" xr:uid="{00000000-0005-0000-0000-0000D9210000}"/>
    <cellStyle name="Note 3 4 3 2" xfId="3665" xr:uid="{00000000-0005-0000-0000-0000DA210000}"/>
    <cellStyle name="Note 3 4 3 2 2" xfId="7888" xr:uid="{00000000-0005-0000-0000-0000DB210000}"/>
    <cellStyle name="Note 3 4 3 2 2 2" xfId="33187" xr:uid="{87E82F62-5A5E-41EB-A68B-477D8B58B37D}"/>
    <cellStyle name="Note 3 4 3 2 2 3" xfId="24758" xr:uid="{C7B5E1ED-CC5B-4BCD-96F0-B2692E5BFAD9}"/>
    <cellStyle name="Note 3 4 3 2 2 4" xfId="41615" xr:uid="{0DFFFA74-5444-4D9D-BB6E-C885F85A1F93}"/>
    <cellStyle name="Note 3 4 3 2 2 5" xfId="16323" xr:uid="{4B1B2157-8CE0-4BD6-B5EF-FD3A3F55B2D8}"/>
    <cellStyle name="Note 3 4 3 2 3" xfId="28969" xr:uid="{3F10AA3D-7182-4D4C-81E0-DB1D37F0A47D}"/>
    <cellStyle name="Note 3 4 3 2 4" xfId="20540" xr:uid="{F9C656EA-42C3-4319-A40D-5F6EF96280C3}"/>
    <cellStyle name="Note 3 4 3 2 5" xfId="37398" xr:uid="{78F2FEE9-6913-40FF-9336-5D5CD0F5CE6E}"/>
    <cellStyle name="Note 3 4 3 2 6" xfId="12105" xr:uid="{D51B3299-DC4E-4035-828F-3711D8C3FB34}"/>
    <cellStyle name="Note 3 4 3 3" xfId="5743" xr:uid="{00000000-0005-0000-0000-0000DC210000}"/>
    <cellStyle name="Note 3 4 3 3 2" xfId="31042" xr:uid="{95ED5E7C-4D47-4B5F-8223-94BE9C3CA6FC}"/>
    <cellStyle name="Note 3 4 3 3 3" xfId="22613" xr:uid="{591CFC8C-29F3-42E9-AA4C-4DBF541B13C5}"/>
    <cellStyle name="Note 3 4 3 3 4" xfId="39470" xr:uid="{2698B222-20D0-4C9A-B9E7-C66D1C5C72D2}"/>
    <cellStyle name="Note 3 4 3 3 5" xfId="14178" xr:uid="{798E46BD-8F99-45A2-9F64-CC7008B4390F}"/>
    <cellStyle name="Note 3 4 3 4" xfId="26824" xr:uid="{7A27D714-DB2D-409B-9F1A-8E9BBEA0228C}"/>
    <cellStyle name="Note 3 4 3 5" xfId="18395" xr:uid="{83EC0633-8912-49DB-B87A-EBC2CBAA3FDD}"/>
    <cellStyle name="Note 3 4 3 6" xfId="35253" xr:uid="{E5C22C91-A858-496D-B23B-9887F7812D57}"/>
    <cellStyle name="Note 3 4 3 7" xfId="9960" xr:uid="{A7E356A4-01F8-4782-873D-C38F8450E705}"/>
    <cellStyle name="Note 3 4 4" xfId="1849" xr:uid="{00000000-0005-0000-0000-0000DD210000}"/>
    <cellStyle name="Note 3 4 4 2" xfId="4078" xr:uid="{00000000-0005-0000-0000-0000DE210000}"/>
    <cellStyle name="Note 3 4 4 2 2" xfId="8301" xr:uid="{00000000-0005-0000-0000-0000DF210000}"/>
    <cellStyle name="Note 3 4 4 2 2 2" xfId="33600" xr:uid="{DEE5D5A7-293B-4BED-A3DE-4F30F9E7C34F}"/>
    <cellStyle name="Note 3 4 4 2 2 3" xfId="25171" xr:uid="{3F434260-16A5-486C-8F72-072BB9ECBC38}"/>
    <cellStyle name="Note 3 4 4 2 2 4" xfId="42028" xr:uid="{2C677BA6-6658-4FA7-A2B3-154B8AF38F7D}"/>
    <cellStyle name="Note 3 4 4 2 2 5" xfId="16736" xr:uid="{4C62E7E3-7077-4BCD-87C7-2AF3FCB24A1D}"/>
    <cellStyle name="Note 3 4 4 2 3" xfId="29382" xr:uid="{AC6F0ADD-3089-4E63-9F0D-5BEF41CAD360}"/>
    <cellStyle name="Note 3 4 4 2 4" xfId="20953" xr:uid="{9D1AFEA9-7DB9-4F5C-8662-83D10925939F}"/>
    <cellStyle name="Note 3 4 4 2 5" xfId="37811" xr:uid="{6E879BC3-0231-4758-8D26-B1C3BB5CCCC9}"/>
    <cellStyle name="Note 3 4 4 2 6" xfId="12518" xr:uid="{2A585077-7056-4EB5-9E2F-CF56F563708A}"/>
    <cellStyle name="Note 3 4 4 3" xfId="6156" xr:uid="{00000000-0005-0000-0000-0000E0210000}"/>
    <cellStyle name="Note 3 4 4 3 2" xfId="31455" xr:uid="{6498C192-88B5-47E1-9D54-918F65F1F5BA}"/>
    <cellStyle name="Note 3 4 4 3 3" xfId="23026" xr:uid="{916591A0-ADA4-4AAA-BD73-C445D2439ADD}"/>
    <cellStyle name="Note 3 4 4 3 4" xfId="39883" xr:uid="{0009365F-FC58-4BDA-8D46-5B71721DE671}"/>
    <cellStyle name="Note 3 4 4 3 5" xfId="14591" xr:uid="{511BDEBA-12D9-4AAE-8C3D-E3113018F04C}"/>
    <cellStyle name="Note 3 4 4 4" xfId="27237" xr:uid="{F20D62BF-3D0C-4549-A0A6-A6FCBDF7F124}"/>
    <cellStyle name="Note 3 4 4 5" xfId="18808" xr:uid="{1F1DB408-E191-4EA3-A77B-5588FAE54AE3}"/>
    <cellStyle name="Note 3 4 4 6" xfId="35666" xr:uid="{24EC8414-9603-4FF6-9441-1619F291ABAE}"/>
    <cellStyle name="Note 3 4 4 7" xfId="10373" xr:uid="{12025A00-6D42-4064-9A81-1AEAE9CE170A}"/>
    <cellStyle name="Note 3 4 5" xfId="2262" xr:uid="{00000000-0005-0000-0000-0000E1210000}"/>
    <cellStyle name="Note 3 4 5 2" xfId="4491" xr:uid="{00000000-0005-0000-0000-0000E2210000}"/>
    <cellStyle name="Note 3 4 5 2 2" xfId="8714" xr:uid="{00000000-0005-0000-0000-0000E3210000}"/>
    <cellStyle name="Note 3 4 5 2 2 2" xfId="34013" xr:uid="{6BA02D87-7686-4868-96AD-DD2CDC8A29F5}"/>
    <cellStyle name="Note 3 4 5 2 2 3" xfId="25584" xr:uid="{776F3FC5-57A1-4514-BA79-3210D94B585A}"/>
    <cellStyle name="Note 3 4 5 2 2 4" xfId="42441" xr:uid="{5B69EDA2-4064-424C-AAC5-0B2B2C1C93D6}"/>
    <cellStyle name="Note 3 4 5 2 2 5" xfId="17149" xr:uid="{AD8A3C19-1CA4-4E67-BEE3-7580768B8B5C}"/>
    <cellStyle name="Note 3 4 5 2 3" xfId="29795" xr:uid="{BC6C0C9C-0FCE-4161-B202-77AE6C111609}"/>
    <cellStyle name="Note 3 4 5 2 4" xfId="21366" xr:uid="{1BCC2622-E21F-4DFA-B717-3CB76A6766E8}"/>
    <cellStyle name="Note 3 4 5 2 5" xfId="38224" xr:uid="{5C8E540E-6307-40D1-BD97-91F82F5459C0}"/>
    <cellStyle name="Note 3 4 5 2 6" xfId="12931" xr:uid="{EA9F6DF7-A1DE-425B-B217-E0343707E080}"/>
    <cellStyle name="Note 3 4 5 3" xfId="6569" xr:uid="{00000000-0005-0000-0000-0000E4210000}"/>
    <cellStyle name="Note 3 4 5 3 2" xfId="31868" xr:uid="{B3F6CA6E-2A10-47AD-AED6-0B00DC45BC6B}"/>
    <cellStyle name="Note 3 4 5 3 3" xfId="23439" xr:uid="{F3CB612F-EA57-4E6A-AFBB-DDB46636E742}"/>
    <cellStyle name="Note 3 4 5 3 4" xfId="40296" xr:uid="{2253400F-95B8-49C8-9787-29B067ABA6AF}"/>
    <cellStyle name="Note 3 4 5 3 5" xfId="15004" xr:uid="{06862FB3-5775-49E4-9F9D-49527205B24F}"/>
    <cellStyle name="Note 3 4 5 4" xfId="27650" xr:uid="{FBF102A9-E4DC-4528-9299-EEC793212855}"/>
    <cellStyle name="Note 3 4 5 5" xfId="19221" xr:uid="{EC2F1C4B-EA46-4757-9DDF-A5A5BA6743D6}"/>
    <cellStyle name="Note 3 4 5 6" xfId="36079" xr:uid="{DACDEA0D-1F43-4B6D-A9C4-AF11E490DDC4}"/>
    <cellStyle name="Note 3 4 5 7" xfId="10786" xr:uid="{1CF51DB1-3B7B-43ED-9D99-F8D2AFF160FD}"/>
    <cellStyle name="Note 3 4 6" xfId="2698" xr:uid="{00000000-0005-0000-0000-0000E5210000}"/>
    <cellStyle name="Note 3 4 6 2" xfId="6982" xr:uid="{00000000-0005-0000-0000-0000E6210000}"/>
    <cellStyle name="Note 3 4 6 2 2" xfId="32281" xr:uid="{325D17AB-E966-4999-918D-52FBCFF96379}"/>
    <cellStyle name="Note 3 4 6 2 3" xfId="23852" xr:uid="{CFDCDA99-A120-497A-8745-809DA1094A99}"/>
    <cellStyle name="Note 3 4 6 2 4" xfId="40709" xr:uid="{36BBC193-BDBF-446E-9E94-E740D3EB1248}"/>
    <cellStyle name="Note 3 4 6 2 5" xfId="15417" xr:uid="{D70D92A8-F8BB-4981-85D1-C80A320A5275}"/>
    <cellStyle name="Note 3 4 6 3" xfId="28063" xr:uid="{EC3E8A41-4182-4BF8-9F5A-5F7723956B1A}"/>
    <cellStyle name="Note 3 4 6 4" xfId="19634" xr:uid="{40F739B4-0E62-498C-81DB-20660B37DB98}"/>
    <cellStyle name="Note 3 4 6 5" xfId="36492" xr:uid="{F03EF17A-EAA5-4EF2-9069-6A12A390D2E5}"/>
    <cellStyle name="Note 3 4 6 6" xfId="11199" xr:uid="{62D9013C-A869-4755-B6D9-7B3E30AF375D}"/>
    <cellStyle name="Note 3 4 7" xfId="2757" xr:uid="{00000000-0005-0000-0000-0000E7210000}"/>
    <cellStyle name="Note 3 4 8" xfId="2838" xr:uid="{00000000-0005-0000-0000-0000E8210000}"/>
    <cellStyle name="Note 3 4 8 2" xfId="7062" xr:uid="{00000000-0005-0000-0000-0000E9210000}"/>
    <cellStyle name="Note 3 4 8 2 2" xfId="32361" xr:uid="{D96CF8C8-9733-4FD7-ABFF-6D491E648231}"/>
    <cellStyle name="Note 3 4 8 2 3" xfId="23932" xr:uid="{F00EB38C-5386-4BB3-AAA1-75BFC7ACE946}"/>
    <cellStyle name="Note 3 4 8 2 4" xfId="40789" xr:uid="{DC355700-06DE-4518-BC54-085BE4679503}"/>
    <cellStyle name="Note 3 4 8 2 5" xfId="15497" xr:uid="{C579C95A-6A7F-4CC3-B6AD-FE0B7C6553A6}"/>
    <cellStyle name="Note 3 4 8 3" xfId="28143" xr:uid="{7C5DE27E-BB20-43A8-83EA-2A27FE05E2E2}"/>
    <cellStyle name="Note 3 4 8 4" xfId="19714" xr:uid="{62E57609-F142-4412-A885-22689620FDEB}"/>
    <cellStyle name="Note 3 4 8 5" xfId="36572" xr:uid="{DB0C7D69-104F-4D6A-979F-7F275DD306C2}"/>
    <cellStyle name="Note 3 4 8 6" xfId="11279" xr:uid="{ED111991-3633-4425-88FE-312C79C9302A}"/>
    <cellStyle name="Note 3 4 9" xfId="4917" xr:uid="{00000000-0005-0000-0000-0000EA210000}"/>
    <cellStyle name="Note 3 4 9 2" xfId="30216" xr:uid="{8EE17399-C91B-4F40-92CC-CF74B87E0AC4}"/>
    <cellStyle name="Note 3 4 9 3" xfId="21787" xr:uid="{D2E7DF35-1A91-4290-B9B4-0A4E2B8AE0D4}"/>
    <cellStyle name="Note 3 4 9 4" xfId="38644" xr:uid="{014139F2-DDBC-4487-878E-87F9F4D84802}"/>
    <cellStyle name="Note 3 4 9 5" xfId="13352" xr:uid="{5EEB8253-6DCD-4921-8CAF-BBCCDA570D4A}"/>
    <cellStyle name="Note 3 5" xfId="561" xr:uid="{00000000-0005-0000-0000-0000EB210000}"/>
    <cellStyle name="Note 3 5 10" xfId="25999" xr:uid="{BCCF49C3-2AEF-40DF-937F-ED043198AEF5}"/>
    <cellStyle name="Note 3 5 11" xfId="17570" xr:uid="{AF985BA2-B4A9-4F70-8EBE-604C45513ACE}"/>
    <cellStyle name="Note 3 5 12" xfId="34428" xr:uid="{728FCF02-2824-4926-BF4E-64CA098EDF7E}"/>
    <cellStyle name="Note 3 5 13" xfId="9135" xr:uid="{96A769DF-D6D7-4B53-86A0-A8EBEA261F96}"/>
    <cellStyle name="Note 3 5 2" xfId="1021" xr:uid="{00000000-0005-0000-0000-0000EC210000}"/>
    <cellStyle name="Note 3 5 2 2" xfId="3253" xr:uid="{00000000-0005-0000-0000-0000ED210000}"/>
    <cellStyle name="Note 3 5 2 2 2" xfId="7476" xr:uid="{00000000-0005-0000-0000-0000EE210000}"/>
    <cellStyle name="Note 3 5 2 2 2 2" xfId="32775" xr:uid="{7CD0629E-BFA2-4A0A-A9D4-81D22094437C}"/>
    <cellStyle name="Note 3 5 2 2 2 3" xfId="24346" xr:uid="{9CDCDEA3-4F1F-4736-BD50-2C112870FF58}"/>
    <cellStyle name="Note 3 5 2 2 2 4" xfId="41203" xr:uid="{812B0385-0172-4B07-A086-9D7851494FF4}"/>
    <cellStyle name="Note 3 5 2 2 2 5" xfId="15911" xr:uid="{80617D52-7201-4257-9873-FB180D75FDFD}"/>
    <cellStyle name="Note 3 5 2 2 3" xfId="28557" xr:uid="{BC1DB793-2568-4ADB-AF68-94BA5220C906}"/>
    <cellStyle name="Note 3 5 2 2 4" xfId="20128" xr:uid="{3244D82E-0C7B-4A5A-AB45-B53BA415F88D}"/>
    <cellStyle name="Note 3 5 2 2 5" xfId="36986" xr:uid="{A900573C-A5B9-44B4-A675-EB60B42ECEDF}"/>
    <cellStyle name="Note 3 5 2 2 6" xfId="11693" xr:uid="{8CFE7D2E-BDB9-4248-BF94-2997057FA0CF}"/>
    <cellStyle name="Note 3 5 2 3" xfId="5331" xr:uid="{00000000-0005-0000-0000-0000EF210000}"/>
    <cellStyle name="Note 3 5 2 3 2" xfId="30630" xr:uid="{F82B335B-527B-4204-89B6-469337A4B9EF}"/>
    <cellStyle name="Note 3 5 2 3 3" xfId="22201" xr:uid="{B55B399A-D8EA-41CC-9F11-F64095912974}"/>
    <cellStyle name="Note 3 5 2 3 4" xfId="39058" xr:uid="{7B0315FC-8895-4594-ACC9-3B4218E19B0C}"/>
    <cellStyle name="Note 3 5 2 3 5" xfId="13766" xr:uid="{36EE0D7A-F0BA-4D81-BDCB-8EB84D71F7A8}"/>
    <cellStyle name="Note 3 5 2 4" xfId="26412" xr:uid="{3BDC8CBD-4BD8-4B2B-8650-E34EA129D896}"/>
    <cellStyle name="Note 3 5 2 5" xfId="17983" xr:uid="{CB88FA25-974B-4A52-85B3-3E4F26BC47AD}"/>
    <cellStyle name="Note 3 5 2 6" xfId="34841" xr:uid="{13740C67-C22B-470B-933B-A3F4B9415697}"/>
    <cellStyle name="Note 3 5 2 7" xfId="9548" xr:uid="{752A603C-9168-45D8-AB98-9B01A1C2CCD6}"/>
    <cellStyle name="Note 3 5 3" xfId="1436" xr:uid="{00000000-0005-0000-0000-0000F0210000}"/>
    <cellStyle name="Note 3 5 3 2" xfId="3666" xr:uid="{00000000-0005-0000-0000-0000F1210000}"/>
    <cellStyle name="Note 3 5 3 2 2" xfId="7889" xr:uid="{00000000-0005-0000-0000-0000F2210000}"/>
    <cellStyle name="Note 3 5 3 2 2 2" xfId="33188" xr:uid="{B05D3D36-5D0F-4FD7-9BC5-9BE80EECB25C}"/>
    <cellStyle name="Note 3 5 3 2 2 3" xfId="24759" xr:uid="{24EDB3C4-3CA1-4890-B470-FD547F62C5BE}"/>
    <cellStyle name="Note 3 5 3 2 2 4" xfId="41616" xr:uid="{8C85A759-43B5-4A14-A909-B14B4FA34576}"/>
    <cellStyle name="Note 3 5 3 2 2 5" xfId="16324" xr:uid="{FB9E908B-6610-4BB5-BC91-62E53E822DEF}"/>
    <cellStyle name="Note 3 5 3 2 3" xfId="28970" xr:uid="{C1CAC827-B971-4CFE-8E9B-E4172B7676C4}"/>
    <cellStyle name="Note 3 5 3 2 4" xfId="20541" xr:uid="{048A9809-5AB5-4FEF-8B4C-F6DC25ED356C}"/>
    <cellStyle name="Note 3 5 3 2 5" xfId="37399" xr:uid="{03708EE7-6D9E-4AA1-97E2-E6ACF1CAC6C7}"/>
    <cellStyle name="Note 3 5 3 2 6" xfId="12106" xr:uid="{859C147F-AA22-4026-B128-3FCFEA4DA7C5}"/>
    <cellStyle name="Note 3 5 3 3" xfId="5744" xr:uid="{00000000-0005-0000-0000-0000F3210000}"/>
    <cellStyle name="Note 3 5 3 3 2" xfId="31043" xr:uid="{7654B7EC-D2D2-4FB9-9F73-EA25EDB244BF}"/>
    <cellStyle name="Note 3 5 3 3 3" xfId="22614" xr:uid="{7B9A36E9-A8F3-44B4-A447-8594F5D7D344}"/>
    <cellStyle name="Note 3 5 3 3 4" xfId="39471" xr:uid="{BBD6E015-1E24-472A-8F28-DF2FC0181AB1}"/>
    <cellStyle name="Note 3 5 3 3 5" xfId="14179" xr:uid="{2CD3C057-2D80-42F1-8B7B-541FB02D49D7}"/>
    <cellStyle name="Note 3 5 3 4" xfId="26825" xr:uid="{CC204C0F-0CE0-4CC9-B289-98563360A08C}"/>
    <cellStyle name="Note 3 5 3 5" xfId="18396" xr:uid="{F9BB0E1E-43B5-40E4-AB48-C749DA1CE9F3}"/>
    <cellStyle name="Note 3 5 3 6" xfId="35254" xr:uid="{A76635D1-4EDE-49CD-8F7E-AF687A5CBD8D}"/>
    <cellStyle name="Note 3 5 3 7" xfId="9961" xr:uid="{9279FBD0-41CF-4E2A-83C9-C46204C25C1D}"/>
    <cellStyle name="Note 3 5 4" xfId="1850" xr:uid="{00000000-0005-0000-0000-0000F4210000}"/>
    <cellStyle name="Note 3 5 4 2" xfId="4079" xr:uid="{00000000-0005-0000-0000-0000F5210000}"/>
    <cellStyle name="Note 3 5 4 2 2" xfId="8302" xr:uid="{00000000-0005-0000-0000-0000F6210000}"/>
    <cellStyle name="Note 3 5 4 2 2 2" xfId="33601" xr:uid="{AB1173E8-EC79-4782-A9A6-1C0E3B64452B}"/>
    <cellStyle name="Note 3 5 4 2 2 3" xfId="25172" xr:uid="{FA947EFD-D75B-4F29-B8B5-DAF369965B0E}"/>
    <cellStyle name="Note 3 5 4 2 2 4" xfId="42029" xr:uid="{FD954064-0F70-414B-A3D8-5613730D4FDC}"/>
    <cellStyle name="Note 3 5 4 2 2 5" xfId="16737" xr:uid="{B3C71BE4-9883-4B94-9E88-CB79B91ADFF8}"/>
    <cellStyle name="Note 3 5 4 2 3" xfId="29383" xr:uid="{8E1FA2E0-AE59-4CF2-AAE5-9975E0328566}"/>
    <cellStyle name="Note 3 5 4 2 4" xfId="20954" xr:uid="{DD44EAF0-077E-474D-9D83-A322CBB17619}"/>
    <cellStyle name="Note 3 5 4 2 5" xfId="37812" xr:uid="{17A1093A-F8DB-468B-84D5-3AFA401DA571}"/>
    <cellStyle name="Note 3 5 4 2 6" xfId="12519" xr:uid="{A8795409-D481-47A8-9775-095FC5BD21DC}"/>
    <cellStyle name="Note 3 5 4 3" xfId="6157" xr:uid="{00000000-0005-0000-0000-0000F7210000}"/>
    <cellStyle name="Note 3 5 4 3 2" xfId="31456" xr:uid="{0A349282-12EA-4CB2-8458-BB6328620C1C}"/>
    <cellStyle name="Note 3 5 4 3 3" xfId="23027" xr:uid="{67BF9D3F-2FCE-4A3D-AB66-4B0E957FDC85}"/>
    <cellStyle name="Note 3 5 4 3 4" xfId="39884" xr:uid="{5C3FAFA4-2085-40B4-8E01-244CBB4C62FA}"/>
    <cellStyle name="Note 3 5 4 3 5" xfId="14592" xr:uid="{C5E605A4-AA13-43D2-9AF0-D57664424DDD}"/>
    <cellStyle name="Note 3 5 4 4" xfId="27238" xr:uid="{72A7816A-A0F8-4DED-B6E6-0F66EAB69530}"/>
    <cellStyle name="Note 3 5 4 5" xfId="18809" xr:uid="{FCE19E74-265D-40F4-92CC-45B24358AC58}"/>
    <cellStyle name="Note 3 5 4 6" xfId="35667" xr:uid="{5DE386E5-05FB-4D17-9076-8C4EEDC347AF}"/>
    <cellStyle name="Note 3 5 4 7" xfId="10374" xr:uid="{E21CBE17-4895-41D0-87E1-02E1E3AB58F4}"/>
    <cellStyle name="Note 3 5 5" xfId="2263" xr:uid="{00000000-0005-0000-0000-0000F8210000}"/>
    <cellStyle name="Note 3 5 5 2" xfId="4492" xr:uid="{00000000-0005-0000-0000-0000F9210000}"/>
    <cellStyle name="Note 3 5 5 2 2" xfId="8715" xr:uid="{00000000-0005-0000-0000-0000FA210000}"/>
    <cellStyle name="Note 3 5 5 2 2 2" xfId="34014" xr:uid="{411197CF-5B07-48F3-9136-64DA3D710A74}"/>
    <cellStyle name="Note 3 5 5 2 2 3" xfId="25585" xr:uid="{AFC4BE09-37D3-4552-B1BE-5A0BBC928C7D}"/>
    <cellStyle name="Note 3 5 5 2 2 4" xfId="42442" xr:uid="{B5AB0B77-6D01-4B4C-8B41-F118E7D8F016}"/>
    <cellStyle name="Note 3 5 5 2 2 5" xfId="17150" xr:uid="{BEE3204E-6364-4E8A-8E95-0815975EB8B5}"/>
    <cellStyle name="Note 3 5 5 2 3" xfId="29796" xr:uid="{B634DB61-F383-4F00-865E-35DD8BFA9B57}"/>
    <cellStyle name="Note 3 5 5 2 4" xfId="21367" xr:uid="{64F1263D-D3DA-49D1-BBF1-3FDEDFE69A63}"/>
    <cellStyle name="Note 3 5 5 2 5" xfId="38225" xr:uid="{FA0ADE94-9471-43F1-8022-DC007CE206F7}"/>
    <cellStyle name="Note 3 5 5 2 6" xfId="12932" xr:uid="{6F599FA4-BB07-4650-A727-5321F5F2E4C2}"/>
    <cellStyle name="Note 3 5 5 3" xfId="6570" xr:uid="{00000000-0005-0000-0000-0000FB210000}"/>
    <cellStyle name="Note 3 5 5 3 2" xfId="31869" xr:uid="{520DA33D-0BD0-4239-9026-160E7B95C79B}"/>
    <cellStyle name="Note 3 5 5 3 3" xfId="23440" xr:uid="{8D4DE1B4-DFF1-470F-A093-8CC70507DA6F}"/>
    <cellStyle name="Note 3 5 5 3 4" xfId="40297" xr:uid="{4FCC24F3-0733-425E-964C-D97EF2968484}"/>
    <cellStyle name="Note 3 5 5 3 5" xfId="15005" xr:uid="{783C39D3-0964-491E-A0A6-6C0CED38D2E8}"/>
    <cellStyle name="Note 3 5 5 4" xfId="27651" xr:uid="{1BC94141-B6DC-49E3-AE9E-F5BBA3F31E7F}"/>
    <cellStyle name="Note 3 5 5 5" xfId="19222" xr:uid="{B77B82BB-245E-475C-881A-643976C6CE18}"/>
    <cellStyle name="Note 3 5 5 6" xfId="36080" xr:uid="{29E63E15-2B25-4858-983E-E58375397A63}"/>
    <cellStyle name="Note 3 5 5 7" xfId="10787" xr:uid="{6DBE4104-5953-4174-8928-80B2716ADBB6}"/>
    <cellStyle name="Note 3 5 6" xfId="2699" xr:uid="{00000000-0005-0000-0000-0000FC210000}"/>
    <cellStyle name="Note 3 5 6 2" xfId="6983" xr:uid="{00000000-0005-0000-0000-0000FD210000}"/>
    <cellStyle name="Note 3 5 6 2 2" xfId="32282" xr:uid="{66697BC0-1FCA-49FC-B3BD-2A953B705782}"/>
    <cellStyle name="Note 3 5 6 2 3" xfId="23853" xr:uid="{6DA8E8DB-F9EC-4962-849C-04E3A6DA1C68}"/>
    <cellStyle name="Note 3 5 6 2 4" xfId="40710" xr:uid="{63280104-38A7-4878-972F-46A3695AB47A}"/>
    <cellStyle name="Note 3 5 6 2 5" xfId="15418" xr:uid="{80F495D9-4843-4B7B-B770-5584D096CA3B}"/>
    <cellStyle name="Note 3 5 6 3" xfId="28064" xr:uid="{13A2E72B-252A-4000-8BC2-4B5D24B4232A}"/>
    <cellStyle name="Note 3 5 6 4" xfId="19635" xr:uid="{CD3004CD-EC3C-490A-ABFF-048B21E76742}"/>
    <cellStyle name="Note 3 5 6 5" xfId="36493" xr:uid="{25D410C9-8FE1-4870-A100-520B2E5EDF46}"/>
    <cellStyle name="Note 3 5 6 6" xfId="11200" xr:uid="{A9F94578-056F-46BB-9F2F-A352A2F39AFF}"/>
    <cellStyle name="Note 3 5 7" xfId="2758" xr:uid="{00000000-0005-0000-0000-0000FE210000}"/>
    <cellStyle name="Note 3 5 8" xfId="2839" xr:uid="{00000000-0005-0000-0000-0000FF210000}"/>
    <cellStyle name="Note 3 5 8 2" xfId="7063" xr:uid="{00000000-0005-0000-0000-000000220000}"/>
    <cellStyle name="Note 3 5 8 2 2" xfId="32362" xr:uid="{E24E87ED-4684-4A09-B003-231A43B9E20D}"/>
    <cellStyle name="Note 3 5 8 2 3" xfId="23933" xr:uid="{28DD9784-6C80-4720-B840-43D49D98D74B}"/>
    <cellStyle name="Note 3 5 8 2 4" xfId="40790" xr:uid="{C75AEE64-86A8-4C00-ABA6-EA93410376D6}"/>
    <cellStyle name="Note 3 5 8 2 5" xfId="15498" xr:uid="{E298DD12-F46C-4674-9822-D336C80ADE25}"/>
    <cellStyle name="Note 3 5 8 3" xfId="28144" xr:uid="{571799E9-99FF-4E66-AF98-F67A63E61A08}"/>
    <cellStyle name="Note 3 5 8 4" xfId="19715" xr:uid="{0BEA8652-F8B2-465F-96EA-39102C40DC2E}"/>
    <cellStyle name="Note 3 5 8 5" xfId="36573" xr:uid="{54FA6D48-DCDA-428A-A418-9CFEDB09B74E}"/>
    <cellStyle name="Note 3 5 8 6" xfId="11280" xr:uid="{4D7F0105-A25C-492B-A172-3F764206221F}"/>
    <cellStyle name="Note 3 5 9" xfId="4918" xr:uid="{00000000-0005-0000-0000-000001220000}"/>
    <cellStyle name="Note 3 5 9 2" xfId="30217" xr:uid="{E606AB15-B826-486A-BF10-7A8B9E1F6F99}"/>
    <cellStyle name="Note 3 5 9 3" xfId="21788" xr:uid="{4EFC187F-3D8C-4B42-AD2C-1A12989F96F2}"/>
    <cellStyle name="Note 3 5 9 4" xfId="38645" xr:uid="{5F07800A-F27C-499E-95A9-A04A8AA56575}"/>
    <cellStyle name="Note 3 5 9 5" xfId="13353" xr:uid="{AA94F019-A7F5-4397-B739-D60BE98BC898}"/>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9800" xr:uid="{4AC61C6D-3A14-4BB6-832D-A459C3635BD5}"/>
    <cellStyle name="Percent 3 3" xfId="21371" xr:uid="{DC613CF8-96E8-496A-AAA1-F4A164251275}"/>
    <cellStyle name="Percent 3 4" xfId="38228" xr:uid="{D96861CC-8D4A-41CD-86F5-95E27BD73866}"/>
    <cellStyle name="Percent 3 5" xfId="12936" xr:uid="{FAD6F31D-1388-47C8-AC65-1287856035C7}"/>
    <cellStyle name="Percent 3 6" xfId="42444" xr:uid="{7A350722-0179-4133-9607-2D1EAEDF2CFB}"/>
    <cellStyle name="Percent 4" xfId="4502" xr:uid="{00000000-0005-0000-0000-000007220000}"/>
    <cellStyle name="Percent 4 2" xfId="8718" xr:uid="{00000000-0005-0000-0000-000008220000}"/>
    <cellStyle name="Percent 4 2 2" xfId="29803" xr:uid="{5A48F281-A015-47C1-91AA-E69983DD844F}"/>
    <cellStyle name="Percent 4 2 3" xfId="17153" xr:uid="{D7D95DAF-C9D8-418C-8B50-1B70CBF02688}"/>
    <cellStyle name="Percent 4 3" xfId="8721" xr:uid="{D09CD3FC-D632-4B66-A68A-5CC92F993799}"/>
    <cellStyle name="Percent 4 3 2" xfId="17156" xr:uid="{E621FB2E-AB5A-4F2A-8CBF-2F5BECFC8196}"/>
    <cellStyle name="Percent 4 4" xfId="21374" xr:uid="{F778B4A8-0F0E-4A17-ADCC-CDB9082D8F9F}"/>
    <cellStyle name="Percent 4 5" xfId="38231" xr:uid="{9242A91E-D00A-4599-95BA-E407ED280336}"/>
    <cellStyle name="Percent 4 6" xfId="12939" xr:uid="{B0717287-BFCF-4D3B-A9EB-1D339B8EA2FF}"/>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2">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1A4DAF-43FE-47AA-AE11-C4EABC6E51D3}"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8" zoomScaleNormal="100" zoomScaleSheetLayoutView="10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705" t="s">
        <v>576</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row>
    <row r="2" spans="1:38" ht="13.5" thickBot="1">
      <c r="A2" s="1706"/>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707" t="s">
        <v>2595</v>
      </c>
      <c r="E7" s="1707"/>
      <c r="F7" s="1707"/>
      <c r="G7" s="1707"/>
      <c r="H7" s="1707"/>
      <c r="I7" s="1707"/>
      <c r="J7" s="1707"/>
      <c r="K7" s="1707"/>
      <c r="L7" s="1707"/>
      <c r="M7" s="1707"/>
      <c r="N7" s="1707"/>
      <c r="O7" s="1707"/>
      <c r="P7" s="1707"/>
      <c r="Q7" s="1707"/>
      <c r="R7" s="1707"/>
      <c r="S7" s="1707"/>
      <c r="T7" s="1707"/>
      <c r="U7" s="1707"/>
      <c r="V7" s="1707"/>
      <c r="W7" s="1707"/>
      <c r="X7" s="1707"/>
      <c r="Y7" s="1707"/>
      <c r="Z7" s="1707"/>
      <c r="AA7" s="1707"/>
      <c r="AB7" s="1707"/>
      <c r="AC7" s="1707"/>
      <c r="AD7" s="1707"/>
      <c r="AE7" s="1707"/>
      <c r="AF7" s="1707"/>
      <c r="AG7" s="1707"/>
      <c r="AH7" s="1707"/>
      <c r="AI7" s="1707"/>
      <c r="AJ7" s="1707"/>
      <c r="AK7" s="1707"/>
      <c r="AL7" s="738"/>
    </row>
    <row r="8" spans="1:38">
      <c r="A8" s="327"/>
      <c r="B8" s="325"/>
      <c r="C8" s="326"/>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1707"/>
      <c r="AE8" s="1707"/>
      <c r="AF8" s="1707"/>
      <c r="AG8" s="1707"/>
      <c r="AH8" s="1707"/>
      <c r="AI8" s="1707"/>
      <c r="AJ8" s="1707"/>
      <c r="AK8" s="1707"/>
      <c r="AL8" s="738"/>
    </row>
    <row r="9" spans="1:38">
      <c r="A9" s="327"/>
      <c r="B9" s="325"/>
      <c r="C9" s="326"/>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707" t="s">
        <v>2596</v>
      </c>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J11" s="1707"/>
      <c r="AK11" s="1707"/>
      <c r="AL11" s="738"/>
    </row>
    <row r="12" spans="1:38">
      <c r="A12" s="327"/>
      <c r="B12" s="325"/>
      <c r="C12" s="326"/>
      <c r="D12" s="1707"/>
      <c r="E12" s="1707"/>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738"/>
    </row>
    <row r="13" spans="1:38" s="709" customFormat="1">
      <c r="A13" s="327"/>
      <c r="B13" s="325"/>
      <c r="C13" s="326"/>
      <c r="D13" s="1707"/>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7"/>
      <c r="AI13" s="1707"/>
      <c r="AJ13" s="1707"/>
      <c r="AK13" s="1707"/>
      <c r="AL13" s="738"/>
    </row>
    <row r="14" spans="1:38" s="709" customFormat="1" ht="13.15" customHeight="1">
      <c r="A14" s="327"/>
      <c r="B14" s="325"/>
      <c r="C14" s="326"/>
      <c r="E14" s="1709" t="s">
        <v>2597</v>
      </c>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738"/>
    </row>
    <row r="15" spans="1:38" s="709" customFormat="1" ht="13.15" customHeight="1">
      <c r="A15" s="327"/>
      <c r="B15" s="325"/>
      <c r="C15" s="326"/>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c r="AL15" s="738"/>
    </row>
    <row r="16" spans="1:38" s="709" customFormat="1">
      <c r="A16" s="327"/>
      <c r="B16" s="325"/>
      <c r="C16" s="326"/>
      <c r="D16" s="738"/>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1709"/>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709" t="s">
        <v>2598</v>
      </c>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c r="AL18" s="325"/>
    </row>
    <row r="19" spans="1:38">
      <c r="A19" s="327"/>
      <c r="B19" s="325"/>
      <c r="C19" s="326"/>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c r="AH19" s="1709"/>
      <c r="AI19" s="1709"/>
      <c r="AJ19" s="1709"/>
      <c r="AK19" s="1709"/>
      <c r="AL19" s="325"/>
    </row>
    <row r="20" spans="1:38" s="709" customFormat="1">
      <c r="A20" s="327"/>
      <c r="B20" s="325"/>
      <c r="C20" s="326"/>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325"/>
    </row>
    <row r="21" spans="1:38" s="709" customFormat="1" ht="13.15" customHeight="1">
      <c r="A21" s="327"/>
      <c r="B21" s="325"/>
      <c r="C21" s="326"/>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325"/>
    </row>
    <row r="22" spans="1:38" s="709" customFormat="1">
      <c r="A22" s="327"/>
      <c r="B22" s="325"/>
      <c r="C22" s="326"/>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325"/>
    </row>
    <row r="23" spans="1:38" s="709" customFormat="1">
      <c r="A23" s="327"/>
      <c r="B23" s="325"/>
      <c r="C23" s="326"/>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325"/>
    </row>
    <row r="24" spans="1:38">
      <c r="A24" s="327"/>
      <c r="B24" s="325"/>
      <c r="C24" s="326"/>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325"/>
    </row>
    <row r="25" spans="1:38" s="709" customFormat="1">
      <c r="A25" s="327"/>
      <c r="B25" s="325"/>
      <c r="C25" s="326"/>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325"/>
    </row>
    <row r="26" spans="1:38" s="709" customFormat="1">
      <c r="A26" s="327"/>
      <c r="B26" s="325"/>
      <c r="C26" s="326"/>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325"/>
    </row>
    <row r="27" spans="1:38" s="709" customFormat="1" ht="11.85" customHeight="1">
      <c r="A27" s="327"/>
      <c r="B27" s="325"/>
      <c r="C27" s="326"/>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325"/>
    </row>
    <row r="28" spans="1:38" s="709" customFormat="1" ht="13.15" customHeight="1">
      <c r="A28" s="327"/>
      <c r="B28" s="325"/>
      <c r="C28" s="326"/>
      <c r="E28" s="1709" t="s">
        <v>2599</v>
      </c>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325"/>
    </row>
    <row r="29" spans="1:38" s="709" customFormat="1" ht="13.15" customHeight="1">
      <c r="A29" s="327"/>
      <c r="B29" s="325"/>
      <c r="C29" s="326"/>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325"/>
    </row>
    <row r="30" spans="1:38" s="709" customFormat="1">
      <c r="A30" s="327"/>
      <c r="B30" s="325"/>
      <c r="C30" s="326"/>
      <c r="D30" s="738"/>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710" t="s">
        <v>2600</v>
      </c>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325"/>
    </row>
    <row r="33" spans="1:38" s="709" customFormat="1">
      <c r="A33" s="327"/>
      <c r="B33" s="325"/>
      <c r="C33" s="326"/>
      <c r="D33" s="738"/>
      <c r="E33" s="1716" t="s">
        <v>2607</v>
      </c>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325"/>
    </row>
    <row r="34" spans="1:38">
      <c r="A34" s="149"/>
      <c r="C34" s="5"/>
    </row>
    <row r="35" spans="1:38">
      <c r="A35" s="149"/>
      <c r="D35" s="1708" t="s">
        <v>2211</v>
      </c>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row>
    <row r="36" spans="1:38">
      <c r="A36" s="149"/>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row>
    <row r="37" spans="1:38">
      <c r="A37" s="149"/>
      <c r="D37" s="250"/>
      <c r="E37" s="1715" t="s">
        <v>2608</v>
      </c>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c r="AI37" s="1715"/>
      <c r="AJ37" s="1715"/>
      <c r="AK37" s="1715"/>
    </row>
    <row r="38" spans="1:38">
      <c r="A38" s="149"/>
      <c r="D38" s="250"/>
      <c r="E38" s="1715" t="s">
        <v>2609</v>
      </c>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09" customFormat="1" ht="13.15" customHeight="1">
      <c r="A42" s="149"/>
      <c r="B42"/>
      <c r="C42" s="5"/>
      <c r="D42" s="149"/>
      <c r="E42" s="149" t="s">
        <v>680</v>
      </c>
      <c r="F42" s="1709" t="s">
        <v>1328</v>
      </c>
    </row>
    <row r="43" spans="1:38" s="1709"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720" t="s">
        <v>1427</v>
      </c>
      <c r="G45" s="1720"/>
      <c r="H45" s="1720"/>
      <c r="I45" s="1720"/>
      <c r="J45" s="1720"/>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row>
    <row r="46" spans="1:38" s="762" customFormat="1">
      <c r="A46" s="149"/>
      <c r="B46" s="709"/>
      <c r="C46" s="5"/>
      <c r="D46" s="149"/>
      <c r="E46" s="149"/>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row>
    <row r="47" spans="1:38" s="762" customFormat="1" ht="13.15" customHeight="1">
      <c r="A47" s="149"/>
      <c r="B47" s="709"/>
      <c r="C47" s="5"/>
      <c r="D47" s="149"/>
      <c r="E47" s="149"/>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row>
    <row r="48" spans="1:38">
      <c r="A48" s="149"/>
      <c r="C48" s="5"/>
      <c r="D48" s="149"/>
      <c r="E48" s="149"/>
      <c r="F48" s="762" t="s">
        <v>715</v>
      </c>
      <c r="G48" s="6" t="s">
        <v>2601</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709" t="s">
        <v>2602</v>
      </c>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row>
    <row r="51" spans="1:38">
      <c r="A51" s="149"/>
      <c r="C51" s="5"/>
      <c r="D51" s="149"/>
      <c r="E51" s="14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row>
    <row r="52" spans="1:38">
      <c r="A52" s="149"/>
      <c r="C52" s="5"/>
      <c r="D52" s="14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711" t="s">
        <v>1355</v>
      </c>
      <c r="H56" s="1711"/>
      <c r="I56" s="1711"/>
      <c r="J56" s="1711"/>
      <c r="K56" s="1711"/>
      <c r="L56" s="1711"/>
      <c r="M56" s="1711"/>
      <c r="N56" s="1711"/>
      <c r="O56" s="1711"/>
      <c r="P56" s="1711"/>
      <c r="Q56" s="1711"/>
      <c r="R56" s="1711"/>
      <c r="S56" s="1711"/>
      <c r="T56" s="1711"/>
      <c r="U56" s="1711"/>
      <c r="V56" s="1711"/>
      <c r="W56" s="1711"/>
      <c r="X56" s="1711"/>
      <c r="Y56" s="1711"/>
      <c r="Z56" s="1711"/>
      <c r="AA56" s="1711"/>
      <c r="AB56" s="1711"/>
      <c r="AC56" s="1711"/>
      <c r="AD56" s="1711"/>
      <c r="AE56" s="1711"/>
      <c r="AF56" s="1711"/>
      <c r="AG56" s="1711"/>
      <c r="AH56" s="1711"/>
      <c r="AI56" s="1711"/>
      <c r="AJ56" s="1711"/>
      <c r="AK56" s="1711"/>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11" t="s">
        <v>602</v>
      </c>
      <c r="H58" s="1711"/>
      <c r="I58" s="171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719" t="s">
        <v>2603</v>
      </c>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row>
    <row r="60" spans="1:38" s="2" customFormat="1">
      <c r="A60" s="327"/>
      <c r="B60" s="325"/>
      <c r="C60" s="326"/>
      <c r="D60" s="326"/>
      <c r="E60" s="327"/>
      <c r="F60" s="331"/>
      <c r="G60" s="1719"/>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c r="AI60" s="1719"/>
      <c r="AJ60" s="1719"/>
      <c r="AK60" s="1719"/>
      <c r="AL60" s="1719"/>
    </row>
    <row r="61" spans="1:38">
      <c r="A61" s="329"/>
      <c r="B61" s="328"/>
      <c r="C61" s="330"/>
      <c r="D61" s="330"/>
      <c r="E61" s="329"/>
      <c r="F61" s="332"/>
      <c r="G61" s="770" t="s">
        <v>1470</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709" t="s">
        <v>1330</v>
      </c>
      <c r="H66" s="1709"/>
      <c r="I66" s="1709"/>
      <c r="J66" s="1709"/>
      <c r="K66" s="1709"/>
      <c r="L66" s="1709"/>
      <c r="M66" s="1709"/>
      <c r="N66" s="1709"/>
      <c r="O66" s="1709"/>
      <c r="P66" s="1709"/>
      <c r="Q66" s="1709"/>
      <c r="R66" s="1709"/>
      <c r="S66" s="1709"/>
      <c r="T66" s="1709"/>
      <c r="U66" s="1709"/>
      <c r="V66" s="1709"/>
      <c r="W66" s="1709"/>
      <c r="X66" s="1709"/>
      <c r="Y66" s="1709"/>
      <c r="Z66" s="1709"/>
      <c r="AA66" s="1709"/>
      <c r="AB66" s="1709"/>
      <c r="AC66" s="1709"/>
      <c r="AD66" s="1709"/>
      <c r="AE66" s="1709"/>
      <c r="AF66" s="1709"/>
      <c r="AG66" s="1709"/>
      <c r="AH66" s="1709"/>
      <c r="AI66" s="1709"/>
      <c r="AJ66" s="1709"/>
      <c r="AK66" s="1709"/>
    </row>
    <row r="67" spans="1:37">
      <c r="A67" s="149"/>
      <c r="C67" s="5"/>
      <c r="D67" s="149"/>
      <c r="E67" s="149"/>
      <c r="F67" s="9"/>
      <c r="G67" s="1709"/>
      <c r="H67" s="1709"/>
      <c r="I67" s="1709"/>
      <c r="J67" s="1709"/>
      <c r="K67" s="1709"/>
      <c r="L67" s="1709"/>
      <c r="M67" s="1709"/>
      <c r="N67" s="1709"/>
      <c r="O67" s="1709"/>
      <c r="P67" s="1709"/>
      <c r="Q67" s="1709"/>
      <c r="R67" s="1709"/>
      <c r="S67" s="1709"/>
      <c r="T67" s="1709"/>
      <c r="U67" s="1709"/>
      <c r="V67" s="1709"/>
      <c r="W67" s="1709"/>
      <c r="X67" s="1709"/>
      <c r="Y67" s="1709"/>
      <c r="Z67" s="1709"/>
      <c r="AA67" s="1709"/>
      <c r="AB67" s="1709"/>
      <c r="AC67" s="1709"/>
      <c r="AD67" s="1709"/>
      <c r="AE67" s="1709"/>
      <c r="AF67" s="1709"/>
      <c r="AG67" s="1709"/>
      <c r="AH67" s="1709"/>
      <c r="AI67" s="1709"/>
      <c r="AJ67" s="1709"/>
      <c r="AK67" s="1709"/>
    </row>
    <row r="68" spans="1:37">
      <c r="A68" s="149"/>
      <c r="C68" s="5"/>
      <c r="D68" s="149"/>
      <c r="E68" s="149"/>
      <c r="F68" s="9"/>
      <c r="G68" s="1709"/>
      <c r="H68" s="1709"/>
      <c r="I68" s="1709"/>
      <c r="J68" s="1709"/>
      <c r="K68" s="1709"/>
      <c r="L68" s="1709"/>
      <c r="M68" s="1709"/>
      <c r="N68" s="1709"/>
      <c r="O68" s="1709"/>
      <c r="P68" s="1709"/>
      <c r="Q68" s="1709"/>
      <c r="R68" s="1709"/>
      <c r="S68" s="1709"/>
      <c r="T68" s="1709"/>
      <c r="U68" s="1709"/>
      <c r="V68" s="1709"/>
      <c r="W68" s="1709"/>
      <c r="X68" s="1709"/>
      <c r="Y68" s="1709"/>
      <c r="Z68" s="1709"/>
      <c r="AA68" s="1709"/>
      <c r="AB68" s="1709"/>
      <c r="AC68" s="1709"/>
      <c r="AD68" s="1709"/>
      <c r="AE68" s="1709"/>
      <c r="AF68" s="1709"/>
      <c r="AG68" s="1709"/>
      <c r="AH68" s="1709"/>
      <c r="AI68" s="1709"/>
      <c r="AJ68" s="1709"/>
      <c r="AK68" s="1709"/>
    </row>
    <row r="69" spans="1:37" ht="13.15" customHeight="1">
      <c r="A69" s="149"/>
      <c r="C69" s="5"/>
      <c r="D69" s="149"/>
      <c r="E69" s="149"/>
      <c r="F69" s="9" t="s">
        <v>535</v>
      </c>
      <c r="G69" s="1709" t="s">
        <v>1331</v>
      </c>
      <c r="H69" s="1709"/>
      <c r="I69" s="1709"/>
      <c r="J69" s="1709"/>
      <c r="K69" s="1709"/>
      <c r="L69" s="1709"/>
      <c r="M69" s="1709"/>
      <c r="N69" s="1709"/>
      <c r="O69" s="1709"/>
      <c r="P69" s="1709"/>
      <c r="Q69" s="1709"/>
      <c r="R69" s="1709"/>
      <c r="S69" s="1709"/>
      <c r="T69" s="1709"/>
      <c r="U69" s="1709"/>
      <c r="V69" s="1709"/>
      <c r="W69" s="1709"/>
      <c r="X69" s="1709"/>
      <c r="Y69" s="1709"/>
      <c r="Z69" s="1709"/>
      <c r="AA69" s="1709"/>
      <c r="AB69" s="1709"/>
      <c r="AC69" s="1709"/>
      <c r="AD69" s="1709"/>
      <c r="AE69" s="1709"/>
      <c r="AF69" s="1709"/>
      <c r="AG69" s="1709"/>
      <c r="AH69" s="1709"/>
      <c r="AI69" s="1709"/>
      <c r="AJ69" s="1709"/>
      <c r="AK69" s="1709"/>
    </row>
    <row r="70" spans="1:37">
      <c r="A70" s="149"/>
      <c r="C70" s="5"/>
      <c r="D70" s="149"/>
      <c r="E70" s="149"/>
      <c r="F70" s="376"/>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09"/>
      <c r="AI70" s="1709"/>
      <c r="AJ70" s="1709"/>
      <c r="AK70" s="1709"/>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709" t="s">
        <v>1332</v>
      </c>
      <c r="H72" s="1709"/>
      <c r="I72" s="1709"/>
      <c r="J72" s="1709"/>
      <c r="K72" s="1709"/>
      <c r="L72" s="1709"/>
      <c r="M72" s="1709"/>
      <c r="N72" s="1709"/>
      <c r="O72" s="1709"/>
      <c r="P72" s="1709"/>
      <c r="Q72" s="1709"/>
      <c r="R72" s="1709"/>
      <c r="S72" s="1709"/>
      <c r="T72" s="1709"/>
      <c r="U72" s="1709"/>
      <c r="V72" s="1709"/>
      <c r="W72" s="1709"/>
      <c r="X72" s="1709"/>
      <c r="Y72" s="1709"/>
      <c r="Z72" s="1709"/>
      <c r="AA72" s="1709"/>
      <c r="AB72" s="1709"/>
      <c r="AC72" s="1709"/>
      <c r="AD72" s="1709"/>
      <c r="AE72" s="1709"/>
      <c r="AF72" s="1709"/>
      <c r="AG72" s="1709"/>
      <c r="AH72" s="1709"/>
      <c r="AI72" s="1709"/>
      <c r="AJ72" s="1709"/>
      <c r="AK72" s="1709"/>
    </row>
    <row r="73" spans="1:37">
      <c r="A73" s="149"/>
      <c r="C73" s="5"/>
      <c r="D73" s="149"/>
      <c r="E73" s="149"/>
      <c r="F73" s="249"/>
      <c r="G73" s="1709"/>
      <c r="H73" s="1709"/>
      <c r="I73" s="1709"/>
      <c r="J73" s="1709"/>
      <c r="K73" s="1709"/>
      <c r="L73" s="1709"/>
      <c r="M73" s="1709"/>
      <c r="N73" s="1709"/>
      <c r="O73" s="1709"/>
      <c r="P73" s="1709"/>
      <c r="Q73" s="1709"/>
      <c r="R73" s="1709"/>
      <c r="S73" s="1709"/>
      <c r="T73" s="1709"/>
      <c r="U73" s="1709"/>
      <c r="V73" s="1709"/>
      <c r="W73" s="1709"/>
      <c r="X73" s="1709"/>
      <c r="Y73" s="1709"/>
      <c r="Z73" s="1709"/>
      <c r="AA73" s="1709"/>
      <c r="AB73" s="1709"/>
      <c r="AC73" s="1709"/>
      <c r="AD73" s="1709"/>
      <c r="AE73" s="1709"/>
      <c r="AF73" s="1709"/>
      <c r="AG73" s="1709"/>
      <c r="AH73" s="1709"/>
      <c r="AI73" s="1709"/>
      <c r="AJ73" s="1709"/>
      <c r="AK73" s="1709"/>
    </row>
    <row r="74" spans="1:37">
      <c r="A74" s="149"/>
      <c r="C74" s="5"/>
      <c r="D74" s="149"/>
      <c r="E74" s="149"/>
      <c r="F74" s="249" t="s">
        <v>535</v>
      </c>
      <c r="G74" s="1709" t="s">
        <v>1333</v>
      </c>
      <c r="H74" s="1709"/>
      <c r="I74" s="1709"/>
      <c r="J74" s="1709"/>
      <c r="K74" s="1709"/>
      <c r="L74" s="1709"/>
      <c r="M74" s="1709"/>
      <c r="N74" s="1709"/>
      <c r="O74" s="1709"/>
      <c r="P74" s="1709"/>
      <c r="Q74" s="1709"/>
      <c r="R74" s="1709"/>
      <c r="S74" s="1709"/>
      <c r="T74" s="1709"/>
      <c r="U74" s="1709"/>
      <c r="V74" s="1709"/>
      <c r="W74" s="1709"/>
      <c r="X74" s="1709"/>
      <c r="Y74" s="1709"/>
      <c r="Z74" s="1709"/>
      <c r="AA74" s="1709"/>
      <c r="AB74" s="1709"/>
      <c r="AC74" s="1709"/>
      <c r="AD74" s="1709"/>
      <c r="AE74" s="1709"/>
      <c r="AF74" s="1709"/>
      <c r="AG74" s="1709"/>
      <c r="AH74" s="1709"/>
      <c r="AI74" s="1709"/>
      <c r="AJ74" s="1709"/>
      <c r="AK74" s="1709"/>
    </row>
    <row r="75" spans="1:37">
      <c r="A75" s="149"/>
      <c r="C75" s="5"/>
      <c r="D75" s="149"/>
      <c r="E75" s="149"/>
      <c r="F75" s="24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09" t="s">
        <v>1334</v>
      </c>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row>
    <row r="83" spans="1:37">
      <c r="A83" s="149"/>
      <c r="C83" s="5"/>
      <c r="D83" s="149"/>
      <c r="E83" s="149"/>
      <c r="F83" s="14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row>
    <row r="84" spans="1:37" s="709" customFormat="1">
      <c r="A84" s="149"/>
      <c r="C84" s="5"/>
      <c r="D84" s="149"/>
      <c r="E84" s="149"/>
      <c r="F84" s="14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09" t="s">
        <v>1335</v>
      </c>
      <c r="H86" s="1709"/>
      <c r="I86" s="1709"/>
      <c r="J86" s="1709"/>
      <c r="K86" s="1709"/>
      <c r="L86" s="1709"/>
      <c r="M86" s="1709"/>
      <c r="N86" s="1709"/>
      <c r="O86" s="1709"/>
      <c r="P86" s="1709"/>
      <c r="Q86" s="1709"/>
      <c r="R86" s="1709"/>
      <c r="S86" s="1709"/>
      <c r="T86" s="1709"/>
      <c r="U86" s="1709"/>
      <c r="V86" s="1709"/>
      <c r="W86" s="1709"/>
      <c r="X86" s="1709"/>
      <c r="Y86" s="1709"/>
      <c r="Z86" s="1709"/>
      <c r="AA86" s="1709"/>
      <c r="AB86" s="1709"/>
      <c r="AC86" s="1709"/>
      <c r="AD86" s="1709"/>
      <c r="AE86" s="1709"/>
      <c r="AF86" s="1709"/>
      <c r="AG86" s="1709"/>
      <c r="AH86" s="1709"/>
      <c r="AI86" s="1709"/>
      <c r="AJ86" s="1709"/>
      <c r="AK86" s="1709"/>
    </row>
    <row r="87" spans="1:37">
      <c r="A87" s="149"/>
      <c r="C87" s="5"/>
      <c r="D87" s="149"/>
      <c r="E87" s="149"/>
      <c r="F87" s="149"/>
      <c r="G87" s="1709"/>
      <c r="H87" s="1709"/>
      <c r="I87" s="1709"/>
      <c r="J87" s="1709"/>
      <c r="K87" s="1709"/>
      <c r="L87" s="1709"/>
      <c r="M87" s="1709"/>
      <c r="N87" s="1709"/>
      <c r="O87" s="1709"/>
      <c r="P87" s="1709"/>
      <c r="Q87" s="1709"/>
      <c r="R87" s="1709"/>
      <c r="S87" s="1709"/>
      <c r="T87" s="1709"/>
      <c r="U87" s="1709"/>
      <c r="V87" s="1709"/>
      <c r="W87" s="1709"/>
      <c r="X87" s="1709"/>
      <c r="Y87" s="1709"/>
      <c r="Z87" s="1709"/>
      <c r="AA87" s="1709"/>
      <c r="AB87" s="1709"/>
      <c r="AC87" s="1709"/>
      <c r="AD87" s="1709"/>
      <c r="AE87" s="1709"/>
      <c r="AF87" s="1709"/>
      <c r="AG87" s="1709"/>
      <c r="AH87" s="1709"/>
      <c r="AI87" s="1709"/>
      <c r="AJ87" s="1709"/>
      <c r="AK87" s="1709"/>
    </row>
    <row r="88" spans="1:37">
      <c r="A88" s="149"/>
      <c r="C88" s="5"/>
      <c r="D88" s="149"/>
      <c r="E88" s="149"/>
      <c r="G88" s="1709"/>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709"/>
      <c r="AJ88" s="1709"/>
      <c r="AK88" s="1709"/>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717" t="s">
        <v>1336</v>
      </c>
      <c r="H90" s="1717"/>
      <c r="I90" s="1717"/>
      <c r="J90" s="1717"/>
      <c r="K90" s="1717"/>
      <c r="L90" s="1717"/>
      <c r="M90" s="1717"/>
      <c r="N90" s="1717"/>
      <c r="O90" s="1717"/>
      <c r="P90" s="1717"/>
      <c r="Q90" s="1717"/>
      <c r="R90" s="1717"/>
      <c r="S90" s="1717"/>
      <c r="T90" s="1717"/>
      <c r="U90" s="1717"/>
      <c r="V90" s="1717"/>
      <c r="W90" s="1717"/>
      <c r="X90" s="1717"/>
      <c r="Y90" s="1717"/>
      <c r="Z90" s="1717"/>
      <c r="AA90" s="1717"/>
      <c r="AB90" s="1717"/>
      <c r="AC90" s="1717"/>
      <c r="AD90" s="1717"/>
      <c r="AE90" s="1717"/>
      <c r="AF90" s="1717"/>
      <c r="AG90" s="1717"/>
      <c r="AH90" s="1717"/>
      <c r="AI90" s="1717"/>
      <c r="AJ90" s="1717"/>
      <c r="AK90" s="1717"/>
    </row>
    <row r="91" spans="1:37" s="709" customFormat="1">
      <c r="A91" s="149"/>
      <c r="C91" s="5"/>
      <c r="D91" s="149"/>
      <c r="E91" s="149"/>
      <c r="G91" s="1717"/>
      <c r="H91" s="1717"/>
      <c r="I91" s="1717"/>
      <c r="J91" s="1717"/>
      <c r="K91" s="1717"/>
      <c r="L91" s="1717"/>
      <c r="M91" s="1717"/>
      <c r="N91" s="1717"/>
      <c r="O91" s="1717"/>
      <c r="P91" s="1717"/>
      <c r="Q91" s="1717"/>
      <c r="R91" s="1717"/>
      <c r="S91" s="1717"/>
      <c r="T91" s="1717"/>
      <c r="U91" s="1717"/>
      <c r="V91" s="1717"/>
      <c r="W91" s="1717"/>
      <c r="X91" s="1717"/>
      <c r="Y91" s="1717"/>
      <c r="Z91" s="1717"/>
      <c r="AA91" s="1717"/>
      <c r="AB91" s="1717"/>
      <c r="AC91" s="1717"/>
      <c r="AD91" s="1717"/>
      <c r="AE91" s="1717"/>
      <c r="AF91" s="1717"/>
      <c r="AG91" s="1717"/>
      <c r="AH91" s="1717"/>
      <c r="AI91" s="1717"/>
      <c r="AJ91" s="1717"/>
      <c r="AK91" s="1717"/>
    </row>
    <row r="92" spans="1:37">
      <c r="A92" s="149"/>
      <c r="C92" s="5"/>
      <c r="D92" s="149"/>
      <c r="E92" s="149"/>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09" t="s">
        <v>1337</v>
      </c>
      <c r="H94" s="1709"/>
      <c r="I94" s="1709"/>
      <c r="J94" s="1709"/>
      <c r="K94" s="1709"/>
      <c r="L94" s="1709"/>
      <c r="M94" s="1709"/>
      <c r="N94" s="1709"/>
      <c r="O94" s="1709"/>
      <c r="P94" s="1709"/>
      <c r="Q94" s="1709"/>
      <c r="R94" s="1709"/>
      <c r="S94" s="1709"/>
      <c r="T94" s="1709"/>
      <c r="U94" s="1709"/>
      <c r="V94" s="1709"/>
      <c r="W94" s="1709"/>
      <c r="X94" s="1709"/>
      <c r="Y94" s="1709"/>
      <c r="Z94" s="1709"/>
      <c r="AA94" s="1709"/>
      <c r="AB94" s="1709"/>
      <c r="AC94" s="1709"/>
      <c r="AD94" s="1709"/>
      <c r="AE94" s="1709"/>
      <c r="AF94" s="1709"/>
      <c r="AG94" s="1709"/>
      <c r="AH94" s="1709"/>
      <c r="AI94" s="1709"/>
      <c r="AJ94" s="1709"/>
      <c r="AK94" s="1709"/>
    </row>
    <row r="95" spans="1:37">
      <c r="A95" s="149"/>
      <c r="C95" s="5"/>
      <c r="D95" s="149"/>
      <c r="E95" s="149"/>
      <c r="G95" s="1709"/>
      <c r="H95" s="1709"/>
      <c r="I95" s="1709"/>
      <c r="J95" s="1709"/>
      <c r="K95" s="1709"/>
      <c r="L95" s="1709"/>
      <c r="M95" s="1709"/>
      <c r="N95" s="1709"/>
      <c r="O95" s="1709"/>
      <c r="P95" s="1709"/>
      <c r="Q95" s="1709"/>
      <c r="R95" s="1709"/>
      <c r="S95" s="1709"/>
      <c r="T95" s="1709"/>
      <c r="U95" s="1709"/>
      <c r="V95" s="1709"/>
      <c r="W95" s="1709"/>
      <c r="X95" s="1709"/>
      <c r="Y95" s="1709"/>
      <c r="Z95" s="1709"/>
      <c r="AA95" s="1709"/>
      <c r="AB95" s="1709"/>
      <c r="AC95" s="1709"/>
      <c r="AD95" s="1709"/>
      <c r="AE95" s="1709"/>
      <c r="AF95" s="1709"/>
      <c r="AG95" s="1709"/>
      <c r="AH95" s="1709"/>
      <c r="AI95" s="1709"/>
      <c r="AJ95" s="1709"/>
      <c r="AK95" s="1709"/>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709" t="s">
        <v>1338</v>
      </c>
      <c r="H97" s="1709"/>
      <c r="I97" s="1709"/>
      <c r="J97" s="1709"/>
      <c r="K97" s="1709"/>
      <c r="L97" s="1709"/>
      <c r="M97" s="1709"/>
      <c r="N97" s="1709"/>
      <c r="O97" s="1709"/>
      <c r="P97" s="1709"/>
      <c r="Q97" s="1709"/>
      <c r="R97" s="1709"/>
      <c r="S97" s="1709"/>
      <c r="T97" s="1709"/>
      <c r="U97" s="1709"/>
      <c r="V97" s="1709"/>
      <c r="W97" s="1709"/>
      <c r="X97" s="1709"/>
      <c r="Y97" s="1709"/>
      <c r="Z97" s="1709"/>
      <c r="AA97" s="1709"/>
      <c r="AB97" s="1709"/>
      <c r="AC97" s="1709"/>
      <c r="AD97" s="1709"/>
      <c r="AE97" s="1709"/>
      <c r="AF97" s="1709"/>
      <c r="AG97" s="1709"/>
      <c r="AH97" s="1709"/>
      <c r="AI97" s="1709"/>
      <c r="AJ97" s="1709"/>
      <c r="AK97" s="1709"/>
    </row>
    <row r="98" spans="1:38">
      <c r="A98" s="149"/>
      <c r="C98" s="183"/>
      <c r="D98" s="182"/>
      <c r="E98" s="182"/>
      <c r="F98" s="2"/>
      <c r="G98" s="1709"/>
      <c r="H98" s="1709"/>
      <c r="I98" s="1709"/>
      <c r="J98" s="1709"/>
      <c r="K98" s="1709"/>
      <c r="L98" s="1709"/>
      <c r="M98" s="1709"/>
      <c r="N98" s="1709"/>
      <c r="O98" s="1709"/>
      <c r="P98" s="1709"/>
      <c r="Q98" s="1709"/>
      <c r="R98" s="1709"/>
      <c r="S98" s="1709"/>
      <c r="T98" s="1709"/>
      <c r="U98" s="1709"/>
      <c r="V98" s="1709"/>
      <c r="W98" s="1709"/>
      <c r="X98" s="1709"/>
      <c r="Y98" s="1709"/>
      <c r="Z98" s="1709"/>
      <c r="AA98" s="1709"/>
      <c r="AB98" s="1709"/>
      <c r="AC98" s="1709"/>
      <c r="AD98" s="1709"/>
      <c r="AE98" s="1709"/>
      <c r="AF98" s="1709"/>
      <c r="AG98" s="1709"/>
      <c r="AH98" s="1709"/>
      <c r="AI98" s="1709"/>
      <c r="AJ98" s="1709"/>
      <c r="AK98" s="1709"/>
      <c r="AL98" s="2"/>
    </row>
    <row r="99" spans="1:38">
      <c r="A99" s="149"/>
      <c r="C99" s="183"/>
      <c r="D99" s="182"/>
      <c r="E99" s="182"/>
      <c r="F99" s="2"/>
      <c r="G99" s="1709"/>
      <c r="H99" s="1709"/>
      <c r="I99" s="1709"/>
      <c r="J99" s="1709"/>
      <c r="K99" s="1709"/>
      <c r="L99" s="1709"/>
      <c r="M99" s="1709"/>
      <c r="N99" s="1709"/>
      <c r="O99" s="1709"/>
      <c r="P99" s="1709"/>
      <c r="Q99" s="1709"/>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2"/>
    </row>
    <row r="100" spans="1:38">
      <c r="A100" s="149"/>
      <c r="C100" s="2"/>
      <c r="D100" s="486"/>
      <c r="E100" s="1718" t="s">
        <v>1339</v>
      </c>
      <c r="F100" s="1718"/>
      <c r="G100" s="1718"/>
      <c r="H100" s="1718"/>
      <c r="I100" s="1718"/>
      <c r="J100" s="1718"/>
      <c r="K100" s="1718"/>
      <c r="L100" s="1718"/>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2"/>
    </row>
    <row r="101" spans="1:38">
      <c r="A101" s="149"/>
      <c r="D101" s="153"/>
      <c r="E101" s="1718"/>
      <c r="F101" s="1718"/>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8"/>
      <c r="AH101" s="1718"/>
      <c r="AI101" s="1718"/>
      <c r="AJ101" s="1718"/>
      <c r="AK101" s="171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980</v>
      </c>
    </row>
    <row r="119" spans="1:38">
      <c r="F119" s="149" t="s">
        <v>1093</v>
      </c>
      <c r="G119" s="149"/>
    </row>
    <row r="120" spans="1:38">
      <c r="F120" s="153" t="s">
        <v>1351</v>
      </c>
      <c r="G120" s="153"/>
    </row>
    <row r="121" spans="1:38">
      <c r="G121" s="153"/>
    </row>
    <row r="122" spans="1:38">
      <c r="E122" s="149" t="s">
        <v>806</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604</v>
      </c>
    </row>
    <row r="130" spans="4:37">
      <c r="E130" s="149" t="s">
        <v>981</v>
      </c>
      <c r="F130" s="149"/>
    </row>
    <row r="131" spans="4:37"/>
    <row r="132" spans="4:37">
      <c r="D132" s="5" t="s">
        <v>601</v>
      </c>
      <c r="E132" s="5" t="s">
        <v>755</v>
      </c>
      <c r="G132" s="5"/>
      <c r="H132" s="5"/>
      <c r="I132" s="5"/>
      <c r="J132" s="5"/>
      <c r="K132" s="5"/>
      <c r="L132" s="5"/>
      <c r="M132" s="5"/>
      <c r="N132" s="5"/>
    </row>
    <row r="133" spans="4:37" s="709" customFormat="1">
      <c r="D133" s="5"/>
      <c r="E133" s="876" t="s">
        <v>1440</v>
      </c>
      <c r="G133" s="5"/>
      <c r="H133" s="5"/>
      <c r="I133" s="5"/>
      <c r="J133" s="5"/>
      <c r="K133" s="5"/>
      <c r="L133" s="5"/>
      <c r="M133" s="5"/>
      <c r="N133" s="5"/>
    </row>
    <row r="134" spans="4:37" ht="12.75" customHeight="1">
      <c r="E134" s="876" t="s">
        <v>1438</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1439</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1380</v>
      </c>
      <c r="F138" s="149"/>
    </row>
    <row r="139" spans="4:37">
      <c r="F139" s="149"/>
    </row>
    <row r="140" spans="4:37">
      <c r="D140" s="5" t="s">
        <v>309</v>
      </c>
      <c r="E140" s="5" t="s">
        <v>2604</v>
      </c>
      <c r="F140" s="5"/>
      <c r="G140" s="5"/>
      <c r="H140" s="5"/>
    </row>
    <row r="141" spans="4:37">
      <c r="E141" t="s">
        <v>117</v>
      </c>
      <c r="F141" t="s">
        <v>55</v>
      </c>
    </row>
    <row r="142" spans="4:37">
      <c r="E142" t="s">
        <v>118</v>
      </c>
      <c r="F142" t="s">
        <v>492</v>
      </c>
    </row>
    <row r="143" spans="4:37"/>
    <row r="144" spans="4:37">
      <c r="D144" s="5" t="s">
        <v>446</v>
      </c>
      <c r="E144" s="5" t="s">
        <v>2605</v>
      </c>
    </row>
    <row r="145" spans="3:7">
      <c r="E145" s="327" t="s">
        <v>2606</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550</v>
      </c>
      <c r="F151" s="5"/>
    </row>
    <row r="152" spans="3:7">
      <c r="D152" s="2"/>
      <c r="E152" s="149" t="s">
        <v>983</v>
      </c>
      <c r="F152" s="149"/>
    </row>
    <row r="153" spans="3:7">
      <c r="D153" s="2"/>
      <c r="E153" s="2"/>
    </row>
    <row r="154" spans="3:7">
      <c r="D154" s="183" t="s">
        <v>601</v>
      </c>
      <c r="E154" s="183" t="s">
        <v>579</v>
      </c>
    </row>
    <row r="155" spans="3:7">
      <c r="D155" s="2"/>
      <c r="E155" s="149" t="s">
        <v>984</v>
      </c>
    </row>
    <row r="156" spans="3:7">
      <c r="D156" s="2"/>
      <c r="E156" s="149" t="s">
        <v>982</v>
      </c>
      <c r="G156" s="149"/>
    </row>
    <row r="157" spans="3:7">
      <c r="D157" s="2"/>
      <c r="E157" s="2"/>
    </row>
    <row r="158" spans="3:7">
      <c r="D158" s="183" t="s">
        <v>540</v>
      </c>
      <c r="E158" s="50" t="s">
        <v>559</v>
      </c>
    </row>
    <row r="159" spans="3:7">
      <c r="D159" s="2"/>
      <c r="E159" s="2" t="s">
        <v>117</v>
      </c>
      <c r="F159" s="149" t="s">
        <v>985</v>
      </c>
    </row>
    <row r="160" spans="3:7">
      <c r="D160" s="2"/>
      <c r="E160" s="182" t="s">
        <v>118</v>
      </c>
      <c r="F160" s="149" t="s">
        <v>986</v>
      </c>
    </row>
    <row r="161" spans="3:20">
      <c r="D161" s="2"/>
      <c r="E161" s="182" t="s">
        <v>124</v>
      </c>
      <c r="F161" t="s">
        <v>756</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740</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1094</v>
      </c>
      <c r="G193" s="149"/>
      <c r="H193" s="149"/>
      <c r="I193" s="149"/>
    </row>
    <row r="194" spans="2:37">
      <c r="B194" s="149"/>
      <c r="C194" s="5"/>
      <c r="F194" s="149" t="s">
        <v>680</v>
      </c>
      <c r="G194" s="6" t="s">
        <v>1373</v>
      </c>
    </row>
    <row r="195" spans="2:37">
      <c r="B195" s="149"/>
      <c r="C195" s="149"/>
      <c r="F195" s="149" t="s">
        <v>355</v>
      </c>
      <c r="G195" s="155" t="s">
        <v>1374</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995</v>
      </c>
      <c r="M206" s="149"/>
      <c r="N206" s="149"/>
      <c r="O206" s="149"/>
      <c r="P206" s="149"/>
      <c r="Q206" s="149"/>
      <c r="R206" s="149"/>
      <c r="S206" s="149"/>
    </row>
    <row r="207" spans="2:37">
      <c r="B207" s="149"/>
      <c r="C207" s="149"/>
      <c r="D207" s="5"/>
      <c r="F207" t="s">
        <v>680</v>
      </c>
      <c r="G207" s="1709" t="s">
        <v>1340</v>
      </c>
      <c r="H207" s="1709"/>
      <c r="I207" s="1709"/>
      <c r="J207" s="1709"/>
      <c r="K207" s="1709"/>
      <c r="L207" s="1709"/>
      <c r="M207" s="1709"/>
      <c r="N207" s="1709"/>
      <c r="O207" s="1709"/>
      <c r="P207" s="1709"/>
      <c r="Q207" s="1709"/>
      <c r="R207" s="1709"/>
      <c r="S207" s="1709"/>
      <c r="T207" s="1709"/>
      <c r="U207" s="1709"/>
      <c r="V207" s="1709"/>
      <c r="W207" s="1709"/>
      <c r="X207" s="1709"/>
      <c r="Y207" s="1709"/>
      <c r="Z207" s="1709"/>
      <c r="AA207" s="1709"/>
      <c r="AB207" s="1709"/>
      <c r="AC207" s="1709"/>
      <c r="AD207" s="1709"/>
      <c r="AE207" s="1709"/>
      <c r="AF207" s="1709"/>
      <c r="AG207" s="1709"/>
      <c r="AH207" s="1709"/>
      <c r="AI207" s="1709"/>
      <c r="AJ207" s="1709"/>
      <c r="AK207" s="1709"/>
    </row>
    <row r="208" spans="2:37">
      <c r="B208" s="149"/>
      <c r="C208" s="149"/>
      <c r="D208" s="5"/>
      <c r="G208" s="1709"/>
      <c r="H208" s="1709"/>
      <c r="I208" s="1709"/>
      <c r="J208" s="1709"/>
      <c r="K208" s="1709"/>
      <c r="L208" s="1709"/>
      <c r="M208" s="1709"/>
      <c r="N208" s="1709"/>
      <c r="O208" s="1709"/>
      <c r="P208" s="1709"/>
      <c r="Q208" s="1709"/>
      <c r="R208" s="1709"/>
      <c r="S208" s="1709"/>
      <c r="T208" s="1709"/>
      <c r="U208" s="1709"/>
      <c r="V208" s="1709"/>
      <c r="W208" s="1709"/>
      <c r="X208" s="1709"/>
      <c r="Y208" s="1709"/>
      <c r="Z208" s="1709"/>
      <c r="AA208" s="1709"/>
      <c r="AB208" s="1709"/>
      <c r="AC208" s="1709"/>
      <c r="AD208" s="1709"/>
      <c r="AE208" s="1709"/>
      <c r="AF208" s="1709"/>
      <c r="AG208" s="1709"/>
      <c r="AH208" s="1709"/>
      <c r="AI208" s="1709"/>
      <c r="AJ208" s="1709"/>
      <c r="AK208" s="1709"/>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999</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680</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608</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709" t="s">
        <v>1315</v>
      </c>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1709"/>
    </row>
    <row r="339" spans="2:37">
      <c r="B339" s="5"/>
      <c r="E339" s="14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1709"/>
    </row>
    <row r="340" spans="2:37">
      <c r="B340" s="5"/>
      <c r="E340" s="14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1709"/>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1400</v>
      </c>
      <c r="I342" s="183"/>
      <c r="J342" s="149"/>
      <c r="K342" s="149"/>
      <c r="L342" s="149"/>
      <c r="M342" s="149"/>
      <c r="N342" s="149"/>
      <c r="O342" s="149"/>
      <c r="P342" s="149"/>
      <c r="Q342" s="149"/>
      <c r="R342" s="149"/>
      <c r="S342" s="149"/>
    </row>
    <row r="343" spans="2:37" s="709" customFormat="1" ht="13.15" customHeight="1">
      <c r="B343" s="5"/>
      <c r="E343" s="1711" t="s">
        <v>1407</v>
      </c>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1711"/>
    </row>
    <row r="344" spans="2:37" s="709" customFormat="1">
      <c r="B344" s="5"/>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1711"/>
    </row>
    <row r="345" spans="2:37" s="709" customFormat="1">
      <c r="B345" s="5"/>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1711"/>
    </row>
    <row r="346" spans="2:37" s="709" customFormat="1">
      <c r="B346" s="5"/>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1711"/>
    </row>
    <row r="347" spans="2:37" s="709" customFormat="1">
      <c r="B347" s="5"/>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1711"/>
    </row>
    <row r="348" spans="2:37" s="709" customFormat="1">
      <c r="B348" s="5"/>
      <c r="E348" s="6" t="s">
        <v>117</v>
      </c>
      <c r="F348" s="1709" t="s">
        <v>1409</v>
      </c>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1709"/>
    </row>
    <row r="349" spans="2:37" s="709" customFormat="1">
      <c r="B349" s="5"/>
      <c r="E349" s="6"/>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1709"/>
    </row>
    <row r="350" spans="2:37" s="709" customFormat="1">
      <c r="B350" s="5"/>
      <c r="E350" s="6"/>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1709"/>
    </row>
    <row r="351" spans="2:37" s="709" customFormat="1">
      <c r="B351" s="5"/>
      <c r="E351" s="6"/>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1709"/>
    </row>
    <row r="352" spans="2:37" s="709" customFormat="1">
      <c r="B352" s="5"/>
      <c r="E352" s="6" t="s">
        <v>118</v>
      </c>
      <c r="F352" s="1709" t="s">
        <v>1408</v>
      </c>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1709"/>
    </row>
    <row r="353" spans="1:38" s="709" customFormat="1">
      <c r="B353" s="5"/>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1709"/>
    </row>
    <row r="354" spans="1:38" s="709" customFormat="1">
      <c r="B354" s="5"/>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1709"/>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1386</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712" t="s">
        <v>1398</v>
      </c>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1712"/>
      <c r="AL367" s="1712"/>
    </row>
    <row r="368" spans="1:38" s="709" customFormat="1">
      <c r="B368" s="5"/>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1712"/>
      <c r="AL368" s="1712"/>
    </row>
    <row r="369" spans="1:38" s="1714" customFormat="1">
      <c r="A369"/>
      <c r="B369" s="5"/>
      <c r="C369"/>
      <c r="D369"/>
      <c r="E369" s="1713" t="s">
        <v>1441</v>
      </c>
    </row>
    <row r="370" spans="1:38" s="1714"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1442</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1443</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10" t="s">
        <v>1453</v>
      </c>
      <c r="G388" s="1710"/>
      <c r="H388" s="1710"/>
      <c r="I388" s="1710"/>
      <c r="J388" s="1710"/>
      <c r="K388" s="1710"/>
      <c r="L388" s="1710"/>
      <c r="M388" s="1710"/>
      <c r="N388" s="1710"/>
      <c r="O388" s="1710"/>
      <c r="P388" s="1710"/>
      <c r="Q388" s="1710"/>
      <c r="R388" s="1710"/>
      <c r="S388" s="1710"/>
      <c r="T388" s="1710"/>
      <c r="U388" s="1710"/>
      <c r="V388" s="1710"/>
      <c r="W388" s="1710"/>
      <c r="X388" s="1710"/>
      <c r="Y388" s="1710"/>
      <c r="Z388" s="1710"/>
      <c r="AA388" s="1710"/>
      <c r="AB388" s="1710"/>
      <c r="AC388" s="1710"/>
      <c r="AD388" s="1710"/>
      <c r="AE388" s="1710"/>
      <c r="AF388" s="1710"/>
      <c r="AG388" s="1710"/>
      <c r="AH388" s="1710"/>
      <c r="AI388" s="1710"/>
      <c r="AJ388" s="1710"/>
      <c r="AK388" s="1710"/>
      <c r="AL388" s="669"/>
    </row>
    <row r="389" spans="1:38" s="709" customFormat="1">
      <c r="A389" s="669"/>
      <c r="B389" s="183"/>
      <c r="C389" s="669"/>
      <c r="D389" s="669"/>
      <c r="E389" s="670"/>
      <c r="F389" s="1710"/>
      <c r="G389" s="1710"/>
      <c r="H389" s="1710"/>
      <c r="I389" s="1710"/>
      <c r="J389" s="1710"/>
      <c r="K389" s="1710"/>
      <c r="L389" s="1710"/>
      <c r="M389" s="1710"/>
      <c r="N389" s="1710"/>
      <c r="O389" s="1710"/>
      <c r="P389" s="1710"/>
      <c r="Q389" s="1710"/>
      <c r="R389" s="1710"/>
      <c r="S389" s="1710"/>
      <c r="T389" s="1710"/>
      <c r="U389" s="1710"/>
      <c r="V389" s="1710"/>
      <c r="W389" s="1710"/>
      <c r="X389" s="1710"/>
      <c r="Y389" s="1710"/>
      <c r="Z389" s="1710"/>
      <c r="AA389" s="1710"/>
      <c r="AB389" s="1710"/>
      <c r="AC389" s="1710"/>
      <c r="AD389" s="1710"/>
      <c r="AE389" s="1710"/>
      <c r="AF389" s="1710"/>
      <c r="AG389" s="1710"/>
      <c r="AH389" s="1710"/>
      <c r="AI389" s="1710"/>
      <c r="AJ389" s="1710"/>
      <c r="AK389" s="1710"/>
      <c r="AL389" s="669"/>
    </row>
    <row r="390" spans="1:38" s="709" customFormat="1">
      <c r="A390" s="669"/>
      <c r="B390" s="183"/>
      <c r="C390" s="669"/>
      <c r="D390" s="669"/>
      <c r="E390" s="670"/>
      <c r="F390" s="1710"/>
      <c r="G390" s="1710"/>
      <c r="H390" s="1710"/>
      <c r="I390" s="1710"/>
      <c r="J390" s="1710"/>
      <c r="K390" s="1710"/>
      <c r="L390" s="1710"/>
      <c r="M390" s="1710"/>
      <c r="N390" s="1710"/>
      <c r="O390" s="1710"/>
      <c r="P390" s="1710"/>
      <c r="Q390" s="1710"/>
      <c r="R390" s="1710"/>
      <c r="S390" s="1710"/>
      <c r="T390" s="1710"/>
      <c r="U390" s="1710"/>
      <c r="V390" s="1710"/>
      <c r="W390" s="1710"/>
      <c r="X390" s="1710"/>
      <c r="Y390" s="1710"/>
      <c r="Z390" s="1710"/>
      <c r="AA390" s="1710"/>
      <c r="AB390" s="1710"/>
      <c r="AC390" s="1710"/>
      <c r="AD390" s="1710"/>
      <c r="AE390" s="1710"/>
      <c r="AF390" s="1710"/>
      <c r="AG390" s="1710"/>
      <c r="AH390" s="1710"/>
      <c r="AI390" s="1710"/>
      <c r="AJ390" s="1710"/>
      <c r="AK390" s="1710"/>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1460</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1459</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9RSRHQG8v989WfjWsRFZCGp3cLjhe6kxEmDUQ7ocQdv0sfe3fQU+hSzbDM/0jSkMorZl+BbYhE8yqvfGLfA50w==" saltValue="+GkBMobtUIHRFftmeiXrr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1612-9E8E-43CD-89C8-C69DC142FBC6}">
  <dimension ref="A1:T115"/>
  <sheetViews>
    <sheetView showGridLines="0" topLeftCell="D101" zoomScaleNormal="100" workbookViewId="0">
      <selection sqref="A1:J1"/>
    </sheetView>
  </sheetViews>
  <sheetFormatPr defaultColWidth="9.140625" defaultRowHeight="14.25"/>
  <cols>
    <col min="1" max="1" width="2.42578125" style="1602" customWidth="1"/>
    <col min="2" max="9" width="14.7109375" style="1602" customWidth="1"/>
    <col min="10" max="10" width="2.28515625" style="1602" customWidth="1"/>
    <col min="11" max="11" width="11.85546875" style="1603" customWidth="1"/>
    <col min="12" max="12" width="10.7109375" style="1602" customWidth="1"/>
    <col min="13" max="13" width="10.42578125" style="1602" customWidth="1"/>
    <col min="14" max="14" width="10.85546875" style="1602" customWidth="1"/>
    <col min="15" max="16384" width="9.140625" style="1602"/>
  </cols>
  <sheetData>
    <row r="1" spans="1:13" ht="30" customHeight="1">
      <c r="A1" s="3145" t="s">
        <v>1795</v>
      </c>
      <c r="B1" s="3145"/>
      <c r="C1" s="3145"/>
      <c r="D1" s="3145"/>
      <c r="E1" s="3145"/>
      <c r="F1" s="3145"/>
      <c r="G1" s="3145"/>
      <c r="H1" s="3145"/>
      <c r="I1" s="3145"/>
      <c r="J1" s="3145"/>
    </row>
    <row r="2" spans="1:13" ht="15" customHeight="1" thickBot="1">
      <c r="A2" s="1608"/>
      <c r="B2" s="1608"/>
      <c r="I2" s="1704"/>
      <c r="K2" s="1703"/>
    </row>
    <row r="3" spans="1:13" s="1675" customFormat="1" ht="20.100000000000001" customHeight="1">
      <c r="A3" s="1702"/>
      <c r="B3" s="1701"/>
      <c r="C3" s="1698"/>
      <c r="D3" s="1700"/>
      <c r="E3" s="1698"/>
      <c r="F3" s="1699" t="s">
        <v>2472</v>
      </c>
      <c r="G3" s="1698"/>
      <c r="H3" s="1697">
        <f>E16</f>
        <v>25955520</v>
      </c>
      <c r="I3" s="1696"/>
    </row>
    <row r="4" spans="1:13" s="1675" customFormat="1" ht="20.100000000000001" customHeight="1">
      <c r="B4" s="1695"/>
      <c r="D4" s="1694"/>
      <c r="F4" s="1693" t="s">
        <v>2474</v>
      </c>
      <c r="G4" s="1692" t="s">
        <v>2473</v>
      </c>
      <c r="H4" s="1691">
        <f>I16</f>
        <v>40920538.276288658</v>
      </c>
      <c r="I4" s="1690"/>
      <c r="K4" s="1680"/>
    </row>
    <row r="5" spans="1:13" s="1675" customFormat="1" ht="20.100000000000001" customHeight="1" thickBot="1">
      <c r="B5" s="1689"/>
      <c r="C5" s="1688"/>
      <c r="D5" s="1686"/>
      <c r="E5" s="1687"/>
      <c r="F5" s="1686" t="s">
        <v>2412</v>
      </c>
      <c r="G5" s="1685"/>
      <c r="H5" s="1684">
        <f>H3/H4</f>
        <v>0.63429077654728416</v>
      </c>
      <c r="I5" s="1683"/>
      <c r="K5" s="1680"/>
    </row>
    <row r="6" spans="1:13" s="1675" customFormat="1" ht="15" customHeight="1">
      <c r="B6" s="1682"/>
      <c r="C6" s="1681"/>
      <c r="F6" s="1678"/>
      <c r="K6" s="1680"/>
    </row>
    <row r="7" spans="1:13" s="1675" customFormat="1" ht="15" customHeight="1">
      <c r="E7" s="1679"/>
      <c r="F7" s="1678"/>
      <c r="K7" s="1676"/>
    </row>
    <row r="8" spans="1:13" s="1675" customFormat="1" ht="15" customHeight="1">
      <c r="A8" s="1677"/>
      <c r="B8" s="3146" t="s">
        <v>2410</v>
      </c>
      <c r="C8" s="3147"/>
      <c r="D8" s="3147"/>
      <c r="E8" s="3148"/>
      <c r="G8" s="3149" t="s">
        <v>2411</v>
      </c>
      <c r="H8" s="3150"/>
      <c r="I8" s="3151"/>
      <c r="K8" s="1676"/>
    </row>
    <row r="9" spans="1:13" ht="15" customHeight="1">
      <c r="A9" s="1608"/>
      <c r="B9" s="3135" t="s">
        <v>2451</v>
      </c>
      <c r="C9" s="3135"/>
      <c r="D9" s="3135"/>
      <c r="E9" s="1674">
        <f>G31</f>
        <v>8862500</v>
      </c>
      <c r="G9" s="3137" t="s">
        <v>2449</v>
      </c>
      <c r="H9" s="3137"/>
      <c r="I9" s="1666">
        <f>Application!AM564</f>
        <v>31000000</v>
      </c>
      <c r="K9" s="1673"/>
      <c r="M9" s="1661"/>
    </row>
    <row r="10" spans="1:13" ht="15" customHeight="1" thickBot="1">
      <c r="A10" s="1608"/>
      <c r="B10" s="3135" t="s">
        <v>2452</v>
      </c>
      <c r="C10" s="3135"/>
      <c r="D10" s="3135"/>
      <c r="E10" s="1666">
        <f>G40</f>
        <v>12499020</v>
      </c>
      <c r="G10" s="3137" t="s">
        <v>2413</v>
      </c>
      <c r="H10" s="3137"/>
      <c r="I10" s="1672">
        <f>'Basis &amp; Credits'!AB77</f>
        <v>11047587</v>
      </c>
      <c r="M10" s="1661"/>
    </row>
    <row r="11" spans="1:13" ht="15" customHeight="1">
      <c r="A11" s="1671"/>
      <c r="B11" s="3135" t="s">
        <v>2453</v>
      </c>
      <c r="C11" s="3135"/>
      <c r="D11" s="3135"/>
      <c r="E11" s="1666">
        <f>G49</f>
        <v>0</v>
      </c>
      <c r="G11" s="3137" t="s">
        <v>2464</v>
      </c>
      <c r="H11" s="3137"/>
      <c r="I11" s="1670">
        <f>I9+I10</f>
        <v>42047587</v>
      </c>
      <c r="M11" s="1661"/>
    </row>
    <row r="12" spans="1:13" ht="15" customHeight="1">
      <c r="A12" s="1655"/>
      <c r="B12" s="3135" t="s">
        <v>2454</v>
      </c>
      <c r="C12" s="3135"/>
      <c r="D12" s="3135"/>
      <c r="E12" s="1666">
        <f>G58</f>
        <v>340000</v>
      </c>
      <c r="G12" s="1669" t="s">
        <v>2489</v>
      </c>
      <c r="H12" s="1668"/>
      <c r="M12" s="1661"/>
    </row>
    <row r="13" spans="1:13" ht="15" customHeight="1">
      <c r="A13" s="1608"/>
      <c r="B13" s="3135" t="s">
        <v>2455</v>
      </c>
      <c r="C13" s="3135"/>
      <c r="D13" s="3135"/>
      <c r="E13" s="1667">
        <f>G83</f>
        <v>4254000</v>
      </c>
      <c r="G13" s="3138" t="s">
        <v>144</v>
      </c>
      <c r="H13" s="3138"/>
      <c r="I13" s="1664">
        <f>15%*(Application!AJ977&gt;0)</f>
        <v>0</v>
      </c>
      <c r="M13" s="1661"/>
    </row>
    <row r="14" spans="1:13" ht="15" customHeight="1">
      <c r="A14" s="1608"/>
      <c r="B14" s="3135" t="s">
        <v>2456</v>
      </c>
      <c r="C14" s="3135"/>
      <c r="D14" s="3135"/>
      <c r="E14" s="1666">
        <f>IF(G96&gt;G106,G96,0)</f>
        <v>0</v>
      </c>
      <c r="G14" s="1665" t="s">
        <v>2465</v>
      </c>
      <c r="H14" s="1665"/>
      <c r="I14" s="1664">
        <f>IF(Application!AJ1011&gt;0,10%,IF(Application!AJ1015&gt;0,5%,0))</f>
        <v>0</v>
      </c>
      <c r="M14" s="1661"/>
    </row>
    <row r="15" spans="1:13" ht="15" customHeight="1" thickBot="1">
      <c r="A15" s="1608"/>
      <c r="B15" s="3136" t="s">
        <v>2475</v>
      </c>
      <c r="C15" s="3136"/>
      <c r="D15" s="3136"/>
      <c r="E15" s="1663">
        <f>IF(E14&gt;0,0,G106)</f>
        <v>0</v>
      </c>
      <c r="G15" s="3132" t="s">
        <v>2466</v>
      </c>
      <c r="H15" s="3133"/>
      <c r="I15" s="1662">
        <f>G114</f>
        <v>2.6804123711340205E-2</v>
      </c>
      <c r="M15" s="1661"/>
    </row>
    <row r="16" spans="1:13" ht="15" customHeight="1">
      <c r="A16" s="1608"/>
      <c r="B16" s="3134" t="s">
        <v>2409</v>
      </c>
      <c r="C16" s="3134"/>
      <c r="D16" s="3134"/>
      <c r="E16" s="1660">
        <f>SUM(E9:E15)</f>
        <v>25955520</v>
      </c>
      <c r="G16" s="1659" t="s">
        <v>2450</v>
      </c>
      <c r="H16" s="1659"/>
      <c r="I16" s="1658">
        <f>I11-((I11*I13)+(I11*I14)+(I11*I15))</f>
        <v>40920538.276288658</v>
      </c>
    </row>
    <row r="17" spans="1:20" ht="15" customHeight="1">
      <c r="A17" s="1608"/>
      <c r="B17" s="1608"/>
      <c r="E17" s="1636"/>
      <c r="H17" s="1657"/>
      <c r="I17" s="1656"/>
    </row>
    <row r="18" spans="1:20" ht="15" customHeight="1">
      <c r="B18" s="1613" t="str">
        <f>B9</f>
        <v>A. Unit Production Benefit</v>
      </c>
      <c r="C18" s="1612"/>
      <c r="D18" s="1612"/>
      <c r="E18" s="1612"/>
      <c r="F18" s="1612"/>
      <c r="G18" s="1612"/>
      <c r="H18" s="1612"/>
      <c r="I18" s="1611"/>
      <c r="M18" s="1636">
        <f>SUM(Cdlac[Quantity])</f>
        <v>164</v>
      </c>
      <c r="O18" s="1610" t="s">
        <v>609</v>
      </c>
      <c r="P18" s="1602">
        <f>MATCH(Application!T189,Application!BP670:BP727,0)</f>
        <v>30</v>
      </c>
      <c r="S18" s="1636">
        <f>SUM(Cdlac[Population])</f>
        <v>0</v>
      </c>
    </row>
    <row r="19" spans="1:20" ht="15" customHeight="1">
      <c r="A19" s="1608"/>
      <c r="B19" s="1608"/>
      <c r="I19" s="1653"/>
      <c r="L19" s="1602" t="s">
        <v>2405</v>
      </c>
      <c r="M19" s="1602" t="s">
        <v>2404</v>
      </c>
      <c r="N19" s="1602" t="s">
        <v>2418</v>
      </c>
      <c r="O19" s="1602" t="s">
        <v>2419</v>
      </c>
      <c r="P19" s="1602" t="s">
        <v>2406</v>
      </c>
      <c r="Q19" s="1602" t="s">
        <v>2407</v>
      </c>
      <c r="R19" s="1602" t="s">
        <v>2420</v>
      </c>
      <c r="S19" s="1602" t="s">
        <v>2426</v>
      </c>
      <c r="T19" s="1602" t="s">
        <v>400</v>
      </c>
    </row>
    <row r="20" spans="1:20" ht="15" customHeight="1">
      <c r="A20" s="1655"/>
      <c r="C20" s="3130" t="s">
        <v>2468</v>
      </c>
      <c r="D20" s="3130" t="s">
        <v>2469</v>
      </c>
      <c r="E20" s="3130" t="s">
        <v>2470</v>
      </c>
      <c r="F20" s="3130" t="s">
        <v>2471</v>
      </c>
      <c r="G20" s="3130" t="s">
        <v>2467</v>
      </c>
      <c r="H20" s="1654"/>
      <c r="I20" s="1653"/>
      <c r="L20" s="1602">
        <f>IFERROR(MIN(4,MATCH(Application!B728,UnitSizes,0)-1),"")</f>
        <v>1</v>
      </c>
      <c r="M20" s="1636">
        <f>Application!G728</f>
        <v>11</v>
      </c>
      <c r="N20" s="1638">
        <f>Application!AC728</f>
        <v>0.3</v>
      </c>
      <c r="O20" s="1638">
        <f>IF(Cdlac[[#This Row],[Quantity]]&gt;0,IF(Cdlac[[#This Row],[Federal]],30%,IF($G$36,40%,Cdlac[[#This Row],[iAMI]])),"")</f>
        <v>0.3</v>
      </c>
      <c r="P20" s="1636" cm="1">
        <f t="array" ref="P20">IF(Cdlac[[#This Row],[Quantity]]&gt;0,INDEX(TcacRents,$P$18,Cdlac[[#This Row],[Bedrooms]]+1)*Cdlac[[#This Row],[AMI]],"")</f>
        <v>762</v>
      </c>
      <c r="Q20" s="1636" cm="1">
        <f t="array" ref="Q20">IF(Cdlac[[#This Row],[Quantity]]&gt;0,INDEX(HudFmrs,$P$18,Cdlac[[#This Row],[Bedrooms]]+1),"")</f>
        <v>1905</v>
      </c>
      <c r="R20" s="1636">
        <f>IF(Cdlac[[#This Row],[Quantity]]&gt;0,MAX(0,Cdlac[[#This Row],[Fair Market Rent]]-Cdlac[[#This Row],[Restricted Rent]]),"")</f>
        <v>1143</v>
      </c>
      <c r="S20" s="1602">
        <f>IF(Cdlac[[#This Row],[Quantity]]&gt;0,AND(Application!AK728&lt;&gt;"N/A",Application!AK728&lt;&gt;"")*Cdlac[[#This Row],[Quantity]],"")</f>
        <v>0</v>
      </c>
      <c r="T20" s="1602" t="b">
        <f>AND('Subsidy Contract Calculation'!F4&gt;0,'Subsidy Contract Calculation'!C4="Federal",Cdlac[[#This Row],[Quantity]]&gt;0)</f>
        <v>0</v>
      </c>
    </row>
    <row r="21" spans="1:20" ht="15" customHeight="1">
      <c r="A21" s="1655"/>
      <c r="C21" s="3131"/>
      <c r="D21" s="3131"/>
      <c r="E21" s="3131"/>
      <c r="F21" s="3131"/>
      <c r="G21" s="3131"/>
      <c r="H21" s="1654"/>
      <c r="I21" s="1653"/>
      <c r="L21" s="1602">
        <f>IFERROR(MIN(4,MATCH(Application!B729,UnitSizes,0)-1),"")</f>
        <v>1</v>
      </c>
      <c r="M21" s="1636">
        <f>Application!G729</f>
        <v>22</v>
      </c>
      <c r="N21" s="1638">
        <f>Application!AC729</f>
        <v>0.5</v>
      </c>
      <c r="O21" s="1638">
        <f>IF(Cdlac[[#This Row],[Quantity]]&gt;0,IF(Cdlac[[#This Row],[Federal]],30%,IF($G$36,40%,Cdlac[[#This Row],[iAMI]])),"")</f>
        <v>0.5</v>
      </c>
      <c r="P21" s="1636" cm="1">
        <f t="array" ref="P21">IF(Cdlac[[#This Row],[Quantity]]&gt;0,INDEX(TcacRents,$P$18,Cdlac[[#This Row],[Bedrooms]]+1)*Cdlac[[#This Row],[AMI]],"")</f>
        <v>1270</v>
      </c>
      <c r="Q21" s="1636" cm="1">
        <f t="array" ref="Q21">IF(Cdlac[[#This Row],[Quantity]]&gt;0,INDEX(HudFmrs,$P$18,Cdlac[[#This Row],[Bedrooms]]+1),"")</f>
        <v>1905</v>
      </c>
      <c r="R21" s="1636">
        <f>IF(Cdlac[[#This Row],[Quantity]]&gt;0,MAX(0,Cdlac[[#This Row],[Fair Market Rent]]-Cdlac[[#This Row],[Restricted Rent]]),"")</f>
        <v>635</v>
      </c>
      <c r="S21" s="1602">
        <f>IF(Cdlac[[#This Row],[Quantity]]&gt;0,AND(Application!AK729&lt;&gt;"N/A",Application!AK729&lt;&gt;"")*Cdlac[[#This Row],[Quantity]],"")</f>
        <v>0</v>
      </c>
      <c r="T21" s="1602" t="b">
        <f>AND('Subsidy Contract Calculation'!F5&gt;0,'Subsidy Contract Calculation'!C5="Federal",Cdlac[[#This Row],[Quantity]]&gt;0)</f>
        <v>0</v>
      </c>
    </row>
    <row r="22" spans="1:20" ht="15" customHeight="1">
      <c r="C22" s="1650">
        <v>0</v>
      </c>
      <c r="D22" s="1652">
        <v>0.9</v>
      </c>
      <c r="E22" s="1650">
        <f>SUMIFS(Cdlac[Quantity],Cdlac[Bedrooms],C22)</f>
        <v>0</v>
      </c>
      <c r="F22" s="1650">
        <f>E22</f>
        <v>0</v>
      </c>
      <c r="G22" s="1650">
        <f>D22*F22</f>
        <v>0</v>
      </c>
      <c r="L22" s="1602">
        <f>IFERROR(MIN(4,MATCH(Application!B730,UnitSizes,0)-1),"")</f>
        <v>1</v>
      </c>
      <c r="M22" s="1636">
        <f>Application!G730</f>
        <v>22</v>
      </c>
      <c r="N22" s="1638">
        <f>Application!AC730</f>
        <v>0.6</v>
      </c>
      <c r="O22" s="1638">
        <f>IF(Cdlac[[#This Row],[Quantity]]&gt;0,IF(Cdlac[[#This Row],[Federal]],30%,IF($G$36,40%,Cdlac[[#This Row],[iAMI]])),"")</f>
        <v>0.6</v>
      </c>
      <c r="P22" s="1636" cm="1">
        <f t="array" ref="P22">IF(Cdlac[[#This Row],[Quantity]]&gt;0,INDEX(TcacRents,$P$18,Cdlac[[#This Row],[Bedrooms]]+1)*Cdlac[[#This Row],[AMI]],"")</f>
        <v>1524</v>
      </c>
      <c r="Q22" s="1636" cm="1">
        <f t="array" ref="Q22">IF(Cdlac[[#This Row],[Quantity]]&gt;0,INDEX(HudFmrs,$P$18,Cdlac[[#This Row],[Bedrooms]]+1),"")</f>
        <v>1905</v>
      </c>
      <c r="R22" s="1636">
        <f>IF(Cdlac[[#This Row],[Quantity]]&gt;0,MAX(0,Cdlac[[#This Row],[Fair Market Rent]]-Cdlac[[#This Row],[Restricted Rent]]),"")</f>
        <v>381</v>
      </c>
      <c r="S22" s="1602">
        <f>IF(Cdlac[[#This Row],[Quantity]]&gt;0,AND(Application!AK730&lt;&gt;"N/A",Application!AK730&lt;&gt;"")*Cdlac[[#This Row],[Quantity]],"")</f>
        <v>0</v>
      </c>
      <c r="T22" s="1602" t="b">
        <f>AND('Subsidy Contract Calculation'!F6&gt;0,'Subsidy Contract Calculation'!C6="Federal",Cdlac[[#This Row],[Quantity]]&gt;0)</f>
        <v>0</v>
      </c>
    </row>
    <row r="23" spans="1:20" ht="15" customHeight="1">
      <c r="C23" s="1650">
        <v>1</v>
      </c>
      <c r="D23" s="1652">
        <v>1</v>
      </c>
      <c r="E23" s="1650">
        <f>SUMIFS(Cdlac[Quantity],Cdlac[Bedrooms],C23)</f>
        <v>111</v>
      </c>
      <c r="F23" s="1650">
        <f>E23</f>
        <v>111</v>
      </c>
      <c r="G23" s="1650">
        <f>D23*F23</f>
        <v>111</v>
      </c>
      <c r="L23" s="1602">
        <f>IFERROR(MIN(4,MATCH(Application!B731,UnitSizes,0)-1),"")</f>
        <v>1</v>
      </c>
      <c r="M23" s="1636">
        <f>Application!G731</f>
        <v>56</v>
      </c>
      <c r="N23" s="1638">
        <f>Application!AC731</f>
        <v>0.7</v>
      </c>
      <c r="O23" s="1638">
        <f>IF(Cdlac[[#This Row],[Quantity]]&gt;0,IF(Cdlac[[#This Row],[Federal]],30%,IF($G$36,40%,Cdlac[[#This Row],[iAMI]])),"")</f>
        <v>0.7</v>
      </c>
      <c r="P23" s="1636" cm="1">
        <f t="array" ref="P23">IF(Cdlac[[#This Row],[Quantity]]&gt;0,INDEX(TcacRents,$P$18,Cdlac[[#This Row],[Bedrooms]]+1)*Cdlac[[#This Row],[AMI]],"")</f>
        <v>1778</v>
      </c>
      <c r="Q23" s="1636" cm="1">
        <f t="array" ref="Q23">IF(Cdlac[[#This Row],[Quantity]]&gt;0,INDEX(HudFmrs,$P$18,Cdlac[[#This Row],[Bedrooms]]+1),"")</f>
        <v>1905</v>
      </c>
      <c r="R23" s="1636">
        <f>IF(Cdlac[[#This Row],[Quantity]]&gt;0,MAX(0,Cdlac[[#This Row],[Fair Market Rent]]-Cdlac[[#This Row],[Restricted Rent]]),"")</f>
        <v>127</v>
      </c>
      <c r="S23" s="1602">
        <f>IF(Cdlac[[#This Row],[Quantity]]&gt;0,AND(Application!AK731&lt;&gt;"N/A",Application!AK731&lt;&gt;"")*Cdlac[[#This Row],[Quantity]],"")</f>
        <v>0</v>
      </c>
      <c r="T23" s="1602" t="b">
        <f>AND('Subsidy Contract Calculation'!F7&gt;0,'Subsidy Contract Calculation'!C7="Federal",Cdlac[[#This Row],[Quantity]]&gt;0)</f>
        <v>0</v>
      </c>
    </row>
    <row r="24" spans="1:20" ht="15" customHeight="1">
      <c r="A24" s="1642"/>
      <c r="C24" s="1651">
        <v>2</v>
      </c>
      <c r="D24" s="1652">
        <v>1.25</v>
      </c>
      <c r="E24" s="1650">
        <f>SUMIFS(Cdlac[Quantity],Cdlac[Bedrooms],C24)</f>
        <v>53</v>
      </c>
      <c r="F24" s="1651">
        <f>SUM(E24:E26)-SUM(F25:F26)</f>
        <v>53</v>
      </c>
      <c r="G24" s="1650">
        <f>D24*F24</f>
        <v>66.25</v>
      </c>
      <c r="H24" s="1642"/>
      <c r="I24" s="1642"/>
      <c r="L24" s="1602">
        <f>IFERROR(MIN(4,MATCH(Application!B732,UnitSizes,0)-1),"")</f>
        <v>2</v>
      </c>
      <c r="M24" s="1636">
        <f>Application!G732</f>
        <v>6</v>
      </c>
      <c r="N24" s="1638">
        <f>Application!AC732</f>
        <v>0.3</v>
      </c>
      <c r="O24" s="1638">
        <f>IF(Cdlac[[#This Row],[Quantity]]&gt;0,IF(Cdlac[[#This Row],[Federal]],30%,IF($G$36,40%,Cdlac[[#This Row],[iAMI]])),"")</f>
        <v>0.3</v>
      </c>
      <c r="P24" s="1636" cm="1">
        <f t="array" ref="P24">IF(Cdlac[[#This Row],[Quantity]]&gt;0,INDEX(TcacRents,$P$18,Cdlac[[#This Row],[Bedrooms]]+1)*Cdlac[[#This Row],[AMI]],"")</f>
        <v>915</v>
      </c>
      <c r="Q24" s="1636" cm="1">
        <f t="array" ref="Q24">IF(Cdlac[[#This Row],[Quantity]]&gt;0,INDEX(HudFmrs,$P$18,Cdlac[[#This Row],[Bedrooms]]+1),"")</f>
        <v>2324</v>
      </c>
      <c r="R24" s="1636">
        <f>IF(Cdlac[[#This Row],[Quantity]]&gt;0,MAX(0,Cdlac[[#This Row],[Fair Market Rent]]-Cdlac[[#This Row],[Restricted Rent]]),"")</f>
        <v>1409</v>
      </c>
      <c r="S24" s="1602">
        <f>IF(Cdlac[[#This Row],[Quantity]]&gt;0,AND(Application!AK732&lt;&gt;"N/A",Application!AK732&lt;&gt;"")*Cdlac[[#This Row],[Quantity]],"")</f>
        <v>0</v>
      </c>
      <c r="T24" s="1602" t="b">
        <f>AND('Subsidy Contract Calculation'!F8&gt;0,'Subsidy Contract Calculation'!C8="Federal",Cdlac[[#This Row],[Quantity]]&gt;0)</f>
        <v>0</v>
      </c>
    </row>
    <row r="25" spans="1:20" ht="15" customHeight="1">
      <c r="A25" s="1642"/>
      <c r="C25" s="1651">
        <v>3</v>
      </c>
      <c r="D25" s="1652">
        <f>1.5+0.25*0</f>
        <v>1.5</v>
      </c>
      <c r="E25" s="1650">
        <f>SUMIFS(Cdlac[Quantity],Cdlac[Bedrooms],C25)</f>
        <v>0</v>
      </c>
      <c r="F25" s="1651">
        <f>MIN(E25,ROUNDDOWN(E27*30%,0))</f>
        <v>0</v>
      </c>
      <c r="G25" s="1650">
        <f>D25*F25</f>
        <v>0</v>
      </c>
      <c r="H25" s="1642"/>
      <c r="I25" s="1642"/>
      <c r="L25" s="1602">
        <f>IFERROR(MIN(4,MATCH(Application!B733,UnitSizes,0)-1),"")</f>
        <v>2</v>
      </c>
      <c r="M25" s="1636">
        <f>Application!G733</f>
        <v>11</v>
      </c>
      <c r="N25" s="1638">
        <f>Application!AC733</f>
        <v>0.5</v>
      </c>
      <c r="O25" s="1638">
        <f>IF(Cdlac[[#This Row],[Quantity]]&gt;0,IF(Cdlac[[#This Row],[Federal]],30%,IF($G$36,40%,Cdlac[[#This Row],[iAMI]])),"")</f>
        <v>0.5</v>
      </c>
      <c r="P25" s="1636" cm="1">
        <f t="array" ref="P25">IF(Cdlac[[#This Row],[Quantity]]&gt;0,INDEX(TcacRents,$P$18,Cdlac[[#This Row],[Bedrooms]]+1)*Cdlac[[#This Row],[AMI]],"")</f>
        <v>1525</v>
      </c>
      <c r="Q25" s="1636" cm="1">
        <f t="array" ref="Q25">IF(Cdlac[[#This Row],[Quantity]]&gt;0,INDEX(HudFmrs,$P$18,Cdlac[[#This Row],[Bedrooms]]+1),"")</f>
        <v>2324</v>
      </c>
      <c r="R25" s="1636">
        <f>IF(Cdlac[[#This Row],[Quantity]]&gt;0,MAX(0,Cdlac[[#This Row],[Fair Market Rent]]-Cdlac[[#This Row],[Restricted Rent]]),"")</f>
        <v>799</v>
      </c>
      <c r="S25" s="1602">
        <f>IF(Cdlac[[#This Row],[Quantity]]&gt;0,AND(Application!AK733&lt;&gt;"N/A",Application!AK733&lt;&gt;"")*Cdlac[[#This Row],[Quantity]],"")</f>
        <v>0</v>
      </c>
      <c r="T25" s="1602" t="b">
        <f>AND('Subsidy Contract Calculation'!F9&gt;0,'Subsidy Contract Calculation'!C9="Federal",Cdlac[[#This Row],[Quantity]]&gt;0)</f>
        <v>0</v>
      </c>
    </row>
    <row r="26" spans="1:20" ht="15" customHeight="1" thickBot="1">
      <c r="A26" s="1642"/>
      <c r="C26" s="1648">
        <v>4</v>
      </c>
      <c r="D26" s="1649">
        <f>1.75+0.25*0</f>
        <v>1.75</v>
      </c>
      <c r="E26" s="1647">
        <f>SUMIFS(Cdlac[Quantity],Cdlac[Bedrooms],C26)</f>
        <v>0</v>
      </c>
      <c r="F26" s="1648">
        <f>MIN(E26,ROUNDDOWN(E27*10%,0))</f>
        <v>0</v>
      </c>
      <c r="G26" s="1647">
        <f>D26*F26</f>
        <v>0</v>
      </c>
      <c r="H26" s="1642"/>
      <c r="I26" s="1642"/>
      <c r="L26" s="1602">
        <f>IFERROR(MIN(4,MATCH(Application!B734,UnitSizes,0)-1),"")</f>
        <v>2</v>
      </c>
      <c r="M26" s="1636">
        <f>Application!G734</f>
        <v>11</v>
      </c>
      <c r="N26" s="1638">
        <f>Application!AC734</f>
        <v>0.6</v>
      </c>
      <c r="O26" s="1638">
        <f>IF(Cdlac[[#This Row],[Quantity]]&gt;0,IF(Cdlac[[#This Row],[Federal]],30%,IF($G$36,40%,Cdlac[[#This Row],[iAMI]])),"")</f>
        <v>0.6</v>
      </c>
      <c r="P26" s="1636" cm="1">
        <f t="array" ref="P26">IF(Cdlac[[#This Row],[Quantity]]&gt;0,INDEX(TcacRents,$P$18,Cdlac[[#This Row],[Bedrooms]]+1)*Cdlac[[#This Row],[AMI]],"")</f>
        <v>1830</v>
      </c>
      <c r="Q26" s="1636" cm="1">
        <f t="array" ref="Q26">IF(Cdlac[[#This Row],[Quantity]]&gt;0,INDEX(HudFmrs,$P$18,Cdlac[[#This Row],[Bedrooms]]+1),"")</f>
        <v>2324</v>
      </c>
      <c r="R26" s="1636">
        <f>IF(Cdlac[[#This Row],[Quantity]]&gt;0,MAX(0,Cdlac[[#This Row],[Fair Market Rent]]-Cdlac[[#This Row],[Restricted Rent]]),"")</f>
        <v>494</v>
      </c>
      <c r="S26" s="1602">
        <f>IF(Cdlac[[#This Row],[Quantity]]&gt;0,AND(Application!AK734&lt;&gt;"N/A",Application!AK734&lt;&gt;"")*Cdlac[[#This Row],[Quantity]],"")</f>
        <v>0</v>
      </c>
      <c r="T26" s="1602" t="b">
        <f>AND('Subsidy Contract Calculation'!F10&gt;0,'Subsidy Contract Calculation'!C10="Federal",Cdlac[[#This Row],[Quantity]]&gt;0)</f>
        <v>0</v>
      </c>
    </row>
    <row r="27" spans="1:20" ht="15" customHeight="1">
      <c r="A27" s="1642"/>
      <c r="C27" s="3139" t="s">
        <v>1796</v>
      </c>
      <c r="D27" s="3140"/>
      <c r="E27" s="1646">
        <f>SUM(E22:E26)</f>
        <v>164</v>
      </c>
      <c r="F27" s="1646">
        <f>SUM(F22:F26)</f>
        <v>164</v>
      </c>
      <c r="G27" s="1645">
        <f>SUMPRODUCT(D22:D26,F22:F26)</f>
        <v>177.25</v>
      </c>
      <c r="H27" s="1642"/>
      <c r="I27" s="1642"/>
      <c r="L27" s="1602">
        <f>IFERROR(MIN(4,MATCH(Application!B735,UnitSizes,0)-1),"")</f>
        <v>2</v>
      </c>
      <c r="M27" s="1636">
        <f>Application!G735</f>
        <v>25</v>
      </c>
      <c r="N27" s="1638">
        <f>Application!AC735</f>
        <v>0.7</v>
      </c>
      <c r="O27" s="1638">
        <f>IF(Cdlac[[#This Row],[Quantity]]&gt;0,IF(Cdlac[[#This Row],[Federal]],30%,IF($G$36,40%,Cdlac[[#This Row],[iAMI]])),"")</f>
        <v>0.7</v>
      </c>
      <c r="P27" s="1636" cm="1">
        <f t="array" ref="P27">IF(Cdlac[[#This Row],[Quantity]]&gt;0,INDEX(TcacRents,$P$18,Cdlac[[#This Row],[Bedrooms]]+1)*Cdlac[[#This Row],[AMI]],"")</f>
        <v>2135</v>
      </c>
      <c r="Q27" s="1636" cm="1">
        <f t="array" ref="Q27">IF(Cdlac[[#This Row],[Quantity]]&gt;0,INDEX(HudFmrs,$P$18,Cdlac[[#This Row],[Bedrooms]]+1),"")</f>
        <v>2324</v>
      </c>
      <c r="R27" s="1636">
        <f>IF(Cdlac[[#This Row],[Quantity]]&gt;0,MAX(0,Cdlac[[#This Row],[Fair Market Rent]]-Cdlac[[#This Row],[Restricted Rent]]),"")</f>
        <v>189</v>
      </c>
      <c r="S27" s="1602">
        <f>IF(Cdlac[[#This Row],[Quantity]]&gt;0,AND(Application!AK735&lt;&gt;"N/A",Application!AK735&lt;&gt;"")*Cdlac[[#This Row],[Quantity]],"")</f>
        <v>0</v>
      </c>
      <c r="T27" s="1602" t="b">
        <f>AND('Subsidy Contract Calculation'!F11&gt;0,'Subsidy Contract Calculation'!C11="Federal",Cdlac[[#This Row],[Quantity]]&gt;0)</f>
        <v>0</v>
      </c>
    </row>
    <row r="28" spans="1:20" ht="15" customHeight="1">
      <c r="A28" s="1642"/>
      <c r="C28" s="1642"/>
      <c r="D28" s="1642"/>
      <c r="E28" s="1642"/>
      <c r="F28" s="1642"/>
      <c r="G28" s="1642"/>
      <c r="H28" s="1642"/>
      <c r="I28" s="1642"/>
      <c r="L28" s="1602" t="str">
        <f>IFERROR(MIN(4,MATCH(Application!B736,UnitSizes,0)-1),"")</f>
        <v/>
      </c>
      <c r="M28" s="1636">
        <f>Application!G736</f>
        <v>0</v>
      </c>
      <c r="N28" s="1638">
        <f>Application!AC736</f>
        <v>0</v>
      </c>
      <c r="O28" s="1638" t="str">
        <f>IF(Cdlac[[#This Row],[Quantity]]&gt;0,IF(Cdlac[[#This Row],[Federal]],30%,IF($G$36,40%,Cdlac[[#This Row],[iAMI]])),"")</f>
        <v/>
      </c>
      <c r="P28" s="1636" t="str" cm="1">
        <f t="array" ref="P28">IF(Cdlac[[#This Row],[Quantity]]&gt;0,INDEX(TcacRents,$P$18,Cdlac[[#This Row],[Bedrooms]]+1)*Cdlac[[#This Row],[AMI]],"")</f>
        <v/>
      </c>
      <c r="Q28" s="1636" t="str" cm="1">
        <f t="array" ref="Q28">IF(Cdlac[[#This Row],[Quantity]]&gt;0,INDEX(HudFmrs,$P$18,Cdlac[[#This Row],[Bedrooms]]+1),"")</f>
        <v/>
      </c>
      <c r="R28" s="1636" t="str">
        <f>IF(Cdlac[[#This Row],[Quantity]]&gt;0,MAX(0,Cdlac[[#This Row],[Fair Market Rent]]-Cdlac[[#This Row],[Restricted Rent]]),"")</f>
        <v/>
      </c>
      <c r="S28" s="1602" t="str">
        <f>IF(Cdlac[[#This Row],[Quantity]]&gt;0,AND(Application!AK736&lt;&gt;"N/A",Application!AK736&lt;&gt;"")*Cdlac[[#This Row],[Quantity]],"")</f>
        <v/>
      </c>
      <c r="T28" s="1602" t="b">
        <f>AND('Subsidy Contract Calculation'!F12&gt;0,'Subsidy Contract Calculation'!C12="Federal",Cdlac[[#This Row],[Quantity]]&gt;0)</f>
        <v>0</v>
      </c>
    </row>
    <row r="29" spans="1:20" ht="15" customHeight="1">
      <c r="A29" s="1642"/>
      <c r="E29" s="1634" t="s">
        <v>2467</v>
      </c>
      <c r="G29" s="1617">
        <f>G27</f>
        <v>177.25</v>
      </c>
      <c r="H29" s="1642"/>
      <c r="I29" s="1642"/>
      <c r="L29" s="1602" t="str">
        <f>IFERROR(MIN(4,MATCH(Application!B737,UnitSizes,0)-1),"")</f>
        <v/>
      </c>
      <c r="M29" s="1636">
        <f>Application!G737</f>
        <v>0</v>
      </c>
      <c r="N29" s="1638">
        <f>Application!AC737</f>
        <v>0</v>
      </c>
      <c r="O29" s="1638" t="str">
        <f>IF(Cdlac[[#This Row],[Quantity]]&gt;0,IF(Cdlac[[#This Row],[Federal]],30%,IF($G$36,40%,Cdlac[[#This Row],[iAMI]])),"")</f>
        <v/>
      </c>
      <c r="P29" s="1636" t="str" cm="1">
        <f t="array" ref="P29">IF(Cdlac[[#This Row],[Quantity]]&gt;0,INDEX(TcacRents,$P$18,Cdlac[[#This Row],[Bedrooms]]+1)*Cdlac[[#This Row],[AMI]],"")</f>
        <v/>
      </c>
      <c r="Q29" s="1636" t="str" cm="1">
        <f t="array" ref="Q29">IF(Cdlac[[#This Row],[Quantity]]&gt;0,INDEX(HudFmrs,$P$18,Cdlac[[#This Row],[Bedrooms]]+1),"")</f>
        <v/>
      </c>
      <c r="R29" s="1636" t="str">
        <f>IF(Cdlac[[#This Row],[Quantity]]&gt;0,MAX(0,Cdlac[[#This Row],[Fair Market Rent]]-Cdlac[[#This Row],[Restricted Rent]]),"")</f>
        <v/>
      </c>
      <c r="S29" s="1602" t="str">
        <f>IF(Cdlac[[#This Row],[Quantity]]&gt;0,AND(Application!AK737&lt;&gt;"N/A",Application!AK737&lt;&gt;"")*Cdlac[[#This Row],[Quantity]],"")</f>
        <v/>
      </c>
      <c r="T29" s="1602" t="b">
        <f>AND('Subsidy Contract Calculation'!F13&gt;0,'Subsidy Contract Calculation'!C13="Federal",Cdlac[[#This Row],[Quantity]]&gt;0)</f>
        <v>0</v>
      </c>
    </row>
    <row r="30" spans="1:20" ht="15" customHeight="1">
      <c r="A30" s="1642"/>
      <c r="E30" s="1634" t="s">
        <v>2417</v>
      </c>
      <c r="F30" s="1616" t="s">
        <v>2476</v>
      </c>
      <c r="G30" s="1644">
        <v>50000</v>
      </c>
      <c r="H30" s="1642"/>
      <c r="I30" s="1642"/>
      <c r="L30" s="1602" t="str">
        <f>IFERROR(MIN(4,MATCH(Application!B738,UnitSizes,0)-1),"")</f>
        <v/>
      </c>
      <c r="M30" s="1636">
        <f>Application!G738</f>
        <v>0</v>
      </c>
      <c r="N30" s="1638">
        <f>Application!AC738</f>
        <v>0</v>
      </c>
      <c r="O30" s="1638" t="str">
        <f>IF(Cdlac[[#This Row],[Quantity]]&gt;0,IF(Cdlac[[#This Row],[Federal]],30%,IF($G$36,40%,Cdlac[[#This Row],[iAMI]])),"")</f>
        <v/>
      </c>
      <c r="P30" s="1636" t="str" cm="1">
        <f t="array" ref="P30">IF(Cdlac[[#This Row],[Quantity]]&gt;0,INDEX(TcacRents,$P$18,Cdlac[[#This Row],[Bedrooms]]+1)*Cdlac[[#This Row],[AMI]],"")</f>
        <v/>
      </c>
      <c r="Q30" s="1636" t="str" cm="1">
        <f t="array" ref="Q30">IF(Cdlac[[#This Row],[Quantity]]&gt;0,INDEX(HudFmrs,$P$18,Cdlac[[#This Row],[Bedrooms]]+1),"")</f>
        <v/>
      </c>
      <c r="R30" s="1636" t="str">
        <f>IF(Cdlac[[#This Row],[Quantity]]&gt;0,MAX(0,Cdlac[[#This Row],[Fair Market Rent]]-Cdlac[[#This Row],[Restricted Rent]]),"")</f>
        <v/>
      </c>
      <c r="S30" s="1602" t="str">
        <f>IF(Cdlac[[#This Row],[Quantity]]&gt;0,AND(Application!AK738&lt;&gt;"N/A",Application!AK738&lt;&gt;"")*Cdlac[[#This Row],[Quantity]],"")</f>
        <v/>
      </c>
      <c r="T30" s="1602" t="b">
        <f>AND('Subsidy Contract Calculation'!F14&gt;0,'Subsidy Contract Calculation'!C14="Federal",Cdlac[[#This Row],[Quantity]]&gt;0)</f>
        <v>0</v>
      </c>
    </row>
    <row r="31" spans="1:20" ht="15" customHeight="1">
      <c r="A31" s="1642"/>
      <c r="E31" s="1607" t="s">
        <v>2460</v>
      </c>
      <c r="F31" s="1608"/>
      <c r="G31" s="1643">
        <f>G30*G29</f>
        <v>8862500</v>
      </c>
      <c r="H31" s="1642"/>
      <c r="I31" s="1642"/>
      <c r="L31" s="1602" t="str">
        <f>IFERROR(MIN(4,MATCH(Application!B739,UnitSizes,0)-1),"")</f>
        <v/>
      </c>
      <c r="M31" s="1636">
        <f>Application!G739</f>
        <v>0</v>
      </c>
      <c r="N31" s="1638">
        <f>Application!AC739</f>
        <v>0</v>
      </c>
      <c r="O31" s="1638" t="str">
        <f>IF(Cdlac[[#This Row],[Quantity]]&gt;0,IF(Cdlac[[#This Row],[Federal]],30%,IF($G$36,40%,Cdlac[[#This Row],[iAMI]])),"")</f>
        <v/>
      </c>
      <c r="P31" s="1636" t="str" cm="1">
        <f t="array" ref="P31">IF(Cdlac[[#This Row],[Quantity]]&gt;0,INDEX(TcacRents,$P$18,Cdlac[[#This Row],[Bedrooms]]+1)*Cdlac[[#This Row],[AMI]],"")</f>
        <v/>
      </c>
      <c r="Q31" s="1636" t="str" cm="1">
        <f t="array" ref="Q31">IF(Cdlac[[#This Row],[Quantity]]&gt;0,INDEX(HudFmrs,$P$18,Cdlac[[#This Row],[Bedrooms]]+1),"")</f>
        <v/>
      </c>
      <c r="R31" s="1636" t="str">
        <f>IF(Cdlac[[#This Row],[Quantity]]&gt;0,MAX(0,Cdlac[[#This Row],[Fair Market Rent]]-Cdlac[[#This Row],[Restricted Rent]]),"")</f>
        <v/>
      </c>
      <c r="S31" s="1602" t="str">
        <f>IF(Cdlac[[#This Row],[Quantity]]&gt;0,AND(Application!AK739&lt;&gt;"N/A",Application!AK739&lt;&gt;"")*Cdlac[[#This Row],[Quantity]],"")</f>
        <v/>
      </c>
      <c r="T31" s="1602" t="b">
        <f>AND('Subsidy Contract Calculation'!F15&gt;0,'Subsidy Contract Calculation'!C15="Federal",Cdlac[[#This Row],[Quantity]]&gt;0)</f>
        <v>0</v>
      </c>
    </row>
    <row r="32" spans="1:20" ht="15" customHeight="1">
      <c r="A32" s="1642"/>
      <c r="B32" s="1642"/>
      <c r="C32" s="1642"/>
      <c r="D32" s="1642"/>
      <c r="E32" s="1642"/>
      <c r="F32" s="1642"/>
      <c r="G32" s="1642"/>
      <c r="H32" s="1642"/>
      <c r="I32" s="1642"/>
      <c r="L32" s="1602" t="str">
        <f>IFERROR(MIN(4,MATCH(Application!B740,UnitSizes,0)-1),"")</f>
        <v/>
      </c>
      <c r="M32" s="1636">
        <f>Application!G740</f>
        <v>0</v>
      </c>
      <c r="N32" s="1638">
        <f>Application!AC740</f>
        <v>0</v>
      </c>
      <c r="O32" s="1638" t="str">
        <f>IF(Cdlac[[#This Row],[Quantity]]&gt;0,IF(Cdlac[[#This Row],[Federal]],30%,IF($G$36,40%,Cdlac[[#This Row],[iAMI]])),"")</f>
        <v/>
      </c>
      <c r="P32" s="1636" t="str" cm="1">
        <f t="array" ref="P32">IF(Cdlac[[#This Row],[Quantity]]&gt;0,INDEX(TcacRents,$P$18,Cdlac[[#This Row],[Bedrooms]]+1)*Cdlac[[#This Row],[AMI]],"")</f>
        <v/>
      </c>
      <c r="Q32" s="1636" t="str" cm="1">
        <f t="array" ref="Q32">IF(Cdlac[[#This Row],[Quantity]]&gt;0,INDEX(HudFmrs,$P$18,Cdlac[[#This Row],[Bedrooms]]+1),"")</f>
        <v/>
      </c>
      <c r="R32" s="1636" t="str">
        <f>IF(Cdlac[[#This Row],[Quantity]]&gt;0,MAX(0,Cdlac[[#This Row],[Fair Market Rent]]-Cdlac[[#This Row],[Restricted Rent]]),"")</f>
        <v/>
      </c>
      <c r="S32" s="1602" t="str">
        <f>IF(Cdlac[[#This Row],[Quantity]]&gt;0,AND(Application!AK740&lt;&gt;"N/A",Application!AK740&lt;&gt;"")*Cdlac[[#This Row],[Quantity]],"")</f>
        <v/>
      </c>
      <c r="T32" s="1602" t="b">
        <f>AND('Subsidy Contract Calculation'!F16&gt;0,'Subsidy Contract Calculation'!C16="Federal",Cdlac[[#This Row],[Quantity]]&gt;0)</f>
        <v>0</v>
      </c>
    </row>
    <row r="33" spans="2:20" ht="15" customHeight="1">
      <c r="B33" s="1613" t="str">
        <f>B10</f>
        <v>B. Rent Savings Benefit</v>
      </c>
      <c r="C33" s="1612"/>
      <c r="D33" s="1612"/>
      <c r="E33" s="1612"/>
      <c r="F33" s="1612"/>
      <c r="G33" s="1612"/>
      <c r="H33" s="1612"/>
      <c r="I33" s="1611"/>
      <c r="L33" s="1602" t="str">
        <f>IFERROR(MIN(4,MATCH(Application!B741,UnitSizes,0)-1),"")</f>
        <v/>
      </c>
      <c r="M33" s="1636">
        <f>Application!G741</f>
        <v>0</v>
      </c>
      <c r="N33" s="1638">
        <f>Application!AC741</f>
        <v>0</v>
      </c>
      <c r="O33" s="1638" t="str">
        <f>IF(Cdlac[[#This Row],[Quantity]]&gt;0,IF(Cdlac[[#This Row],[Federal]],30%,IF($G$36,40%,Cdlac[[#This Row],[iAMI]])),"")</f>
        <v/>
      </c>
      <c r="P33" s="1636" t="str" cm="1">
        <f t="array" ref="P33">IF(Cdlac[[#This Row],[Quantity]]&gt;0,INDEX(TcacRents,$P$18,Cdlac[[#This Row],[Bedrooms]]+1)*Cdlac[[#This Row],[AMI]],"")</f>
        <v/>
      </c>
      <c r="Q33" s="1636" t="str" cm="1">
        <f t="array" ref="Q33">IF(Cdlac[[#This Row],[Quantity]]&gt;0,INDEX(HudFmrs,$P$18,Cdlac[[#This Row],[Bedrooms]]+1),"")</f>
        <v/>
      </c>
      <c r="R33" s="1636" t="str">
        <f>IF(Cdlac[[#This Row],[Quantity]]&gt;0,MAX(0,Cdlac[[#This Row],[Fair Market Rent]]-Cdlac[[#This Row],[Restricted Rent]]),"")</f>
        <v/>
      </c>
      <c r="S33" s="1602" t="str">
        <f>IF(Cdlac[[#This Row],[Quantity]]&gt;0,AND(Application!AK741&lt;&gt;"N/A",Application!AK741&lt;&gt;"")*Cdlac[[#This Row],[Quantity]],"")</f>
        <v/>
      </c>
      <c r="T33" s="1602" t="b">
        <f>AND('Subsidy Contract Calculation'!F17&gt;0,'Subsidy Contract Calculation'!C17="Federal",Cdlac[[#This Row],[Quantity]]&gt;0)</f>
        <v>0</v>
      </c>
    </row>
    <row r="34" spans="2:20" ht="15" customHeight="1">
      <c r="L34" s="1602" t="str">
        <f>IFERROR(MIN(4,MATCH(Application!B742,UnitSizes,0)-1),"")</f>
        <v/>
      </c>
      <c r="M34" s="1636">
        <f>Application!G742</f>
        <v>0</v>
      </c>
      <c r="N34" s="1638">
        <f>Application!AC742</f>
        <v>0</v>
      </c>
      <c r="O34" s="1638" t="str">
        <f>IF(Cdlac[[#This Row],[Quantity]]&gt;0,IF(Cdlac[[#This Row],[Federal]],30%,IF($G$36,40%,Cdlac[[#This Row],[iAMI]])),"")</f>
        <v/>
      </c>
      <c r="P34" s="1636" t="str" cm="1">
        <f t="array" ref="P34">IF(Cdlac[[#This Row],[Quantity]]&gt;0,INDEX(TcacRents,$P$18,Cdlac[[#This Row],[Bedrooms]]+1)*Cdlac[[#This Row],[AMI]],"")</f>
        <v/>
      </c>
      <c r="Q34" s="1636" t="str" cm="1">
        <f t="array" ref="Q34">IF(Cdlac[[#This Row],[Quantity]]&gt;0,INDEX(HudFmrs,$P$18,Cdlac[[#This Row],[Bedrooms]]+1),"")</f>
        <v/>
      </c>
      <c r="R34" s="1636" t="str">
        <f>IF(Cdlac[[#This Row],[Quantity]]&gt;0,MAX(0,Cdlac[[#This Row],[Fair Market Rent]]-Cdlac[[#This Row],[Restricted Rent]]),"")</f>
        <v/>
      </c>
      <c r="S34" s="1602" t="str">
        <f>IF(Cdlac[[#This Row],[Quantity]]&gt;0,AND(Application!AK742&lt;&gt;"N/A",Application!AK742&lt;&gt;"")*Cdlac[[#This Row],[Quantity]],"")</f>
        <v/>
      </c>
      <c r="T34" s="1602" t="b">
        <f>AND('Subsidy Contract Calculation'!F18&gt;0,'Subsidy Contract Calculation'!C18="Federal",Cdlac[[#This Row],[Quantity]]&gt;0)</f>
        <v>0</v>
      </c>
    </row>
    <row r="35" spans="2:20" ht="15" customHeight="1">
      <c r="E35" s="1610" t="s">
        <v>2487</v>
      </c>
      <c r="G35" s="1641" cm="1">
        <f t="array" ref="G35">SUMPRODUCT(Cdlac[Quantity],Cdlac[iAMI],IF(Cdlac[Federal],0,1))/SUMIFS(Cdlac[Quantity],Cdlac[Federal],FALSE)</f>
        <v>0.59817073170731694</v>
      </c>
      <c r="L35" s="1602" t="str">
        <f>IFERROR(MIN(4,MATCH(Application!B743,UnitSizes,0)-1),"")</f>
        <v/>
      </c>
      <c r="M35" s="1636">
        <f>Application!G743</f>
        <v>0</v>
      </c>
      <c r="N35" s="1638">
        <f>Application!AC743</f>
        <v>0</v>
      </c>
      <c r="O35" s="1638" t="str">
        <f>IF(Cdlac[[#This Row],[Quantity]]&gt;0,IF(Cdlac[[#This Row],[Federal]],30%,IF($G$36,40%,Cdlac[[#This Row],[iAMI]])),"")</f>
        <v/>
      </c>
      <c r="P35" s="1636" t="str" cm="1">
        <f t="array" ref="P35">IF(Cdlac[[#This Row],[Quantity]]&gt;0,INDEX(TcacRents,$P$18,Cdlac[[#This Row],[Bedrooms]]+1)*Cdlac[[#This Row],[AMI]],"")</f>
        <v/>
      </c>
      <c r="Q35" s="1636" t="str" cm="1">
        <f t="array" ref="Q35">IF(Cdlac[[#This Row],[Quantity]]&gt;0,INDEX(HudFmrs,$P$18,Cdlac[[#This Row],[Bedrooms]]+1),"")</f>
        <v/>
      </c>
      <c r="R35" s="1636" t="str">
        <f>IF(Cdlac[[#This Row],[Quantity]]&gt;0,MAX(0,Cdlac[[#This Row],[Fair Market Rent]]-Cdlac[[#This Row],[Restricted Rent]]),"")</f>
        <v/>
      </c>
      <c r="S35" s="1602" t="str">
        <f>IF(Cdlac[[#This Row],[Quantity]]&gt;0,AND(Application!AK743&lt;&gt;"N/A",Application!AK743&lt;&gt;"")*Cdlac[[#This Row],[Quantity]],"")</f>
        <v/>
      </c>
      <c r="T35" s="1602" t="b">
        <f>AND('Subsidy Contract Calculation'!F19&gt;0,'Subsidy Contract Calculation'!C19="Federal",Cdlac[[#This Row],[Quantity]]&gt;0)</f>
        <v>0</v>
      </c>
    </row>
    <row r="36" spans="2:20" ht="15" customHeight="1">
      <c r="E36" s="1610" t="s">
        <v>2482</v>
      </c>
      <c r="G36" s="1624" t="b">
        <f>G35&lt;40%</f>
        <v>0</v>
      </c>
      <c r="L36" s="1602" t="str">
        <f>IFERROR(MIN(4,MATCH(Application!B744,UnitSizes,0)-1),"")</f>
        <v/>
      </c>
      <c r="M36" s="1636">
        <f>Application!G744</f>
        <v>0</v>
      </c>
      <c r="N36" s="1638">
        <f>Application!AC744</f>
        <v>0</v>
      </c>
      <c r="O36" s="1638" t="str">
        <f>IF(Cdlac[[#This Row],[Quantity]]&gt;0,IF(Cdlac[[#This Row],[Federal]],30%,IF($G$36,40%,Cdlac[[#This Row],[iAMI]])),"")</f>
        <v/>
      </c>
      <c r="P36" s="1636" t="str" cm="1">
        <f t="array" ref="P36">IF(Cdlac[[#This Row],[Quantity]]&gt;0,INDEX(TcacRents,$P$18,Cdlac[[#This Row],[Bedrooms]]+1)*Cdlac[[#This Row],[AMI]],"")</f>
        <v/>
      </c>
      <c r="Q36" s="1636" t="str" cm="1">
        <f t="array" ref="Q36">IF(Cdlac[[#This Row],[Quantity]]&gt;0,INDEX(HudFmrs,$P$18,Cdlac[[#This Row],[Bedrooms]]+1),"")</f>
        <v/>
      </c>
      <c r="R36" s="1636" t="str">
        <f>IF(Cdlac[[#This Row],[Quantity]]&gt;0,MAX(0,Cdlac[[#This Row],[Fair Market Rent]]-Cdlac[[#This Row],[Restricted Rent]]),"")</f>
        <v/>
      </c>
      <c r="S36" s="1602" t="str">
        <f>IF(Cdlac[[#This Row],[Quantity]]&gt;0,AND(Application!AK744&lt;&gt;"N/A",Application!AK744&lt;&gt;"")*Cdlac[[#This Row],[Quantity]],"")</f>
        <v/>
      </c>
      <c r="T36" s="1602" t="b">
        <f>AND('Subsidy Contract Calculation'!F20&gt;0,'Subsidy Contract Calculation'!C20="Federal",Cdlac[[#This Row],[Quantity]]&gt;0)</f>
        <v>0</v>
      </c>
    </row>
    <row r="37" spans="2:20" ht="15" customHeight="1">
      <c r="L37" s="1602" t="str">
        <f>IFERROR(MIN(4,MATCH(Application!B745,UnitSizes,0)-1),"")</f>
        <v/>
      </c>
      <c r="M37" s="1636">
        <f>Application!G745</f>
        <v>0</v>
      </c>
      <c r="N37" s="1638">
        <f>Application!AC745</f>
        <v>0</v>
      </c>
      <c r="O37" s="1638" t="str">
        <f>IF(Cdlac[[#This Row],[Quantity]]&gt;0,IF(Cdlac[[#This Row],[Federal]],30%,IF($G$36,40%,Cdlac[[#This Row],[iAMI]])),"")</f>
        <v/>
      </c>
      <c r="P37" s="1636" t="str" cm="1">
        <f t="array" ref="P37">IF(Cdlac[[#This Row],[Quantity]]&gt;0,INDEX(TcacRents,$P$18,Cdlac[[#This Row],[Bedrooms]]+1)*Cdlac[[#This Row],[AMI]],"")</f>
        <v/>
      </c>
      <c r="Q37" s="1636" t="str" cm="1">
        <f t="array" ref="Q37">IF(Cdlac[[#This Row],[Quantity]]&gt;0,INDEX(HudFmrs,$P$18,Cdlac[[#This Row],[Bedrooms]]+1),"")</f>
        <v/>
      </c>
      <c r="R37" s="1636" t="str">
        <f>IF(Cdlac[[#This Row],[Quantity]]&gt;0,MAX(0,Cdlac[[#This Row],[Fair Market Rent]]-Cdlac[[#This Row],[Restricted Rent]]),"")</f>
        <v/>
      </c>
      <c r="S37" s="1602" t="str">
        <f>IF(Cdlac[[#This Row],[Quantity]]&gt;0,AND(Application!AK745&lt;&gt;"N/A",Application!AK745&lt;&gt;"")*Cdlac[[#This Row],[Quantity]],"")</f>
        <v/>
      </c>
      <c r="T37" s="1602" t="b">
        <f>AND('Subsidy Contract Calculation'!F21&gt;0,'Subsidy Contract Calculation'!C21="Federal",Cdlac[[#This Row],[Quantity]]&gt;0)</f>
        <v>0</v>
      </c>
    </row>
    <row r="38" spans="2:20" ht="15" customHeight="1">
      <c r="E38" s="1610" t="s">
        <v>2421</v>
      </c>
      <c r="G38" s="1609">
        <f>SUMPRODUCT(Cdlac[Quantity],Cdlac[Delta])</f>
        <v>69439</v>
      </c>
      <c r="L38" s="1602" t="str">
        <f>IFERROR(MIN(4,MATCH(Application!B746,UnitSizes,0)-1),"")</f>
        <v/>
      </c>
      <c r="M38" s="1636">
        <f>Application!G746</f>
        <v>0</v>
      </c>
      <c r="N38" s="1638">
        <f>Application!AC746</f>
        <v>0</v>
      </c>
      <c r="O38" s="1638" t="str">
        <f>IF(Cdlac[[#This Row],[Quantity]]&gt;0,IF(Cdlac[[#This Row],[Federal]],30%,IF($G$36,40%,Cdlac[[#This Row],[iAMI]])),"")</f>
        <v/>
      </c>
      <c r="P38" s="1636" t="str" cm="1">
        <f t="array" ref="P38">IF(Cdlac[[#This Row],[Quantity]]&gt;0,INDEX(TcacRents,$P$18,Cdlac[[#This Row],[Bedrooms]]+1)*Cdlac[[#This Row],[AMI]],"")</f>
        <v/>
      </c>
      <c r="Q38" s="1636" t="str" cm="1">
        <f t="array" ref="Q38">IF(Cdlac[[#This Row],[Quantity]]&gt;0,INDEX(HudFmrs,$P$18,Cdlac[[#This Row],[Bedrooms]]+1),"")</f>
        <v/>
      </c>
      <c r="R38" s="1636" t="str">
        <f>IF(Cdlac[[#This Row],[Quantity]]&gt;0,MAX(0,Cdlac[[#This Row],[Fair Market Rent]]-Cdlac[[#This Row],[Restricted Rent]]),"")</f>
        <v/>
      </c>
      <c r="S38" s="1602" t="str">
        <f>IF(Cdlac[[#This Row],[Quantity]]&gt;0,AND(Application!AK746&lt;&gt;"N/A",Application!AK746&lt;&gt;"")*Cdlac[[#This Row],[Quantity]],"")</f>
        <v/>
      </c>
      <c r="T38" s="1602" t="b">
        <f>AND('Subsidy Contract Calculation'!F22&gt;0,'Subsidy Contract Calculation'!C22="Federal",Cdlac[[#This Row],[Quantity]]&gt;0)</f>
        <v>0</v>
      </c>
    </row>
    <row r="39" spans="2:20" ht="15" customHeight="1">
      <c r="E39" s="1634" t="s">
        <v>2488</v>
      </c>
      <c r="F39" s="1616" t="s">
        <v>2476</v>
      </c>
      <c r="G39" s="1640">
        <f>12*15</f>
        <v>180</v>
      </c>
      <c r="L39" s="1602" t="str">
        <f>IFERROR(MIN(4,MATCH(Application!B747,UnitSizes,0)-1),"")</f>
        <v/>
      </c>
      <c r="M39" s="1636">
        <f>Application!G747</f>
        <v>0</v>
      </c>
      <c r="N39" s="1638">
        <f>Application!AC747</f>
        <v>0</v>
      </c>
      <c r="O39" s="1638" t="str">
        <f>IF(Cdlac[[#This Row],[Quantity]]&gt;0,IF(Cdlac[[#This Row],[Federal]],30%,IF($G$36,40%,Cdlac[[#This Row],[iAMI]])),"")</f>
        <v/>
      </c>
      <c r="P39" s="1636" t="str" cm="1">
        <f t="array" ref="P39">IF(Cdlac[[#This Row],[Quantity]]&gt;0,INDEX(TcacRents,$P$18,Cdlac[[#This Row],[Bedrooms]]+1)*Cdlac[[#This Row],[AMI]],"")</f>
        <v/>
      </c>
      <c r="Q39" s="1636" t="str" cm="1">
        <f t="array" ref="Q39">IF(Cdlac[[#This Row],[Quantity]]&gt;0,INDEX(HudFmrs,$P$18,Cdlac[[#This Row],[Bedrooms]]+1),"")</f>
        <v/>
      </c>
      <c r="R39" s="1636" t="str">
        <f>IF(Cdlac[[#This Row],[Quantity]]&gt;0,MAX(0,Cdlac[[#This Row],[Fair Market Rent]]-Cdlac[[#This Row],[Restricted Rent]]),"")</f>
        <v/>
      </c>
      <c r="S39" s="1602" t="str">
        <f>IF(Cdlac[[#This Row],[Quantity]]&gt;0,AND(Application!AK747&lt;&gt;"N/A",Application!AK747&lt;&gt;"")*Cdlac[[#This Row],[Quantity]],"")</f>
        <v/>
      </c>
      <c r="T39" s="1602" t="b">
        <f>AND('Subsidy Contract Calculation'!F23&gt;0,'Subsidy Contract Calculation'!C23="Federal",Cdlac[[#This Row],[Quantity]]&gt;0)</f>
        <v>0</v>
      </c>
    </row>
    <row r="40" spans="2:20" ht="15" customHeight="1">
      <c r="E40" s="1639" t="s">
        <v>2414</v>
      </c>
      <c r="F40" s="1608"/>
      <c r="G40" s="1614">
        <f>G38*G39</f>
        <v>12499020</v>
      </c>
      <c r="L40" s="1602" t="str">
        <f>IFERROR(MIN(4,MATCH(Application!B748,UnitSizes,0)-1),"")</f>
        <v/>
      </c>
      <c r="M40" s="1636">
        <f>Application!G748</f>
        <v>0</v>
      </c>
      <c r="N40" s="1638">
        <f>Application!AC748</f>
        <v>0</v>
      </c>
      <c r="O40" s="1638" t="str">
        <f>IF(Cdlac[[#This Row],[Quantity]]&gt;0,IF(Cdlac[[#This Row],[Federal]],30%,IF($G$36,40%,Cdlac[[#This Row],[iAMI]])),"")</f>
        <v/>
      </c>
      <c r="P40" s="1636" t="str" cm="1">
        <f t="array" ref="P40">IF(Cdlac[[#This Row],[Quantity]]&gt;0,INDEX(TcacRents,$P$18,Cdlac[[#This Row],[Bedrooms]]+1)*Cdlac[[#This Row],[AMI]],"")</f>
        <v/>
      </c>
      <c r="Q40" s="1636" t="str" cm="1">
        <f t="array" ref="Q40">IF(Cdlac[[#This Row],[Quantity]]&gt;0,INDEX(HudFmrs,$P$18,Cdlac[[#This Row],[Bedrooms]]+1),"")</f>
        <v/>
      </c>
      <c r="R40" s="1636" t="str">
        <f>IF(Cdlac[[#This Row],[Quantity]]&gt;0,MAX(0,Cdlac[[#This Row],[Fair Market Rent]]-Cdlac[[#This Row],[Restricted Rent]]),"")</f>
        <v/>
      </c>
      <c r="S40" s="1602" t="str">
        <f>IF(Cdlac[[#This Row],[Quantity]]&gt;0,AND(Application!AK748&lt;&gt;"N/A",Application!AK748&lt;&gt;"")*Cdlac[[#This Row],[Quantity]],"")</f>
        <v/>
      </c>
      <c r="T40" s="1602" t="b">
        <f>AND('Subsidy Contract Calculation'!F24&gt;0,'Subsidy Contract Calculation'!C24="Federal",Cdlac[[#This Row],[Quantity]]&gt;0)</f>
        <v>0</v>
      </c>
    </row>
    <row r="41" spans="2:20" ht="15" customHeight="1">
      <c r="L41" s="1602" t="str">
        <f>IFERROR(MIN(4,MATCH(Application!B749,UnitSizes,0)-1),"")</f>
        <v/>
      </c>
      <c r="M41" s="1636">
        <f>Application!G749</f>
        <v>0</v>
      </c>
      <c r="N41" s="1638">
        <f>Application!AC749</f>
        <v>0</v>
      </c>
      <c r="O41" s="1638" t="str">
        <f>IF(Cdlac[[#This Row],[Quantity]]&gt;0,IF(Cdlac[[#This Row],[Federal]],30%,IF($G$36,40%,Cdlac[[#This Row],[iAMI]])),"")</f>
        <v/>
      </c>
      <c r="P41" s="1636" t="str" cm="1">
        <f t="array" ref="P41">IF(Cdlac[[#This Row],[Quantity]]&gt;0,INDEX(TcacRents,$P$18,Cdlac[[#This Row],[Bedrooms]]+1)*Cdlac[[#This Row],[AMI]],"")</f>
        <v/>
      </c>
      <c r="Q41" s="1636" t="str" cm="1">
        <f t="array" ref="Q41">IF(Cdlac[[#This Row],[Quantity]]&gt;0,INDEX(HudFmrs,$P$18,Cdlac[[#This Row],[Bedrooms]]+1),"")</f>
        <v/>
      </c>
      <c r="R41" s="1636" t="str">
        <f>IF(Cdlac[[#This Row],[Quantity]]&gt;0,MAX(0,Cdlac[[#This Row],[Fair Market Rent]]-Cdlac[[#This Row],[Restricted Rent]]),"")</f>
        <v/>
      </c>
      <c r="S41" s="1602" t="str">
        <f>IF(Cdlac[[#This Row],[Quantity]]&gt;0,AND(Application!AK749&lt;&gt;"N/A",Application!AK749&lt;&gt;"")*Cdlac[[#This Row],[Quantity]],"")</f>
        <v/>
      </c>
      <c r="T41" s="1602" t="b">
        <f>AND('Subsidy Contract Calculation'!F25&gt;0,'Subsidy Contract Calculation'!C25="Federal",Cdlac[[#This Row],[Quantity]]&gt;0)</f>
        <v>0</v>
      </c>
    </row>
    <row r="42" spans="2:20" ht="15" customHeight="1">
      <c r="B42" s="1613" t="str">
        <f>B11</f>
        <v>C. Special Needs Population Benefit</v>
      </c>
      <c r="C42" s="1612"/>
      <c r="D42" s="1612"/>
      <c r="E42" s="1612"/>
      <c r="F42" s="1612"/>
      <c r="G42" s="1612"/>
      <c r="H42" s="1612"/>
      <c r="I42" s="1611"/>
      <c r="L42" s="1602" t="str">
        <f>IFERROR(MIN(4,MATCH(Application!B750,UnitSizes,0)-1),"")</f>
        <v/>
      </c>
      <c r="M42" s="1636">
        <f>Application!G750</f>
        <v>0</v>
      </c>
      <c r="N42" s="1638">
        <f>Application!AC750</f>
        <v>0</v>
      </c>
      <c r="O42" s="1638" t="str">
        <f>IF(Cdlac[[#This Row],[Quantity]]&gt;0,IF(Cdlac[[#This Row],[Federal]],30%,IF($G$36,40%,Cdlac[[#This Row],[iAMI]])),"")</f>
        <v/>
      </c>
      <c r="P42" s="1636" t="str" cm="1">
        <f t="array" ref="P42">IF(Cdlac[[#This Row],[Quantity]]&gt;0,INDEX(TcacRents,$P$18,Cdlac[[#This Row],[Bedrooms]]+1)*Cdlac[[#This Row],[AMI]],"")</f>
        <v/>
      </c>
      <c r="Q42" s="1636" t="str" cm="1">
        <f t="array" ref="Q42">IF(Cdlac[[#This Row],[Quantity]]&gt;0,INDEX(HudFmrs,$P$18,Cdlac[[#This Row],[Bedrooms]]+1),"")</f>
        <v/>
      </c>
      <c r="R42" s="1636" t="str">
        <f>IF(Cdlac[[#This Row],[Quantity]]&gt;0,MAX(0,Cdlac[[#This Row],[Fair Market Rent]]-Cdlac[[#This Row],[Restricted Rent]]),"")</f>
        <v/>
      </c>
      <c r="S42" s="1602" t="str">
        <f>IF(Cdlac[[#This Row],[Quantity]]&gt;0,AND(Application!AK750&lt;&gt;"N/A",Application!AK750&lt;&gt;"")*Cdlac[[#This Row],[Quantity]],"")</f>
        <v/>
      </c>
      <c r="T42" s="1602" t="b">
        <f>AND('Subsidy Contract Calculation'!F26&gt;0,'Subsidy Contract Calculation'!C26="Federal",Cdlac[[#This Row],[Quantity]]&gt;0)</f>
        <v>0</v>
      </c>
    </row>
    <row r="43" spans="2:20" ht="15" customHeight="1">
      <c r="L43" s="1602" t="str">
        <f>IFERROR(MIN(4,MATCH(Application!B751,UnitSizes,0)-1),"")</f>
        <v/>
      </c>
      <c r="M43" s="1636">
        <f>Application!G751</f>
        <v>0</v>
      </c>
      <c r="N43" s="1638">
        <f>Application!AC751</f>
        <v>0</v>
      </c>
      <c r="O43" s="1638" t="str">
        <f>IF(Cdlac[[#This Row],[Quantity]]&gt;0,IF(Cdlac[[#This Row],[Federal]],30%,IF($G$36,40%,Cdlac[[#This Row],[iAMI]])),"")</f>
        <v/>
      </c>
      <c r="P43" s="1636" t="str" cm="1">
        <f t="array" ref="P43">IF(Cdlac[[#This Row],[Quantity]]&gt;0,INDEX(TcacRents,$P$18,Cdlac[[#This Row],[Bedrooms]]+1)*Cdlac[[#This Row],[AMI]],"")</f>
        <v/>
      </c>
      <c r="Q43" s="1636" t="str" cm="1">
        <f t="array" ref="Q43">IF(Cdlac[[#This Row],[Quantity]]&gt;0,INDEX(HudFmrs,$P$18,Cdlac[[#This Row],[Bedrooms]]+1),"")</f>
        <v/>
      </c>
      <c r="R43" s="1636" t="str">
        <f>IF(Cdlac[[#This Row],[Quantity]]&gt;0,MAX(0,Cdlac[[#This Row],[Fair Market Rent]]-Cdlac[[#This Row],[Restricted Rent]]),"")</f>
        <v/>
      </c>
      <c r="S43" s="1602" t="str">
        <f>IF(Cdlac[[#This Row],[Quantity]]&gt;0,AND(Application!AK751&lt;&gt;"N/A",Application!AK751&lt;&gt;"")*Cdlac[[#This Row],[Quantity]],"")</f>
        <v/>
      </c>
      <c r="T43" s="1602" t="b">
        <f>AND('Subsidy Contract Calculation'!F27&gt;0,'Subsidy Contract Calculation'!C27="Federal",Cdlac[[#This Row],[Quantity]]&gt;0)</f>
        <v>0</v>
      </c>
    </row>
    <row r="44" spans="2:20" ht="15" customHeight="1">
      <c r="E44" s="1634" t="s">
        <v>2477</v>
      </c>
      <c r="G44" s="1635">
        <f>S18</f>
        <v>0</v>
      </c>
      <c r="L44" s="1602" t="str">
        <f>IFERROR(MIN(4,MATCH(Application!B752,UnitSizes,0)-1),"")</f>
        <v/>
      </c>
      <c r="M44" s="1636">
        <f>Application!G752</f>
        <v>0</v>
      </c>
      <c r="N44" s="1638">
        <f>Application!AC752</f>
        <v>0</v>
      </c>
      <c r="O44" s="1637" t="str">
        <f>IF(Cdlac[[#This Row],[Quantity]]&gt;0,IF(Cdlac[[#This Row],[Federal]],30%,IF($G$36,40%,Cdlac[[#This Row],[iAMI]])),"")</f>
        <v/>
      </c>
      <c r="P44" s="1636" t="str" cm="1">
        <f t="array" ref="P44">IF(Cdlac[[#This Row],[Quantity]]&gt;0,INDEX(TcacRents,$P$18,Cdlac[[#This Row],[Bedrooms]]+1)*Cdlac[[#This Row],[AMI]],"")</f>
        <v/>
      </c>
      <c r="Q44" s="1636" t="str" cm="1">
        <f t="array" ref="Q44">IF(Cdlac[[#This Row],[Quantity]]&gt;0,INDEX(HudFmrs,$P$18,Cdlac[[#This Row],[Bedrooms]]+1),"")</f>
        <v/>
      </c>
      <c r="R44" s="1636" t="str">
        <f>IF(Cdlac[[#This Row],[Quantity]]&gt;0,MAX(0,Cdlac[[#This Row],[Fair Market Rent]]-Cdlac[[#This Row],[Restricted Rent]]),"")</f>
        <v/>
      </c>
      <c r="S44" s="1602" t="str">
        <f>IF(Cdlac[[#This Row],[Quantity]]&gt;0,AND(Application!AK752&lt;&gt;"N/A",Application!AK752&lt;&gt;"")*Cdlac[[#This Row],[Quantity]],"")</f>
        <v/>
      </c>
      <c r="T44" s="1602" t="b">
        <f>AND('Subsidy Contract Calculation'!F28&gt;0,'Subsidy Contract Calculation'!C28="Federal",Cdlac[[#This Row],[Quantity]]&gt;0)</f>
        <v>0</v>
      </c>
    </row>
    <row r="45" spans="2:20" ht="15" customHeight="1">
      <c r="E45" s="1634" t="s">
        <v>2478</v>
      </c>
      <c r="G45" s="1635">
        <f>ROUNDDOWN(E27*50%,0)</f>
        <v>82</v>
      </c>
    </row>
    <row r="46" spans="2:20" ht="15" customHeight="1">
      <c r="E46" s="1634"/>
      <c r="G46" s="1635"/>
    </row>
    <row r="47" spans="2:20" ht="15" customHeight="1">
      <c r="E47" s="1634" t="s">
        <v>2427</v>
      </c>
      <c r="G47" s="1617">
        <f>MIN(G44:G45)</f>
        <v>0</v>
      </c>
    </row>
    <row r="48" spans="2:20" ht="15" customHeight="1">
      <c r="E48" s="1634" t="s">
        <v>2417</v>
      </c>
      <c r="F48" s="1616" t="s">
        <v>2476</v>
      </c>
      <c r="G48" s="1626">
        <v>10000</v>
      </c>
    </row>
    <row r="49" spans="2:14" ht="15" customHeight="1">
      <c r="E49" s="1607" t="s">
        <v>2459</v>
      </c>
      <c r="F49" s="1608"/>
      <c r="G49" s="1614">
        <f>G47*G48</f>
        <v>0</v>
      </c>
    </row>
    <row r="50" spans="2:14" ht="15" customHeight="1"/>
    <row r="51" spans="2:14" ht="15" customHeight="1">
      <c r="B51" s="1613" t="str">
        <f>B12</f>
        <v>D. Extremely Low Income Benefit</v>
      </c>
      <c r="C51" s="1612"/>
      <c r="D51" s="1612"/>
      <c r="E51" s="1612"/>
      <c r="F51" s="1612"/>
      <c r="G51" s="1612"/>
      <c r="H51" s="1612"/>
      <c r="I51" s="1611"/>
    </row>
    <row r="52" spans="2:14" ht="15" customHeight="1"/>
    <row r="53" spans="2:14" ht="15" customHeight="1">
      <c r="E53" s="1634" t="s">
        <v>2479</v>
      </c>
      <c r="G53" s="1618">
        <f>SUMIFS(Cdlac[Quantity],Cdlac[iAMI],"&lt;=30%")</f>
        <v>17</v>
      </c>
    </row>
    <row r="54" spans="2:14" ht="15" customHeight="1">
      <c r="E54" s="1634" t="s">
        <v>2478</v>
      </c>
      <c r="G54" s="1618">
        <f>ROUNDDOWN(E27*50%,0)</f>
        <v>82</v>
      </c>
    </row>
    <row r="55" spans="2:14" ht="15" customHeight="1">
      <c r="E55" s="1634"/>
      <c r="G55" s="1618"/>
    </row>
    <row r="56" spans="2:14" ht="15" customHeight="1">
      <c r="E56" s="1634" t="s">
        <v>2427</v>
      </c>
      <c r="G56" s="1617">
        <f>MIN(G53:G54)</f>
        <v>17</v>
      </c>
    </row>
    <row r="57" spans="2:14" ht="15" customHeight="1">
      <c r="E57" s="1634" t="s">
        <v>2417</v>
      </c>
      <c r="F57" s="1616" t="s">
        <v>2476</v>
      </c>
      <c r="G57" s="1626">
        <v>20000</v>
      </c>
    </row>
    <row r="58" spans="2:14" ht="15" customHeight="1">
      <c r="E58" s="1607" t="s">
        <v>2458</v>
      </c>
      <c r="F58" s="1608"/>
      <c r="G58" s="1614">
        <f>G56*G57</f>
        <v>340000</v>
      </c>
    </row>
    <row r="59" spans="2:14" ht="15" customHeight="1"/>
    <row r="60" spans="2:14" ht="15" customHeight="1">
      <c r="B60" s="1613" t="str">
        <f>B13</f>
        <v>E. Sustainability Benefit</v>
      </c>
      <c r="C60" s="1612"/>
      <c r="D60" s="1612"/>
      <c r="E60" s="1612"/>
      <c r="F60" s="1612"/>
      <c r="G60" s="1612"/>
      <c r="H60" s="1612"/>
      <c r="I60" s="1611"/>
    </row>
    <row r="61" spans="2:14" ht="15" customHeight="1" thickBot="1"/>
    <row r="62" spans="2:14" ht="15" customHeight="1">
      <c r="E62" s="1610" t="s">
        <v>2430</v>
      </c>
      <c r="G62" s="1617">
        <f>VLOOKUP('Points System'!$H$595,'Points System'!$AO$575:$AP$580,2,FALSE)</f>
        <v>4</v>
      </c>
      <c r="L62" s="1633" t="str">
        <f>'Points System'!H627</f>
        <v>N/A</v>
      </c>
      <c r="M62" s="3141" t="s">
        <v>1606</v>
      </c>
      <c r="N62" s="3142"/>
    </row>
    <row r="63" spans="2:14" ht="15" customHeight="1">
      <c r="E63" s="1610" t="s">
        <v>2417</v>
      </c>
      <c r="F63" s="1616" t="s">
        <v>2476</v>
      </c>
      <c r="G63" s="1632">
        <v>4000</v>
      </c>
      <c r="L63" s="1629" t="str">
        <f>'Points System'!H639</f>
        <v>N/A</v>
      </c>
      <c r="M63" s="3143" t="s">
        <v>2431</v>
      </c>
      <c r="N63" s="3144"/>
    </row>
    <row r="64" spans="2:14" ht="15" customHeight="1">
      <c r="E64" s="1610" t="s">
        <v>2480</v>
      </c>
      <c r="F64" s="1616" t="s">
        <v>2476</v>
      </c>
      <c r="G64" s="1630">
        <f>G27</f>
        <v>177.25</v>
      </c>
      <c r="L64" s="1629" t="str">
        <f>'Points System'!H674</f>
        <v>(iii)</v>
      </c>
      <c r="M64" s="3143" t="s">
        <v>2432</v>
      </c>
      <c r="N64" s="3144"/>
    </row>
    <row r="65" spans="2:14" ht="15" customHeight="1">
      <c r="E65" s="1607" t="s">
        <v>2436</v>
      </c>
      <c r="F65" s="1608"/>
      <c r="G65" s="1614">
        <f>G62*G63*G64</f>
        <v>2836000</v>
      </c>
      <c r="L65" s="1629" t="str">
        <f>'Points System'!H694</f>
        <v>N/A</v>
      </c>
      <c r="M65" s="3143" t="s">
        <v>2433</v>
      </c>
      <c r="N65" s="3144"/>
    </row>
    <row r="66" spans="2:14" ht="15" customHeight="1">
      <c r="C66" s="1621"/>
      <c r="G66" s="1617"/>
      <c r="L66" s="1631" t="str">
        <f>'Points System'!H708</f>
        <v>N/A</v>
      </c>
      <c r="M66" s="3143" t="s">
        <v>1636</v>
      </c>
      <c r="N66" s="3144"/>
    </row>
    <row r="67" spans="2:14" ht="15" customHeight="1">
      <c r="E67" s="1610" t="s">
        <v>2481</v>
      </c>
      <c r="G67" s="1630">
        <f>COUNTIFS(L62:L69,"(i)")</f>
        <v>2</v>
      </c>
      <c r="L67" s="1629" t="str">
        <f>'Points System'!H720</f>
        <v>N/A</v>
      </c>
      <c r="M67" s="3143" t="s">
        <v>2434</v>
      </c>
      <c r="N67" s="3144"/>
    </row>
    <row r="68" spans="2:14" ht="15" customHeight="1">
      <c r="E68" s="1610" t="s">
        <v>2417</v>
      </c>
      <c r="F68" s="1616" t="s">
        <v>2476</v>
      </c>
      <c r="G68" s="1626">
        <v>4000</v>
      </c>
      <c r="L68" s="1629" t="str">
        <f>'Points System'!H736</f>
        <v>(i)</v>
      </c>
      <c r="M68" s="3143" t="s">
        <v>2435</v>
      </c>
      <c r="N68" s="3144"/>
    </row>
    <row r="69" spans="2:14" ht="15" customHeight="1" thickBot="1">
      <c r="E69" s="1607" t="s">
        <v>2437</v>
      </c>
      <c r="F69" s="1608"/>
      <c r="G69" s="1614">
        <f>G64*G67*G68</f>
        <v>1418000</v>
      </c>
      <c r="L69" s="1628" t="str">
        <f>'Points System'!H748</f>
        <v>(i)</v>
      </c>
      <c r="M69" s="3156" t="s">
        <v>1639</v>
      </c>
      <c r="N69" s="3157"/>
    </row>
    <row r="70" spans="2:14" ht="15" customHeight="1"/>
    <row r="71" spans="2:14" ht="15" customHeight="1">
      <c r="C71" s="1627" t="s">
        <v>2439</v>
      </c>
    </row>
    <row r="72" spans="2:14" ht="15" customHeight="1">
      <c r="C72" s="1621" t="s">
        <v>2440</v>
      </c>
      <c r="G72" s="1620"/>
    </row>
    <row r="73" spans="2:14" ht="15" customHeight="1">
      <c r="C73" s="1621" t="s">
        <v>2441</v>
      </c>
      <c r="G73" s="1620"/>
    </row>
    <row r="74" spans="2:14" ht="15" customHeight="1">
      <c r="C74" s="1621" t="s">
        <v>2442</v>
      </c>
      <c r="G74" s="1620"/>
    </row>
    <row r="75" spans="2:14" ht="15" customHeight="1">
      <c r="C75" s="1621" t="s">
        <v>2443</v>
      </c>
      <c r="G75" s="1620"/>
    </row>
    <row r="76" spans="2:14" ht="15" customHeight="1"/>
    <row r="77" spans="2:14" ht="15" customHeight="1">
      <c r="B77" s="1609"/>
      <c r="C77" s="1621"/>
      <c r="E77" s="1610" t="s">
        <v>2483</v>
      </c>
      <c r="G77" s="1618" t="b">
        <f>COUNTIFS(G72:G75,"Yes")&gt;=1</f>
        <v>0</v>
      </c>
    </row>
    <row r="78" spans="2:14" ht="15" customHeight="1">
      <c r="E78" s="1621"/>
    </row>
    <row r="79" spans="2:14" ht="15" customHeight="1">
      <c r="E79" s="1610" t="s">
        <v>2480</v>
      </c>
      <c r="F79" s="1616" t="s">
        <v>2476</v>
      </c>
      <c r="G79" s="1617">
        <f>G44</f>
        <v>0</v>
      </c>
    </row>
    <row r="80" spans="2:14" ht="15" customHeight="1">
      <c r="E80" s="1610" t="s">
        <v>2417</v>
      </c>
      <c r="F80" s="1616" t="s">
        <v>2476</v>
      </c>
      <c r="G80" s="1626">
        <v>25000</v>
      </c>
    </row>
    <row r="81" spans="2:14" ht="15" customHeight="1">
      <c r="E81" s="1607" t="s">
        <v>2438</v>
      </c>
      <c r="F81" s="1608"/>
      <c r="G81" s="1614">
        <f>G77*G80*G64</f>
        <v>0</v>
      </c>
    </row>
    <row r="82" spans="2:14" ht="15" customHeight="1">
      <c r="C82" s="1621"/>
      <c r="E82" s="1621"/>
    </row>
    <row r="83" spans="2:14" ht="15" customHeight="1">
      <c r="E83" s="1607" t="s">
        <v>2415</v>
      </c>
      <c r="G83" s="1614">
        <f>G81+G69+G65</f>
        <v>4254000</v>
      </c>
    </row>
    <row r="84" spans="2:14" ht="15" customHeight="1"/>
    <row r="85" spans="2:14" ht="15" customHeight="1">
      <c r="B85" s="1613" t="str">
        <f>B14</f>
        <v>F. Opportunity Benefit</v>
      </c>
      <c r="C85" s="1612"/>
      <c r="D85" s="1612"/>
      <c r="E85" s="1612"/>
      <c r="F85" s="1612"/>
      <c r="G85" s="1612"/>
      <c r="H85" s="1612"/>
      <c r="I85" s="1611"/>
    </row>
    <row r="86" spans="2:14" ht="15" customHeight="1" thickBot="1"/>
    <row r="87" spans="2:14" ht="15" customHeight="1">
      <c r="C87" s="1621" t="s">
        <v>2462</v>
      </c>
      <c r="G87" s="1620"/>
      <c r="L87" s="3158" t="s">
        <v>2446</v>
      </c>
      <c r="M87" s="3159"/>
      <c r="N87" s="1625">
        <v>30000</v>
      </c>
    </row>
    <row r="88" spans="2:14" ht="15" customHeight="1">
      <c r="C88" s="1621" t="s">
        <v>2463</v>
      </c>
      <c r="G88" s="1624" t="str">
        <f>IF(Application!D210="Large Family","Yes","No")</f>
        <v>No</v>
      </c>
      <c r="L88" s="3152" t="s">
        <v>2408</v>
      </c>
      <c r="M88" s="3153"/>
      <c r="N88" s="1623">
        <v>20000</v>
      </c>
    </row>
    <row r="89" spans="2:14" ht="15" customHeight="1" thickBot="1">
      <c r="C89" s="1621" t="s">
        <v>2444</v>
      </c>
      <c r="G89" s="1620"/>
      <c r="L89" s="3154" t="s">
        <v>2447</v>
      </c>
      <c r="M89" s="3155"/>
      <c r="N89" s="1622">
        <v>10000</v>
      </c>
    </row>
    <row r="90" spans="2:14" ht="15" customHeight="1">
      <c r="C90" s="1621" t="s">
        <v>2445</v>
      </c>
      <c r="G90" s="1602" t="str">
        <f>Application!T193</f>
        <v>Moderate Resource</v>
      </c>
    </row>
    <row r="91" spans="2:14" ht="15" customHeight="1">
      <c r="C91" s="1621"/>
    </row>
    <row r="92" spans="2:14" ht="15" customHeight="1">
      <c r="E92" s="1610" t="s">
        <v>2483</v>
      </c>
      <c r="G92" s="1618" t="b">
        <f>AND(COUNTIFS(G88:G89,"Yes")&gt;=1,G87="Yes")</f>
        <v>0</v>
      </c>
    </row>
    <row r="93" spans="2:14" ht="15" customHeight="1">
      <c r="E93" s="1610"/>
      <c r="G93" s="1618"/>
    </row>
    <row r="94" spans="2:14" ht="15" customHeight="1">
      <c r="E94" s="1610" t="s">
        <v>2417</v>
      </c>
      <c r="G94" s="1609">
        <f>IFERROR(INDEX(N87:N89,MATCH(LEFT(G90,17),L87:L89,0)),0)</f>
        <v>10000</v>
      </c>
    </row>
    <row r="95" spans="2:14" ht="15" customHeight="1">
      <c r="E95" s="1610" t="str">
        <f>E64</f>
        <v>Bedroom-Adjusted Low-Income Units</v>
      </c>
      <c r="F95" s="1616" t="s">
        <v>2476</v>
      </c>
      <c r="G95" s="1617">
        <f>G27</f>
        <v>177.25</v>
      </c>
    </row>
    <row r="96" spans="2:14" ht="15" customHeight="1">
      <c r="D96" s="1608"/>
      <c r="E96" s="1607" t="s">
        <v>2416</v>
      </c>
      <c r="F96" s="1608"/>
      <c r="G96" s="1614">
        <f>G95*G94*G92</f>
        <v>0</v>
      </c>
    </row>
    <row r="97" spans="2:9" ht="15" customHeight="1"/>
    <row r="98" spans="2:9" ht="15" customHeight="1">
      <c r="B98" s="1613" t="s">
        <v>2429</v>
      </c>
      <c r="C98" s="1612"/>
      <c r="D98" s="1612"/>
      <c r="E98" s="1612"/>
      <c r="F98" s="1612"/>
      <c r="G98" s="1612"/>
      <c r="H98" s="1612"/>
      <c r="I98" s="1611"/>
    </row>
    <row r="99" spans="2:9" ht="15" customHeight="1"/>
    <row r="100" spans="2:9" ht="15" customHeight="1">
      <c r="F100" s="1619" t="s">
        <v>2457</v>
      </c>
      <c r="G100" s="1620"/>
    </row>
    <row r="101" spans="2:9" ht="15" customHeight="1">
      <c r="F101" s="1619"/>
    </row>
    <row r="102" spans="2:9" ht="15" customHeight="1">
      <c r="E102" s="1610" t="s">
        <v>2483</v>
      </c>
      <c r="G102" s="1618" t="b">
        <f>G100="Yes"</f>
        <v>0</v>
      </c>
    </row>
    <row r="103" spans="2:9" ht="15" customHeight="1"/>
    <row r="104" spans="2:9" ht="15" customHeight="1">
      <c r="E104" s="1610" t="str">
        <f>E64</f>
        <v>Bedroom-Adjusted Low-Income Units</v>
      </c>
      <c r="G104" s="1617">
        <f>G27</f>
        <v>177.25</v>
      </c>
    </row>
    <row r="105" spans="2:9" ht="15" customHeight="1">
      <c r="E105" s="1610" t="s">
        <v>2417</v>
      </c>
      <c r="F105" s="1616" t="s">
        <v>2476</v>
      </c>
      <c r="G105" s="1615">
        <v>20000</v>
      </c>
    </row>
    <row r="106" spans="2:9" ht="15" customHeight="1">
      <c r="E106" s="1607" t="s">
        <v>2448</v>
      </c>
      <c r="F106" s="1608"/>
      <c r="G106" s="1614">
        <f>G102*G105*G104</f>
        <v>0</v>
      </c>
    </row>
    <row r="107" spans="2:9" ht="15" customHeight="1"/>
    <row r="108" spans="2:9" ht="15" customHeight="1">
      <c r="B108" s="1613" t="s">
        <v>2485</v>
      </c>
      <c r="C108" s="1612"/>
      <c r="D108" s="1612"/>
      <c r="E108" s="1612"/>
      <c r="F108" s="1612"/>
      <c r="G108" s="1612"/>
      <c r="H108" s="1612"/>
      <c r="I108" s="1611"/>
    </row>
    <row r="109" spans="2:9" ht="15" customHeight="1"/>
    <row r="110" spans="2:9" ht="15" customHeight="1">
      <c r="E110" s="1610" t="s">
        <v>609</v>
      </c>
      <c r="G110" s="1602" t="str">
        <f>IF(Application!T189="","",Application!T189)</f>
        <v>Orange</v>
      </c>
    </row>
    <row r="111" spans="2:9" ht="15" customHeight="1">
      <c r="E111" s="1610"/>
      <c r="G111" s="1609"/>
    </row>
    <row r="112" spans="2:9" ht="15" customHeight="1">
      <c r="E112" s="1610" t="str">
        <f>"2-Bedroom "&amp;G110&amp;" County Basis Limit"</f>
        <v>2-Bedroom Orange County Basis Limit</v>
      </c>
      <c r="G112" s="1609">
        <f>Application!R971</f>
        <v>429600</v>
      </c>
    </row>
    <row r="113" spans="4:9" ht="15" customHeight="1">
      <c r="E113" s="1610" t="s">
        <v>2484</v>
      </c>
      <c r="G113" s="1609">
        <f>MEDIAN((Application!BR809:BR866))</f>
        <v>388000</v>
      </c>
    </row>
    <row r="114" spans="4:9" ht="15" customHeight="1">
      <c r="D114" s="1608"/>
      <c r="E114" s="1607" t="s">
        <v>2486</v>
      </c>
      <c r="F114" s="1606"/>
      <c r="G114" s="1605">
        <f>((G112-G113)/G113)*0.25</f>
        <v>2.6804123711340205E-2</v>
      </c>
      <c r="H114" s="1604"/>
      <c r="I114" s="1604"/>
    </row>
    <row r="115" spans="4:9" ht="15" customHeight="1">
      <c r="D115" s="1603"/>
      <c r="E115" s="1603"/>
    </row>
  </sheetData>
  <sheetProtection algorithmName="SHA-512" hashValue="LWUK8YLeFRYxDcgj5qeCaO/tmGBtg9d/F+LFvwQElGa2HK92/cZqfLFExddAvZg9ZEuCjkozLBSCmc2jHYoh4Q==" saltValue="hdO8+fBcVTXBoPtbl23yBw==" spinCount="100000" sheet="1" objects="1" scenarios="1"/>
  <mergeCells count="33">
    <mergeCell ref="L88:M88"/>
    <mergeCell ref="L89:M89"/>
    <mergeCell ref="M66:N66"/>
    <mergeCell ref="M67:N67"/>
    <mergeCell ref="M68:N68"/>
    <mergeCell ref="M69:N69"/>
    <mergeCell ref="L87:M87"/>
    <mergeCell ref="A1:J1"/>
    <mergeCell ref="B9:D9"/>
    <mergeCell ref="B10:D10"/>
    <mergeCell ref="B11:D11"/>
    <mergeCell ref="B12:D12"/>
    <mergeCell ref="B8:E8"/>
    <mergeCell ref="G8:I8"/>
    <mergeCell ref="C27:D27"/>
    <mergeCell ref="M62:N62"/>
    <mergeCell ref="M63:N63"/>
    <mergeCell ref="M64:N64"/>
    <mergeCell ref="M65:N65"/>
    <mergeCell ref="B13:D13"/>
    <mergeCell ref="B14:D14"/>
    <mergeCell ref="B15:D15"/>
    <mergeCell ref="G9:H9"/>
    <mergeCell ref="G10:H10"/>
    <mergeCell ref="G11:H11"/>
    <mergeCell ref="G13:H13"/>
    <mergeCell ref="C20:C21"/>
    <mergeCell ref="D20:D21"/>
    <mergeCell ref="F20:F21"/>
    <mergeCell ref="E20:E21"/>
    <mergeCell ref="G15:H15"/>
    <mergeCell ref="G20:G21"/>
    <mergeCell ref="B16:D16"/>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9F573AD0-8923-4080-8D12-6F8C8CA2FCC1}">
      <formula1>"Yes,No"</formula1>
    </dataValidation>
    <dataValidation type="list" allowBlank="1" showInputMessage="1" showErrorMessage="1" sqref="G72:G75" xr:uid="{C672C681-76A7-4CD8-8FBF-57FD42155450}">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activeCell="AK56" sqref="AK56"/>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216" t="s">
        <v>1471</v>
      </c>
      <c r="B1" s="3216"/>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216"/>
      <c r="AD1" s="3216"/>
      <c r="AE1" s="3216"/>
      <c r="AF1" s="3216"/>
      <c r="AG1" s="3216"/>
      <c r="AH1" s="3216"/>
      <c r="AI1" s="3216"/>
      <c r="AJ1" s="3216"/>
      <c r="AK1" s="3216"/>
      <c r="AL1" s="3216"/>
      <c r="AM1" s="3216"/>
      <c r="AN1" s="321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217"/>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321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1410</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191" t="str">
        <f xml:space="preserve"> IF(T25=100%,'Sources and Basis Breakdown'!G2,'Sources and Basis Breakdown'!F2)</f>
        <v>30% PVC for New Const/
Rehabilitation
NON-DDA/
NON-QCT Building(s)</v>
      </c>
      <c r="U7" s="3191"/>
      <c r="V7" s="3191"/>
      <c r="W7" s="3191"/>
      <c r="X7" s="3191"/>
      <c r="Y7" s="3191" t="str">
        <f>IF(T25=100%," ",'Sources and Basis Breakdown'!G2)</f>
        <v xml:space="preserve"> </v>
      </c>
      <c r="Z7" s="3191"/>
      <c r="AA7" s="3191"/>
      <c r="AB7" s="3191"/>
      <c r="AC7" s="3191"/>
      <c r="AD7" s="3191" t="str">
        <f xml:space="preserve"> IF(T25=100%, 'Sources and Basis Breakdown'!J2,'Sources and Basis Breakdown'!I2)</f>
        <v>30% PVC for Acquisition
NON-DDA/
NON-QCT Building(s)</v>
      </c>
      <c r="AE7" s="3191"/>
      <c r="AF7" s="3191"/>
      <c r="AG7" s="3191"/>
      <c r="AH7" s="3191"/>
      <c r="AI7" s="3191" t="str">
        <f>IF(T25=100%," ",'Sources and Basis Breakdown'!J2)</f>
        <v xml:space="preserve"> </v>
      </c>
      <c r="AJ7" s="3191"/>
      <c r="AK7" s="3191"/>
      <c r="AL7" s="3191"/>
      <c r="AM7" s="319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191"/>
      <c r="U8" s="3191"/>
      <c r="V8" s="3191"/>
      <c r="W8" s="3191"/>
      <c r="X8" s="3191"/>
      <c r="Y8" s="3191"/>
      <c r="Z8" s="3191"/>
      <c r="AA8" s="3191"/>
      <c r="AB8" s="3191"/>
      <c r="AC8" s="3191"/>
      <c r="AD8" s="3191"/>
      <c r="AE8" s="3191"/>
      <c r="AF8" s="3191"/>
      <c r="AG8" s="3191"/>
      <c r="AH8" s="3191"/>
      <c r="AI8" s="3191"/>
      <c r="AJ8" s="3191"/>
      <c r="AK8" s="3191"/>
      <c r="AL8" s="3191"/>
      <c r="AM8" s="319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191"/>
      <c r="U9" s="3191"/>
      <c r="V9" s="3191"/>
      <c r="W9" s="3191"/>
      <c r="X9" s="3191"/>
      <c r="Y9" s="3191"/>
      <c r="Z9" s="3191"/>
      <c r="AA9" s="3191"/>
      <c r="AB9" s="3191"/>
      <c r="AC9" s="3191"/>
      <c r="AD9" s="3191"/>
      <c r="AE9" s="3191"/>
      <c r="AF9" s="3191"/>
      <c r="AG9" s="3191"/>
      <c r="AH9" s="3191"/>
      <c r="AI9" s="3191"/>
      <c r="AJ9" s="3191"/>
      <c r="AK9" s="3191"/>
      <c r="AL9" s="3191"/>
      <c r="AM9" s="319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191"/>
      <c r="U10" s="3191"/>
      <c r="V10" s="3191"/>
      <c r="W10" s="3191"/>
      <c r="X10" s="3191"/>
      <c r="Y10" s="3191"/>
      <c r="Z10" s="3191"/>
      <c r="AA10" s="3191"/>
      <c r="AB10" s="3191"/>
      <c r="AC10" s="3191"/>
      <c r="AD10" s="3191"/>
      <c r="AE10" s="3191"/>
      <c r="AF10" s="3191"/>
      <c r="AG10" s="3191"/>
      <c r="AH10" s="3191"/>
      <c r="AI10" s="3191"/>
      <c r="AJ10" s="3191"/>
      <c r="AK10" s="3191"/>
      <c r="AL10" s="3191"/>
      <c r="AM10" s="319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173" t="s">
        <v>390</v>
      </c>
      <c r="C11" s="3174"/>
      <c r="D11" s="3174"/>
      <c r="E11" s="3174"/>
      <c r="F11" s="3174"/>
      <c r="G11" s="3174"/>
      <c r="H11" s="3174"/>
      <c r="I11" s="3174"/>
      <c r="J11" s="3174"/>
      <c r="K11" s="3174"/>
      <c r="L11" s="3174"/>
      <c r="M11" s="3174"/>
      <c r="N11" s="3174"/>
      <c r="O11" s="3174"/>
      <c r="P11" s="3174"/>
      <c r="Q11" s="3174"/>
      <c r="R11" s="3174"/>
      <c r="S11" s="3175"/>
      <c r="T11" s="3218">
        <f>IF('Sources and Basis Breakdown'!F107=0,'Sources and Basis Breakdown'!E107,'Sources and Basis Breakdown'!F107)</f>
        <v>56221872</v>
      </c>
      <c r="U11" s="3219"/>
      <c r="V11" s="3219"/>
      <c r="W11" s="3219"/>
      <c r="X11" s="3219"/>
      <c r="Y11" s="3218">
        <f>IF(Y7=" ",0,IF('Sources and Basis Breakdown'!G107+'Sources and Basis Breakdown'!F107='Sources and Basis Breakdown'!E107,'Sources and Basis Breakdown'!G107,0))</f>
        <v>0</v>
      </c>
      <c r="Z11" s="3219"/>
      <c r="AA11" s="3219"/>
      <c r="AB11" s="3219"/>
      <c r="AC11" s="3219"/>
      <c r="AD11" s="3219">
        <f>IF('Sources and Basis Breakdown'!I107=0,'Sources and Basis Breakdown'!H107,'Sources and Basis Breakdown'!I107)</f>
        <v>0</v>
      </c>
      <c r="AE11" s="3219"/>
      <c r="AF11" s="3219"/>
      <c r="AG11" s="3219"/>
      <c r="AH11" s="3219"/>
      <c r="AI11" s="3219">
        <f>IF(Y7=" ",0,IF('Sources and Basis Breakdown'!I107+'Sources and Basis Breakdown'!J107='Sources and Basis Breakdown'!H107,'Sources and Basis Breakdown'!J107,0))</f>
        <v>0</v>
      </c>
      <c r="AJ11" s="3219"/>
      <c r="AK11" s="3219"/>
      <c r="AL11" s="3219"/>
      <c r="AM11" s="321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222" t="s">
        <v>523</v>
      </c>
      <c r="C12" s="3223"/>
      <c r="D12" s="3223"/>
      <c r="E12" s="3223"/>
      <c r="F12" s="3223"/>
      <c r="G12" s="3223"/>
      <c r="H12" s="3223"/>
      <c r="I12" s="3223"/>
      <c r="J12" s="3223"/>
      <c r="K12" s="3223"/>
      <c r="L12" s="3223"/>
      <c r="M12" s="3223"/>
      <c r="N12" s="3223"/>
      <c r="O12" s="3223"/>
      <c r="P12" s="3223"/>
      <c r="Q12" s="3223"/>
      <c r="R12" s="3223"/>
      <c r="S12" s="3224"/>
      <c r="T12" s="3211"/>
      <c r="U12" s="3212"/>
      <c r="V12" s="3212"/>
      <c r="W12" s="3212"/>
      <c r="X12" s="3213"/>
      <c r="Y12" s="3211"/>
      <c r="Z12" s="3212"/>
      <c r="AA12" s="3212"/>
      <c r="AB12" s="3212"/>
      <c r="AC12" s="3213"/>
      <c r="AD12" s="3211"/>
      <c r="AE12" s="3212"/>
      <c r="AF12" s="3212"/>
      <c r="AG12" s="3212"/>
      <c r="AH12" s="3213"/>
      <c r="AI12" s="3211"/>
      <c r="AJ12" s="3212"/>
      <c r="AK12" s="3212"/>
      <c r="AL12" s="3212"/>
      <c r="AM12" s="321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225" t="s">
        <v>524</v>
      </c>
      <c r="D13" s="3225"/>
      <c r="E13" s="3225"/>
      <c r="F13" s="3225"/>
      <c r="G13" s="3225"/>
      <c r="H13" s="3225"/>
      <c r="I13" s="3225"/>
      <c r="J13" s="3225"/>
      <c r="K13" s="3225"/>
      <c r="L13" s="3225"/>
      <c r="M13" s="3225"/>
      <c r="N13" s="3225"/>
      <c r="O13" s="3225"/>
      <c r="P13" s="3225"/>
      <c r="Q13" s="3225"/>
      <c r="R13" s="3225"/>
      <c r="S13" s="3226"/>
      <c r="T13" s="3214"/>
      <c r="U13" s="3215"/>
      <c r="V13" s="3215"/>
      <c r="W13" s="3215"/>
      <c r="X13" s="3215"/>
      <c r="Y13" s="3214"/>
      <c r="Z13" s="3215"/>
      <c r="AA13" s="3215"/>
      <c r="AB13" s="3215"/>
      <c r="AC13" s="3215"/>
      <c r="AD13" s="3215"/>
      <c r="AE13" s="3215"/>
      <c r="AF13" s="3215"/>
      <c r="AG13" s="3215"/>
      <c r="AH13" s="3215"/>
      <c r="AI13" s="3215"/>
      <c r="AJ13" s="3215"/>
      <c r="AK13" s="3215"/>
      <c r="AL13" s="3215"/>
      <c r="AM13" s="321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225" t="s">
        <v>525</v>
      </c>
      <c r="D14" s="3225"/>
      <c r="E14" s="3225"/>
      <c r="F14" s="3225"/>
      <c r="G14" s="3225"/>
      <c r="H14" s="3225"/>
      <c r="I14" s="3225"/>
      <c r="J14" s="3225"/>
      <c r="K14" s="3225"/>
      <c r="L14" s="3225"/>
      <c r="M14" s="3225"/>
      <c r="N14" s="3225"/>
      <c r="O14" s="3225"/>
      <c r="P14" s="3225"/>
      <c r="Q14" s="3225"/>
      <c r="R14" s="3225"/>
      <c r="S14" s="3226"/>
      <c r="T14" s="3200"/>
      <c r="U14" s="3201"/>
      <c r="V14" s="3201"/>
      <c r="W14" s="3201"/>
      <c r="X14" s="3201"/>
      <c r="Y14" s="3200"/>
      <c r="Z14" s="3201"/>
      <c r="AA14" s="3201"/>
      <c r="AB14" s="3201"/>
      <c r="AC14" s="3201"/>
      <c r="AD14" s="3201"/>
      <c r="AE14" s="3201"/>
      <c r="AF14" s="3201"/>
      <c r="AG14" s="3201"/>
      <c r="AH14" s="3201"/>
      <c r="AI14" s="3201"/>
      <c r="AJ14" s="3201"/>
      <c r="AK14" s="3201"/>
      <c r="AL14" s="3201"/>
      <c r="AM14" s="320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225" t="s">
        <v>526</v>
      </c>
      <c r="D15" s="3225"/>
      <c r="E15" s="3225"/>
      <c r="F15" s="3225"/>
      <c r="G15" s="3225"/>
      <c r="H15" s="3225"/>
      <c r="I15" s="3225"/>
      <c r="J15" s="3225"/>
      <c r="K15" s="3225"/>
      <c r="L15" s="3225"/>
      <c r="M15" s="3225"/>
      <c r="N15" s="3225"/>
      <c r="O15" s="3225"/>
      <c r="P15" s="3225"/>
      <c r="Q15" s="3225"/>
      <c r="R15" s="3225"/>
      <c r="S15" s="3226"/>
      <c r="T15" s="3200"/>
      <c r="U15" s="3201"/>
      <c r="V15" s="3201"/>
      <c r="W15" s="3201"/>
      <c r="X15" s="3201"/>
      <c r="Y15" s="3200"/>
      <c r="Z15" s="3201"/>
      <c r="AA15" s="3201"/>
      <c r="AB15" s="3201"/>
      <c r="AC15" s="3201"/>
      <c r="AD15" s="3201"/>
      <c r="AE15" s="3201"/>
      <c r="AF15" s="3201"/>
      <c r="AG15" s="3201"/>
      <c r="AH15" s="3201"/>
      <c r="AI15" s="3201"/>
      <c r="AJ15" s="3201"/>
      <c r="AK15" s="3201"/>
      <c r="AL15" s="3201"/>
      <c r="AM15" s="320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225" t="s">
        <v>848</v>
      </c>
      <c r="D16" s="3225"/>
      <c r="E16" s="3225"/>
      <c r="F16" s="3225"/>
      <c r="G16" s="3225"/>
      <c r="H16" s="3225"/>
      <c r="I16" s="3225"/>
      <c r="J16" s="3225"/>
      <c r="K16" s="3225"/>
      <c r="L16" s="3225"/>
      <c r="M16" s="3225"/>
      <c r="N16" s="3225"/>
      <c r="O16" s="3225"/>
      <c r="P16" s="3225"/>
      <c r="Q16" s="3225"/>
      <c r="R16" s="3225"/>
      <c r="S16" s="3226"/>
      <c r="T16" s="3200"/>
      <c r="U16" s="3201"/>
      <c r="V16" s="3201"/>
      <c r="W16" s="3201"/>
      <c r="X16" s="3201"/>
      <c r="Y16" s="3200"/>
      <c r="Z16" s="3201"/>
      <c r="AA16" s="3201"/>
      <c r="AB16" s="3201"/>
      <c r="AC16" s="3201"/>
      <c r="AD16" s="3201"/>
      <c r="AE16" s="3201"/>
      <c r="AF16" s="3201"/>
      <c r="AG16" s="3201"/>
      <c r="AH16" s="3201"/>
      <c r="AI16" s="3201"/>
      <c r="AJ16" s="3201"/>
      <c r="AK16" s="3201"/>
      <c r="AL16" s="3201"/>
      <c r="AM16" s="320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225" t="s">
        <v>527</v>
      </c>
      <c r="D17" s="3225"/>
      <c r="E17" s="3225"/>
      <c r="F17" s="3225"/>
      <c r="G17" s="3225"/>
      <c r="H17" s="3225"/>
      <c r="I17" s="3225"/>
      <c r="J17" s="3225"/>
      <c r="K17" s="3225"/>
      <c r="L17" s="3225"/>
      <c r="M17" s="3225"/>
      <c r="N17" s="3225"/>
      <c r="O17" s="3225"/>
      <c r="P17" s="3225"/>
      <c r="Q17" s="3225"/>
      <c r="R17" s="3225"/>
      <c r="S17" s="3226"/>
      <c r="T17" s="3200"/>
      <c r="U17" s="3201"/>
      <c r="V17" s="3201"/>
      <c r="W17" s="3201"/>
      <c r="X17" s="3201"/>
      <c r="Y17" s="3200"/>
      <c r="Z17" s="3201"/>
      <c r="AA17" s="3201"/>
      <c r="AB17" s="3201"/>
      <c r="AC17" s="3201"/>
      <c r="AD17" s="3201"/>
      <c r="AE17" s="3201"/>
      <c r="AF17" s="3201"/>
      <c r="AG17" s="3201"/>
      <c r="AH17" s="3201"/>
      <c r="AI17" s="3201"/>
      <c r="AJ17" s="3201"/>
      <c r="AK17" s="3201"/>
      <c r="AL17" s="3201"/>
      <c r="AM17" s="320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220" t="s">
        <v>1019</v>
      </c>
      <c r="D18" s="3220"/>
      <c r="E18" s="3220"/>
      <c r="F18" s="3220"/>
      <c r="G18" s="3220"/>
      <c r="H18" s="3220"/>
      <c r="I18" s="3220"/>
      <c r="J18" s="3220"/>
      <c r="K18" s="3220"/>
      <c r="L18" s="3220"/>
      <c r="M18" s="3220"/>
      <c r="N18" s="3220"/>
      <c r="O18" s="3220"/>
      <c r="P18" s="3220"/>
      <c r="Q18" s="3220"/>
      <c r="R18" s="3220"/>
      <c r="S18" s="3221"/>
      <c r="T18" s="3200"/>
      <c r="U18" s="3201"/>
      <c r="V18" s="3201"/>
      <c r="W18" s="3201"/>
      <c r="X18" s="3201"/>
      <c r="Y18" s="3200"/>
      <c r="Z18" s="3201"/>
      <c r="AA18" s="3201"/>
      <c r="AB18" s="3201"/>
      <c r="AC18" s="3201"/>
      <c r="AD18" s="3201"/>
      <c r="AE18" s="3201"/>
      <c r="AF18" s="3201"/>
      <c r="AG18" s="3201"/>
      <c r="AH18" s="3201"/>
      <c r="AI18" s="3201"/>
      <c r="AJ18" s="3201"/>
      <c r="AK18" s="3201"/>
      <c r="AL18" s="3201"/>
      <c r="AM18" s="320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220" t="s">
        <v>1019</v>
      </c>
      <c r="D19" s="3220"/>
      <c r="E19" s="3220"/>
      <c r="F19" s="3220"/>
      <c r="G19" s="3220"/>
      <c r="H19" s="3220"/>
      <c r="I19" s="3220"/>
      <c r="J19" s="3220"/>
      <c r="K19" s="3220"/>
      <c r="L19" s="3220"/>
      <c r="M19" s="3220"/>
      <c r="N19" s="3220"/>
      <c r="O19" s="3220"/>
      <c r="P19" s="3220"/>
      <c r="Q19" s="3220"/>
      <c r="R19" s="3220"/>
      <c r="S19" s="3221"/>
      <c r="T19" s="3200"/>
      <c r="U19" s="3201"/>
      <c r="V19" s="3201"/>
      <c r="W19" s="3201"/>
      <c r="X19" s="3201"/>
      <c r="Y19" s="3200"/>
      <c r="Z19" s="3201"/>
      <c r="AA19" s="3201"/>
      <c r="AB19" s="3201"/>
      <c r="AC19" s="3201"/>
      <c r="AD19" s="3201"/>
      <c r="AE19" s="3201"/>
      <c r="AF19" s="3201"/>
      <c r="AG19" s="3201"/>
      <c r="AH19" s="3201"/>
      <c r="AI19" s="3201"/>
      <c r="AJ19" s="3201"/>
      <c r="AK19" s="3201"/>
      <c r="AL19" s="3201"/>
      <c r="AM19" s="320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173" t="s">
        <v>528</v>
      </c>
      <c r="C20" s="3174"/>
      <c r="D20" s="3174"/>
      <c r="E20" s="3174"/>
      <c r="F20" s="3174"/>
      <c r="G20" s="3174"/>
      <c r="H20" s="3174"/>
      <c r="I20" s="3174"/>
      <c r="J20" s="3174"/>
      <c r="K20" s="3174"/>
      <c r="L20" s="3174"/>
      <c r="M20" s="3174"/>
      <c r="N20" s="3174"/>
      <c r="O20" s="3174"/>
      <c r="P20" s="3174"/>
      <c r="Q20" s="3174"/>
      <c r="R20" s="3174"/>
      <c r="S20" s="3175"/>
      <c r="T20" s="3190">
        <f>SUM(T13:X19)</f>
        <v>0</v>
      </c>
      <c r="U20" s="3193"/>
      <c r="V20" s="3193"/>
      <c r="W20" s="3193"/>
      <c r="X20" s="3193"/>
      <c r="Y20" s="3190">
        <f>SUM(Y13:AC19)</f>
        <v>0</v>
      </c>
      <c r="Z20" s="3193"/>
      <c r="AA20" s="3193"/>
      <c r="AB20" s="3193"/>
      <c r="AC20" s="3193"/>
      <c r="AD20" s="3188">
        <f>SUM(AD13:AH19)</f>
        <v>0</v>
      </c>
      <c r="AE20" s="3189"/>
      <c r="AF20" s="3189"/>
      <c r="AG20" s="3189"/>
      <c r="AH20" s="3190"/>
      <c r="AI20" s="3188">
        <f>SUM(AI13:AM19)</f>
        <v>0</v>
      </c>
      <c r="AJ20" s="3189"/>
      <c r="AK20" s="3189"/>
      <c r="AL20" s="3189"/>
      <c r="AM20" s="3190"/>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173" t="s">
        <v>1446</v>
      </c>
      <c r="C21" s="3174"/>
      <c r="D21" s="3174"/>
      <c r="E21" s="3174"/>
      <c r="F21" s="3174"/>
      <c r="G21" s="3174"/>
      <c r="H21" s="3174"/>
      <c r="I21" s="3174"/>
      <c r="J21" s="3174"/>
      <c r="K21" s="3174"/>
      <c r="L21" s="3174"/>
      <c r="M21" s="3174"/>
      <c r="N21" s="3174"/>
      <c r="O21" s="3174"/>
      <c r="P21" s="3174"/>
      <c r="Q21" s="3174"/>
      <c r="R21" s="3174"/>
      <c r="S21" s="3175"/>
      <c r="T21" s="3200"/>
      <c r="U21" s="3201"/>
      <c r="V21" s="3201"/>
      <c r="W21" s="3201"/>
      <c r="X21" s="3201"/>
      <c r="Y21" s="3200"/>
      <c r="Z21" s="3201"/>
      <c r="AA21" s="3201"/>
      <c r="AB21" s="3201"/>
      <c r="AC21" s="3201"/>
      <c r="AD21" s="3211"/>
      <c r="AE21" s="3212"/>
      <c r="AF21" s="3212"/>
      <c r="AG21" s="3212"/>
      <c r="AH21" s="3213"/>
      <c r="AI21" s="3211"/>
      <c r="AJ21" s="3212"/>
      <c r="AK21" s="3212"/>
      <c r="AL21" s="3212"/>
      <c r="AM21" s="321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173" t="s">
        <v>529</v>
      </c>
      <c r="C22" s="3174"/>
      <c r="D22" s="3174"/>
      <c r="E22" s="3174"/>
      <c r="F22" s="3174"/>
      <c r="G22" s="3174"/>
      <c r="H22" s="3174"/>
      <c r="I22" s="3174"/>
      <c r="J22" s="3174"/>
      <c r="K22" s="3174"/>
      <c r="L22" s="3174"/>
      <c r="M22" s="3174"/>
      <c r="N22" s="3174"/>
      <c r="O22" s="3174"/>
      <c r="P22" s="3174"/>
      <c r="Q22" s="3174"/>
      <c r="R22" s="3174"/>
      <c r="S22" s="3175"/>
      <c r="T22" s="3196">
        <f>(T20+T21)*-1</f>
        <v>0</v>
      </c>
      <c r="U22" s="3197"/>
      <c r="V22" s="3197"/>
      <c r="W22" s="3197"/>
      <c r="X22" s="3197"/>
      <c r="Y22" s="3196">
        <f>(Y20+Y21)*-1</f>
        <v>0</v>
      </c>
      <c r="Z22" s="3197"/>
      <c r="AA22" s="3197"/>
      <c r="AB22" s="3197"/>
      <c r="AC22" s="3197"/>
      <c r="AD22" s="3198">
        <f>(AD20)*-1</f>
        <v>0</v>
      </c>
      <c r="AE22" s="3199"/>
      <c r="AF22" s="3199"/>
      <c r="AG22" s="3199"/>
      <c r="AH22" s="3196"/>
      <c r="AI22" s="3198">
        <f>(AI20)*-1</f>
        <v>0</v>
      </c>
      <c r="AJ22" s="3199"/>
      <c r="AK22" s="3199"/>
      <c r="AL22" s="3199"/>
      <c r="AM22" s="319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229" t="s">
        <v>530</v>
      </c>
      <c r="C23" s="3230"/>
      <c r="D23" s="3230"/>
      <c r="E23" s="3230"/>
      <c r="F23" s="3230"/>
      <c r="G23" s="3230"/>
      <c r="H23" s="3230"/>
      <c r="I23" s="3230"/>
      <c r="J23" s="3230"/>
      <c r="K23" s="3230"/>
      <c r="L23" s="3230"/>
      <c r="M23" s="3230"/>
      <c r="N23" s="3230"/>
      <c r="O23" s="3230"/>
      <c r="P23" s="3230"/>
      <c r="Q23" s="3230"/>
      <c r="R23" s="3230"/>
      <c r="S23" s="3231"/>
      <c r="T23" s="3190">
        <f>T11+T22</f>
        <v>56221872</v>
      </c>
      <c r="U23" s="3193"/>
      <c r="V23" s="3193"/>
      <c r="W23" s="3193"/>
      <c r="X23" s="3193"/>
      <c r="Y23" s="3190">
        <f>Y11+Y22</f>
        <v>0</v>
      </c>
      <c r="Z23" s="3193"/>
      <c r="AA23" s="3193"/>
      <c r="AB23" s="3193"/>
      <c r="AC23" s="3193"/>
      <c r="AD23" s="3190">
        <f>AD11+AD22</f>
        <v>0</v>
      </c>
      <c r="AE23" s="3193"/>
      <c r="AF23" s="3193"/>
      <c r="AG23" s="3193"/>
      <c r="AH23" s="3193"/>
      <c r="AI23" s="3190">
        <f>AI11+AI22</f>
        <v>0</v>
      </c>
      <c r="AJ23" s="3193"/>
      <c r="AK23" s="3193"/>
      <c r="AL23" s="3193"/>
      <c r="AM23" s="319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173" t="s">
        <v>1020</v>
      </c>
      <c r="C24" s="3174"/>
      <c r="D24" s="3174"/>
      <c r="E24" s="3174"/>
      <c r="F24" s="3174"/>
      <c r="G24" s="3174"/>
      <c r="H24" s="3174"/>
      <c r="I24" s="3174"/>
      <c r="J24" s="3174"/>
      <c r="K24" s="3174"/>
      <c r="L24" s="3174"/>
      <c r="M24" s="3174"/>
      <c r="N24" s="3174"/>
      <c r="O24" s="3174"/>
      <c r="P24" s="3174"/>
      <c r="Q24" s="3174"/>
      <c r="R24" s="3174"/>
      <c r="S24" s="3175"/>
      <c r="T24" s="3188">
        <f>Application!AJ1032</f>
        <v>104890693.19999999</v>
      </c>
      <c r="U24" s="3189"/>
      <c r="V24" s="3189"/>
      <c r="W24" s="3189"/>
      <c r="X24" s="3189"/>
      <c r="Y24" s="3189"/>
      <c r="Z24" s="3189"/>
      <c r="AA24" s="3189"/>
      <c r="AB24" s="3189"/>
      <c r="AC24" s="3189"/>
      <c r="AD24" s="3189"/>
      <c r="AE24" s="3189"/>
      <c r="AF24" s="3189"/>
      <c r="AG24" s="3189"/>
      <c r="AH24" s="3189"/>
      <c r="AI24" s="3189"/>
      <c r="AJ24" s="3189"/>
      <c r="AK24" s="3189"/>
      <c r="AL24" s="3189"/>
      <c r="AM24" s="3190"/>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232" t="s">
        <v>1447</v>
      </c>
      <c r="C25" s="3233"/>
      <c r="D25" s="3233"/>
      <c r="E25" s="3233"/>
      <c r="F25" s="3233"/>
      <c r="G25" s="3233"/>
      <c r="H25" s="3233"/>
      <c r="I25" s="3233"/>
      <c r="J25" s="3233"/>
      <c r="K25" s="3233"/>
      <c r="L25" s="3233"/>
      <c r="M25" s="3233"/>
      <c r="N25" s="3233"/>
      <c r="O25" s="3233"/>
      <c r="P25" s="3233"/>
      <c r="Q25" s="3233"/>
      <c r="R25" s="3233"/>
      <c r="S25" s="3234"/>
      <c r="T25" s="3206">
        <f>IF(OR(Application!T195="yes",Application!T194="yes"),1.3,1)</f>
        <v>1</v>
      </c>
      <c r="U25" s="3207"/>
      <c r="V25" s="3207"/>
      <c r="W25" s="3207"/>
      <c r="X25" s="3207"/>
      <c r="Y25" s="3206">
        <v>1</v>
      </c>
      <c r="Z25" s="3207"/>
      <c r="AA25" s="3207"/>
      <c r="AB25" s="3207"/>
      <c r="AC25" s="3207"/>
      <c r="AD25" s="3206">
        <v>1</v>
      </c>
      <c r="AE25" s="3207"/>
      <c r="AF25" s="3207"/>
      <c r="AG25" s="3207"/>
      <c r="AH25" s="3208"/>
      <c r="AI25" s="3206">
        <v>1</v>
      </c>
      <c r="AJ25" s="3207"/>
      <c r="AK25" s="3207"/>
      <c r="AL25" s="3207"/>
      <c r="AM25" s="320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173" t="s">
        <v>531</v>
      </c>
      <c r="C26" s="3174"/>
      <c r="D26" s="3174"/>
      <c r="E26" s="3174"/>
      <c r="F26" s="3174"/>
      <c r="G26" s="3174"/>
      <c r="H26" s="3174"/>
      <c r="I26" s="3174"/>
      <c r="J26" s="3174"/>
      <c r="K26" s="3174"/>
      <c r="L26" s="3174"/>
      <c r="M26" s="3174"/>
      <c r="N26" s="3174"/>
      <c r="O26" s="3174"/>
      <c r="P26" s="3174"/>
      <c r="Q26" s="3174"/>
      <c r="R26" s="3174"/>
      <c r="S26" s="3175"/>
      <c r="T26" s="3209">
        <f>T23*T25</f>
        <v>56221872</v>
      </c>
      <c r="U26" s="3210"/>
      <c r="V26" s="3210"/>
      <c r="W26" s="3210"/>
      <c r="X26" s="3210"/>
      <c r="Y26" s="3209">
        <f>Y23*Y25</f>
        <v>0</v>
      </c>
      <c r="Z26" s="3210"/>
      <c r="AA26" s="3210"/>
      <c r="AB26" s="3210"/>
      <c r="AC26" s="3210"/>
      <c r="AD26" s="3209">
        <f>AD23*AD25</f>
        <v>0</v>
      </c>
      <c r="AE26" s="3210"/>
      <c r="AF26" s="3210"/>
      <c r="AG26" s="3210"/>
      <c r="AH26" s="3210"/>
      <c r="AI26" s="3209">
        <f>AI23*AI25</f>
        <v>0</v>
      </c>
      <c r="AJ26" s="3210"/>
      <c r="AK26" s="3210"/>
      <c r="AL26" s="3210"/>
      <c r="AM26" s="321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235" t="s">
        <v>443</v>
      </c>
      <c r="C27" s="3236"/>
      <c r="D27" s="3236"/>
      <c r="E27" s="3236"/>
      <c r="F27" s="3236"/>
      <c r="G27" s="3236"/>
      <c r="H27" s="3236"/>
      <c r="I27" s="3236"/>
      <c r="J27" s="3236"/>
      <c r="K27" s="3236"/>
      <c r="L27" s="3236"/>
      <c r="M27" s="3236"/>
      <c r="N27" s="3236"/>
      <c r="O27" s="3236"/>
      <c r="P27" s="3236"/>
      <c r="Q27" s="3236"/>
      <c r="R27" s="3236"/>
      <c r="S27" s="3237"/>
      <c r="T27" s="3204">
        <f>Application!$AG$444</f>
        <v>1</v>
      </c>
      <c r="U27" s="3205"/>
      <c r="V27" s="3205"/>
      <c r="W27" s="3205"/>
      <c r="X27" s="3205"/>
      <c r="Y27" s="3204">
        <f>Application!$AG$444</f>
        <v>1</v>
      </c>
      <c r="Z27" s="3205"/>
      <c r="AA27" s="3205"/>
      <c r="AB27" s="3205"/>
      <c r="AC27" s="3205"/>
      <c r="AD27" s="3204">
        <f>Application!$AG$444</f>
        <v>1</v>
      </c>
      <c r="AE27" s="3205"/>
      <c r="AF27" s="3205"/>
      <c r="AG27" s="3205"/>
      <c r="AH27" s="3205"/>
      <c r="AI27" s="3204">
        <f>Application!$AG$444</f>
        <v>1</v>
      </c>
      <c r="AJ27" s="3205"/>
      <c r="AK27" s="3205"/>
      <c r="AL27" s="3205"/>
      <c r="AM27" s="320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73" t="s">
        <v>532</v>
      </c>
      <c r="C28" s="3174"/>
      <c r="D28" s="3174"/>
      <c r="E28" s="3174"/>
      <c r="F28" s="3174"/>
      <c r="G28" s="3174"/>
      <c r="H28" s="3174"/>
      <c r="I28" s="3174"/>
      <c r="J28" s="3174"/>
      <c r="K28" s="3174"/>
      <c r="L28" s="3174"/>
      <c r="M28" s="3174"/>
      <c r="N28" s="3174"/>
      <c r="O28" s="3174"/>
      <c r="P28" s="3174"/>
      <c r="Q28" s="3174"/>
      <c r="R28" s="3174"/>
      <c r="S28" s="3175"/>
      <c r="T28" s="3202">
        <f>IF(ISERROR((T26*T27)),0,(T26*T27))</f>
        <v>56221872</v>
      </c>
      <c r="U28" s="3203"/>
      <c r="V28" s="3203"/>
      <c r="W28" s="3203"/>
      <c r="X28" s="3203"/>
      <c r="Y28" s="3202">
        <f>IF(ISERROR((Y26*Y27)),0,(Y26*Y27))</f>
        <v>0</v>
      </c>
      <c r="Z28" s="3203"/>
      <c r="AA28" s="3203"/>
      <c r="AB28" s="3203"/>
      <c r="AC28" s="3203"/>
      <c r="AD28" s="3202">
        <f>IF(ISERROR((AD26*AD27)),0,(AD26*AD27))</f>
        <v>0</v>
      </c>
      <c r="AE28" s="3203"/>
      <c r="AF28" s="3203"/>
      <c r="AG28" s="3203"/>
      <c r="AH28" s="3203"/>
      <c r="AI28" s="3202">
        <f>IF(ISERROR((AI26*AI27)),0,(AI26*AI27))</f>
        <v>0</v>
      </c>
      <c r="AJ28" s="3203"/>
      <c r="AK28" s="3203"/>
      <c r="AL28" s="3203"/>
      <c r="AM28" s="320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173" t="s">
        <v>549</v>
      </c>
      <c r="C29" s="3174"/>
      <c r="D29" s="3174"/>
      <c r="E29" s="3174"/>
      <c r="F29" s="3174"/>
      <c r="G29" s="3174"/>
      <c r="H29" s="3174"/>
      <c r="I29" s="3174"/>
      <c r="J29" s="3174"/>
      <c r="K29" s="3174"/>
      <c r="L29" s="3174"/>
      <c r="M29" s="3174"/>
      <c r="N29" s="3174"/>
      <c r="O29" s="3174"/>
      <c r="P29" s="3174"/>
      <c r="Q29" s="3174"/>
      <c r="R29" s="3174"/>
      <c r="S29" s="3175"/>
      <c r="T29" s="3188">
        <f>T28+Y28+AD28+AI28</f>
        <v>56221872</v>
      </c>
      <c r="U29" s="3189"/>
      <c r="V29" s="3189"/>
      <c r="W29" s="3189"/>
      <c r="X29" s="3189"/>
      <c r="Y29" s="3189"/>
      <c r="Z29" s="3189"/>
      <c r="AA29" s="3189"/>
      <c r="AB29" s="3189"/>
      <c r="AC29" s="3189"/>
      <c r="AD29" s="3189"/>
      <c r="AE29" s="3189"/>
      <c r="AF29" s="3189"/>
      <c r="AG29" s="3189"/>
      <c r="AH29" s="3189"/>
      <c r="AI29" s="3189"/>
      <c r="AJ29" s="3189"/>
      <c r="AK29" s="3189"/>
      <c r="AL29" s="3189"/>
      <c r="AM29" s="3190"/>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95" t="s">
        <v>1449</v>
      </c>
      <c r="C30" s="3195"/>
      <c r="D30" s="3195"/>
      <c r="E30" s="3195"/>
      <c r="F30" s="3195"/>
      <c r="G30" s="3195"/>
      <c r="H30" s="3195"/>
      <c r="I30" s="3195"/>
      <c r="J30" s="3195"/>
      <c r="K30" s="3195"/>
      <c r="L30" s="3195"/>
      <c r="M30" s="3195"/>
      <c r="N30" s="3195"/>
      <c r="O30" s="3195"/>
      <c r="P30" s="3195"/>
      <c r="Q30" s="3195"/>
      <c r="R30" s="3195"/>
      <c r="S30" s="3195"/>
      <c r="T30" s="3195"/>
      <c r="U30" s="3195"/>
      <c r="V30" s="3195"/>
      <c r="W30" s="3195"/>
      <c r="X30" s="3195"/>
      <c r="Y30" s="3195"/>
      <c r="Z30" s="3195"/>
      <c r="AA30" s="3195"/>
      <c r="AB30" s="3195"/>
      <c r="AC30" s="3195"/>
      <c r="AD30" s="3195"/>
      <c r="AE30" s="3195"/>
      <c r="AF30" s="3195"/>
      <c r="AG30" s="3195"/>
      <c r="AH30" s="3195"/>
      <c r="AI30" s="3195"/>
      <c r="AJ30" s="3195"/>
      <c r="AK30" s="3195"/>
      <c r="AL30" s="3195"/>
      <c r="AM30" s="319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95" t="s">
        <v>1448</v>
      </c>
      <c r="C31" s="3195"/>
      <c r="D31" s="3195"/>
      <c r="E31" s="3195"/>
      <c r="F31" s="3195"/>
      <c r="G31" s="3195"/>
      <c r="H31" s="3195"/>
      <c r="I31" s="3195"/>
      <c r="J31" s="3195"/>
      <c r="K31" s="3195"/>
      <c r="L31" s="3195"/>
      <c r="M31" s="3195"/>
      <c r="N31" s="3195"/>
      <c r="O31" s="3195"/>
      <c r="P31" s="3195"/>
      <c r="Q31" s="3195"/>
      <c r="R31" s="3195"/>
      <c r="S31" s="3195"/>
      <c r="T31" s="3195"/>
      <c r="U31" s="3195"/>
      <c r="V31" s="3195"/>
      <c r="W31" s="3195"/>
      <c r="X31" s="3195"/>
      <c r="Y31" s="3195"/>
      <c r="Z31" s="3195"/>
      <c r="AA31" s="3195"/>
      <c r="AB31" s="3195"/>
      <c r="AC31" s="3195"/>
      <c r="AD31" s="3195"/>
      <c r="AE31" s="3195"/>
      <c r="AF31" s="3195"/>
      <c r="AG31" s="3195"/>
      <c r="AH31" s="3195"/>
      <c r="AI31" s="3195"/>
      <c r="AJ31" s="3195"/>
      <c r="AK31" s="3195"/>
      <c r="AL31" s="3195"/>
      <c r="AM31" s="319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191" t="s">
        <v>1314</v>
      </c>
      <c r="Z35" s="3191"/>
      <c r="AA35" s="3191"/>
      <c r="AB35" s="3191"/>
      <c r="AC35" s="3191"/>
      <c r="AD35" s="3192" t="s">
        <v>377</v>
      </c>
      <c r="AE35" s="3192"/>
      <c r="AF35" s="3192"/>
      <c r="AG35" s="3192"/>
      <c r="AH35" s="319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191"/>
      <c r="Z36" s="3191"/>
      <c r="AA36" s="3191"/>
      <c r="AB36" s="3191"/>
      <c r="AC36" s="3191"/>
      <c r="AD36" s="3192"/>
      <c r="AE36" s="3192"/>
      <c r="AF36" s="3192"/>
      <c r="AG36" s="3192"/>
      <c r="AH36" s="319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191"/>
      <c r="Z37" s="3191"/>
      <c r="AA37" s="3191"/>
      <c r="AB37" s="3191"/>
      <c r="AC37" s="3191"/>
      <c r="AD37" s="3192"/>
      <c r="AE37" s="3192"/>
      <c r="AF37" s="3192"/>
      <c r="AG37" s="3192"/>
      <c r="AH37" s="319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73" t="s">
        <v>532</v>
      </c>
      <c r="C38" s="3174"/>
      <c r="D38" s="3174"/>
      <c r="E38" s="3174"/>
      <c r="F38" s="3174"/>
      <c r="G38" s="3174"/>
      <c r="H38" s="3174"/>
      <c r="I38" s="3174"/>
      <c r="J38" s="3174"/>
      <c r="K38" s="3174"/>
      <c r="L38" s="3174"/>
      <c r="M38" s="3174"/>
      <c r="N38" s="3174"/>
      <c r="O38" s="3174"/>
      <c r="P38" s="3174"/>
      <c r="Q38" s="3174"/>
      <c r="R38" s="3174"/>
      <c r="S38" s="3174"/>
      <c r="T38" s="3174"/>
      <c r="U38" s="3174"/>
      <c r="V38" s="3174"/>
      <c r="W38" s="3174"/>
      <c r="X38" s="3175"/>
      <c r="Y38" s="3193">
        <f>IF(T24&gt;=(T23+Y23+AD23+AI23),T28+Y28,0)</f>
        <v>56221872</v>
      </c>
      <c r="Z38" s="3193"/>
      <c r="AA38" s="3193"/>
      <c r="AB38" s="3193"/>
      <c r="AC38" s="3193"/>
      <c r="AD38" s="3193">
        <f>IF(T24&gt;=(T23+Y23+AD23+AI23),AD28+AI28,0)</f>
        <v>0</v>
      </c>
      <c r="AE38" s="3193"/>
      <c r="AF38" s="3193"/>
      <c r="AG38" s="3193"/>
      <c r="AH38" s="319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173" t="s">
        <v>2009</v>
      </c>
      <c r="C39" s="3174"/>
      <c r="D39" s="3174"/>
      <c r="E39" s="3174"/>
      <c r="F39" s="3174"/>
      <c r="G39" s="3174"/>
      <c r="H39" s="3174"/>
      <c r="I39" s="3174"/>
      <c r="J39" s="3174"/>
      <c r="K39" s="3174"/>
      <c r="L39" s="3174"/>
      <c r="M39" s="3174"/>
      <c r="N39" s="3174"/>
      <c r="O39" s="3174"/>
      <c r="P39" s="3174"/>
      <c r="Q39" s="3174"/>
      <c r="R39" s="3174"/>
      <c r="S39" s="3174"/>
      <c r="T39" s="3174"/>
      <c r="U39" s="3174"/>
      <c r="V39" s="3174"/>
      <c r="W39" s="3174"/>
      <c r="X39" s="3175"/>
      <c r="Y39" s="3194">
        <v>0.04</v>
      </c>
      <c r="Z39" s="3194"/>
      <c r="AA39" s="3194"/>
      <c r="AB39" s="3194"/>
      <c r="AC39" s="3194"/>
      <c r="AD39" s="3194">
        <v>0.04</v>
      </c>
      <c r="AE39" s="3194"/>
      <c r="AF39" s="3194"/>
      <c r="AG39" s="3194"/>
      <c r="AH39" s="319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73" t="s">
        <v>669</v>
      </c>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5"/>
      <c r="Y40" s="3193">
        <f>ROUND(Y38*Y39,0)</f>
        <v>2248875</v>
      </c>
      <c r="Z40" s="3193"/>
      <c r="AA40" s="3193"/>
      <c r="AB40" s="3193"/>
      <c r="AC40" s="3193"/>
      <c r="AD40" s="3190">
        <f>ROUND(AD38*AD39,0)</f>
        <v>0</v>
      </c>
      <c r="AE40" s="3193"/>
      <c r="AF40" s="3193"/>
      <c r="AG40" s="3193"/>
      <c r="AH40" s="319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173" t="s">
        <v>670</v>
      </c>
      <c r="C41" s="3174"/>
      <c r="D41" s="3174"/>
      <c r="E41" s="3174"/>
      <c r="F41" s="3174"/>
      <c r="G41" s="3174"/>
      <c r="H41" s="3174"/>
      <c r="I41" s="3174"/>
      <c r="J41" s="3174"/>
      <c r="K41" s="3174"/>
      <c r="L41" s="3174"/>
      <c r="M41" s="3174"/>
      <c r="N41" s="3174"/>
      <c r="O41" s="3174"/>
      <c r="P41" s="3174"/>
      <c r="Q41" s="3174"/>
      <c r="R41" s="3174"/>
      <c r="S41" s="3174"/>
      <c r="T41" s="3174"/>
      <c r="U41" s="3174"/>
      <c r="V41" s="3174"/>
      <c r="W41" s="3174"/>
      <c r="X41" s="3175"/>
      <c r="Y41" s="3238">
        <f>Y40+AD40</f>
        <v>2248875</v>
      </c>
      <c r="Z41" s="3239"/>
      <c r="AA41" s="3239"/>
      <c r="AB41" s="3239"/>
      <c r="AC41" s="3239"/>
      <c r="AD41" s="3239"/>
      <c r="AE41" s="3239"/>
      <c r="AF41" s="3239"/>
      <c r="AG41" s="3239"/>
      <c r="AH41" s="324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187" t="s">
        <v>1461</v>
      </c>
      <c r="B44" s="3187"/>
      <c r="C44" s="3187"/>
      <c r="D44" s="3187"/>
      <c r="E44" s="3187"/>
      <c r="F44" s="3187"/>
      <c r="G44" s="3187"/>
      <c r="H44" s="3187"/>
      <c r="I44" s="3187"/>
      <c r="J44" s="3187"/>
      <c r="K44" s="3187"/>
      <c r="L44" s="3187"/>
      <c r="M44" s="3187"/>
      <c r="N44" s="3187"/>
      <c r="O44" s="3187"/>
      <c r="P44" s="3187"/>
      <c r="Q44" s="3187"/>
      <c r="R44" s="3187"/>
      <c r="S44" s="3187"/>
      <c r="T44" s="3187"/>
      <c r="U44" s="3187"/>
      <c r="V44" s="3187"/>
      <c r="W44" s="3187"/>
      <c r="X44" s="3187"/>
      <c r="Y44" s="3187"/>
      <c r="Z44" s="3187"/>
      <c r="AA44" s="3187"/>
      <c r="AB44" s="3187"/>
      <c r="AC44" s="3187"/>
      <c r="AD44" s="3187"/>
      <c r="AE44" s="3187"/>
      <c r="AF44" s="3187"/>
      <c r="AG44" s="3187"/>
      <c r="AH44" s="3187"/>
      <c r="AI44" s="3187"/>
      <c r="AJ44" s="3187"/>
      <c r="AK44" s="3187"/>
      <c r="AL44" s="3187"/>
      <c r="AM44" s="3187"/>
      <c r="AN44" s="3187"/>
      <c r="AO44" s="3187"/>
      <c r="AP44" s="3187"/>
      <c r="AQ44" s="3187"/>
      <c r="AR44" s="3187"/>
      <c r="AS44" s="3187"/>
      <c r="AT44" s="3187"/>
      <c r="AU44" s="3187"/>
      <c r="AV44" s="3187"/>
      <c r="AW44" s="3187"/>
      <c r="AX44" s="3187"/>
      <c r="AY44" s="3187"/>
      <c r="AZ44" s="3187"/>
      <c r="BA44" s="3187"/>
      <c r="BB44" s="3187"/>
      <c r="BC44" s="3187"/>
      <c r="BD44" s="3187"/>
      <c r="BE44" s="3187"/>
      <c r="BF44" s="3187"/>
      <c r="BG44" s="3187"/>
      <c r="BH44" s="3187"/>
      <c r="BI44" s="3187"/>
      <c r="BJ44" s="3187"/>
      <c r="BK44" s="3187"/>
      <c r="BL44" s="3187"/>
      <c r="BM44" s="3187"/>
      <c r="BN44" s="3187"/>
      <c r="BO44" s="3187"/>
      <c r="BP44" s="3187"/>
      <c r="BQ44" s="3187"/>
      <c r="BR44" s="3187"/>
      <c r="BS44" s="3187"/>
      <c r="BT44" s="3187"/>
      <c r="BU44" s="3187"/>
      <c r="BV44" s="3187"/>
      <c r="BW44" s="3187"/>
      <c r="BX44" s="31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81">
        <f>'Sources and Uses Budget'!B105-MAX(IF('Sources and Uses Budget'!B15="",0,'Sources and Uses Budget'!B15),IF(Application!AG393="",0,Application!AG393))</f>
        <v>62669479</v>
      </c>
      <c r="AC47" s="3182"/>
      <c r="AD47" s="3182"/>
      <c r="AE47" s="3182"/>
      <c r="AF47" s="318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81">
        <f>Application!AO649-MAX(IF('Sources and Uses Budget'!B15="",0,'Sources and Uses Budget'!B15),IF(Application!AG393="",0,Application!AG393))</f>
        <v>34593689</v>
      </c>
      <c r="AC48" s="3182"/>
      <c r="AD48" s="3182"/>
      <c r="AE48" s="3182"/>
      <c r="AF48" s="318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81">
        <f>AB47-AB48</f>
        <v>28075790</v>
      </c>
      <c r="AC49" s="3182"/>
      <c r="AD49" s="3182"/>
      <c r="AE49" s="3182"/>
      <c r="AF49" s="318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169">
        <v>0.88</v>
      </c>
      <c r="AC50" s="3170"/>
      <c r="AD50" s="3170"/>
      <c r="AE50" s="3170"/>
      <c r="AF50" s="317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180" t="s">
        <v>2181</v>
      </c>
      <c r="F51" s="3180"/>
      <c r="G51" s="3180"/>
      <c r="H51" s="3180"/>
      <c r="I51" s="3180"/>
      <c r="J51" s="3180"/>
      <c r="K51" s="3180"/>
      <c r="L51" s="3180"/>
      <c r="M51" s="3180"/>
      <c r="N51" s="3180"/>
      <c r="O51" s="3180"/>
      <c r="P51" s="3180"/>
      <c r="Q51" s="3180"/>
      <c r="R51" s="3180"/>
      <c r="S51" s="3180"/>
      <c r="T51" s="3180"/>
      <c r="U51" s="3180"/>
      <c r="V51" s="3180"/>
      <c r="W51" s="3180"/>
      <c r="X51" s="3180"/>
      <c r="Y51" s="3180"/>
      <c r="Z51" s="318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81">
        <f>ROUND(IF(ISERROR((AB49/AB50)),0,(AB49/AB50)),0)</f>
        <v>31904307</v>
      </c>
      <c r="AC54" s="3182"/>
      <c r="AD54" s="3182"/>
      <c r="AE54" s="3182"/>
      <c r="AF54" s="318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81">
        <f>(AB54/10)</f>
        <v>3190430.7</v>
      </c>
      <c r="AC55" s="3182"/>
      <c r="AD55" s="3182"/>
      <c r="AE55" s="3182"/>
      <c r="AF55" s="318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184">
        <f>(IF((Y41&lt;AB55),Y41,AB55))</f>
        <v>2248875</v>
      </c>
      <c r="AC56" s="3185"/>
      <c r="AD56" s="3185"/>
      <c r="AE56" s="3185"/>
      <c r="AF56" s="318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81">
        <f>ROUND((10*AB56*AB50),0)</f>
        <v>19790100</v>
      </c>
      <c r="AC57" s="3182"/>
      <c r="AD57" s="3182"/>
      <c r="AE57" s="3182"/>
      <c r="AF57" s="318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165">
        <f>AB49-AB57</f>
        <v>8285690</v>
      </c>
      <c r="AC59" s="3165"/>
      <c r="AD59" s="3165"/>
      <c r="AE59" s="3165"/>
      <c r="AF59" s="316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187" t="str">
        <f>IF(Application!AP204="yes","Farmworker State Credit", "State Credit" )</f>
        <v>State Credit</v>
      </c>
      <c r="B61" s="3187"/>
      <c r="C61" s="3187"/>
      <c r="D61" s="3187"/>
      <c r="E61" s="3187"/>
      <c r="F61" s="3187"/>
      <c r="G61" s="3187"/>
      <c r="H61" s="3187"/>
      <c r="I61" s="3187"/>
      <c r="J61" s="3187"/>
      <c r="K61" s="3187"/>
      <c r="L61" s="3187"/>
      <c r="M61" s="3187"/>
      <c r="N61" s="3187"/>
      <c r="O61" s="3187"/>
      <c r="P61" s="3187"/>
      <c r="Q61" s="3187"/>
      <c r="R61" s="3187"/>
      <c r="S61" s="3187"/>
      <c r="T61" s="3187"/>
      <c r="U61" s="3187"/>
      <c r="V61" s="3187"/>
      <c r="W61" s="3187"/>
      <c r="X61" s="3187"/>
      <c r="Y61" s="3187"/>
      <c r="Z61" s="3187"/>
      <c r="AA61" s="3187"/>
      <c r="AB61" s="3187"/>
      <c r="AC61" s="3187"/>
      <c r="AD61" s="3187"/>
      <c r="AE61" s="3187"/>
      <c r="AF61" s="3187"/>
      <c r="AG61" s="3187"/>
      <c r="AH61" s="3187"/>
      <c r="AI61" s="3187"/>
      <c r="AJ61" s="3187"/>
      <c r="AK61" s="3187"/>
      <c r="AL61" s="3187"/>
      <c r="AM61" s="3187"/>
      <c r="AN61" s="3187"/>
      <c r="AO61" s="3187"/>
      <c r="AP61" s="3187"/>
      <c r="AQ61" s="3187"/>
      <c r="AR61" s="3187"/>
      <c r="AS61" s="3187"/>
      <c r="AT61" s="3187"/>
      <c r="AU61" s="3187"/>
      <c r="AV61" s="3187"/>
      <c r="AW61" s="3187"/>
      <c r="AX61" s="3187"/>
      <c r="AY61" s="3187"/>
      <c r="AZ61" s="3187"/>
      <c r="BA61" s="3187"/>
      <c r="BB61" s="3187"/>
      <c r="BC61" s="3187"/>
      <c r="BD61" s="3187"/>
      <c r="BE61" s="3187"/>
      <c r="BF61" s="3187"/>
      <c r="BG61" s="3187"/>
      <c r="BH61" s="3187"/>
      <c r="BI61" s="3187"/>
      <c r="BJ61" s="3187"/>
      <c r="BK61" s="3187"/>
      <c r="BL61" s="3187"/>
      <c r="BM61" s="3187"/>
      <c r="BN61" s="3187"/>
      <c r="BO61" s="3187"/>
      <c r="BP61" s="3187"/>
      <c r="BQ61" s="3187"/>
      <c r="BR61" s="3187"/>
      <c r="BS61" s="3187"/>
      <c r="BT61" s="3187"/>
      <c r="BU61" s="3187"/>
      <c r="BV61" s="3187"/>
      <c r="BW61" s="3187"/>
      <c r="BX61" s="31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1430</v>
      </c>
      <c r="D63" s="610"/>
      <c r="E63" s="610"/>
      <c r="F63" s="610"/>
      <c r="G63" s="610"/>
      <c r="H63" s="610"/>
      <c r="I63" s="610"/>
      <c r="J63" s="610"/>
      <c r="K63" s="610"/>
      <c r="L63" s="610"/>
      <c r="M63" s="610"/>
      <c r="N63" s="610"/>
      <c r="O63" s="610"/>
      <c r="P63" s="610"/>
      <c r="Q63" s="610"/>
      <c r="R63" s="610"/>
      <c r="S63" s="610"/>
      <c r="T63" s="610"/>
      <c r="U63" s="610"/>
      <c r="V63" s="610"/>
      <c r="W63" s="610"/>
      <c r="X63" s="610"/>
      <c r="Y63" s="3176" t="s">
        <v>1043</v>
      </c>
      <c r="Z63" s="3176"/>
      <c r="AA63" s="3176"/>
      <c r="AB63" s="3176"/>
      <c r="AC63" s="3176"/>
      <c r="AD63" s="3176" t="s">
        <v>377</v>
      </c>
      <c r="AE63" s="3176"/>
      <c r="AF63" s="3176"/>
      <c r="AG63" s="3176"/>
      <c r="AH63" s="317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1431</v>
      </c>
      <c r="E64" s="637"/>
      <c r="F64" s="637"/>
      <c r="G64" s="637"/>
      <c r="H64" s="637"/>
      <c r="I64" s="637"/>
      <c r="J64" s="637"/>
      <c r="K64" s="637"/>
      <c r="L64" s="638"/>
      <c r="M64" s="638"/>
      <c r="N64" s="638"/>
      <c r="O64" s="638"/>
      <c r="P64" s="638"/>
      <c r="Q64" s="638"/>
      <c r="R64" s="638"/>
      <c r="S64" s="638"/>
      <c r="T64" s="638"/>
      <c r="U64" s="638"/>
      <c r="V64" s="638"/>
      <c r="W64" s="638"/>
      <c r="X64" s="638"/>
      <c r="Y64" s="3177">
        <f>IF(Application!Z204="(select)",0,((T23*T27)+Y28))</f>
        <v>56221872</v>
      </c>
      <c r="Z64" s="3178"/>
      <c r="AA64" s="3178"/>
      <c r="AB64" s="3178"/>
      <c r="AC64" s="3179"/>
      <c r="AD64" s="3177">
        <f>IF(AND(OR(Application!D210="At-Risk",Application!D210="At-Risk and Special Needs"),Application!M357="yes"),AD28+AI28,0)</f>
        <v>0</v>
      </c>
      <c r="AE64" s="3178"/>
      <c r="AF64" s="3178"/>
      <c r="AG64" s="3178"/>
      <c r="AH64" s="317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2179</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2180</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166">
        <f>IF(Application!AP204="yes",0.75,IF(Application!Z203="15% set-aside",0.13,IF(Application!Z203="15% set-aside with qualifying low value rehab",0.95,0.3)))</f>
        <v>0.3</v>
      </c>
      <c r="Z67" s="3166"/>
      <c r="AA67" s="3166"/>
      <c r="AB67" s="3166"/>
      <c r="AC67" s="3166"/>
      <c r="AD67" s="3166">
        <f>IF(Application!Z203="15% set-aside with qualifying low value rehab", 0.95,0.13)</f>
        <v>0.13</v>
      </c>
      <c r="AE67" s="3166"/>
      <c r="AF67" s="3166"/>
      <c r="AG67" s="3166"/>
      <c r="AH67" s="316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1432</v>
      </c>
      <c r="E68" s="610"/>
      <c r="F68" s="610"/>
      <c r="G68" s="610"/>
      <c r="H68" s="610"/>
      <c r="I68" s="610"/>
      <c r="J68" s="610"/>
      <c r="K68" s="610"/>
      <c r="L68" s="610"/>
      <c r="M68" s="610"/>
      <c r="N68" s="610"/>
      <c r="O68" s="610"/>
      <c r="P68" s="610"/>
      <c r="Q68" s="610"/>
      <c r="R68" s="610"/>
      <c r="S68" s="610"/>
      <c r="T68" s="610"/>
      <c r="U68" s="610"/>
      <c r="V68" s="610"/>
      <c r="W68" s="610"/>
      <c r="X68" s="610"/>
      <c r="Y68" s="3167">
        <f>ROUND(Y64*Y67,0)</f>
        <v>16866562</v>
      </c>
      <c r="Z68" s="3168"/>
      <c r="AA68" s="3168"/>
      <c r="AB68" s="3168"/>
      <c r="AC68" s="3168"/>
      <c r="AD68" s="3167">
        <f>ROUND(AD64*AD67,0)</f>
        <v>0</v>
      </c>
      <c r="AE68" s="3168"/>
      <c r="AF68" s="3168"/>
      <c r="AG68" s="3168"/>
      <c r="AH68" s="316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1433</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169">
        <v>0.75</v>
      </c>
      <c r="AC71" s="3170"/>
      <c r="AD71" s="3170"/>
      <c r="AE71" s="3170"/>
      <c r="AF71" s="317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172" t="s">
        <v>1434</v>
      </c>
      <c r="F72" s="3172"/>
      <c r="G72" s="3172"/>
      <c r="H72" s="3172"/>
      <c r="I72" s="3172"/>
      <c r="J72" s="3172"/>
      <c r="K72" s="3172"/>
      <c r="L72" s="3172"/>
      <c r="M72" s="3172"/>
      <c r="N72" s="3172"/>
      <c r="O72" s="3172"/>
      <c r="P72" s="3172"/>
      <c r="Q72" s="3172"/>
      <c r="R72" s="3172"/>
      <c r="S72" s="3172"/>
      <c r="T72" s="3172"/>
      <c r="U72" s="3172"/>
      <c r="V72" s="3172"/>
      <c r="W72" s="3172"/>
      <c r="X72" s="3172"/>
      <c r="Y72" s="3172"/>
      <c r="Z72" s="3172"/>
      <c r="AA72" s="317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172"/>
      <c r="F73" s="3172"/>
      <c r="G73" s="3172"/>
      <c r="H73" s="3172"/>
      <c r="I73" s="3172"/>
      <c r="J73" s="3172"/>
      <c r="K73" s="3172"/>
      <c r="L73" s="3172"/>
      <c r="M73" s="3172"/>
      <c r="N73" s="3172"/>
      <c r="O73" s="3172"/>
      <c r="P73" s="3172"/>
      <c r="Q73" s="3172"/>
      <c r="R73" s="3172"/>
      <c r="S73" s="3172"/>
      <c r="T73" s="3172"/>
      <c r="U73" s="3172"/>
      <c r="V73" s="3172"/>
      <c r="W73" s="3172"/>
      <c r="X73" s="3172"/>
      <c r="Y73" s="3172"/>
      <c r="Z73" s="3172"/>
      <c r="AA73" s="317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172"/>
      <c r="F74" s="3172"/>
      <c r="G74" s="3172"/>
      <c r="H74" s="3172"/>
      <c r="I74" s="3172"/>
      <c r="J74" s="3172"/>
      <c r="K74" s="3172"/>
      <c r="L74" s="3172"/>
      <c r="M74" s="3172"/>
      <c r="N74" s="3172"/>
      <c r="O74" s="3172"/>
      <c r="P74" s="3172"/>
      <c r="Q74" s="3172"/>
      <c r="R74" s="3172"/>
      <c r="S74" s="3172"/>
      <c r="T74" s="3172"/>
      <c r="U74" s="3172"/>
      <c r="V74" s="3172"/>
      <c r="W74" s="3172"/>
      <c r="X74" s="3172"/>
      <c r="Y74" s="3172"/>
      <c r="Z74" s="3172"/>
      <c r="AA74" s="317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1435</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160">
        <f>ROUND(IF(ISERROR((AB59/AB71)),0,(AB59/AB71)),0)</f>
        <v>11047587</v>
      </c>
      <c r="AC76" s="3160"/>
      <c r="AD76" s="3160"/>
      <c r="AE76" s="3160"/>
      <c r="AF76" s="316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1436</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161">
        <f>IF((Y68+AD68&lt;AB76),Y68+AD68,AB76)</f>
        <v>11047587</v>
      </c>
      <c r="AC77" s="3162"/>
      <c r="AD77" s="3162"/>
      <c r="AE77" s="3162"/>
      <c r="AF77" s="316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1437</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164">
        <f>AB77*AB71</f>
        <v>8285690.25</v>
      </c>
      <c r="AC78" s="3164"/>
      <c r="AD78" s="3164"/>
      <c r="AE78" s="3164"/>
      <c r="AF78" s="316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165">
        <f>AB49-(AB57+AB78)</f>
        <v>-0.25</v>
      </c>
      <c r="AC80" s="3165"/>
      <c r="AD80" s="3165"/>
      <c r="AE80" s="3165"/>
      <c r="AF80" s="316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187"/>
      <c r="B83" s="3187"/>
      <c r="C83" s="3187"/>
      <c r="D83" s="3187"/>
      <c r="E83" s="3187"/>
      <c r="F83" s="3187"/>
      <c r="G83" s="3187"/>
      <c r="H83" s="3187"/>
      <c r="I83" s="3187"/>
      <c r="J83" s="3187"/>
      <c r="K83" s="3187"/>
      <c r="L83" s="3187"/>
      <c r="M83" s="3187"/>
      <c r="N83" s="3187"/>
      <c r="O83" s="3187"/>
      <c r="P83" s="3187"/>
      <c r="Q83" s="3187"/>
      <c r="R83" s="3187"/>
      <c r="S83" s="3187"/>
      <c r="T83" s="3187"/>
      <c r="U83" s="3187"/>
      <c r="V83" s="3187"/>
      <c r="W83" s="3187"/>
      <c r="X83" s="3187"/>
      <c r="Y83" s="3187"/>
      <c r="Z83" s="3187"/>
      <c r="AA83" s="3187"/>
      <c r="AB83" s="3187"/>
      <c r="AC83" s="3187"/>
      <c r="AD83" s="3187"/>
      <c r="AE83" s="3187"/>
      <c r="AF83" s="3187"/>
      <c r="AG83" s="3187"/>
      <c r="AH83" s="3187"/>
      <c r="AI83" s="3187"/>
      <c r="AJ83" s="3187"/>
      <c r="AK83" s="3187"/>
      <c r="AL83" s="3187"/>
      <c r="AM83" s="3187"/>
      <c r="AN83" s="3187"/>
      <c r="AO83" s="3187"/>
      <c r="AP83" s="3187"/>
      <c r="AQ83" s="3187"/>
      <c r="AR83" s="3187"/>
      <c r="AS83" s="3187"/>
      <c r="AT83" s="3187"/>
      <c r="AU83" s="3187"/>
      <c r="AV83" s="3187"/>
      <c r="AW83" s="3187"/>
      <c r="AX83" s="3187"/>
      <c r="AY83" s="3187"/>
      <c r="AZ83" s="3187"/>
      <c r="BA83" s="3187"/>
      <c r="BB83" s="3187"/>
      <c r="BC83" s="3187"/>
      <c r="BD83" s="3187"/>
      <c r="BE83" s="3187"/>
      <c r="BF83" s="3187"/>
      <c r="BG83" s="3187"/>
      <c r="BH83" s="3187"/>
      <c r="BI83" s="3187"/>
      <c r="BJ83" s="3187"/>
      <c r="BK83" s="3187"/>
      <c r="BL83" s="3187"/>
      <c r="BM83" s="3187"/>
      <c r="BN83" s="3187"/>
      <c r="BO83" s="3187"/>
      <c r="BP83" s="3187"/>
      <c r="BQ83" s="3187"/>
      <c r="BR83" s="3187"/>
      <c r="BS83" s="3187"/>
      <c r="BT83" s="3187"/>
      <c r="BU83" s="3187"/>
      <c r="BV83" s="3187"/>
      <c r="BW83" s="3187"/>
      <c r="BX83" s="3187"/>
    </row>
    <row r="84" spans="1:98" ht="13.5" thickTop="1"/>
    <row r="85" spans="1:98" ht="12.75">
      <c r="A85" s="786"/>
      <c r="C85" s="334"/>
      <c r="Z85" s="612"/>
      <c r="AA85" s="612"/>
      <c r="AB85" s="612"/>
      <c r="AC85" s="612"/>
      <c r="AD85" s="612"/>
      <c r="AE85" s="612"/>
      <c r="AF85" s="612"/>
      <c r="AG85" s="612"/>
      <c r="AH85" s="612"/>
    </row>
    <row r="86" spans="1:98" ht="12.75">
      <c r="D86" s="334"/>
      <c r="Z86" s="612"/>
      <c r="AA86" s="612"/>
      <c r="AB86" s="3228"/>
      <c r="AC86" s="3228"/>
      <c r="AD86" s="3228"/>
      <c r="AE86" s="3228"/>
      <c r="AF86" s="3228"/>
      <c r="AG86" s="612"/>
      <c r="AH86" s="612"/>
    </row>
    <row r="87" spans="1:98" ht="13.5" thickBot="1">
      <c r="D87" s="334"/>
      <c r="Z87" s="612"/>
      <c r="AA87" s="612"/>
      <c r="AB87" s="3227"/>
      <c r="AC87" s="3227"/>
      <c r="AD87" s="3227"/>
      <c r="AE87" s="3227"/>
      <c r="AF87" s="322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E39" sqref="E39"/>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2658</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3112752</v>
      </c>
      <c r="G4" s="351">
        <f>E4*$C$4</f>
        <v>3190570.8</v>
      </c>
      <c r="I4" s="351">
        <f>G4*$C$4</f>
        <v>3270335.0699999994</v>
      </c>
      <c r="K4" s="351">
        <f>I4*$C$4</f>
        <v>3352093.4467499992</v>
      </c>
      <c r="M4" s="351">
        <f>K4*$C$4</f>
        <v>3435895.7829187489</v>
      </c>
      <c r="O4" s="351">
        <f>M4*$C$4</f>
        <v>3521793.1774917175</v>
      </c>
      <c r="Q4" s="351">
        <f>O4*$C$4</f>
        <v>3609838.0069290102</v>
      </c>
      <c r="S4" s="351">
        <f>Q4*$C$4</f>
        <v>3700083.9571022349</v>
      </c>
      <c r="U4" s="351">
        <f>S4*$C$4</f>
        <v>3792586.0560297905</v>
      </c>
      <c r="W4" s="351">
        <f>U4*$C$4</f>
        <v>3887400.707430535</v>
      </c>
      <c r="Y4" s="351">
        <f>W4*$C$4</f>
        <v>3984585.7251162981</v>
      </c>
      <c r="AA4" s="351">
        <f>Y4*$C$4</f>
        <v>4084200.3682442051</v>
      </c>
      <c r="AC4" s="351">
        <f>AA4*$C$4</f>
        <v>4186305.3774503097</v>
      </c>
      <c r="AE4" s="351">
        <f>AC4*$C$4</f>
        <v>4290963.0118865669</v>
      </c>
      <c r="AG4" s="351">
        <f>AE4*$C$4</f>
        <v>4398237.0871837307</v>
      </c>
    </row>
    <row r="5" spans="1:34" s="339" customFormat="1" ht="14.25">
      <c r="B5" s="339" t="s">
        <v>885</v>
      </c>
      <c r="C5" s="372">
        <f>IF(Application!$D$210="Special Needs",0.1,0.05)</f>
        <v>0.05</v>
      </c>
      <c r="E5" s="353">
        <f>-E4*$C$5</f>
        <v>-155637.6</v>
      </c>
      <c r="F5" s="353"/>
      <c r="G5" s="353">
        <f>-G4*$C$5</f>
        <v>-159528.54</v>
      </c>
      <c r="H5" s="353"/>
      <c r="I5" s="353">
        <f>-I4*$C$5</f>
        <v>-163516.75349999999</v>
      </c>
      <c r="J5" s="353"/>
      <c r="K5" s="353">
        <f>-K4*$C$5</f>
        <v>-167604.67233749997</v>
      </c>
      <c r="L5" s="353"/>
      <c r="M5" s="353">
        <f>-M4*$C$5</f>
        <v>-171794.78914593745</v>
      </c>
      <c r="N5" s="353"/>
      <c r="O5" s="353">
        <f>-O4*$C$5</f>
        <v>-176089.65887458588</v>
      </c>
      <c r="P5" s="353"/>
      <c r="Q5" s="353">
        <f>-Q4*$C$5</f>
        <v>-180491.90034645051</v>
      </c>
      <c r="R5" s="353"/>
      <c r="S5" s="353">
        <f>-S4*$C$5</f>
        <v>-185004.19785511176</v>
      </c>
      <c r="T5" s="353"/>
      <c r="U5" s="353">
        <f>-U4*$C$5</f>
        <v>-189629.30280148954</v>
      </c>
      <c r="V5" s="353"/>
      <c r="W5" s="353">
        <f>-W4*$C$5</f>
        <v>-194370.03537152676</v>
      </c>
      <c r="X5" s="353"/>
      <c r="Y5" s="353">
        <f>-Y4*$C$5</f>
        <v>-199229.28625581492</v>
      </c>
      <c r="Z5" s="353"/>
      <c r="AA5" s="353">
        <f>-AA4*$C$5</f>
        <v>-204210.01841221028</v>
      </c>
      <c r="AB5" s="353"/>
      <c r="AC5" s="353">
        <f>-AC4*$C$5</f>
        <v>-209315.2688725155</v>
      </c>
      <c r="AD5" s="353"/>
      <c r="AE5" s="353">
        <f>-AE4*$C$5</f>
        <v>-214548.15059432836</v>
      </c>
      <c r="AF5" s="353"/>
      <c r="AG5" s="353">
        <f>-AG4*$C$5</f>
        <v>-219911.85435918655</v>
      </c>
    </row>
    <row r="6" spans="1:34" s="339" customFormat="1" ht="14.25">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29880</v>
      </c>
      <c r="F8" s="354"/>
      <c r="G8" s="354">
        <f>E8*$C$8</f>
        <v>30626.999999999996</v>
      </c>
      <c r="H8" s="354"/>
      <c r="I8" s="354">
        <f>G8*$C$8</f>
        <v>31392.674999999992</v>
      </c>
      <c r="J8" s="354"/>
      <c r="K8" s="354">
        <f>I8*$C$8</f>
        <v>32177.491874999989</v>
      </c>
      <c r="L8" s="354"/>
      <c r="M8" s="354">
        <f>K8*$C$8</f>
        <v>32981.929171874988</v>
      </c>
      <c r="N8" s="354"/>
      <c r="O8" s="354">
        <f>M8*$C$8</f>
        <v>33806.477401171862</v>
      </c>
      <c r="P8" s="354"/>
      <c r="Q8" s="354">
        <f>O8*$C$8</f>
        <v>34651.639336201159</v>
      </c>
      <c r="R8" s="354"/>
      <c r="S8" s="354">
        <f>Q8*$C$8</f>
        <v>35517.930319606181</v>
      </c>
      <c r="T8" s="354"/>
      <c r="U8" s="354">
        <f>S8*$C$8</f>
        <v>36405.878577596333</v>
      </c>
      <c r="V8" s="354"/>
      <c r="W8" s="354">
        <f>U8*$C$8</f>
        <v>37316.025542036237</v>
      </c>
      <c r="X8" s="354"/>
      <c r="Y8" s="354">
        <f>W8*$C$8</f>
        <v>38248.926180587143</v>
      </c>
      <c r="Z8" s="354"/>
      <c r="AA8" s="354">
        <f>Y8*$C$8</f>
        <v>39205.149335101822</v>
      </c>
      <c r="AB8" s="354"/>
      <c r="AC8" s="354">
        <f>AA8*$C$8</f>
        <v>40185.278068479362</v>
      </c>
      <c r="AD8" s="354"/>
      <c r="AE8" s="354">
        <f>AC8*$C$8</f>
        <v>41189.910020191339</v>
      </c>
      <c r="AF8" s="354"/>
      <c r="AG8" s="354">
        <f>AE8*$C$8</f>
        <v>42219.657770696118</v>
      </c>
    </row>
    <row r="9" spans="1:34" s="339" customFormat="1" ht="14.25">
      <c r="B9" s="339" t="s">
        <v>885</v>
      </c>
      <c r="C9" s="372">
        <f>IF(Application!$D$210="Special Needs",0.1,0.05)</f>
        <v>0.05</v>
      </c>
      <c r="E9" s="370">
        <f>-E8*$C$9</f>
        <v>-1494</v>
      </c>
      <c r="F9" s="353"/>
      <c r="G9" s="370">
        <f>-G8*$C$9</f>
        <v>-1531.35</v>
      </c>
      <c r="H9" s="353"/>
      <c r="I9" s="370">
        <f>-I8*$C$9</f>
        <v>-1569.6337499999997</v>
      </c>
      <c r="J9" s="353"/>
      <c r="K9" s="370">
        <f>-K8*$C$9</f>
        <v>-1608.8745937499996</v>
      </c>
      <c r="L9" s="353"/>
      <c r="M9" s="370">
        <f>-M8*$C$9</f>
        <v>-1649.0964585937495</v>
      </c>
      <c r="N9" s="353"/>
      <c r="O9" s="370">
        <f>-O8*$C$9</f>
        <v>-1690.3238700585932</v>
      </c>
      <c r="P9" s="353"/>
      <c r="Q9" s="370">
        <f>-Q8*$C$9</f>
        <v>-1732.581966810058</v>
      </c>
      <c r="R9" s="353"/>
      <c r="S9" s="370">
        <f>-S8*$C$9</f>
        <v>-1775.8965159803092</v>
      </c>
      <c r="T9" s="353"/>
      <c r="U9" s="370">
        <f>-U8*$C$9</f>
        <v>-1820.2939288798168</v>
      </c>
      <c r="V9" s="353"/>
      <c r="W9" s="370">
        <f>-W8*$C$9</f>
        <v>-1865.801277101812</v>
      </c>
      <c r="X9" s="353"/>
      <c r="Y9" s="370">
        <f>-Y8*$C$9</f>
        <v>-1912.4463090293573</v>
      </c>
      <c r="Z9" s="353"/>
      <c r="AA9" s="370">
        <f>-AA8*$C$9</f>
        <v>-1960.2574667550912</v>
      </c>
      <c r="AB9" s="353"/>
      <c r="AC9" s="370">
        <f>-AC8*$C$9</f>
        <v>-2009.2639034239683</v>
      </c>
      <c r="AD9" s="353"/>
      <c r="AE9" s="370">
        <f>-AE8*$C$9</f>
        <v>-2059.4955010095669</v>
      </c>
      <c r="AF9" s="353"/>
      <c r="AG9" s="370">
        <f>-AG8*$C$9</f>
        <v>-2110.9828885348061</v>
      </c>
    </row>
    <row r="10" spans="1:34" s="355" customFormat="1" ht="15">
      <c r="A10" s="355" t="s">
        <v>906</v>
      </c>
      <c r="C10" s="346"/>
      <c r="E10" s="355">
        <f>SUM(E4:E9)</f>
        <v>2985500.4</v>
      </c>
      <c r="G10" s="355">
        <f>SUM(G4:G9)</f>
        <v>3060137.9099999997</v>
      </c>
      <c r="I10" s="355">
        <f>SUM(I4:I9)</f>
        <v>3136641.357749999</v>
      </c>
      <c r="K10" s="355">
        <f>SUM(K4:K9)</f>
        <v>3215057.391693749</v>
      </c>
      <c r="M10" s="355">
        <f>SUM(M4:M9)</f>
        <v>3295433.8264860925</v>
      </c>
      <c r="O10" s="355">
        <f>SUM(O4:O9)</f>
        <v>3377819.6721482449</v>
      </c>
      <c r="Q10" s="355">
        <f>SUM(Q4:Q9)</f>
        <v>3462265.1639519511</v>
      </c>
      <c r="S10" s="355">
        <f>SUM(S4:S9)</f>
        <v>3548821.7930507492</v>
      </c>
      <c r="U10" s="355">
        <f>SUM(U4:U9)</f>
        <v>3637542.3378770179</v>
      </c>
      <c r="W10" s="355">
        <f>SUM(W4:W9)</f>
        <v>3728480.8963239426</v>
      </c>
      <c r="Y10" s="355">
        <f>SUM(Y4:Y9)</f>
        <v>3821692.918732041</v>
      </c>
      <c r="AA10" s="355">
        <f>SUM(AA4:AA9)</f>
        <v>3917235.2417003415</v>
      </c>
      <c r="AC10" s="355">
        <f>SUM(AC4:AC9)</f>
        <v>4015166.1227428494</v>
      </c>
      <c r="AE10" s="355">
        <f>SUM(AE4:AE9)</f>
        <v>4115545.2758114198</v>
      </c>
      <c r="AG10" s="355">
        <f>SUM(AG4:AG9)</f>
        <v>4218433.9077067059</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63452</v>
      </c>
      <c r="G14" s="351">
        <f>E14*$C$13</f>
        <v>65672.819999999992</v>
      </c>
      <c r="I14" s="351">
        <f>G14*$C$13</f>
        <v>67971.368699999992</v>
      </c>
      <c r="K14" s="351">
        <f>I14*$C$13</f>
        <v>70350.366604499985</v>
      </c>
      <c r="M14" s="351">
        <f>K14*$C$13</f>
        <v>72812.62943565748</v>
      </c>
      <c r="O14" s="351">
        <f>M14*$C$13</f>
        <v>75361.071465905479</v>
      </c>
      <c r="Q14" s="351">
        <f>O14*$C$13</f>
        <v>77998.708967212166</v>
      </c>
      <c r="S14" s="351">
        <f>Q14*$C$13</f>
        <v>80728.663781064592</v>
      </c>
      <c r="U14" s="351">
        <f>S14*$C$13</f>
        <v>83554.16701340185</v>
      </c>
      <c r="W14" s="351">
        <f>U14*$C$13</f>
        <v>86478.562858870908</v>
      </c>
      <c r="Y14" s="351">
        <f>W14*$C$13</f>
        <v>89505.312558931386</v>
      </c>
      <c r="AA14" s="351">
        <f>Y14*$C$13</f>
        <v>92637.99849849398</v>
      </c>
      <c r="AC14" s="351">
        <f>AA14*$C$13</f>
        <v>95880.328445941268</v>
      </c>
      <c r="AE14" s="351">
        <f>AC14*$C$13</f>
        <v>99236.139941549205</v>
      </c>
      <c r="AG14" s="351">
        <f>AE14*$C$13</f>
        <v>102709.40483950342</v>
      </c>
    </row>
    <row r="15" spans="1:34" s="339" customFormat="1" ht="14.25">
      <c r="A15" s="339" t="s">
        <v>351</v>
      </c>
      <c r="C15" s="365"/>
      <c r="E15" s="354">
        <f>Application!W847</f>
        <v>104493</v>
      </c>
      <c r="F15" s="354"/>
      <c r="G15" s="354">
        <f t="shared" ref="G15:AG20" si="0">E15*$C$13</f>
        <v>108150.25499999999</v>
      </c>
      <c r="H15" s="354"/>
      <c r="I15" s="354">
        <f t="shared" si="0"/>
        <v>111935.51392499998</v>
      </c>
      <c r="J15" s="354"/>
      <c r="K15" s="354">
        <f t="shared" si="0"/>
        <v>115853.25691237497</v>
      </c>
      <c r="L15" s="354"/>
      <c r="M15" s="354">
        <f t="shared" si="0"/>
        <v>119908.12090430809</v>
      </c>
      <c r="N15" s="354"/>
      <c r="O15" s="354">
        <f t="shared" si="0"/>
        <v>124104.90513595886</v>
      </c>
      <c r="P15" s="354"/>
      <c r="Q15" s="354">
        <f t="shared" si="0"/>
        <v>128448.57681571742</v>
      </c>
      <c r="R15" s="354"/>
      <c r="S15" s="354">
        <f t="shared" si="0"/>
        <v>132944.27700426753</v>
      </c>
      <c r="T15" s="354"/>
      <c r="U15" s="354">
        <f t="shared" si="0"/>
        <v>137597.32669941688</v>
      </c>
      <c r="V15" s="354"/>
      <c r="W15" s="354">
        <f t="shared" si="0"/>
        <v>142413.23313389646</v>
      </c>
      <c r="X15" s="354"/>
      <c r="Y15" s="354">
        <f t="shared" si="0"/>
        <v>147397.69629358282</v>
      </c>
      <c r="Z15" s="354"/>
      <c r="AA15" s="354">
        <f t="shared" si="0"/>
        <v>152556.61566385822</v>
      </c>
      <c r="AB15" s="354"/>
      <c r="AC15" s="354">
        <f t="shared" si="0"/>
        <v>157896.09721209324</v>
      </c>
      <c r="AD15" s="354"/>
      <c r="AE15" s="354">
        <f t="shared" si="0"/>
        <v>163422.46061451649</v>
      </c>
      <c r="AF15" s="354"/>
      <c r="AG15" s="354">
        <f t="shared" si="0"/>
        <v>169142.24673602456</v>
      </c>
    </row>
    <row r="16" spans="1:34" s="339" customFormat="1" ht="14.25">
      <c r="A16" s="339" t="s">
        <v>587</v>
      </c>
      <c r="C16" s="365"/>
      <c r="E16" s="354">
        <f>Application!W853</f>
        <v>132800</v>
      </c>
      <c r="F16" s="354"/>
      <c r="G16" s="354">
        <f t="shared" si="0"/>
        <v>137448</v>
      </c>
      <c r="H16" s="354"/>
      <c r="I16" s="354">
        <f t="shared" si="0"/>
        <v>142258.68</v>
      </c>
      <c r="J16" s="354"/>
      <c r="K16" s="354">
        <f t="shared" si="0"/>
        <v>147237.73379999999</v>
      </c>
      <c r="L16" s="354"/>
      <c r="M16" s="354">
        <f t="shared" si="0"/>
        <v>152391.05448299999</v>
      </c>
      <c r="N16" s="354"/>
      <c r="O16" s="354">
        <f t="shared" si="0"/>
        <v>157724.74138990499</v>
      </c>
      <c r="P16" s="354"/>
      <c r="Q16" s="354">
        <f t="shared" si="0"/>
        <v>163245.10733855164</v>
      </c>
      <c r="R16" s="354"/>
      <c r="S16" s="354">
        <f t="shared" si="0"/>
        <v>168958.68609540092</v>
      </c>
      <c r="T16" s="354"/>
      <c r="U16" s="354">
        <f t="shared" si="0"/>
        <v>174872.24010873993</v>
      </c>
      <c r="V16" s="354"/>
      <c r="W16" s="354">
        <f t="shared" si="0"/>
        <v>180992.76851254582</v>
      </c>
      <c r="X16" s="354"/>
      <c r="Y16" s="354">
        <f t="shared" si="0"/>
        <v>187327.51541048492</v>
      </c>
      <c r="Z16" s="354"/>
      <c r="AA16" s="354">
        <f t="shared" si="0"/>
        <v>193883.97844985189</v>
      </c>
      <c r="AB16" s="354"/>
      <c r="AC16" s="354">
        <f t="shared" si="0"/>
        <v>200669.9176955967</v>
      </c>
      <c r="AD16" s="354"/>
      <c r="AE16" s="354">
        <f t="shared" si="0"/>
        <v>207693.36481494256</v>
      </c>
      <c r="AF16" s="354"/>
      <c r="AG16" s="354">
        <f t="shared" si="0"/>
        <v>214962.63258346554</v>
      </c>
    </row>
    <row r="17" spans="1:33" s="339" customFormat="1" ht="14.25">
      <c r="A17" s="339" t="s">
        <v>889</v>
      </c>
      <c r="C17" s="365"/>
      <c r="E17" s="354">
        <f>Application!W860</f>
        <v>346787</v>
      </c>
      <c r="F17" s="354"/>
      <c r="G17" s="354">
        <f t="shared" si="0"/>
        <v>358924.54499999998</v>
      </c>
      <c r="H17" s="354"/>
      <c r="I17" s="354">
        <f t="shared" si="0"/>
        <v>371486.90407499997</v>
      </c>
      <c r="J17" s="354"/>
      <c r="K17" s="354">
        <f t="shared" si="0"/>
        <v>384488.94571762491</v>
      </c>
      <c r="L17" s="354"/>
      <c r="M17" s="354">
        <f t="shared" si="0"/>
        <v>397946.05881774175</v>
      </c>
      <c r="N17" s="354"/>
      <c r="O17" s="354">
        <f t="shared" si="0"/>
        <v>411874.17087636271</v>
      </c>
      <c r="P17" s="354"/>
      <c r="Q17" s="354">
        <f t="shared" si="0"/>
        <v>426289.7668570354</v>
      </c>
      <c r="R17" s="354"/>
      <c r="S17" s="354">
        <f t="shared" si="0"/>
        <v>441209.90869703161</v>
      </c>
      <c r="T17" s="354"/>
      <c r="U17" s="354">
        <f t="shared" si="0"/>
        <v>456652.25550142769</v>
      </c>
      <c r="V17" s="354"/>
      <c r="W17" s="354">
        <f t="shared" si="0"/>
        <v>472635.08444397763</v>
      </c>
      <c r="X17" s="354"/>
      <c r="Y17" s="354">
        <f t="shared" si="0"/>
        <v>489177.31239951681</v>
      </c>
      <c r="Z17" s="354"/>
      <c r="AA17" s="354">
        <f t="shared" si="0"/>
        <v>506298.51833349984</v>
      </c>
      <c r="AB17" s="354"/>
      <c r="AC17" s="354">
        <f t="shared" si="0"/>
        <v>524018.96647517232</v>
      </c>
      <c r="AD17" s="354"/>
      <c r="AE17" s="354">
        <f t="shared" si="0"/>
        <v>542359.63030180335</v>
      </c>
      <c r="AF17" s="354"/>
      <c r="AG17" s="354">
        <f t="shared" si="0"/>
        <v>561342.21736236638</v>
      </c>
    </row>
    <row r="18" spans="1:33" s="339" customFormat="1" ht="14.25">
      <c r="A18" s="339" t="s">
        <v>160</v>
      </c>
      <c r="C18" s="365"/>
      <c r="E18" s="354">
        <f>Application!W861</f>
        <v>61752</v>
      </c>
      <c r="F18" s="354"/>
      <c r="G18" s="354">
        <f t="shared" si="0"/>
        <v>63913.319999999992</v>
      </c>
      <c r="H18" s="354"/>
      <c r="I18" s="354">
        <f t="shared" si="0"/>
        <v>66150.286199999988</v>
      </c>
      <c r="J18" s="354"/>
      <c r="K18" s="354">
        <f t="shared" si="0"/>
        <v>68465.546216999981</v>
      </c>
      <c r="L18" s="354"/>
      <c r="M18" s="354">
        <f t="shared" si="0"/>
        <v>70861.840334594977</v>
      </c>
      <c r="N18" s="354"/>
      <c r="O18" s="354">
        <f t="shared" si="0"/>
        <v>73342.0047463058</v>
      </c>
      <c r="P18" s="354"/>
      <c r="Q18" s="354">
        <f t="shared" si="0"/>
        <v>75908.974912426493</v>
      </c>
      <c r="R18" s="354"/>
      <c r="S18" s="354">
        <f t="shared" si="0"/>
        <v>78565.789034361413</v>
      </c>
      <c r="T18" s="354"/>
      <c r="U18" s="354">
        <f t="shared" si="0"/>
        <v>81315.591650564049</v>
      </c>
      <c r="V18" s="354"/>
      <c r="W18" s="354">
        <f t="shared" si="0"/>
        <v>84161.637358333785</v>
      </c>
      <c r="X18" s="354"/>
      <c r="Y18" s="354">
        <f t="shared" si="0"/>
        <v>87107.294665875466</v>
      </c>
      <c r="Z18" s="354"/>
      <c r="AA18" s="354">
        <f t="shared" si="0"/>
        <v>90156.049979181102</v>
      </c>
      <c r="AB18" s="354"/>
      <c r="AC18" s="354">
        <f t="shared" si="0"/>
        <v>93311.511728452431</v>
      </c>
      <c r="AD18" s="354"/>
      <c r="AE18" s="354">
        <f t="shared" si="0"/>
        <v>96577.414638948263</v>
      </c>
      <c r="AF18" s="354"/>
      <c r="AG18" s="354">
        <f t="shared" si="0"/>
        <v>99957.624151311451</v>
      </c>
    </row>
    <row r="19" spans="1:33" s="339" customFormat="1" ht="14.25">
      <c r="A19" s="339" t="s">
        <v>405</v>
      </c>
      <c r="C19" s="365"/>
      <c r="E19" s="354">
        <f>Application!W870</f>
        <v>87980</v>
      </c>
      <c r="F19" s="354"/>
      <c r="G19" s="354">
        <f t="shared" si="0"/>
        <v>91059.299999999988</v>
      </c>
      <c r="H19" s="354"/>
      <c r="I19" s="354">
        <f t="shared" si="0"/>
        <v>94246.37549999998</v>
      </c>
      <c r="J19" s="354"/>
      <c r="K19" s="354">
        <f t="shared" si="0"/>
        <v>97544.998642499966</v>
      </c>
      <c r="L19" s="354"/>
      <c r="M19" s="354">
        <f t="shared" si="0"/>
        <v>100959.07359498745</v>
      </c>
      <c r="N19" s="354"/>
      <c r="O19" s="354">
        <f t="shared" si="0"/>
        <v>104492.641170812</v>
      </c>
      <c r="P19" s="354"/>
      <c r="Q19" s="354">
        <f t="shared" si="0"/>
        <v>108149.88361179041</v>
      </c>
      <c r="R19" s="354"/>
      <c r="S19" s="354">
        <f t="shared" si="0"/>
        <v>111935.12953820307</v>
      </c>
      <c r="T19" s="354"/>
      <c r="U19" s="354">
        <f t="shared" si="0"/>
        <v>115852.85907204017</v>
      </c>
      <c r="V19" s="354"/>
      <c r="W19" s="354">
        <f t="shared" si="0"/>
        <v>119907.70913956157</v>
      </c>
      <c r="X19" s="354"/>
      <c r="Y19" s="354">
        <f t="shared" si="0"/>
        <v>124104.47895944622</v>
      </c>
      <c r="Z19" s="354"/>
      <c r="AA19" s="354">
        <f t="shared" si="0"/>
        <v>128448.13572302683</v>
      </c>
      <c r="AB19" s="354"/>
      <c r="AC19" s="354">
        <f t="shared" si="0"/>
        <v>132943.82047333277</v>
      </c>
      <c r="AD19" s="354"/>
      <c r="AE19" s="354">
        <f t="shared" si="0"/>
        <v>137596.8541898994</v>
      </c>
      <c r="AF19" s="354"/>
      <c r="AG19" s="354">
        <f t="shared" si="0"/>
        <v>142412.74408654586</v>
      </c>
    </row>
    <row r="20" spans="1:33" s="339" customFormat="1" ht="14.25">
      <c r="A20" s="358" t="s">
        <v>1021</v>
      </c>
      <c r="B20" s="358"/>
      <c r="C20" s="365"/>
      <c r="E20" s="364">
        <f>Application!W877</f>
        <v>583290</v>
      </c>
      <c r="F20" s="354"/>
      <c r="G20" s="364">
        <f t="shared" si="0"/>
        <v>603705.14999999991</v>
      </c>
      <c r="H20" s="354"/>
      <c r="I20" s="364">
        <f t="shared" si="0"/>
        <v>624834.83024999988</v>
      </c>
      <c r="J20" s="354"/>
      <c r="K20" s="364">
        <f t="shared" si="0"/>
        <v>646704.04930874985</v>
      </c>
      <c r="L20" s="354"/>
      <c r="M20" s="364">
        <f t="shared" si="0"/>
        <v>669338.69103455602</v>
      </c>
      <c r="N20" s="354"/>
      <c r="O20" s="364">
        <f t="shared" si="0"/>
        <v>692765.5452207654</v>
      </c>
      <c r="P20" s="354"/>
      <c r="Q20" s="364">
        <f t="shared" si="0"/>
        <v>717012.3393034921</v>
      </c>
      <c r="R20" s="354"/>
      <c r="S20" s="364">
        <f t="shared" si="0"/>
        <v>742107.77117911424</v>
      </c>
      <c r="T20" s="354"/>
      <c r="U20" s="364">
        <f t="shared" si="0"/>
        <v>768081.5431703832</v>
      </c>
      <c r="V20" s="354"/>
      <c r="W20" s="364">
        <f t="shared" si="0"/>
        <v>794964.39718134655</v>
      </c>
      <c r="X20" s="354"/>
      <c r="Y20" s="364">
        <f t="shared" si="0"/>
        <v>822788.1510826936</v>
      </c>
      <c r="Z20" s="354"/>
      <c r="AA20" s="364">
        <f t="shared" si="0"/>
        <v>851585.73637058784</v>
      </c>
      <c r="AB20" s="354"/>
      <c r="AC20" s="364">
        <f t="shared" si="0"/>
        <v>881391.23714355833</v>
      </c>
      <c r="AD20" s="354"/>
      <c r="AE20" s="364">
        <f t="shared" si="0"/>
        <v>912239.93044358282</v>
      </c>
      <c r="AF20" s="354"/>
      <c r="AG20" s="364">
        <f t="shared" si="0"/>
        <v>944168.3280091082</v>
      </c>
    </row>
    <row r="21" spans="1:33" s="355" customFormat="1" ht="15">
      <c r="A21" s="355" t="s">
        <v>890</v>
      </c>
      <c r="C21" s="365"/>
      <c r="E21" s="355">
        <f>SUM(E14:E20)</f>
        <v>1380554</v>
      </c>
      <c r="G21" s="355">
        <f>SUM(G14:G20)</f>
        <v>1428873.3899999997</v>
      </c>
      <c r="I21" s="355">
        <f>SUM(I14:I20)</f>
        <v>1478883.9586499999</v>
      </c>
      <c r="K21" s="355">
        <f>SUM(K14:K20)</f>
        <v>1530644.8972027497</v>
      </c>
      <c r="M21" s="355">
        <f>SUM(M14:M20)</f>
        <v>1584217.4686048455</v>
      </c>
      <c r="O21" s="355">
        <f>SUM(O14:O20)</f>
        <v>1639665.080006015</v>
      </c>
      <c r="Q21" s="355">
        <f>SUM(Q14:Q20)</f>
        <v>1697053.3578062255</v>
      </c>
      <c r="S21" s="355">
        <f>SUM(S14:S20)</f>
        <v>1756450.2253294433</v>
      </c>
      <c r="U21" s="355">
        <f>SUM(U14:U20)</f>
        <v>1817925.9832159737</v>
      </c>
      <c r="W21" s="355">
        <f>SUM(W14:W20)</f>
        <v>1881553.3926285328</v>
      </c>
      <c r="Y21" s="355">
        <f>SUM(Y14:Y20)</f>
        <v>1947407.7613705313</v>
      </c>
      <c r="AA21" s="355">
        <f>SUM(AA14:AA20)</f>
        <v>2015567.0330184996</v>
      </c>
      <c r="AC21" s="355">
        <f>SUM(AC14:AC20)</f>
        <v>2086111.8791741473</v>
      </c>
      <c r="AE21" s="355">
        <f>SUM(AE14:AE20)</f>
        <v>2159125.7949452419</v>
      </c>
      <c r="AG21" s="355">
        <f>SUM(AG14:AG20)</f>
        <v>2234695.1977683255</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1999</v>
      </c>
      <c r="C23" s="365"/>
      <c r="E23" s="970"/>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22000</v>
      </c>
      <c r="F26" s="354"/>
      <c r="G26" s="354">
        <f>E26*$C$26</f>
        <v>22770</v>
      </c>
      <c r="H26" s="354"/>
      <c r="I26" s="354">
        <f>G26*$C$26</f>
        <v>23566.949999999997</v>
      </c>
      <c r="J26" s="354"/>
      <c r="K26" s="354">
        <f>I26*$C$26</f>
        <v>24391.793249999995</v>
      </c>
      <c r="L26" s="354"/>
      <c r="M26" s="354">
        <f>K26*$C$26</f>
        <v>25245.506013749993</v>
      </c>
      <c r="N26" s="354"/>
      <c r="O26" s="354">
        <f>M26*$C$26</f>
        <v>26129.09872423124</v>
      </c>
      <c r="P26" s="354"/>
      <c r="Q26" s="354">
        <f>O26*$C$26</f>
        <v>27043.617179579331</v>
      </c>
      <c r="R26" s="354"/>
      <c r="S26" s="354">
        <f>Q26*$C$26</f>
        <v>27990.143780864604</v>
      </c>
      <c r="T26" s="354"/>
      <c r="U26" s="354">
        <f>S26*$C$26</f>
        <v>28969.798813194862</v>
      </c>
      <c r="V26" s="354"/>
      <c r="W26" s="354">
        <f>U26*$C$26</f>
        <v>29983.741771656682</v>
      </c>
      <c r="X26" s="354"/>
      <c r="Y26" s="354">
        <f>W26*$C$26</f>
        <v>31033.172733664662</v>
      </c>
      <c r="Z26" s="354"/>
      <c r="AA26" s="354">
        <f>Y26*$C$26</f>
        <v>32119.333779342924</v>
      </c>
      <c r="AB26" s="354"/>
      <c r="AC26" s="354">
        <f>AA26*$C$26</f>
        <v>33243.510461619924</v>
      </c>
      <c r="AD26" s="354"/>
      <c r="AE26" s="354">
        <f>AC26*$C$26</f>
        <v>34407.033327776619</v>
      </c>
      <c r="AF26" s="354"/>
      <c r="AG26" s="354">
        <f>AE26*$C$26</f>
        <v>35611.279494248796</v>
      </c>
    </row>
    <row r="27" spans="1:33" s="339" customFormat="1" ht="14.25">
      <c r="A27" s="339" t="s">
        <v>893</v>
      </c>
      <c r="C27" s="373"/>
      <c r="E27" s="354">
        <f>Application!AC887</f>
        <v>41500</v>
      </c>
      <c r="F27" s="354"/>
      <c r="G27" s="354">
        <f>$E$27</f>
        <v>41500</v>
      </c>
      <c r="H27" s="354"/>
      <c r="I27" s="354">
        <f>$E$27</f>
        <v>41500</v>
      </c>
      <c r="J27" s="354"/>
      <c r="K27" s="354">
        <f>$E$27</f>
        <v>41500</v>
      </c>
      <c r="L27" s="354"/>
      <c r="M27" s="354">
        <f>$E$27</f>
        <v>41500</v>
      </c>
      <c r="N27" s="354"/>
      <c r="O27" s="354">
        <f>$E$27</f>
        <v>41500</v>
      </c>
      <c r="P27" s="354"/>
      <c r="Q27" s="354">
        <f>$E$27</f>
        <v>41500</v>
      </c>
      <c r="R27" s="354"/>
      <c r="S27" s="354">
        <f>$E$27</f>
        <v>41500</v>
      </c>
      <c r="T27" s="354"/>
      <c r="U27" s="354">
        <f>$E$27</f>
        <v>41500</v>
      </c>
      <c r="V27" s="354"/>
      <c r="W27" s="354">
        <f>$E$27</f>
        <v>41500</v>
      </c>
      <c r="X27" s="354"/>
      <c r="Y27" s="354">
        <f>$E$27</f>
        <v>41500</v>
      </c>
      <c r="Z27" s="354"/>
      <c r="AA27" s="354">
        <f>$E$27</f>
        <v>41500</v>
      </c>
      <c r="AB27" s="354"/>
      <c r="AC27" s="354">
        <f>$E$27</f>
        <v>41500</v>
      </c>
      <c r="AD27" s="354"/>
      <c r="AE27" s="354">
        <f>$E$27</f>
        <v>41500</v>
      </c>
      <c r="AF27" s="354"/>
      <c r="AG27" s="354">
        <f>$E$27</f>
        <v>41500</v>
      </c>
    </row>
    <row r="28" spans="1:33" s="339" customFormat="1" ht="14.25">
      <c r="A28" s="339" t="s">
        <v>1997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1998</v>
      </c>
      <c r="C30" s="371">
        <v>1.02</v>
      </c>
      <c r="E30" s="354">
        <f>Application!AC890</f>
        <v>16840</v>
      </c>
      <c r="F30" s="354"/>
      <c r="G30" s="354">
        <f>E30*$C$30</f>
        <v>17176.8</v>
      </c>
      <c r="H30" s="354"/>
      <c r="I30" s="354">
        <f>G30*$C$30</f>
        <v>17520.335999999999</v>
      </c>
      <c r="J30" s="354"/>
      <c r="K30" s="354">
        <f>I30*$C$30</f>
        <v>17870.742719999998</v>
      </c>
      <c r="L30" s="354"/>
      <c r="M30" s="354">
        <f>K30*$C$30</f>
        <v>18228.1575744</v>
      </c>
      <c r="N30" s="354"/>
      <c r="O30" s="354">
        <f>M30*$C$30</f>
        <v>18592.720725888001</v>
      </c>
      <c r="P30" s="354"/>
      <c r="Q30" s="354">
        <f>O30*$C$30</f>
        <v>18964.575140405763</v>
      </c>
      <c r="R30" s="354"/>
      <c r="S30" s="354">
        <f>Q30*$C$30</f>
        <v>19343.866643213878</v>
      </c>
      <c r="T30" s="354"/>
      <c r="U30" s="354">
        <f>S30*$C$30</f>
        <v>19730.743976078156</v>
      </c>
      <c r="V30" s="354"/>
      <c r="W30" s="354">
        <f>U30*$C$30</f>
        <v>20125.358855599719</v>
      </c>
      <c r="X30" s="354"/>
      <c r="Y30" s="354">
        <f>W30*$C$30</f>
        <v>20527.866032711714</v>
      </c>
      <c r="Z30" s="354"/>
      <c r="AA30" s="354">
        <f>Y30*$C$30</f>
        <v>20938.42335336595</v>
      </c>
      <c r="AB30" s="354"/>
      <c r="AC30" s="354">
        <f>AA30*$C$30</f>
        <v>21357.191820433269</v>
      </c>
      <c r="AD30" s="354"/>
      <c r="AE30" s="354">
        <f>AC30*$C$30</f>
        <v>21784.335656841933</v>
      </c>
      <c r="AF30" s="354"/>
      <c r="AG30" s="354">
        <f>AE30*$C$30</f>
        <v>22220.022369978771</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1460894</v>
      </c>
      <c r="G34" s="355">
        <f>SUM(G21:G32)</f>
        <v>1510320.1899999997</v>
      </c>
      <c r="I34" s="355">
        <f>SUM(I21:I32)</f>
        <v>1561471.2446499998</v>
      </c>
      <c r="K34" s="355">
        <f>SUM(K21:K32)</f>
        <v>1614407.4331727498</v>
      </c>
      <c r="M34" s="355">
        <f>SUM(M21:M32)</f>
        <v>1669191.1321929956</v>
      </c>
      <c r="O34" s="355">
        <f>SUM(O21:O32)</f>
        <v>1725886.8994561341</v>
      </c>
      <c r="Q34" s="355">
        <f>SUM(Q21:Q32)</f>
        <v>1784561.5501262106</v>
      </c>
      <c r="S34" s="355">
        <f>SUM(S21:S32)</f>
        <v>1845284.2357535218</v>
      </c>
      <c r="U34" s="355">
        <f>SUM(U21:U32)</f>
        <v>1908126.5260052469</v>
      </c>
      <c r="W34" s="355">
        <f>SUM(W21:W32)</f>
        <v>1973162.4932557894</v>
      </c>
      <c r="Y34" s="355">
        <f>SUM(Y21:Y32)</f>
        <v>2040468.8001369077</v>
      </c>
      <c r="AA34" s="355">
        <f>SUM(AA21:AA32)</f>
        <v>2110124.7901512086</v>
      </c>
      <c r="AC34" s="355">
        <f>SUM(AC21:AC32)</f>
        <v>2182212.5814562007</v>
      </c>
      <c r="AE34" s="355">
        <f>SUM(AE21:AE32)</f>
        <v>2256817.1639298601</v>
      </c>
      <c r="AG34" s="355">
        <f>SUM(AG21:AG32)</f>
        <v>2334026.4996325532</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1524606.4</v>
      </c>
      <c r="G36" s="355">
        <f>G10-G34</f>
        <v>1549817.72</v>
      </c>
      <c r="I36" s="355">
        <f>I10-I34</f>
        <v>1575170.1130999993</v>
      </c>
      <c r="K36" s="355">
        <f>K10-K34</f>
        <v>1600649.9585209992</v>
      </c>
      <c r="M36" s="355">
        <f>M10-M34</f>
        <v>1626242.6942930969</v>
      </c>
      <c r="O36" s="355">
        <f>O10-O34</f>
        <v>1651932.7726921109</v>
      </c>
      <c r="Q36" s="355">
        <f>Q10-Q34</f>
        <v>1677703.6138257405</v>
      </c>
      <c r="S36" s="355">
        <f>S10-S34</f>
        <v>1703537.5572972274</v>
      </c>
      <c r="U36" s="355">
        <f>U10-U34</f>
        <v>1729415.811871771</v>
      </c>
      <c r="W36" s="355">
        <f>W10-W34</f>
        <v>1755318.4030681532</v>
      </c>
      <c r="Y36" s="355">
        <f>Y10-Y34</f>
        <v>1781224.1185951333</v>
      </c>
      <c r="AA36" s="355">
        <f>AA10-AA34</f>
        <v>1807110.4515491328</v>
      </c>
      <c r="AC36" s="355">
        <f>AC10-AC34</f>
        <v>1832953.5412866487</v>
      </c>
      <c r="AE36" s="355">
        <f>AE10-AE34</f>
        <v>1858728.1118815597</v>
      </c>
      <c r="AG36" s="355">
        <f>AG10-AG34</f>
        <v>1884407.4080741527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Citibank, N.A.</v>
      </c>
      <c r="B39" s="358"/>
      <c r="C39" s="352"/>
      <c r="E39" s="354">
        <f>Application!AF637</f>
        <v>1326224</v>
      </c>
      <c r="F39" s="354"/>
      <c r="G39" s="354">
        <f>$E$39</f>
        <v>1326224</v>
      </c>
      <c r="H39" s="354"/>
      <c r="I39" s="354">
        <f>$E$39</f>
        <v>1326224</v>
      </c>
      <c r="J39" s="354"/>
      <c r="K39" s="354">
        <f>$E$39</f>
        <v>1326224</v>
      </c>
      <c r="L39" s="354"/>
      <c r="M39" s="354">
        <f>$E$39</f>
        <v>1326224</v>
      </c>
      <c r="N39" s="354"/>
      <c r="O39" s="354">
        <f>$E$39</f>
        <v>1326224</v>
      </c>
      <c r="P39" s="354"/>
      <c r="Q39" s="354">
        <f>$E$39</f>
        <v>1326224</v>
      </c>
      <c r="R39" s="354"/>
      <c r="S39" s="354">
        <f>$E$39</f>
        <v>1326224</v>
      </c>
      <c r="T39" s="354"/>
      <c r="U39" s="354">
        <f>$E$39</f>
        <v>1326224</v>
      </c>
      <c r="V39" s="354"/>
      <c r="W39" s="354">
        <f>$E$39</f>
        <v>1326224</v>
      </c>
      <c r="X39" s="354"/>
      <c r="Y39" s="354">
        <f>$E$39</f>
        <v>1326224</v>
      </c>
      <c r="Z39" s="354"/>
      <c r="AA39" s="354">
        <f>$E$39</f>
        <v>1326224</v>
      </c>
      <c r="AB39" s="354"/>
      <c r="AC39" s="354">
        <f>$E$39</f>
        <v>1326224</v>
      </c>
      <c r="AD39" s="354"/>
      <c r="AE39" s="354">
        <f>$E$39</f>
        <v>1326224</v>
      </c>
      <c r="AF39" s="354"/>
      <c r="AG39" s="354">
        <f>$E$39</f>
        <v>1326224</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1326224</v>
      </c>
      <c r="G42" s="355">
        <f>SUM(G39:G41)</f>
        <v>1326224</v>
      </c>
      <c r="I42" s="355">
        <f>SUM(I39:I41)</f>
        <v>1326224</v>
      </c>
      <c r="K42" s="355">
        <f>SUM(K39:K41)</f>
        <v>1326224</v>
      </c>
      <c r="M42" s="355">
        <f>SUM(M39:M41)</f>
        <v>1326224</v>
      </c>
      <c r="O42" s="355">
        <f>SUM(O39:O41)</f>
        <v>1326224</v>
      </c>
      <c r="Q42" s="355">
        <f>SUM(Q39:Q41)</f>
        <v>1326224</v>
      </c>
      <c r="S42" s="355">
        <f>SUM(S39:S41)</f>
        <v>1326224</v>
      </c>
      <c r="U42" s="355">
        <f>SUM(U39:U41)</f>
        <v>1326224</v>
      </c>
      <c r="W42" s="355">
        <f>SUM(W39:W41)</f>
        <v>1326224</v>
      </c>
      <c r="Y42" s="355">
        <f>SUM(Y39:Y41)</f>
        <v>1326224</v>
      </c>
      <c r="AA42" s="355">
        <f>SUM(AA39:AA41)</f>
        <v>1326224</v>
      </c>
      <c r="AC42" s="355">
        <f>SUM(AC39:AC41)</f>
        <v>1326224</v>
      </c>
      <c r="AE42" s="355">
        <f>SUM(AE39:AE41)</f>
        <v>1326224</v>
      </c>
      <c r="AG42" s="355">
        <f>SUM(AG39:AG41)</f>
        <v>1326224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198382.39999999991</v>
      </c>
      <c r="G44" s="355">
        <f>G36-G42</f>
        <v>223593.71999999997</v>
      </c>
      <c r="I44" s="355">
        <f>I36-I42</f>
        <v>248946.11309999926</v>
      </c>
      <c r="K44" s="355">
        <f>K36-K42</f>
        <v>274425.95852099918</v>
      </c>
      <c r="M44" s="355">
        <f>M36-M42</f>
        <v>300018.69429309689</v>
      </c>
      <c r="O44" s="355">
        <f>O36-O42</f>
        <v>325708.77269211086</v>
      </c>
      <c r="Q44" s="355">
        <f>Q36-Q42</f>
        <v>351479.61382574053</v>
      </c>
      <c r="S44" s="355">
        <f>S36-S42</f>
        <v>377313.55729722744</v>
      </c>
      <c r="U44" s="355">
        <f>U36-U42</f>
        <v>403191.811871771</v>
      </c>
      <c r="W44" s="355">
        <f>W36-W42</f>
        <v>429094.40306815319</v>
      </c>
      <c r="Y44" s="355">
        <f>Y36-Y42</f>
        <v>455000.1185951333</v>
      </c>
      <c r="AA44" s="355">
        <f>AA36-AA42</f>
        <v>480886.45154913282</v>
      </c>
      <c r="AC44" s="355">
        <f>AC36-AC42</f>
        <v>506729.54128664872</v>
      </c>
      <c r="AE44" s="355">
        <f>AE36-AE42</f>
        <v>532504.11188155971</v>
      </c>
      <c r="AG44" s="355">
        <f>AG36-AG42</f>
        <v>558183.40807415266</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6.3126194858322549E-2</v>
      </c>
      <c r="G46" s="359">
        <f>G44/(G4+G6+G8)</f>
        <v>6.9413222621721643E-2</v>
      </c>
      <c r="I46" s="359">
        <f>I44/(I4+I6+I8)</f>
        <v>7.5398740394932023E-2</v>
      </c>
      <c r="K46" s="359">
        <f>K44/(K4+K6+K8)</f>
        <v>8.1088649076216143E-2</v>
      </c>
      <c r="M46" s="359">
        <f>M44/(M4+M6+M8)</f>
        <v>8.648869150024939E-2</v>
      </c>
      <c r="O46" s="359">
        <f>O44/(O4+O6+O8)</f>
        <v>9.1604456155208694E-2</v>
      </c>
      <c r="Q46" s="359">
        <f>Q44/(Q4+Q6+Q8)</f>
        <v>9.6441380807852944E-2</v>
      </c>
      <c r="S46" s="359">
        <f>S44/(S4+S6+S8)</f>
        <v>0.10100475603882772</v>
      </c>
      <c r="U46" s="359">
        <f>U44/(U4+U6+U8)</f>
        <v>0.10529972869036953</v>
      </c>
      <c r="W46" s="359">
        <f>W44/(W4+W6+W8)</f>
        <v>0.10933130522853253</v>
      </c>
      <c r="Y46" s="359">
        <f>Y44/(Y4+Y6+Y8)</f>
        <v>0.11310435502201165</v>
      </c>
      <c r="AA46" s="359">
        <f>AA44/(AA4+AA6+AA8)</f>
        <v>0.11662361353957804</v>
      </c>
      <c r="AC46" s="359">
        <f>AC44/(AC4+AC6+AC8)</f>
        <v>0.11989368546810361</v>
      </c>
      <c r="AE46" s="359">
        <f>AE44/(AE4+AE6+AE8)</f>
        <v>0.12291904775309336</v>
      </c>
      <c r="AG46" s="359">
        <f>AG44/(AG4+AG6+AG8)</f>
        <v>0.12570405256360209</v>
      </c>
    </row>
    <row r="47" spans="1:33" s="359" customFormat="1" ht="14.25">
      <c r="A47" s="359" t="s">
        <v>899</v>
      </c>
      <c r="C47" s="352"/>
      <c r="E47" s="359">
        <f>E44/E42</f>
        <v>0.14958438393514212</v>
      </c>
      <c r="G47" s="359">
        <f>G44/G42</f>
        <v>0.16859423445813074</v>
      </c>
      <c r="I47" s="359">
        <f>I44/I42</f>
        <v>0.18771045698162547</v>
      </c>
      <c r="K47" s="359">
        <f>K44/K42</f>
        <v>0.20692278115989393</v>
      </c>
      <c r="M47" s="359">
        <f>M44/M42</f>
        <v>0.22622022697002686</v>
      </c>
      <c r="O47" s="359">
        <f>O44/O42</f>
        <v>0.24559107111024295</v>
      </c>
      <c r="Q47" s="359">
        <f>Q44/Q42</f>
        <v>0.2650228120029049</v>
      </c>
      <c r="S47" s="359">
        <f>S44/S42</f>
        <v>0.28450213334793173</v>
      </c>
      <c r="U47" s="359">
        <f>U44/U42</f>
        <v>0.30401486617024803</v>
      </c>
      <c r="W47" s="359">
        <f>W44/W42</f>
        <v>0.3235459493027974</v>
      </c>
      <c r="Y47" s="359">
        <f>Y44/Y42</f>
        <v>0.34307938824446949</v>
      </c>
      <c r="AA47" s="359">
        <f>AA44/AA42</f>
        <v>0.36259821232999312</v>
      </c>
      <c r="AC47" s="359">
        <f>AC44/AC42</f>
        <v>0.38208443014652782</v>
      </c>
      <c r="AE47" s="359">
        <f>AE44/AE42</f>
        <v>0.40151898312921475</v>
      </c>
      <c r="AG47" s="359">
        <f>AG44/AG42</f>
        <v>0.42088169726543379</v>
      </c>
    </row>
    <row r="48" spans="1:33" s="360" customFormat="1" ht="14.25">
      <c r="A48" s="360" t="s">
        <v>897</v>
      </c>
      <c r="C48" s="361"/>
      <c r="E48" s="360">
        <f>E36/E42</f>
        <v>1.1495843839351421</v>
      </c>
      <c r="G48" s="360">
        <f>G36/G42</f>
        <v>1.1685942344581308</v>
      </c>
      <c r="I48" s="360">
        <f>I36/I42</f>
        <v>1.1877104569816255</v>
      </c>
      <c r="K48" s="360">
        <f>K36/K42</f>
        <v>1.2069227811598939</v>
      </c>
      <c r="M48" s="360">
        <f>M36/M42</f>
        <v>1.2262202269700269</v>
      </c>
      <c r="O48" s="360">
        <f>O36/O42</f>
        <v>1.2455910711102429</v>
      </c>
      <c r="Q48" s="360">
        <f>Q36/Q42</f>
        <v>1.2650228120029048</v>
      </c>
      <c r="S48" s="360">
        <f>S36/S42</f>
        <v>1.2845021333479318</v>
      </c>
      <c r="U48" s="360">
        <f>U36/U42</f>
        <v>1.304014866170248</v>
      </c>
      <c r="W48" s="360">
        <f>W36/W42</f>
        <v>1.3235459493027975</v>
      </c>
      <c r="Y48" s="360">
        <f>Y36/Y42</f>
        <v>1.3430793882444696</v>
      </c>
      <c r="AA48" s="360">
        <f>AA36/AA42</f>
        <v>1.3625982123299931</v>
      </c>
      <c r="AC48" s="360">
        <f>AC36/AC42</f>
        <v>1.3820844301465278</v>
      </c>
      <c r="AE48" s="360">
        <f>AE36/AE42</f>
        <v>1.4015189831292147</v>
      </c>
      <c r="AG48" s="360">
        <f>AG36/AG42</f>
        <v>1.4208816972654337</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43" t="s">
        <v>1348</v>
      </c>
      <c r="B51" s="3243"/>
      <c r="C51" s="3243"/>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901</v>
      </c>
      <c r="C52" s="1003">
        <v>1.03</v>
      </c>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6" customFormat="1">
      <c r="A53" s="6" t="s">
        <v>902</v>
      </c>
      <c r="C53" s="998"/>
      <c r="E53" s="1005">
        <v>7500</v>
      </c>
      <c r="F53" s="1000"/>
      <c r="G53" s="1000">
        <f t="shared" ref="G53:AG56" si="1">E53*$C$52</f>
        <v>7725</v>
      </c>
      <c r="H53" s="1000"/>
      <c r="I53" s="1000">
        <f t="shared" si="1"/>
        <v>7956.75</v>
      </c>
      <c r="J53" s="1000"/>
      <c r="K53" s="1000">
        <f t="shared" si="1"/>
        <v>8195.4524999999994</v>
      </c>
      <c r="L53" s="1000"/>
      <c r="M53" s="1000">
        <f t="shared" si="1"/>
        <v>8441.3160749999988</v>
      </c>
      <c r="N53" s="1000"/>
      <c r="O53" s="1000">
        <f t="shared" si="1"/>
        <v>8694.5555572499998</v>
      </c>
      <c r="P53" s="1000"/>
      <c r="Q53" s="1000">
        <f t="shared" si="1"/>
        <v>8955.3922239674994</v>
      </c>
      <c r="R53" s="1000"/>
      <c r="S53" s="1000">
        <f t="shared" si="1"/>
        <v>9224.0539906865251</v>
      </c>
      <c r="T53" s="1000"/>
      <c r="U53" s="1000">
        <f t="shared" si="1"/>
        <v>9500.7756104071213</v>
      </c>
      <c r="V53" s="1000"/>
      <c r="W53" s="1000">
        <f t="shared" si="1"/>
        <v>9785.7988787193353</v>
      </c>
      <c r="X53" s="1000"/>
      <c r="Y53" s="1000">
        <f t="shared" si="1"/>
        <v>10079.372845080916</v>
      </c>
      <c r="Z53" s="1000"/>
      <c r="AA53" s="1000">
        <f t="shared" si="1"/>
        <v>10381.754030433343</v>
      </c>
      <c r="AB53" s="1000"/>
      <c r="AC53" s="1000">
        <f t="shared" si="1"/>
        <v>10693.206651346343</v>
      </c>
      <c r="AD53" s="1000"/>
      <c r="AE53" s="1000">
        <f t="shared" si="1"/>
        <v>11014.002850886734</v>
      </c>
      <c r="AF53" s="1000"/>
      <c r="AG53" s="1000">
        <f t="shared" si="1"/>
        <v>11344.422936413337</v>
      </c>
      <c r="AH53" s="1000"/>
      <c r="AI53" s="1000"/>
    </row>
    <row r="54" spans="1:35" s="6" customFormat="1">
      <c r="A54" s="6" t="s">
        <v>903</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6" customFormat="1">
      <c r="A55" s="1006" t="s">
        <v>2695</v>
      </c>
      <c r="B55" s="1006"/>
      <c r="C55" s="998"/>
      <c r="E55" s="1005">
        <v>46592</v>
      </c>
      <c r="F55" s="1000"/>
      <c r="G55" s="1000">
        <f t="shared" si="1"/>
        <v>47989.760000000002</v>
      </c>
      <c r="H55" s="1000"/>
      <c r="I55" s="1000">
        <f t="shared" si="1"/>
        <v>49429.452800000006</v>
      </c>
      <c r="J55" s="1000"/>
      <c r="K55" s="1000">
        <f t="shared" si="1"/>
        <v>50912.336384000009</v>
      </c>
      <c r="L55" s="1000"/>
      <c r="M55" s="1000">
        <f t="shared" si="1"/>
        <v>52439.706475520012</v>
      </c>
      <c r="N55" s="1000"/>
      <c r="O55" s="1000">
        <f t="shared" si="1"/>
        <v>54012.897669785612</v>
      </c>
      <c r="P55" s="1000"/>
      <c r="Q55" s="1000">
        <f t="shared" si="1"/>
        <v>55633.284599879182</v>
      </c>
      <c r="R55" s="1000"/>
      <c r="S55" s="1000">
        <f t="shared" si="1"/>
        <v>57302.283137875558</v>
      </c>
      <c r="T55" s="1000"/>
      <c r="U55" s="1000">
        <f t="shared" si="1"/>
        <v>59021.351632011829</v>
      </c>
      <c r="V55" s="1000"/>
      <c r="W55" s="1000">
        <f t="shared" si="1"/>
        <v>60791.992180972185</v>
      </c>
      <c r="X55" s="1000"/>
      <c r="Y55" s="1000">
        <f t="shared" si="1"/>
        <v>62615.751946401353</v>
      </c>
      <c r="Z55" s="1000"/>
      <c r="AA55" s="1000">
        <f t="shared" si="1"/>
        <v>64494.224504793398</v>
      </c>
      <c r="AB55" s="1000"/>
      <c r="AC55" s="1000">
        <f t="shared" si="1"/>
        <v>66429.051239937195</v>
      </c>
      <c r="AD55" s="1000"/>
      <c r="AE55" s="1000">
        <f t="shared" si="1"/>
        <v>68421.922777135318</v>
      </c>
      <c r="AF55" s="1000"/>
      <c r="AG55" s="1000">
        <f t="shared" si="1"/>
        <v>70474.580460449375</v>
      </c>
      <c r="AH55" s="1000"/>
      <c r="AI55" s="1000"/>
    </row>
    <row r="56" spans="1:35" s="6"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6" customFormat="1">
      <c r="A57" s="1002" t="s">
        <v>900</v>
      </c>
      <c r="C57" s="1001"/>
      <c r="E57" s="1000">
        <f>SUM(E52:E56)</f>
        <v>54092</v>
      </c>
      <c r="F57" s="1000"/>
      <c r="G57" s="1000">
        <f>SUM(G52:G56)</f>
        <v>55714.76</v>
      </c>
      <c r="H57" s="1000"/>
      <c r="I57" s="1000">
        <f>SUM(I52:I56)</f>
        <v>57386.202800000006</v>
      </c>
      <c r="J57" s="1000"/>
      <c r="K57" s="1000">
        <f>SUM(K52:K56)</f>
        <v>59107.788884000009</v>
      </c>
      <c r="L57" s="1000"/>
      <c r="M57" s="1000">
        <f>SUM(M52:M56)</f>
        <v>60881.022550520007</v>
      </c>
      <c r="N57" s="1000"/>
      <c r="O57" s="1000">
        <f>SUM(O52:O56)</f>
        <v>62707.453227035614</v>
      </c>
      <c r="P57" s="1000"/>
      <c r="Q57" s="1000">
        <f>SUM(Q52:Q56)</f>
        <v>64588.676823846683</v>
      </c>
      <c r="R57" s="1000"/>
      <c r="S57" s="1000">
        <f>SUM(S52:S56)</f>
        <v>66526.337128562081</v>
      </c>
      <c r="T57" s="1000"/>
      <c r="U57" s="1000">
        <f>SUM(U52:U56)</f>
        <v>68522.127242418952</v>
      </c>
      <c r="V57" s="1000"/>
      <c r="W57" s="1000">
        <f>SUM(W52:W56)</f>
        <v>70577.791059691517</v>
      </c>
      <c r="X57" s="1000"/>
      <c r="Y57" s="1000">
        <f>SUM(Y52:Y56)</f>
        <v>72695.124791482274</v>
      </c>
      <c r="Z57" s="1000"/>
      <c r="AA57" s="1000">
        <f>SUM(AA52:AA56)</f>
        <v>74875.978535226735</v>
      </c>
      <c r="AB57" s="1000"/>
      <c r="AC57" s="1000">
        <f>SUM(AC52:AC56)</f>
        <v>77122.257891283545</v>
      </c>
      <c r="AD57" s="1000"/>
      <c r="AE57" s="1000">
        <f>SUM(AE52:AE56)</f>
        <v>79435.925628022058</v>
      </c>
      <c r="AF57" s="1000"/>
      <c r="AG57" s="1000">
        <f>SUM(AG52:AG56)</f>
        <v>81819.00339686271</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905</v>
      </c>
      <c r="C59" s="1009"/>
      <c r="E59" s="1002">
        <f>E44-E57</f>
        <v>144290.39999999991</v>
      </c>
      <c r="G59" s="1002">
        <f>G44-G57</f>
        <v>167878.95999999996</v>
      </c>
      <c r="I59" s="1002">
        <f>I44-I57</f>
        <v>191559.91029999926</v>
      </c>
      <c r="K59" s="1002">
        <f>K44-K57</f>
        <v>215318.16963699917</v>
      </c>
      <c r="M59" s="1002">
        <f>M44-M57</f>
        <v>239137.67174257687</v>
      </c>
      <c r="O59" s="1002">
        <f>O44-O57</f>
        <v>263001.31946507527</v>
      </c>
      <c r="Q59" s="1002">
        <f>Q44-Q57</f>
        <v>286890.93700189382</v>
      </c>
      <c r="S59" s="1002">
        <f>S44-S57</f>
        <v>310787.22016866534</v>
      </c>
      <c r="U59" s="1002">
        <f>U44-U57</f>
        <v>334669.68462935206</v>
      </c>
      <c r="W59" s="1002">
        <f>W44-W57</f>
        <v>358516.61200846167</v>
      </c>
      <c r="Y59" s="1002">
        <f>Y44-Y57</f>
        <v>382304.99380365101</v>
      </c>
      <c r="AA59" s="1002">
        <f>AA44-AA57</f>
        <v>406010.4730139061</v>
      </c>
      <c r="AC59" s="1002">
        <f>AC44-AC57</f>
        <v>429607.28339536517</v>
      </c>
      <c r="AE59" s="1002">
        <f>AE44-AE57</f>
        <v>453068.18625353766</v>
      </c>
      <c r="AG59" s="1002">
        <f>AG44-AG57</f>
        <v>476364.40467728995</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904</v>
      </c>
      <c r="C61" s="999">
        <v>1</v>
      </c>
      <c r="E61" s="1004">
        <f>E59*$C$61</f>
        <v>144290.39999999991</v>
      </c>
      <c r="G61" s="1010">
        <f>G59*$C$61</f>
        <v>167878.95999999996</v>
      </c>
      <c r="H61" s="1010"/>
      <c r="I61" s="1010">
        <f>I59*$C$61</f>
        <v>191559.91029999926</v>
      </c>
      <c r="J61" s="1010"/>
      <c r="K61" s="1010">
        <f>K59*$C$61</f>
        <v>215318.16963699917</v>
      </c>
      <c r="L61" s="1010"/>
      <c r="M61" s="1010">
        <f>M59*$C$61</f>
        <v>239137.67174257687</v>
      </c>
      <c r="N61" s="1010"/>
      <c r="O61" s="1010">
        <f>O59*$C$61</f>
        <v>263001.31946507527</v>
      </c>
      <c r="P61" s="1010"/>
      <c r="Q61" s="1010">
        <f>Q59*$C$61</f>
        <v>286890.93700189382</v>
      </c>
      <c r="R61" s="1010"/>
      <c r="S61" s="1010">
        <f>S59*$C$61</f>
        <v>310787.22016866534</v>
      </c>
      <c r="T61" s="1010"/>
      <c r="U61" s="1010">
        <f>U59*$C$61</f>
        <v>334669.68462935206</v>
      </c>
      <c r="V61" s="1010"/>
      <c r="W61" s="1010">
        <f>W59*$C$61</f>
        <v>358516.61200846167</v>
      </c>
      <c r="Y61" s="1010">
        <f>Y59*$C$61</f>
        <v>382304.99380365101</v>
      </c>
      <c r="AA61" s="1010">
        <f>AA59*$C$61</f>
        <v>406010.4730139061</v>
      </c>
      <c r="AC61" s="1010">
        <f>AC59*$C$61</f>
        <v>429607.28339536517</v>
      </c>
      <c r="AE61" s="1010">
        <f>AE59*$C$61</f>
        <v>453068.18625353766</v>
      </c>
      <c r="AG61" s="1010">
        <f>AG59*$C$61</f>
        <v>476364.40467728995</v>
      </c>
    </row>
    <row r="62" spans="1:35" s="1010" customFormat="1">
      <c r="A62" s="3243" t="s">
        <v>1348</v>
      </c>
      <c r="B62" s="3243"/>
      <c r="C62" s="3243"/>
    </row>
    <row r="63" spans="1:35" s="6"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6" customFormat="1">
      <c r="A64" s="6" t="s">
        <v>908</v>
      </c>
      <c r="C64" s="999">
        <v>0</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0</v>
      </c>
      <c r="G65" s="1000">
        <f>G59*$C$64</f>
        <v>0</v>
      </c>
      <c r="I65" s="1000">
        <f>I59*$C$64</f>
        <v>0</v>
      </c>
      <c r="K65" s="1000">
        <f>K59*$C$64</f>
        <v>0</v>
      </c>
      <c r="M65" s="1000">
        <f>M59*$C$64</f>
        <v>0</v>
      </c>
      <c r="O65" s="1000">
        <f>O59*$C$64</f>
        <v>0</v>
      </c>
      <c r="Q65" s="1000">
        <f>Q59*$C$64</f>
        <v>0</v>
      </c>
      <c r="S65" s="1000">
        <f>S59*$C$64</f>
        <v>0</v>
      </c>
      <c r="U65" s="1000">
        <f>U59*$C$64</f>
        <v>0</v>
      </c>
      <c r="W65" s="1000">
        <f>W59*$C$64</f>
        <v>0</v>
      </c>
      <c r="Y65" s="1000">
        <f>Y59*$C$64</f>
        <v>0</v>
      </c>
      <c r="AA65" s="1000">
        <f>AA59*$C$64</f>
        <v>0</v>
      </c>
      <c r="AC65" s="1000">
        <f>AC59*$C$64</f>
        <v>0</v>
      </c>
      <c r="AE65" s="1000">
        <f>AE59*$C$64</f>
        <v>0</v>
      </c>
      <c r="AG65" s="1000">
        <f>AG59*$C$64</f>
        <v>0</v>
      </c>
    </row>
    <row r="66" spans="1:33" s="1000" customFormat="1">
      <c r="A66" s="1005"/>
      <c r="B66" s="1005"/>
      <c r="C66" s="1011"/>
      <c r="E66" s="1004">
        <f>$E59*$C$64</f>
        <v>0</v>
      </c>
      <c r="G66" s="1000">
        <f>G59*$C$64</f>
        <v>0</v>
      </c>
      <c r="I66" s="1000">
        <f>I59*$C$64</f>
        <v>0</v>
      </c>
      <c r="K66" s="1000">
        <f>K59*$C$64</f>
        <v>0</v>
      </c>
      <c r="M66" s="1000">
        <f>M59*$C$64</f>
        <v>0</v>
      </c>
      <c r="O66" s="1000">
        <f>O59*$C$64</f>
        <v>0</v>
      </c>
      <c r="Q66" s="1000">
        <f>Q59*$C$64</f>
        <v>0</v>
      </c>
      <c r="S66" s="1000">
        <f>S59*$C$64</f>
        <v>0</v>
      </c>
      <c r="U66" s="1000">
        <f>U59*$C$64</f>
        <v>0</v>
      </c>
      <c r="W66" s="1000">
        <f>W59*$C$64</f>
        <v>0</v>
      </c>
      <c r="Y66" s="1000">
        <f>Y59*$C$64</f>
        <v>0</v>
      </c>
      <c r="AA66" s="1000">
        <f>AA59*$C$64</f>
        <v>0</v>
      </c>
      <c r="AC66" s="1000">
        <f>AC59*$C$64</f>
        <v>0</v>
      </c>
      <c r="AE66" s="1000">
        <f>AE59*$C$64</f>
        <v>0</v>
      </c>
      <c r="AG66" s="1000">
        <f>AG59*$C$64</f>
        <v>0</v>
      </c>
    </row>
    <row r="67" spans="1:33" s="1000" customFormat="1">
      <c r="A67" s="1005"/>
      <c r="B67" s="1005"/>
      <c r="C67" s="1011"/>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1"/>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12" customFormat="1">
      <c r="A69" s="1002" t="s">
        <v>900</v>
      </c>
      <c r="C69" s="1011"/>
      <c r="E69" s="1012">
        <f>SUM(E65:E68)</f>
        <v>0</v>
      </c>
      <c r="G69" s="1012">
        <f>SUM(G65:G68)</f>
        <v>0</v>
      </c>
      <c r="I69" s="1012">
        <f>SUM(I65:I68)</f>
        <v>0</v>
      </c>
      <c r="K69" s="1012">
        <f>SUM(K65:K68)</f>
        <v>0</v>
      </c>
      <c r="M69" s="1012">
        <f>SUM(M65:M68)</f>
        <v>0</v>
      </c>
      <c r="O69" s="1012">
        <f>SUM(O65:O68)</f>
        <v>0</v>
      </c>
      <c r="Q69" s="1012">
        <f>SUM(Q65:Q68)</f>
        <v>0</v>
      </c>
      <c r="S69" s="1012">
        <f>SUM(S65:S68)</f>
        <v>0</v>
      </c>
      <c r="U69" s="1012">
        <f>SUM(U65:U68)</f>
        <v>0</v>
      </c>
      <c r="W69" s="1012">
        <f>SUM(W65:W68)</f>
        <v>0</v>
      </c>
      <c r="Y69" s="1012">
        <f>SUM(Y65:Y68)</f>
        <v>0</v>
      </c>
      <c r="AA69" s="1012">
        <f>SUM(AA65:AA68)</f>
        <v>0</v>
      </c>
      <c r="AC69" s="1012">
        <f>SUM(AC65:AC68)</f>
        <v>0</v>
      </c>
      <c r="AE69" s="1012">
        <f>SUM(AE65:AE68)</f>
        <v>0</v>
      </c>
      <c r="AG69" s="1012">
        <f>SUM(AG65:AG68)</f>
        <v>0</v>
      </c>
    </row>
    <row r="70" spans="1:33" s="1012" customFormat="1">
      <c r="A70" s="1002"/>
      <c r="C70" s="1011"/>
    </row>
    <row r="71" spans="1:33" s="1012" customFormat="1">
      <c r="A71" s="1002" t="s">
        <v>2043</v>
      </c>
      <c r="C71" s="1011"/>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905"/>
      <c r="C72" s="1013"/>
    </row>
    <row r="73" spans="1:33" s="348" customFormat="1">
      <c r="A73" s="905"/>
      <c r="C73" s="349"/>
    </row>
    <row r="74" spans="1:33" s="348" customFormat="1">
      <c r="A74" s="1000" t="s">
        <v>2042</v>
      </c>
      <c r="C74" s="349"/>
    </row>
    <row r="75" spans="1:33" s="348" customFormat="1">
      <c r="C75" s="349"/>
    </row>
    <row r="76" spans="1:33" s="367" customFormat="1" ht="30" customHeight="1">
      <c r="A76" s="3241" t="s">
        <v>2041</v>
      </c>
      <c r="B76" s="3242"/>
      <c r="C76" s="3242"/>
      <c r="D76" s="3242"/>
      <c r="E76" s="3242"/>
      <c r="F76" s="3242"/>
      <c r="G76" s="3242"/>
      <c r="H76" s="3242"/>
      <c r="I76" s="3242"/>
      <c r="J76" s="3242"/>
      <c r="K76" s="3242"/>
      <c r="L76" s="3242"/>
      <c r="M76" s="3242"/>
      <c r="N76" s="3242"/>
      <c r="O76" s="3242"/>
      <c r="P76" s="3242"/>
      <c r="Q76" s="3242"/>
      <c r="R76" s="3242"/>
      <c r="S76" s="3242"/>
      <c r="T76" s="3242"/>
      <c r="U76" s="3242"/>
      <c r="V76" s="3242"/>
      <c r="W76" s="3242"/>
      <c r="X76" s="3242"/>
      <c r="Y76" s="3242"/>
      <c r="Z76" s="3242"/>
      <c r="AA76" s="3242"/>
      <c r="AB76" s="3242"/>
      <c r="AC76" s="3242"/>
      <c r="AD76" s="3242"/>
      <c r="AE76" s="3242"/>
      <c r="AF76" s="3242"/>
      <c r="AG76" s="324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244" t="s">
        <v>961</v>
      </c>
      <c r="B1" s="3244"/>
      <c r="C1" s="3244"/>
      <c r="D1" s="3244"/>
      <c r="E1" s="3244"/>
      <c r="F1" s="3244"/>
      <c r="G1" s="3244"/>
      <c r="H1" s="3244"/>
      <c r="I1" s="3244"/>
      <c r="J1" s="3244"/>
      <c r="K1" s="325"/>
      <c r="L1" s="325"/>
    </row>
    <row r="2" spans="1:12">
      <c r="A2" s="648"/>
      <c r="B2" s="648"/>
      <c r="C2" s="648"/>
      <c r="D2" s="648"/>
      <c r="E2" s="648"/>
      <c r="F2" s="648"/>
      <c r="G2" s="648"/>
      <c r="H2" s="648"/>
      <c r="I2" s="648"/>
      <c r="J2" s="648"/>
    </row>
    <row r="3" spans="1:12" ht="99.75">
      <c r="A3" s="649" t="s">
        <v>962</v>
      </c>
      <c r="B3" s="649" t="s">
        <v>963</v>
      </c>
      <c r="C3" s="649" t="s">
        <v>2428</v>
      </c>
      <c r="D3" s="649" t="s">
        <v>964</v>
      </c>
      <c r="E3" s="380"/>
      <c r="F3" s="649" t="s">
        <v>965</v>
      </c>
      <c r="G3" s="649" t="s">
        <v>966</v>
      </c>
      <c r="H3" s="650"/>
      <c r="I3" s="649" t="s">
        <v>967</v>
      </c>
      <c r="J3" s="649" t="s">
        <v>968</v>
      </c>
      <c r="K3" s="325"/>
      <c r="L3" s="470"/>
    </row>
    <row r="4" spans="1:12">
      <c r="A4" s="651" t="str">
        <f>Application!B728</f>
        <v>1 Bedroom</v>
      </c>
      <c r="B4" s="1198">
        <f>Application!G728</f>
        <v>11</v>
      </c>
      <c r="C4" s="1199"/>
      <c r="D4" s="651">
        <f>Application!O728</f>
        <v>710</v>
      </c>
      <c r="E4" s="652"/>
      <c r="F4" s="1200"/>
      <c r="G4" s="653">
        <f>F4*B4</f>
        <v>0</v>
      </c>
      <c r="H4" s="654"/>
      <c r="I4" s="651" t="str">
        <f>IF(F4=0," ",(F4-D4))</f>
        <v xml:space="preserve"> </v>
      </c>
      <c r="J4" s="653" t="str">
        <f>IF(F4=0," ",(I4*B4))</f>
        <v xml:space="preserve"> </v>
      </c>
      <c r="K4" s="325"/>
      <c r="L4" s="470"/>
    </row>
    <row r="5" spans="1:12">
      <c r="A5" s="651" t="str">
        <f>Application!B729</f>
        <v>1 Bedroom</v>
      </c>
      <c r="B5" s="1198">
        <f>Application!G729</f>
        <v>22</v>
      </c>
      <c r="C5" s="1199"/>
      <c r="D5" s="651">
        <f>Application!O729</f>
        <v>1218</v>
      </c>
      <c r="E5" s="652"/>
      <c r="F5" s="1200"/>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198">
        <f>Application!G730</f>
        <v>22</v>
      </c>
      <c r="C6" s="1199"/>
      <c r="D6" s="651">
        <f>Application!O730</f>
        <v>1472</v>
      </c>
      <c r="E6" s="652"/>
      <c r="F6" s="1200"/>
      <c r="G6" s="653">
        <f t="shared" si="0"/>
        <v>0</v>
      </c>
      <c r="H6" s="654"/>
      <c r="I6" s="651" t="str">
        <f t="shared" si="1"/>
        <v xml:space="preserve"> </v>
      </c>
      <c r="J6" s="653" t="str">
        <f t="shared" si="2"/>
        <v xml:space="preserve"> </v>
      </c>
      <c r="K6" s="325"/>
      <c r="L6" s="470"/>
    </row>
    <row r="7" spans="1:12">
      <c r="A7" s="651" t="str">
        <f>Application!B731</f>
        <v>1 Bedroom</v>
      </c>
      <c r="B7" s="1198">
        <f>Application!G731</f>
        <v>56</v>
      </c>
      <c r="C7" s="1199"/>
      <c r="D7" s="651">
        <f>Application!O731</f>
        <v>1726</v>
      </c>
      <c r="E7" s="652"/>
      <c r="F7" s="1200"/>
      <c r="G7" s="653">
        <f t="shared" si="0"/>
        <v>0</v>
      </c>
      <c r="H7" s="654"/>
      <c r="I7" s="651" t="str">
        <f t="shared" si="1"/>
        <v xml:space="preserve"> </v>
      </c>
      <c r="J7" s="653" t="str">
        <f t="shared" si="2"/>
        <v xml:space="preserve"> </v>
      </c>
      <c r="K7" s="325"/>
      <c r="L7" s="470"/>
    </row>
    <row r="8" spans="1:12">
      <c r="A8" s="651" t="str">
        <f>Application!B732</f>
        <v>2 Bedrooms</v>
      </c>
      <c r="B8" s="1198">
        <f>Application!G732</f>
        <v>6</v>
      </c>
      <c r="C8" s="1199"/>
      <c r="D8" s="651">
        <f>Application!O732</f>
        <v>837</v>
      </c>
      <c r="E8" s="652"/>
      <c r="F8" s="1200"/>
      <c r="G8" s="653">
        <f t="shared" si="0"/>
        <v>0</v>
      </c>
      <c r="H8" s="654"/>
      <c r="I8" s="651" t="str">
        <f t="shared" si="1"/>
        <v xml:space="preserve"> </v>
      </c>
      <c r="J8" s="653" t="str">
        <f t="shared" si="2"/>
        <v xml:space="preserve"> </v>
      </c>
      <c r="K8" s="325"/>
      <c r="L8" s="470"/>
    </row>
    <row r="9" spans="1:12">
      <c r="A9" s="651" t="str">
        <f>Application!B733</f>
        <v>2 Bedrooms</v>
      </c>
      <c r="B9" s="1198">
        <f>Application!G733</f>
        <v>11</v>
      </c>
      <c r="C9" s="1199"/>
      <c r="D9" s="651">
        <f>Application!O733</f>
        <v>1447</v>
      </c>
      <c r="E9" s="652"/>
      <c r="F9" s="1200"/>
      <c r="G9" s="653">
        <f t="shared" si="0"/>
        <v>0</v>
      </c>
      <c r="H9" s="654"/>
      <c r="I9" s="651" t="str">
        <f t="shared" si="1"/>
        <v xml:space="preserve"> </v>
      </c>
      <c r="J9" s="653" t="str">
        <f t="shared" si="2"/>
        <v xml:space="preserve"> </v>
      </c>
      <c r="K9" s="325"/>
      <c r="L9" s="470"/>
    </row>
    <row r="10" spans="1:12">
      <c r="A10" s="651" t="str">
        <f>Application!B734</f>
        <v>2 Bedrooms</v>
      </c>
      <c r="B10" s="1198">
        <f>Application!G734</f>
        <v>11</v>
      </c>
      <c r="C10" s="1199"/>
      <c r="D10" s="651">
        <f>Application!O734</f>
        <v>1752</v>
      </c>
      <c r="E10" s="652"/>
      <c r="F10" s="1200"/>
      <c r="G10" s="653">
        <f t="shared" si="0"/>
        <v>0</v>
      </c>
      <c r="H10" s="654"/>
      <c r="I10" s="651" t="str">
        <f t="shared" si="1"/>
        <v xml:space="preserve"> </v>
      </c>
      <c r="J10" s="653" t="str">
        <f t="shared" si="2"/>
        <v xml:space="preserve"> </v>
      </c>
      <c r="K10" s="325"/>
      <c r="L10" s="470"/>
    </row>
    <row r="11" spans="1:12">
      <c r="A11" s="651" t="str">
        <f>Application!B735</f>
        <v>2 Bedrooms</v>
      </c>
      <c r="B11" s="1198">
        <f>Application!G735</f>
        <v>25</v>
      </c>
      <c r="C11" s="1199"/>
      <c r="D11" s="651">
        <f>Application!O735</f>
        <v>2057</v>
      </c>
      <c r="E11" s="652"/>
      <c r="F11" s="1200"/>
      <c r="G11" s="653">
        <f t="shared" si="0"/>
        <v>0</v>
      </c>
      <c r="H11" s="654"/>
      <c r="I11" s="651" t="str">
        <f t="shared" si="1"/>
        <v xml:space="preserve"> </v>
      </c>
      <c r="J11" s="653" t="str">
        <f t="shared" si="2"/>
        <v xml:space="preserve"> </v>
      </c>
      <c r="K11" s="325"/>
      <c r="L11" s="470"/>
    </row>
    <row r="12" spans="1:12">
      <c r="A12" s="651">
        <f>Application!B736</f>
        <v>0</v>
      </c>
      <c r="B12" s="1198">
        <f>Application!G736</f>
        <v>0</v>
      </c>
      <c r="C12" s="1199"/>
      <c r="D12" s="651">
        <f>Application!O736</f>
        <v>0</v>
      </c>
      <c r="E12" s="652"/>
      <c r="F12" s="1200"/>
      <c r="G12" s="653">
        <f t="shared" si="0"/>
        <v>0</v>
      </c>
      <c r="H12" s="654"/>
      <c r="I12" s="651" t="str">
        <f t="shared" si="1"/>
        <v xml:space="preserve"> </v>
      </c>
      <c r="J12" s="653" t="str">
        <f t="shared" si="2"/>
        <v xml:space="preserve"> </v>
      </c>
      <c r="K12" s="325"/>
      <c r="L12" s="470"/>
    </row>
    <row r="13" spans="1:12">
      <c r="A13" s="651">
        <f>Application!B737</f>
        <v>0</v>
      </c>
      <c r="B13" s="1198">
        <f>Application!G737</f>
        <v>0</v>
      </c>
      <c r="C13" s="1199"/>
      <c r="D13" s="651">
        <f>Application!O737</f>
        <v>0</v>
      </c>
      <c r="E13" s="652"/>
      <c r="F13" s="1200"/>
      <c r="G13" s="653">
        <f t="shared" si="0"/>
        <v>0</v>
      </c>
      <c r="H13" s="654"/>
      <c r="I13" s="651" t="str">
        <f t="shared" si="1"/>
        <v xml:space="preserve"> </v>
      </c>
      <c r="J13" s="653" t="str">
        <f t="shared" si="2"/>
        <v xml:space="preserve"> </v>
      </c>
      <c r="K13" s="325"/>
      <c r="L13" s="470"/>
    </row>
    <row r="14" spans="1:12">
      <c r="A14" s="651">
        <f>Application!B738</f>
        <v>0</v>
      </c>
      <c r="B14" s="1198">
        <f>Application!G738</f>
        <v>0</v>
      </c>
      <c r="C14" s="1199"/>
      <c r="D14" s="651">
        <f>Application!O738</f>
        <v>0</v>
      </c>
      <c r="E14" s="652"/>
      <c r="F14" s="1200"/>
      <c r="G14" s="653">
        <f t="shared" si="0"/>
        <v>0</v>
      </c>
      <c r="H14" s="654"/>
      <c r="I14" s="651" t="str">
        <f t="shared" si="1"/>
        <v xml:space="preserve"> </v>
      </c>
      <c r="J14" s="653" t="str">
        <f t="shared" si="2"/>
        <v xml:space="preserve"> </v>
      </c>
      <c r="K14" s="325"/>
      <c r="L14" s="470"/>
    </row>
    <row r="15" spans="1:12">
      <c r="A15" s="651">
        <f>Application!B739</f>
        <v>0</v>
      </c>
      <c r="B15" s="1198">
        <f>Application!G739</f>
        <v>0</v>
      </c>
      <c r="C15" s="1199"/>
      <c r="D15" s="651">
        <f>Application!O739</f>
        <v>0</v>
      </c>
      <c r="E15" s="652"/>
      <c r="F15" s="1200"/>
      <c r="G15" s="653">
        <f t="shared" si="0"/>
        <v>0</v>
      </c>
      <c r="H15" s="654"/>
      <c r="I15" s="651" t="str">
        <f t="shared" si="1"/>
        <v xml:space="preserve"> </v>
      </c>
      <c r="J15" s="653" t="str">
        <f t="shared" si="2"/>
        <v xml:space="preserve"> </v>
      </c>
      <c r="K15" s="325"/>
      <c r="L15" s="470"/>
    </row>
    <row r="16" spans="1:12">
      <c r="A16" s="651">
        <f>Application!B740</f>
        <v>0</v>
      </c>
      <c r="B16" s="1198">
        <f>Application!G740</f>
        <v>0</v>
      </c>
      <c r="C16" s="1199"/>
      <c r="D16" s="651">
        <f>Application!O740</f>
        <v>0</v>
      </c>
      <c r="E16" s="652"/>
      <c r="F16" s="1200"/>
      <c r="G16" s="653">
        <f t="shared" si="0"/>
        <v>0</v>
      </c>
      <c r="H16" s="654"/>
      <c r="I16" s="651" t="str">
        <f t="shared" si="1"/>
        <v xml:space="preserve"> </v>
      </c>
      <c r="J16" s="653" t="str">
        <f t="shared" si="2"/>
        <v xml:space="preserve"> </v>
      </c>
      <c r="K16" s="325"/>
      <c r="L16" s="470"/>
    </row>
    <row r="17" spans="1:12">
      <c r="A17" s="651">
        <f>Application!B741</f>
        <v>0</v>
      </c>
      <c r="B17" s="1198">
        <f>Application!G741</f>
        <v>0</v>
      </c>
      <c r="C17" s="1199"/>
      <c r="D17" s="651">
        <f>Application!O741</f>
        <v>0</v>
      </c>
      <c r="E17" s="652"/>
      <c r="F17" s="1200"/>
      <c r="G17" s="653">
        <f t="shared" si="0"/>
        <v>0</v>
      </c>
      <c r="H17" s="654"/>
      <c r="I17" s="651" t="str">
        <f t="shared" si="1"/>
        <v xml:space="preserve"> </v>
      </c>
      <c r="J17" s="653" t="str">
        <f t="shared" si="2"/>
        <v xml:space="preserve"> </v>
      </c>
      <c r="K17" s="325"/>
      <c r="L17" s="470"/>
    </row>
    <row r="18" spans="1:12">
      <c r="A18" s="651">
        <f>Application!B742</f>
        <v>0</v>
      </c>
      <c r="B18" s="1198">
        <f>Application!G742</f>
        <v>0</v>
      </c>
      <c r="C18" s="1199"/>
      <c r="D18" s="651">
        <f>Application!O742</f>
        <v>0</v>
      </c>
      <c r="E18" s="652"/>
      <c r="F18" s="1200"/>
      <c r="G18" s="653">
        <f t="shared" si="0"/>
        <v>0</v>
      </c>
      <c r="H18" s="654"/>
      <c r="I18" s="651" t="str">
        <f t="shared" si="1"/>
        <v xml:space="preserve"> </v>
      </c>
      <c r="J18" s="653" t="str">
        <f t="shared" si="2"/>
        <v xml:space="preserve"> </v>
      </c>
      <c r="K18" s="325"/>
      <c r="L18" s="470"/>
    </row>
    <row r="19" spans="1:12">
      <c r="A19" s="651">
        <f>Application!B743</f>
        <v>0</v>
      </c>
      <c r="B19" s="1198">
        <f>Application!G743</f>
        <v>0</v>
      </c>
      <c r="C19" s="1199"/>
      <c r="D19" s="651">
        <f>Application!O743</f>
        <v>0</v>
      </c>
      <c r="E19" s="652"/>
      <c r="F19" s="1200"/>
      <c r="G19" s="653">
        <f t="shared" si="0"/>
        <v>0</v>
      </c>
      <c r="H19" s="654"/>
      <c r="I19" s="651" t="str">
        <f t="shared" si="1"/>
        <v xml:space="preserve"> </v>
      </c>
      <c r="J19" s="653" t="str">
        <f t="shared" si="2"/>
        <v xml:space="preserve"> </v>
      </c>
      <c r="K19" s="325"/>
      <c r="L19" s="470"/>
    </row>
    <row r="20" spans="1:12">
      <c r="A20" s="651">
        <f>Application!B744</f>
        <v>0</v>
      </c>
      <c r="B20" s="1198">
        <f>Application!G744</f>
        <v>0</v>
      </c>
      <c r="C20" s="1199"/>
      <c r="D20" s="651">
        <f>Application!O744</f>
        <v>0</v>
      </c>
      <c r="E20" s="652"/>
      <c r="F20" s="1200"/>
      <c r="G20" s="653">
        <f t="shared" si="0"/>
        <v>0</v>
      </c>
      <c r="H20" s="654"/>
      <c r="I20" s="651" t="str">
        <f t="shared" si="1"/>
        <v xml:space="preserve"> </v>
      </c>
      <c r="J20" s="653" t="str">
        <f t="shared" si="2"/>
        <v xml:space="preserve"> </v>
      </c>
      <c r="K20" s="325"/>
      <c r="L20" s="470"/>
    </row>
    <row r="21" spans="1:12">
      <c r="A21" s="651">
        <f>Application!B745</f>
        <v>0</v>
      </c>
      <c r="B21" s="1198">
        <f>Application!G745</f>
        <v>0</v>
      </c>
      <c r="C21" s="1199"/>
      <c r="D21" s="651">
        <f>Application!O745</f>
        <v>0</v>
      </c>
      <c r="E21" s="652"/>
      <c r="F21" s="1200"/>
      <c r="G21" s="653">
        <f t="shared" si="0"/>
        <v>0</v>
      </c>
      <c r="H21" s="654"/>
      <c r="I21" s="651" t="str">
        <f t="shared" si="1"/>
        <v xml:space="preserve"> </v>
      </c>
      <c r="J21" s="653" t="str">
        <f t="shared" si="2"/>
        <v xml:space="preserve"> </v>
      </c>
      <c r="K21" s="325"/>
      <c r="L21" s="470"/>
    </row>
    <row r="22" spans="1:12">
      <c r="A22" s="651">
        <f>Application!B746</f>
        <v>0</v>
      </c>
      <c r="B22" s="1198">
        <f>Application!G746</f>
        <v>0</v>
      </c>
      <c r="C22" s="1199"/>
      <c r="D22" s="651">
        <f>Application!O746</f>
        <v>0</v>
      </c>
      <c r="E22" s="652"/>
      <c r="F22" s="1200"/>
      <c r="G22" s="653">
        <f t="shared" si="0"/>
        <v>0</v>
      </c>
      <c r="H22" s="654"/>
      <c r="I22" s="651" t="str">
        <f t="shared" si="1"/>
        <v xml:space="preserve"> </v>
      </c>
      <c r="J22" s="653" t="str">
        <f t="shared" si="2"/>
        <v xml:space="preserve"> </v>
      </c>
      <c r="K22" s="325"/>
      <c r="L22" s="470"/>
    </row>
    <row r="23" spans="1:12">
      <c r="A23" s="651">
        <f>Application!B747</f>
        <v>0</v>
      </c>
      <c r="B23" s="1198">
        <f>Application!G747</f>
        <v>0</v>
      </c>
      <c r="C23" s="1199"/>
      <c r="D23" s="651">
        <f>Application!O747</f>
        <v>0</v>
      </c>
      <c r="E23" s="652"/>
      <c r="F23" s="1200"/>
      <c r="G23" s="653">
        <f t="shared" si="0"/>
        <v>0</v>
      </c>
      <c r="H23" s="654"/>
      <c r="I23" s="651" t="str">
        <f t="shared" si="1"/>
        <v xml:space="preserve"> </v>
      </c>
      <c r="J23" s="653" t="str">
        <f t="shared" si="2"/>
        <v xml:space="preserve"> </v>
      </c>
      <c r="K23" s="325"/>
      <c r="L23" s="470"/>
    </row>
    <row r="24" spans="1:12">
      <c r="A24" s="651">
        <f>Application!B748</f>
        <v>0</v>
      </c>
      <c r="B24" s="1198">
        <f>Application!G748</f>
        <v>0</v>
      </c>
      <c r="C24" s="1199"/>
      <c r="D24" s="651">
        <f>Application!O748</f>
        <v>0</v>
      </c>
      <c r="E24" s="652"/>
      <c r="F24" s="1200"/>
      <c r="G24" s="653">
        <f t="shared" si="0"/>
        <v>0</v>
      </c>
      <c r="H24" s="654"/>
      <c r="I24" s="651" t="str">
        <f t="shared" si="1"/>
        <v xml:space="preserve"> </v>
      </c>
      <c r="J24" s="653" t="str">
        <f t="shared" si="2"/>
        <v xml:space="preserve"> </v>
      </c>
      <c r="K24" s="325"/>
      <c r="L24" s="470"/>
    </row>
    <row r="25" spans="1:12">
      <c r="A25" s="651">
        <f>Application!B749</f>
        <v>0</v>
      </c>
      <c r="B25" s="1198">
        <f>Application!G749</f>
        <v>0</v>
      </c>
      <c r="C25" s="1199"/>
      <c r="D25" s="651">
        <f>Application!O749</f>
        <v>0</v>
      </c>
      <c r="E25" s="652"/>
      <c r="F25" s="1200"/>
      <c r="G25" s="653">
        <f t="shared" si="0"/>
        <v>0</v>
      </c>
      <c r="H25" s="654"/>
      <c r="I25" s="651" t="str">
        <f t="shared" si="1"/>
        <v xml:space="preserve"> </v>
      </c>
      <c r="J25" s="653" t="str">
        <f t="shared" si="2"/>
        <v xml:space="preserve"> </v>
      </c>
      <c r="K25" s="325"/>
      <c r="L25" s="470"/>
    </row>
    <row r="26" spans="1:12">
      <c r="A26" s="651">
        <f>Application!B750</f>
        <v>0</v>
      </c>
      <c r="B26" s="1198">
        <f>Application!G750</f>
        <v>0</v>
      </c>
      <c r="C26" s="1199"/>
      <c r="D26" s="651">
        <f>Application!O750</f>
        <v>0</v>
      </c>
      <c r="E26" s="652"/>
      <c r="F26" s="1200"/>
      <c r="G26" s="653">
        <f t="shared" si="0"/>
        <v>0</v>
      </c>
      <c r="H26" s="654"/>
      <c r="I26" s="651" t="str">
        <f t="shared" si="1"/>
        <v xml:space="preserve"> </v>
      </c>
      <c r="J26" s="653" t="str">
        <f t="shared" si="2"/>
        <v xml:space="preserve"> </v>
      </c>
      <c r="K26" s="325"/>
      <c r="L26" s="470"/>
    </row>
    <row r="27" spans="1:12">
      <c r="A27" s="651">
        <f>Application!B751</f>
        <v>0</v>
      </c>
      <c r="B27" s="1198">
        <f>Application!G751</f>
        <v>0</v>
      </c>
      <c r="C27" s="1199"/>
      <c r="D27" s="651">
        <f>Application!O751</f>
        <v>0</v>
      </c>
      <c r="E27" s="652"/>
      <c r="F27" s="1200"/>
      <c r="G27" s="653">
        <f t="shared" si="0"/>
        <v>0</v>
      </c>
      <c r="H27" s="654"/>
      <c r="I27" s="651" t="str">
        <f t="shared" si="1"/>
        <v xml:space="preserve"> </v>
      </c>
      <c r="J27" s="653" t="str">
        <f t="shared" si="2"/>
        <v xml:space="preserve"> </v>
      </c>
      <c r="K27" s="325"/>
      <c r="L27" s="470"/>
    </row>
    <row r="28" spans="1:12">
      <c r="A28" s="651">
        <f>Application!B752</f>
        <v>0</v>
      </c>
      <c r="B28" s="1198">
        <f>Application!G752</f>
        <v>0</v>
      </c>
      <c r="C28" s="1199"/>
      <c r="D28" s="651">
        <f>Application!O752</f>
        <v>0</v>
      </c>
      <c r="E28" s="652"/>
      <c r="F28" s="1200"/>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255282</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1385</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550000</v>
      </c>
      <c r="C6" s="418">
        <f>'Sources and Uses Budget'!$C5</f>
        <v>550000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550000</v>
      </c>
      <c r="C9" s="422">
        <f>SUM(C5:C8)</f>
        <v>550000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630000</v>
      </c>
      <c r="C10" s="418">
        <f>'Sources and Uses Budget'!$C9</f>
        <v>630000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113300</v>
      </c>
      <c r="C11" s="418">
        <f>'Sources and Uses Budget'!$C10</f>
        <v>113300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743300</v>
      </c>
      <c r="C12" s="422">
        <f>SUM(C10:C11)</f>
        <v>743300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1293300</v>
      </c>
      <c r="C13" s="422">
        <f>SUM(C9+C12)</f>
        <v>1293300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1381038</v>
      </c>
      <c r="C14" s="418">
        <f>'Sources and Uses Budget'!$C13</f>
        <v>1381038</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1853</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3754871</v>
      </c>
      <c r="C30" s="418">
        <f>'Sources and Uses Budget'!$C29</f>
        <v>3754871</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24929291</v>
      </c>
      <c r="C31" s="418">
        <f>'Sources and Uses Budget'!$C30</f>
        <v>24929291</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1386000</v>
      </c>
      <c r="C32" s="418">
        <f>'Sources and Uses Budget'!$C31</f>
        <v>1386000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1425613</v>
      </c>
      <c r="C33" s="418">
        <f>'Sources and Uses Budget'!$C32</f>
        <v>1425613</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1425614</v>
      </c>
      <c r="C34" s="418">
        <f>'Sources and Uses Budget'!$C33</f>
        <v>1425614</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758175</v>
      </c>
      <c r="C36" s="418">
        <f>'Sources and Uses Budget'!$C35</f>
        <v>758175</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1853</v>
      </c>
      <c r="B37" s="418">
        <f>'Sources and Uses Budget'!$C36</f>
        <v>31500</v>
      </c>
      <c r="C37" s="418">
        <f>'Sources and Uses Budget'!$C36</f>
        <v>31500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33711064</v>
      </c>
      <c r="C39" s="422">
        <f>SUM(C30:C38)</f>
        <v>33711064</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1777063</v>
      </c>
      <c r="C41" s="418">
        <f>'Sources and Uses Budget'!$C40</f>
        <v>1777063</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1777063</v>
      </c>
      <c r="C43" s="422">
        <f>SUM(C41:C42)</f>
        <v>1777063</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340025</v>
      </c>
      <c r="C44" s="418">
        <f>'Sources and Uses Budget'!$C43</f>
        <v>340025</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2091695</v>
      </c>
      <c r="C46" s="418">
        <f>'Sources and Uses Budget'!$C45</f>
        <v>2091695</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57698</v>
      </c>
      <c r="C47" s="418">
        <f>'Sources and Uses Budget'!$C46</f>
        <v>57698</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85000</v>
      </c>
      <c r="C51" s="418">
        <f>'Sources and Uses Budget'!$C50</f>
        <v>85000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29470</v>
      </c>
      <c r="C52" s="418">
        <f>'Sources and Uses Budget'!$C51</f>
        <v>29470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Lease Payments during Const</v>
      </c>
      <c r="B54" s="418">
        <f>'Sources and Uses Budget'!$C53</f>
        <v>1027973</v>
      </c>
      <c r="C54" s="418">
        <f>'Sources and Uses Budget'!$C53</f>
        <v>1027973</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3291836</v>
      </c>
      <c r="C55" s="425">
        <f>SUM(C46:C54)</f>
        <v>3291836</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1156068</v>
      </c>
      <c r="C57" s="418">
        <f>'Sources and Uses Budget'!$C56</f>
        <v>1156068</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236600</v>
      </c>
      <c r="C58" s="418">
        <f>'Sources and Uses Budget'!$C57</f>
        <v>236600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Other: Interest prior to conversion</v>
      </c>
      <c r="B62" s="418">
        <f>'Sources and Uses Budget'!$C61</f>
        <v>2752718</v>
      </c>
      <c r="C62" s="418">
        <f>'Sources and Uses Budget'!$C61</f>
        <v>2752718</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4145386</v>
      </c>
      <c r="C63" s="422">
        <f>SUM(C57:C62)</f>
        <v>4145386</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45939712</v>
      </c>
      <c r="C64" s="422">
        <f>SUM(C9+C12+C14+C15+C17+C26+C28+C39+C43+C44+C55+C63)</f>
        <v>45939712</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1857</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85000</v>
      </c>
      <c r="C66" s="418">
        <f>'Sources and Uses Budget'!$C65</f>
        <v>85000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1854</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1855</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1861</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1858</v>
      </c>
      <c r="B71" s="422">
        <f>SUM(B66:B70)</f>
        <v>85000</v>
      </c>
      <c r="C71" s="422">
        <f>SUM(C66:C70)</f>
        <v>85000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632</v>
      </c>
      <c r="B76" s="418">
        <f>'Sources and Uses Budget'!$C75</f>
        <v>694582</v>
      </c>
      <c r="C76" s="418">
        <f>'Sources and Uses Budget'!$C75</f>
        <v>694582</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694582</v>
      </c>
      <c r="C78" s="422">
        <f>SUM(C73:C77)</f>
        <v>694582</v>
      </c>
      <c r="D78" s="422">
        <f t="shared" ref="D78:D106" si="1">C78-B78</f>
        <v>0</v>
      </c>
      <c r="E78" s="420"/>
      <c r="F78" s="419"/>
      <c r="G78" s="546"/>
    </row>
    <row r="79" spans="1:253" s="540" customFormat="1">
      <c r="A79" s="416" t="s">
        <v>1377</v>
      </c>
      <c r="B79" s="416"/>
      <c r="C79" s="416"/>
      <c r="D79" s="416"/>
      <c r="E79" s="436"/>
      <c r="F79" s="416"/>
      <c r="G79" s="546"/>
    </row>
    <row r="80" spans="1:253" s="540" customFormat="1">
      <c r="A80" s="853" t="s">
        <v>1379</v>
      </c>
      <c r="B80" s="418">
        <f>'Sources and Uses Budget'!$C79</f>
        <v>2518852</v>
      </c>
      <c r="C80" s="418">
        <f>'Sources and Uses Budget'!$C79</f>
        <v>2518852</v>
      </c>
      <c r="D80" s="422">
        <f t="shared" si="1"/>
        <v>0</v>
      </c>
      <c r="E80" s="420"/>
      <c r="F80" s="419"/>
      <c r="G80" s="546"/>
    </row>
    <row r="81" spans="1:7" s="540" customFormat="1">
      <c r="A81" s="853" t="s">
        <v>61</v>
      </c>
      <c r="B81" s="418">
        <f>'Sources and Uses Budget'!$C80</f>
        <v>396182</v>
      </c>
      <c r="C81" s="418">
        <f>'Sources and Uses Budget'!$C80</f>
        <v>396182</v>
      </c>
      <c r="D81" s="422">
        <f>C81-B81</f>
        <v>0</v>
      </c>
      <c r="E81" s="420"/>
      <c r="F81" s="419"/>
      <c r="G81" s="546"/>
    </row>
    <row r="82" spans="1:7" s="540" customFormat="1">
      <c r="A82" s="423" t="s">
        <v>1376</v>
      </c>
      <c r="B82" s="422">
        <f>SUM(B80:B81)</f>
        <v>2915034</v>
      </c>
      <c r="C82" s="422">
        <f>SUM(C80:C81)</f>
        <v>2915034</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2659</v>
      </c>
      <c r="B84" s="418">
        <f>'Sources and Uses Budget'!$C83</f>
        <v>90729</v>
      </c>
      <c r="C84" s="418">
        <f>'Sources and Uses Budget'!$C83</f>
        <v>90729</v>
      </c>
      <c r="D84" s="422">
        <f t="shared" si="1"/>
        <v>0</v>
      </c>
      <c r="E84" s="420"/>
      <c r="F84" s="419"/>
      <c r="G84" s="546"/>
    </row>
    <row r="85" spans="1:7" s="540" customFormat="1">
      <c r="A85" s="421" t="s">
        <v>809</v>
      </c>
      <c r="B85" s="418">
        <f>'Sources and Uses Budget'!$C84</f>
        <v>0</v>
      </c>
      <c r="C85" s="418">
        <f>'Sources and Uses Budget'!$C84</f>
        <v>0</v>
      </c>
      <c r="D85" s="422">
        <f t="shared" si="1"/>
        <v>0</v>
      </c>
      <c r="E85" s="420"/>
      <c r="F85" s="419"/>
      <c r="G85" s="546"/>
    </row>
    <row r="86" spans="1:7" s="540" customFormat="1">
      <c r="A86" s="421" t="s">
        <v>810</v>
      </c>
      <c r="B86" s="418">
        <f>'Sources and Uses Budget'!$C85</f>
        <v>3835784</v>
      </c>
      <c r="C86" s="418">
        <f>'Sources and Uses Budget'!$C85</f>
        <v>3835784</v>
      </c>
      <c r="D86" s="422">
        <f t="shared" si="1"/>
        <v>0</v>
      </c>
      <c r="E86" s="420"/>
      <c r="F86" s="419"/>
      <c r="G86" s="546"/>
    </row>
    <row r="87" spans="1:7" s="540" customFormat="1">
      <c r="A87" s="421" t="s">
        <v>811</v>
      </c>
      <c r="B87" s="418">
        <f>'Sources and Uses Budget'!$C86</f>
        <v>1002747</v>
      </c>
      <c r="C87" s="418">
        <f>'Sources and Uses Budget'!$C86</f>
        <v>1002747</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172500</v>
      </c>
      <c r="C89" s="418">
        <f>'Sources and Uses Budget'!$C88</f>
        <v>172500</v>
      </c>
      <c r="D89" s="422">
        <f t="shared" si="1"/>
        <v>0</v>
      </c>
      <c r="E89" s="420"/>
      <c r="F89" s="419"/>
      <c r="G89" s="546"/>
    </row>
    <row r="90" spans="1:7" s="540" customFormat="1">
      <c r="A90" s="421" t="s">
        <v>814</v>
      </c>
      <c r="B90" s="418">
        <f>'Sources and Uses Budget'!$C89</f>
        <v>285800</v>
      </c>
      <c r="C90" s="418">
        <f>'Sources and Uses Budget'!$C89</f>
        <v>285800</v>
      </c>
      <c r="D90" s="422">
        <f t="shared" si="1"/>
        <v>0</v>
      </c>
      <c r="E90" s="420"/>
      <c r="F90" s="419"/>
      <c r="G90" s="546"/>
    </row>
    <row r="91" spans="1:7" s="540" customFormat="1">
      <c r="A91" s="421" t="s">
        <v>815</v>
      </c>
      <c r="B91" s="418">
        <f>'Sources and Uses Budget'!$C90</f>
        <v>12500</v>
      </c>
      <c r="C91" s="418">
        <f>'Sources and Uses Budget'!$C90</f>
        <v>12500</v>
      </c>
      <c r="D91" s="422">
        <f t="shared" si="1"/>
        <v>0</v>
      </c>
      <c r="E91" s="420"/>
      <c r="F91" s="419"/>
      <c r="G91" s="546"/>
    </row>
    <row r="92" spans="1:7" s="540" customFormat="1">
      <c r="A92" s="427" t="s">
        <v>387</v>
      </c>
      <c r="B92" s="418">
        <f>'Sources and Uses Budget'!$C91</f>
        <v>25000</v>
      </c>
      <c r="C92" s="418">
        <f>'Sources and Uses Budget'!$C91</f>
        <v>25000</v>
      </c>
      <c r="D92" s="422">
        <f t="shared" si="1"/>
        <v>0</v>
      </c>
      <c r="E92" s="420"/>
      <c r="F92" s="419"/>
      <c r="G92" s="546"/>
    </row>
    <row r="93" spans="1:7" s="540" customFormat="1">
      <c r="A93" s="852" t="s">
        <v>1378</v>
      </c>
      <c r="B93" s="418">
        <f>'Sources and Uses Budget'!$C92</f>
        <v>7500</v>
      </c>
      <c r="C93" s="418">
        <f>'Sources and Uses Budget'!$C92</f>
        <v>7500</v>
      </c>
      <c r="D93" s="422">
        <f t="shared" si="1"/>
        <v>0</v>
      </c>
      <c r="E93" s="420"/>
      <c r="F93" s="419"/>
      <c r="G93" s="546"/>
    </row>
    <row r="94" spans="1:7" s="540" customFormat="1">
      <c r="A94" s="424" t="s">
        <v>35</v>
      </c>
      <c r="B94" s="418">
        <f>'Sources and Uses Budget'!$C93</f>
        <v>269304</v>
      </c>
      <c r="C94" s="418">
        <f>'Sources and Uses Budget'!$C93</f>
        <v>269304</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5701864</v>
      </c>
      <c r="C97" s="422">
        <f>SUM(C84:C96)</f>
        <v>5701864</v>
      </c>
      <c r="D97" s="422">
        <f t="shared" si="1"/>
        <v>0</v>
      </c>
      <c r="E97" s="420"/>
      <c r="F97" s="419"/>
      <c r="G97" s="546"/>
    </row>
    <row r="98" spans="1:7" s="540" customFormat="1">
      <c r="A98" s="423" t="s">
        <v>817</v>
      </c>
      <c r="B98" s="422">
        <f>SUM(B64+B71+B78+B82+B97)</f>
        <v>55336192</v>
      </c>
      <c r="C98" s="422">
        <f>SUM(C64+C71+C78+C82+C97)</f>
        <v>55336192</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7333287</v>
      </c>
      <c r="C100" s="418">
        <f>'Sources and Uses Budget'!$C99</f>
        <v>7333287</v>
      </c>
      <c r="D100" s="422">
        <f t="shared" si="1"/>
        <v>0</v>
      </c>
      <c r="E100" s="420"/>
      <c r="F100" s="419"/>
      <c r="G100" s="544"/>
    </row>
    <row r="101" spans="1:7" s="539" customFormat="1">
      <c r="A101" s="437" t="s">
        <v>1859</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1860</v>
      </c>
      <c r="B103" s="418">
        <f>'Sources and Uses Budget'!$C102</f>
        <v>0</v>
      </c>
      <c r="C103" s="418">
        <f>'Sources and Uses Budget'!$C102</f>
        <v>0</v>
      </c>
      <c r="D103" s="422">
        <f t="shared" si="1"/>
        <v>0</v>
      </c>
      <c r="E103" s="420"/>
      <c r="F103" s="419"/>
      <c r="G103" s="544"/>
    </row>
    <row r="104" spans="1:7" s="539" customFormat="1">
      <c r="A104" s="1102"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7333287</v>
      </c>
      <c r="C105" s="422">
        <f>SUM(C100:C104)</f>
        <v>7333287</v>
      </c>
      <c r="D105" s="422">
        <f t="shared" si="1"/>
        <v>0</v>
      </c>
      <c r="E105" s="420"/>
      <c r="F105" s="419"/>
      <c r="G105" s="544"/>
    </row>
    <row r="106" spans="1:7" s="539" customFormat="1">
      <c r="A106" s="423" t="s">
        <v>822</v>
      </c>
      <c r="B106" s="425">
        <f>SUM(B98+B105)</f>
        <v>62669479</v>
      </c>
      <c r="C106" s="425">
        <f>SUM(C98+C105)</f>
        <v>62669479</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759" t="s">
        <v>1126</v>
      </c>
      <c r="B2" s="1759"/>
      <c r="C2" s="1760"/>
      <c r="D2" s="1760"/>
      <c r="E2" s="1760"/>
      <c r="F2" s="1760"/>
      <c r="G2" s="1760"/>
    </row>
    <row r="3" spans="1:9" s="256" customFormat="1">
      <c r="A3" s="1759" t="s">
        <v>1061</v>
      </c>
      <c r="B3" s="1759"/>
      <c r="C3" s="1760"/>
      <c r="D3" s="1760"/>
      <c r="E3" s="1760"/>
      <c r="F3" s="1760"/>
      <c r="G3" s="1760"/>
      <c r="I3" s="669" t="s">
        <v>313</v>
      </c>
    </row>
    <row r="4" spans="1:9">
      <c r="I4" s="670" t="s">
        <v>1127</v>
      </c>
    </row>
    <row r="5" spans="1:9" s="39" customFormat="1">
      <c r="A5" s="1763" t="s">
        <v>1062</v>
      </c>
      <c r="B5" s="1763"/>
      <c r="C5" s="1764"/>
      <c r="D5" s="1764"/>
      <c r="E5" s="1764"/>
      <c r="F5" s="1764"/>
      <c r="G5" s="1764"/>
      <c r="I5" s="670" t="s">
        <v>1128</v>
      </c>
    </row>
    <row r="6" spans="1:9" s="39" customFormat="1">
      <c r="A6" s="1763" t="s">
        <v>864</v>
      </c>
      <c r="B6" s="1763"/>
      <c r="C6" s="1764"/>
      <c r="D6" s="1764"/>
      <c r="E6" s="1764"/>
      <c r="F6" s="1764"/>
      <c r="G6" s="1764"/>
      <c r="I6" s="669" t="s">
        <v>618</v>
      </c>
    </row>
    <row r="7" spans="1:9" ht="11.85" customHeight="1"/>
    <row r="8" spans="1:9" s="39" customFormat="1">
      <c r="A8" s="1761" t="s">
        <v>1223</v>
      </c>
      <c r="B8" s="1761"/>
      <c r="C8" s="1762"/>
      <c r="D8" s="1762"/>
      <c r="E8" s="1762"/>
      <c r="F8" s="1762"/>
      <c r="G8" s="1762"/>
    </row>
    <row r="9" spans="1:9" s="39" customFormat="1">
      <c r="A9" s="1761" t="s">
        <v>1224</v>
      </c>
      <c r="B9" s="1761"/>
      <c r="C9" s="1762"/>
      <c r="D9" s="1762"/>
      <c r="E9" s="1762"/>
      <c r="F9" s="1762"/>
      <c r="G9" s="1762"/>
    </row>
    <row r="10" spans="1:9">
      <c r="A10" s="258"/>
      <c r="B10" s="258"/>
      <c r="C10" s="255"/>
      <c r="D10" s="255"/>
      <c r="E10" s="255"/>
      <c r="F10" s="255"/>
    </row>
    <row r="11" spans="1:9">
      <c r="A11" s="1765" t="s">
        <v>1226</v>
      </c>
      <c r="B11" s="1765"/>
      <c r="C11" s="1765"/>
      <c r="D11" s="1765"/>
      <c r="E11" s="1765"/>
      <c r="F11" s="1765"/>
      <c r="G11" s="1765"/>
    </row>
    <row r="12" spans="1:9">
      <c r="A12" s="255"/>
      <c r="B12" s="665"/>
      <c r="E12" s="50"/>
    </row>
    <row r="13" spans="1:9" ht="13.15" customHeight="1">
      <c r="C13" s="255"/>
      <c r="D13" s="1783" t="s">
        <v>1225</v>
      </c>
      <c r="E13" s="1783"/>
      <c r="F13" s="1783"/>
    </row>
    <row r="14" spans="1:9">
      <c r="C14" s="255"/>
      <c r="D14" s="1783"/>
      <c r="E14" s="1783"/>
      <c r="F14" s="1783"/>
    </row>
    <row r="15" spans="1:9">
      <c r="A15" s="260"/>
      <c r="B15" s="260"/>
      <c r="C15" s="260"/>
      <c r="D15" s="1722" t="s">
        <v>1208</v>
      </c>
      <c r="E15" s="1722"/>
      <c r="F15" s="1722"/>
    </row>
    <row r="16" spans="1:9">
      <c r="A16" s="260"/>
      <c r="B16" s="260"/>
      <c r="C16" s="260"/>
      <c r="D16" s="327"/>
    </row>
    <row r="17" spans="1:7" ht="14.25">
      <c r="A17" s="261"/>
      <c r="B17" s="671" t="s">
        <v>313</v>
      </c>
      <c r="C17" s="313"/>
      <c r="D17" s="1709" t="s">
        <v>1209</v>
      </c>
      <c r="E17" s="1709"/>
      <c r="F17" s="1709"/>
    </row>
    <row r="18" spans="1:7">
      <c r="A18" s="260"/>
      <c r="B18" s="260"/>
      <c r="C18" s="313"/>
      <c r="D18" s="1709"/>
      <c r="E18" s="1709"/>
      <c r="F18" s="1709"/>
    </row>
    <row r="19" spans="1:7">
      <c r="A19" s="260"/>
      <c r="B19" s="260"/>
      <c r="C19" s="313"/>
      <c r="D19" s="1709"/>
      <c r="E19" s="1709"/>
      <c r="F19" s="1709"/>
    </row>
    <row r="20" spans="1:7">
      <c r="A20" s="260"/>
      <c r="B20" s="260"/>
      <c r="C20" s="260"/>
    </row>
    <row r="21" spans="1:7" ht="14.25">
      <c r="A21" s="261"/>
      <c r="B21" s="671" t="s">
        <v>313</v>
      </c>
      <c r="D21" s="1775" t="s">
        <v>1210</v>
      </c>
      <c r="E21" s="1775"/>
      <c r="F21" s="1775"/>
    </row>
    <row r="22" spans="1:7" ht="14.25">
      <c r="A22" s="261"/>
      <c r="B22" s="261"/>
      <c r="D22" s="135"/>
    </row>
    <row r="23" spans="1:7" ht="14.25">
      <c r="A23" s="261"/>
      <c r="B23" s="671" t="s">
        <v>313</v>
      </c>
      <c r="D23" s="1709" t="s">
        <v>1211</v>
      </c>
      <c r="E23" s="1709"/>
      <c r="F23" s="1709"/>
    </row>
    <row r="24" spans="1:7" ht="14.25">
      <c r="A24" s="261"/>
      <c r="B24" s="261"/>
      <c r="D24" s="1709"/>
      <c r="E24" s="1709"/>
      <c r="F24" s="1709"/>
    </row>
    <row r="25" spans="1:7"/>
    <row r="26" spans="1:7" ht="14.25">
      <c r="A26" s="261"/>
      <c r="B26" s="671" t="s">
        <v>313</v>
      </c>
      <c r="D26" s="1744" t="s">
        <v>1212</v>
      </c>
      <c r="E26" s="1744"/>
      <c r="F26" s="1744"/>
    </row>
    <row r="27" spans="1:7">
      <c r="D27" s="1744"/>
      <c r="E27" s="1744"/>
      <c r="F27" s="1744"/>
    </row>
    <row r="28" spans="1:7">
      <c r="D28" s="1744"/>
      <c r="E28" s="1744"/>
      <c r="F28" s="1744"/>
    </row>
    <row r="29" spans="1:7">
      <c r="A29" s="551"/>
      <c r="C29" s="551"/>
      <c r="D29" s="1744"/>
      <c r="E29" s="1744"/>
      <c r="F29" s="1744"/>
    </row>
    <row r="30" spans="1:7">
      <c r="A30" s="551"/>
      <c r="C30" s="551"/>
      <c r="D30" s="1744"/>
      <c r="E30" s="1744"/>
      <c r="F30" s="1744"/>
    </row>
    <row r="31" spans="1:7" s="39" customFormat="1">
      <c r="A31" s="273"/>
      <c r="B31" s="273"/>
      <c r="C31" s="273"/>
      <c r="D31" s="440"/>
      <c r="E31" s="130"/>
      <c r="F31" s="130"/>
      <c r="G31" s="130"/>
    </row>
    <row r="32" spans="1:7" s="39" customFormat="1">
      <c r="A32" s="273"/>
      <c r="B32" s="671" t="s">
        <v>313</v>
      </c>
      <c r="C32" s="273"/>
      <c r="D32" s="1710" t="s">
        <v>1213</v>
      </c>
      <c r="E32" s="1710"/>
      <c r="F32" s="1710"/>
      <c r="G32" s="130"/>
    </row>
    <row r="33" spans="1:7" s="39" customFormat="1">
      <c r="A33" s="273"/>
      <c r="B33" s="273"/>
      <c r="C33" s="273"/>
      <c r="D33" s="1710"/>
      <c r="E33" s="1710"/>
      <c r="F33" s="1710"/>
      <c r="G33" s="130"/>
    </row>
    <row r="34" spans="1:7" ht="14.25">
      <c r="A34" s="261"/>
      <c r="B34" s="261"/>
      <c r="D34" s="401"/>
    </row>
    <row r="35" spans="1:7" ht="14.45" customHeight="1">
      <c r="A35" s="261"/>
      <c r="B35" s="671" t="s">
        <v>313</v>
      </c>
      <c r="C35" s="547"/>
      <c r="D35" s="1710" t="s">
        <v>1214</v>
      </c>
      <c r="E35" s="1710"/>
      <c r="F35" s="1710"/>
    </row>
    <row r="36" spans="1:7" ht="14.25">
      <c r="A36" s="261"/>
      <c r="B36" s="261"/>
      <c r="C36" s="547"/>
      <c r="D36" s="1710"/>
      <c r="E36" s="1710"/>
      <c r="F36" s="1710"/>
    </row>
    <row r="37" spans="1:7" ht="14.25">
      <c r="A37" s="261"/>
      <c r="B37" s="261"/>
      <c r="C37" s="547"/>
      <c r="D37" s="1710"/>
      <c r="E37" s="1710"/>
      <c r="F37" s="1710"/>
    </row>
    <row r="38" spans="1:7" ht="14.25">
      <c r="A38" s="261"/>
      <c r="B38" s="261"/>
      <c r="C38" s="547"/>
      <c r="D38" s="12"/>
    </row>
    <row r="39" spans="1:7" s="674" customFormat="1" ht="14.25">
      <c r="A39" s="261"/>
      <c r="B39" s="671" t="s">
        <v>313</v>
      </c>
      <c r="C39" s="691"/>
      <c r="D39" s="1710" t="s">
        <v>1215</v>
      </c>
      <c r="E39" s="1710"/>
      <c r="F39" s="1710"/>
      <c r="G39" s="7"/>
    </row>
    <row r="40" spans="1:7" s="674" customFormat="1" ht="14.25">
      <c r="A40" s="261"/>
      <c r="B40" s="261"/>
      <c r="C40" s="691"/>
      <c r="D40" s="1710"/>
      <c r="E40" s="1710"/>
      <c r="F40" s="1710"/>
      <c r="G40" s="7"/>
    </row>
    <row r="41" spans="1:7" s="674" customFormat="1" ht="14.25">
      <c r="A41" s="261"/>
      <c r="B41" s="261"/>
      <c r="C41" s="691"/>
      <c r="D41" s="1710"/>
      <c r="E41" s="1710"/>
      <c r="F41" s="1710"/>
      <c r="G41" s="7"/>
    </row>
    <row r="42" spans="1:7" s="674" customFormat="1" ht="14.25">
      <c r="A42" s="261"/>
      <c r="B42" s="261"/>
      <c r="C42" s="691"/>
      <c r="D42" s="1710"/>
      <c r="E42" s="1710"/>
      <c r="F42" s="1710"/>
      <c r="G42" s="7"/>
    </row>
    <row r="43" spans="1:7" s="674" customFormat="1" ht="14.25">
      <c r="A43" s="261"/>
      <c r="B43" s="261"/>
      <c r="C43" s="691"/>
      <c r="D43" s="1710"/>
      <c r="E43" s="1710"/>
      <c r="F43" s="1710"/>
      <c r="G43" s="7"/>
    </row>
    <row r="44" spans="1:7" s="674" customFormat="1" ht="14.25">
      <c r="A44" s="261"/>
      <c r="B44" s="261"/>
      <c r="C44" s="691"/>
      <c r="D44" s="690"/>
      <c r="E44" s="690"/>
      <c r="F44" s="690"/>
      <c r="G44" s="7"/>
    </row>
    <row r="45" spans="1:7" ht="14.25">
      <c r="A45" s="261"/>
      <c r="B45" s="671" t="s">
        <v>313</v>
      </c>
      <c r="C45" s="547"/>
      <c r="D45" s="1710" t="s">
        <v>1216</v>
      </c>
      <c r="E45" s="1710"/>
      <c r="F45" s="1710"/>
    </row>
    <row r="46" spans="1:7" ht="14.25">
      <c r="A46" s="261"/>
      <c r="B46" s="261"/>
      <c r="C46" s="547"/>
      <c r="D46" s="1710"/>
      <c r="E46" s="1710"/>
      <c r="F46" s="1710"/>
    </row>
    <row r="47" spans="1:7" ht="14.25">
      <c r="A47" s="261"/>
      <c r="B47" s="261"/>
      <c r="C47" s="547"/>
      <c r="D47" s="1710"/>
      <c r="E47" s="1710"/>
      <c r="F47" s="1710"/>
    </row>
    <row r="48" spans="1:7" ht="23.25" customHeight="1">
      <c r="A48" s="261"/>
      <c r="B48" s="261"/>
      <c r="C48" s="547"/>
      <c r="D48" s="1710"/>
      <c r="E48" s="1710"/>
      <c r="F48" s="1710"/>
    </row>
    <row r="49" spans="1:7" ht="14.25">
      <c r="A49" s="261"/>
      <c r="B49" s="261"/>
      <c r="D49" s="151"/>
    </row>
    <row r="50" spans="1:7" ht="14.45" customHeight="1">
      <c r="A50" s="261"/>
      <c r="B50" s="671" t="s">
        <v>313</v>
      </c>
      <c r="D50" s="1710" t="s">
        <v>1217</v>
      </c>
      <c r="E50" s="1710"/>
      <c r="F50" s="1710"/>
    </row>
    <row r="51" spans="1:7" ht="14.25">
      <c r="A51" s="261"/>
      <c r="B51" s="261"/>
      <c r="D51" s="1710"/>
      <c r="E51" s="1710"/>
      <c r="F51" s="1710"/>
    </row>
    <row r="52" spans="1:7" ht="14.25">
      <c r="A52" s="261"/>
      <c r="B52" s="261"/>
      <c r="D52" s="1710"/>
      <c r="E52" s="1710"/>
      <c r="F52" s="1710"/>
    </row>
    <row r="53" spans="1:7" s="2" customFormat="1" ht="14.25">
      <c r="A53" s="261"/>
      <c r="B53" s="261"/>
      <c r="C53" s="549"/>
      <c r="D53" s="239"/>
      <c r="E53" s="22"/>
      <c r="F53" s="22"/>
      <c r="G53" s="22"/>
    </row>
    <row r="54" spans="1:7" s="2" customFormat="1" ht="14.25">
      <c r="A54" s="400"/>
      <c r="B54" s="671" t="s">
        <v>313</v>
      </c>
      <c r="C54" s="550"/>
      <c r="D54" s="1710" t="s">
        <v>1218</v>
      </c>
      <c r="E54" s="1710"/>
      <c r="F54" s="1710"/>
      <c r="G54" s="22"/>
    </row>
    <row r="55" spans="1:7" s="2" customFormat="1" ht="14.25">
      <c r="A55" s="400"/>
      <c r="B55" s="400"/>
      <c r="C55" s="550"/>
      <c r="D55" s="1710"/>
      <c r="E55" s="1710"/>
      <c r="F55" s="1710"/>
      <c r="G55" s="22"/>
    </row>
    <row r="56" spans="1:7" s="39" customFormat="1">
      <c r="A56" s="273"/>
      <c r="B56" s="273"/>
      <c r="C56" s="273"/>
      <c r="D56" s="440"/>
      <c r="E56" s="130"/>
      <c r="F56" s="130"/>
      <c r="G56" s="130"/>
    </row>
    <row r="57" spans="1:7" ht="14.25">
      <c r="A57" s="261"/>
      <c r="B57" s="671" t="s">
        <v>313</v>
      </c>
      <c r="D57" s="1710" t="s">
        <v>1219</v>
      </c>
      <c r="E57" s="1710"/>
      <c r="F57" s="1710"/>
    </row>
    <row r="58" spans="1:7">
      <c r="D58" s="1710"/>
      <c r="E58" s="1710"/>
      <c r="F58" s="1710"/>
    </row>
    <row r="59" spans="1:7">
      <c r="D59" s="1710"/>
      <c r="E59" s="1710"/>
      <c r="F59" s="1710"/>
    </row>
    <row r="60" spans="1:7" s="674" customFormat="1">
      <c r="A60" s="691"/>
      <c r="B60" s="691"/>
      <c r="C60" s="691"/>
      <c r="D60" s="670"/>
      <c r="E60" s="7"/>
      <c r="F60" s="7"/>
      <c r="G60" s="7"/>
    </row>
    <row r="61" spans="1:7" ht="14.25">
      <c r="A61" s="261"/>
      <c r="B61" s="671" t="s">
        <v>313</v>
      </c>
      <c r="D61" s="1710" t="s">
        <v>1220</v>
      </c>
      <c r="E61" s="1710"/>
      <c r="F61" s="1710"/>
    </row>
    <row r="62" spans="1:7">
      <c r="D62" s="1710"/>
      <c r="E62" s="1710"/>
      <c r="F62" s="1710"/>
    </row>
    <row r="63" spans="1:7"/>
    <row r="64" spans="1:7" ht="14.25">
      <c r="A64" s="261"/>
      <c r="B64" s="671" t="s">
        <v>313</v>
      </c>
      <c r="D64" s="1710" t="s">
        <v>1221</v>
      </c>
      <c r="E64" s="1710"/>
      <c r="F64" s="1710"/>
    </row>
    <row r="65" spans="1:7">
      <c r="D65" s="1710"/>
      <c r="E65" s="1710"/>
      <c r="F65" s="1710"/>
    </row>
    <row r="66" spans="1:7">
      <c r="A66" s="548"/>
      <c r="C66" s="548"/>
      <c r="D66" s="1710"/>
      <c r="E66" s="1710"/>
      <c r="F66" s="1710"/>
    </row>
    <row r="67" spans="1:7">
      <c r="D67" s="12"/>
    </row>
    <row r="68" spans="1:7" ht="14.25">
      <c r="A68" s="261"/>
      <c r="B68" s="671" t="s">
        <v>313</v>
      </c>
      <c r="D68" s="1709" t="s">
        <v>1222</v>
      </c>
      <c r="E68" s="1709"/>
      <c r="F68" s="1709"/>
    </row>
    <row r="69" spans="1:7">
      <c r="D69" s="1709"/>
      <c r="E69" s="1709"/>
      <c r="F69" s="1709"/>
    </row>
    <row r="70" spans="1:7" ht="14.25">
      <c r="A70" s="261"/>
      <c r="B70" s="261"/>
      <c r="D70" s="135"/>
    </row>
    <row r="71" spans="1:7">
      <c r="A71" s="1729" t="s">
        <v>1129</v>
      </c>
      <c r="B71" s="1729"/>
      <c r="C71" s="1729"/>
      <c r="D71" s="1729"/>
      <c r="E71" s="1729"/>
      <c r="F71" s="1729"/>
      <c r="G71" s="1729"/>
    </row>
    <row r="72" spans="1:7"/>
    <row r="73" spans="1:7">
      <c r="C73" s="262"/>
      <c r="D73" s="1758" t="s">
        <v>1227</v>
      </c>
      <c r="E73" s="1758"/>
      <c r="F73" s="1758"/>
    </row>
    <row r="74" spans="1:7">
      <c r="A74" s="135"/>
      <c r="B74" s="135"/>
      <c r="D74" s="1709" t="s">
        <v>1254</v>
      </c>
      <c r="E74" s="1709"/>
      <c r="F74" s="1709"/>
    </row>
    <row r="75" spans="1:7">
      <c r="A75" s="135"/>
      <c r="B75" s="135"/>
    </row>
    <row r="76" spans="1:7" ht="14.25">
      <c r="A76" s="261"/>
      <c r="B76" s="671" t="s">
        <v>313</v>
      </c>
      <c r="D76" s="1709" t="s">
        <v>1228</v>
      </c>
      <c r="E76" s="1709"/>
      <c r="F76" s="1709"/>
    </row>
    <row r="77" spans="1:7" ht="14.25">
      <c r="A77" s="261"/>
      <c r="B77" s="261"/>
      <c r="D77" s="1709"/>
      <c r="E77" s="1709"/>
      <c r="F77" s="1709"/>
    </row>
    <row r="78" spans="1:7" ht="14.25">
      <c r="A78" s="261"/>
      <c r="B78" s="261"/>
      <c r="D78" s="1709"/>
      <c r="E78" s="1709"/>
      <c r="F78" s="1709"/>
    </row>
    <row r="79" spans="1:7" ht="14.25">
      <c r="A79" s="261"/>
      <c r="B79" s="261"/>
      <c r="D79" s="1709"/>
      <c r="E79" s="1709"/>
      <c r="F79" s="1709"/>
    </row>
    <row r="80" spans="1:7" ht="14.25">
      <c r="A80" s="261"/>
      <c r="B80" s="261"/>
      <c r="D80" s="1709"/>
      <c r="E80" s="1709"/>
      <c r="F80" s="1709"/>
    </row>
    <row r="81" spans="1:7" ht="14.25">
      <c r="A81" s="261"/>
      <c r="B81" s="261"/>
      <c r="D81" s="1709"/>
      <c r="E81" s="1709"/>
      <c r="F81" s="1709"/>
    </row>
    <row r="82" spans="1:7" s="698" customFormat="1" ht="14.25">
      <c r="A82" s="699"/>
      <c r="B82" s="699"/>
      <c r="C82" s="697"/>
      <c r="D82" s="701"/>
      <c r="E82" s="701"/>
      <c r="F82" s="701"/>
      <c r="G82" s="7"/>
    </row>
    <row r="83" spans="1:7" s="698" customFormat="1" ht="14.45" customHeight="1">
      <c r="A83" s="699"/>
      <c r="B83" s="704" t="s">
        <v>313</v>
      </c>
      <c r="C83" s="697"/>
      <c r="D83" s="1738" t="s">
        <v>1327</v>
      </c>
      <c r="E83" s="1738"/>
      <c r="F83" s="1738"/>
      <c r="G83" s="7"/>
    </row>
    <row r="84" spans="1:7" s="698" customFormat="1" ht="14.25">
      <c r="A84" s="699"/>
      <c r="B84" s="699"/>
      <c r="C84" s="697"/>
      <c r="D84" s="1738"/>
      <c r="E84" s="1738"/>
      <c r="F84" s="1738"/>
      <c r="G84" s="7"/>
    </row>
    <row r="85" spans="1:7" s="698" customFormat="1" ht="14.25">
      <c r="A85" s="699"/>
      <c r="B85" s="699"/>
      <c r="C85" s="697"/>
      <c r="D85" s="1738"/>
      <c r="E85" s="1738"/>
      <c r="F85" s="1738"/>
      <c r="G85" s="7"/>
    </row>
    <row r="86" spans="1:7" s="698" customFormat="1" ht="14.25">
      <c r="A86" s="699"/>
      <c r="B86" s="699"/>
      <c r="C86" s="697"/>
      <c r="D86" s="1738"/>
      <c r="E86" s="1738"/>
      <c r="F86" s="1738"/>
      <c r="G86" s="7"/>
    </row>
    <row r="87" spans="1:7" s="698" customFormat="1" ht="14.25">
      <c r="A87" s="699"/>
      <c r="B87" s="699"/>
      <c r="C87" s="697"/>
      <c r="D87" s="1738"/>
      <c r="E87" s="1738"/>
      <c r="F87" s="1738"/>
      <c r="G87" s="7"/>
    </row>
    <row r="88" spans="1:7" s="711" customFormat="1" ht="14.25">
      <c r="A88" s="706"/>
      <c r="B88" s="706"/>
      <c r="C88" s="737"/>
      <c r="D88" s="1738"/>
      <c r="E88" s="1738"/>
      <c r="F88" s="1738"/>
      <c r="G88" s="7"/>
    </row>
    <row r="89" spans="1:7" s="711" customFormat="1" ht="14.25">
      <c r="A89" s="706"/>
      <c r="B89" s="706"/>
      <c r="C89" s="737"/>
      <c r="D89" s="1738"/>
      <c r="E89" s="1738"/>
      <c r="F89" s="1738"/>
      <c r="G89" s="7"/>
    </row>
    <row r="90" spans="1:7" s="711" customFormat="1" ht="14.25">
      <c r="A90" s="706"/>
      <c r="B90" s="706"/>
      <c r="C90" s="737"/>
      <c r="D90" s="1738"/>
      <c r="E90" s="1738"/>
      <c r="F90" s="1738"/>
      <c r="G90" s="7"/>
    </row>
    <row r="91" spans="1:7" ht="14.25">
      <c r="A91" s="261"/>
      <c r="B91" s="261"/>
      <c r="D91" s="1738"/>
      <c r="E91" s="1738"/>
      <c r="F91" s="1738"/>
    </row>
    <row r="92" spans="1:7" ht="14.25">
      <c r="A92" s="261"/>
      <c r="B92" s="261"/>
      <c r="D92" s="1738"/>
      <c r="E92" s="1738"/>
      <c r="F92" s="1738"/>
    </row>
    <row r="93" spans="1:7" ht="14.25">
      <c r="A93" s="261"/>
      <c r="B93" s="261"/>
      <c r="D93" s="1738"/>
      <c r="E93" s="1738"/>
      <c r="F93" s="1738"/>
    </row>
    <row r="94" spans="1:7" ht="14.25">
      <c r="A94" s="261"/>
      <c r="B94" s="261"/>
      <c r="D94" s="1738"/>
      <c r="E94" s="1738"/>
      <c r="F94" s="1738"/>
    </row>
    <row r="95" spans="1:7" ht="14.25">
      <c r="A95" s="261"/>
      <c r="B95" s="261"/>
      <c r="D95" s="1738"/>
      <c r="E95" s="1738"/>
      <c r="F95" s="1738"/>
    </row>
    <row r="96" spans="1:7" ht="14.25">
      <c r="A96" s="261"/>
      <c r="B96" s="261"/>
      <c r="D96" s="1738"/>
      <c r="E96" s="1738"/>
      <c r="F96" s="1738"/>
    </row>
    <row r="97" spans="1:11" s="702" customFormat="1" ht="14.25">
      <c r="A97" s="703"/>
      <c r="B97" s="707" t="s">
        <v>313</v>
      </c>
      <c r="C97" s="697"/>
      <c r="D97" s="1709" t="s">
        <v>1229</v>
      </c>
      <c r="E97" s="1709"/>
      <c r="F97" s="1709"/>
      <c r="G97" s="7"/>
    </row>
    <row r="98" spans="1:11" s="702" customFormat="1" ht="14.25">
      <c r="A98" s="703"/>
      <c r="B98" s="703"/>
      <c r="C98" s="697"/>
      <c r="D98" s="1709"/>
      <c r="E98" s="1709"/>
      <c r="F98" s="1709"/>
      <c r="G98" s="7"/>
    </row>
    <row r="99" spans="1:11" s="702" customFormat="1" ht="14.25">
      <c r="A99" s="703"/>
      <c r="B99" s="703"/>
      <c r="C99" s="697"/>
      <c r="D99" s="1709"/>
      <c r="E99" s="1709"/>
      <c r="F99" s="1709"/>
      <c r="G99" s="7"/>
    </row>
    <row r="100" spans="1:11" s="702" customFormat="1" ht="14.25">
      <c r="A100" s="703"/>
      <c r="B100" s="703"/>
      <c r="C100" s="697"/>
      <c r="D100" s="1709"/>
      <c r="E100" s="1709"/>
      <c r="F100" s="1709"/>
      <c r="G100" s="7"/>
    </row>
    <row r="101" spans="1:11" s="702" customFormat="1" ht="14.25">
      <c r="A101" s="703"/>
      <c r="B101" s="703"/>
      <c r="C101" s="697"/>
      <c r="D101" s="1709"/>
      <c r="E101" s="1709"/>
      <c r="F101" s="1709"/>
      <c r="G101" s="7"/>
    </row>
    <row r="102" spans="1:11" s="702" customFormat="1" ht="14.25">
      <c r="A102" s="703"/>
      <c r="B102" s="703"/>
      <c r="C102" s="697"/>
      <c r="D102" s="1709"/>
      <c r="E102" s="1709"/>
      <c r="F102" s="1709"/>
      <c r="G102" s="7"/>
    </row>
    <row r="103" spans="1:11" s="702" customFormat="1" ht="14.25">
      <c r="A103" s="703"/>
      <c r="B103" s="703"/>
      <c r="C103" s="697"/>
      <c r="D103" s="1709"/>
      <c r="E103" s="1709"/>
      <c r="F103" s="1709"/>
      <c r="G103" s="7"/>
    </row>
    <row r="104" spans="1:11" s="702" customFormat="1" ht="14.25">
      <c r="A104" s="703"/>
      <c r="B104" s="703"/>
      <c r="C104" s="697"/>
      <c r="D104" s="1709"/>
      <c r="E104" s="1709"/>
      <c r="F104" s="1709"/>
      <c r="G104" s="7"/>
    </row>
    <row r="105" spans="1:11" s="705" customFormat="1" ht="14.25">
      <c r="A105" s="706"/>
      <c r="B105" s="706"/>
      <c r="C105" s="697"/>
      <c r="D105" s="708"/>
      <c r="E105" s="708"/>
      <c r="F105" s="708"/>
      <c r="G105" s="7"/>
    </row>
    <row r="106" spans="1:11" ht="14.25">
      <c r="A106" s="400"/>
      <c r="B106" s="700" t="s">
        <v>313</v>
      </c>
      <c r="C106" s="466"/>
      <c r="D106" s="1766" t="s">
        <v>1230</v>
      </c>
      <c r="E106" s="1766"/>
      <c r="F106" s="1766"/>
      <c r="G106" s="467"/>
      <c r="H106" s="465"/>
      <c r="I106" s="465"/>
      <c r="J106" s="465"/>
      <c r="K106" s="465"/>
    </row>
    <row r="107" spans="1:11" ht="14.25">
      <c r="A107" s="261"/>
      <c r="B107" s="261"/>
      <c r="C107" s="315"/>
      <c r="D107" s="1766"/>
      <c r="E107" s="1766"/>
      <c r="F107" s="1766"/>
      <c r="G107" s="467"/>
      <c r="H107" s="465"/>
      <c r="I107" s="465"/>
      <c r="J107" s="465"/>
      <c r="K107" s="465"/>
    </row>
    <row r="108" spans="1:11" ht="14.25">
      <c r="A108" s="261"/>
      <c r="B108" s="261"/>
      <c r="C108" s="315"/>
      <c r="D108" s="1766"/>
      <c r="E108" s="1766"/>
      <c r="F108" s="1766"/>
      <c r="G108" s="467"/>
      <c r="H108" s="465"/>
      <c r="I108" s="465"/>
      <c r="J108" s="465"/>
      <c r="K108" s="465"/>
    </row>
    <row r="109" spans="1:11" ht="14.25">
      <c r="A109" s="261"/>
      <c r="B109" s="261"/>
      <c r="C109" s="315"/>
      <c r="D109" s="1766"/>
      <c r="E109" s="1766"/>
      <c r="F109" s="1766"/>
      <c r="G109" s="467"/>
      <c r="H109" s="465"/>
      <c r="I109" s="465"/>
      <c r="J109" s="465"/>
      <c r="K109" s="465"/>
    </row>
    <row r="110" spans="1:11" ht="14.25">
      <c r="A110" s="261"/>
      <c r="B110" s="261"/>
      <c r="C110" s="315"/>
      <c r="D110" s="1766"/>
      <c r="E110" s="1766"/>
      <c r="F110" s="1766"/>
      <c r="G110" s="467"/>
      <c r="H110" s="465"/>
      <c r="I110" s="465"/>
      <c r="J110" s="465"/>
      <c r="K110" s="465"/>
    </row>
    <row r="111" spans="1:11">
      <c r="C111"/>
      <c r="D111" s="1766"/>
      <c r="E111" s="1766"/>
      <c r="F111" s="1766"/>
      <c r="G111"/>
      <c r="H111"/>
      <c r="I111"/>
      <c r="J111"/>
      <c r="K111"/>
    </row>
    <row r="112" spans="1:11">
      <c r="C112"/>
      <c r="D112" s="1766"/>
      <c r="E112" s="1766"/>
      <c r="F112" s="1766"/>
      <c r="G112"/>
      <c r="H112"/>
      <c r="I112"/>
      <c r="J112"/>
      <c r="K112"/>
    </row>
    <row r="113" spans="1:11">
      <c r="C113"/>
      <c r="D113" s="472"/>
      <c r="E113"/>
      <c r="F113"/>
      <c r="G113"/>
      <c r="H113"/>
      <c r="I113"/>
      <c r="J113"/>
      <c r="K113"/>
    </row>
    <row r="114" spans="1:11" ht="14.25">
      <c r="A114" s="261"/>
      <c r="B114" s="671" t="s">
        <v>313</v>
      </c>
      <c r="C114"/>
      <c r="D114" s="1767" t="s">
        <v>1231</v>
      </c>
      <c r="E114" s="1767"/>
      <c r="F114" s="1767"/>
      <c r="G114"/>
      <c r="H114"/>
      <c r="I114"/>
      <c r="J114"/>
      <c r="K114"/>
    </row>
    <row r="115" spans="1:11" ht="14.25">
      <c r="A115" s="261"/>
      <c r="B115" s="261"/>
      <c r="C115"/>
      <c r="D115" s="1767"/>
      <c r="E115" s="1767"/>
      <c r="F115" s="1767"/>
      <c r="G115"/>
      <c r="H115"/>
      <c r="I115"/>
      <c r="J115"/>
      <c r="K115"/>
    </row>
    <row r="116" spans="1:11"/>
    <row r="117" spans="1:11" ht="14.25">
      <c r="A117" s="261"/>
      <c r="B117" s="671" t="s">
        <v>313</v>
      </c>
      <c r="C117" s="10"/>
      <c r="D117" s="1709" t="s">
        <v>1232</v>
      </c>
      <c r="E117" s="1709"/>
      <c r="F117" s="1709"/>
    </row>
    <row r="118" spans="1:11">
      <c r="C118" s="10"/>
      <c r="D118" s="1709"/>
      <c r="E118" s="1709"/>
      <c r="F118" s="1709"/>
    </row>
    <row r="119" spans="1:11">
      <c r="C119" s="10"/>
      <c r="D119" s="1709"/>
      <c r="E119" s="1709"/>
      <c r="F119" s="1709"/>
    </row>
    <row r="120" spans="1:11">
      <c r="C120" s="10"/>
      <c r="D120" s="1709"/>
      <c r="E120" s="1709"/>
      <c r="F120" s="1709"/>
    </row>
    <row r="121" spans="1:11">
      <c r="C121" s="10"/>
      <c r="D121" s="1709"/>
      <c r="E121" s="1709"/>
      <c r="F121" s="1709"/>
    </row>
    <row r="122" spans="1:11">
      <c r="C122" s="10"/>
      <c r="D122" s="149"/>
      <c r="E122" s="149"/>
      <c r="F122" s="149"/>
    </row>
    <row r="123" spans="1:11" customFormat="1" ht="14.25">
      <c r="A123" s="261"/>
      <c r="B123" s="671" t="s">
        <v>313</v>
      </c>
      <c r="C123" s="10"/>
      <c r="D123" s="1710" t="s">
        <v>1233</v>
      </c>
      <c r="E123" s="1710"/>
      <c r="F123" s="1710"/>
      <c r="G123" s="149"/>
    </row>
    <row r="124" spans="1:11" s="296" customFormat="1" ht="13.7" customHeight="1">
      <c r="A124" s="293"/>
      <c r="B124" s="293"/>
      <c r="C124" s="294"/>
      <c r="D124" s="1710"/>
      <c r="E124" s="1710"/>
      <c r="F124" s="1710"/>
      <c r="G124" s="295"/>
    </row>
    <row r="125" spans="1:11" customFormat="1" ht="13.7" customHeight="1">
      <c r="A125" s="132"/>
      <c r="B125" s="668"/>
      <c r="C125" s="10"/>
      <c r="D125" s="1710"/>
      <c r="E125" s="1710"/>
      <c r="F125" s="1710"/>
      <c r="G125" s="149"/>
    </row>
    <row r="126" spans="1:11" customFormat="1" ht="13.7" customHeight="1">
      <c r="A126" s="132"/>
      <c r="B126" s="668"/>
      <c r="C126" s="10"/>
      <c r="D126" s="1710"/>
      <c r="E126" s="1710"/>
      <c r="F126" s="1710"/>
      <c r="G126" s="149"/>
    </row>
    <row r="127" spans="1:11" customFormat="1" ht="13.7" customHeight="1">
      <c r="A127" s="132"/>
      <c r="B127" s="668"/>
      <c r="C127" s="10"/>
      <c r="D127" s="1710"/>
      <c r="E127" s="1710"/>
      <c r="F127" s="1710"/>
      <c r="G127" s="149"/>
    </row>
    <row r="128" spans="1:11" customFormat="1" ht="13.7" customHeight="1">
      <c r="A128" s="375"/>
      <c r="B128" s="375"/>
      <c r="C128" s="10"/>
      <c r="D128" s="1710"/>
      <c r="E128" s="1710"/>
      <c r="F128" s="1710"/>
      <c r="G128" s="149"/>
    </row>
    <row r="129" spans="1:7" s="2" customFormat="1" ht="13.7" customHeight="1">
      <c r="A129" s="273"/>
      <c r="B129" s="273"/>
      <c r="C129" s="439"/>
      <c r="D129" s="1710"/>
      <c r="E129" s="1710"/>
      <c r="F129" s="1710"/>
      <c r="G129" s="182"/>
    </row>
    <row r="130" spans="1:7" s="2" customFormat="1" ht="13.7" customHeight="1">
      <c r="A130" s="273"/>
      <c r="B130" s="273"/>
      <c r="C130" s="439"/>
      <c r="D130" s="1710"/>
      <c r="E130" s="1710"/>
      <c r="F130" s="1710"/>
      <c r="G130" s="182"/>
    </row>
    <row r="131" spans="1:7" customFormat="1" ht="13.7" customHeight="1">
      <c r="A131" s="132"/>
      <c r="B131" s="668"/>
      <c r="C131" s="10"/>
      <c r="D131" s="1710"/>
      <c r="E131" s="1710"/>
      <c r="F131" s="1710"/>
      <c r="G131" s="149"/>
    </row>
    <row r="132" spans="1:7" customFormat="1" ht="13.7" customHeight="1">
      <c r="A132" s="132"/>
      <c r="B132" s="668"/>
      <c r="C132" s="10"/>
      <c r="D132" s="1710"/>
      <c r="E132" s="1710"/>
      <c r="F132" s="1710"/>
      <c r="G132" s="149"/>
    </row>
    <row r="133" spans="1:7" customFormat="1" ht="13.7" customHeight="1">
      <c r="A133" s="132"/>
      <c r="B133" s="668"/>
      <c r="C133" s="10"/>
      <c r="D133" s="1710"/>
      <c r="E133" s="1710"/>
      <c r="F133" s="1710"/>
      <c r="G133" s="149"/>
    </row>
    <row r="134" spans="1:7" customFormat="1" ht="13.7" customHeight="1">
      <c r="A134" s="132"/>
      <c r="B134" s="668"/>
      <c r="C134" s="10"/>
      <c r="D134" s="1710"/>
      <c r="E134" s="1710"/>
      <c r="F134" s="1710"/>
      <c r="G134" s="149"/>
    </row>
    <row r="135" spans="1:7" customFormat="1" ht="13.7" customHeight="1">
      <c r="A135" s="132"/>
      <c r="B135" s="668"/>
      <c r="C135" s="10"/>
      <c r="D135" s="327"/>
      <c r="E135" s="151"/>
      <c r="F135" s="151"/>
      <c r="G135" s="149"/>
    </row>
    <row r="136" spans="1:7" s="709" customFormat="1" ht="13.7" customHeight="1">
      <c r="A136" s="697"/>
      <c r="B136" s="710" t="s">
        <v>313</v>
      </c>
      <c r="C136" s="10"/>
      <c r="D136" s="1709" t="s">
        <v>1341</v>
      </c>
      <c r="E136" s="1709"/>
      <c r="F136" s="1709"/>
      <c r="G136" s="149"/>
    </row>
    <row r="137" spans="1:7" s="709" customFormat="1" ht="13.7" customHeight="1">
      <c r="A137" s="697"/>
      <c r="B137" s="697"/>
      <c r="C137" s="10"/>
      <c r="D137" s="1709"/>
      <c r="E137" s="1709"/>
      <c r="F137" s="1709"/>
      <c r="G137" s="149"/>
    </row>
    <row r="138" spans="1:7" s="709" customFormat="1" ht="13.7" customHeight="1">
      <c r="A138" s="697"/>
      <c r="B138" s="697"/>
      <c r="C138" s="10"/>
      <c r="D138" s="1709"/>
      <c r="E138" s="1709"/>
      <c r="F138" s="1709"/>
      <c r="G138" s="149"/>
    </row>
    <row r="139" spans="1:7" s="709" customFormat="1" ht="13.7" customHeight="1">
      <c r="A139" s="697"/>
      <c r="B139" s="697"/>
      <c r="C139" s="10"/>
      <c r="D139" s="1709"/>
      <c r="E139" s="1709"/>
      <c r="F139" s="1709"/>
      <c r="G139" s="149"/>
    </row>
    <row r="140" spans="1:7" s="709" customFormat="1" ht="13.7" customHeight="1">
      <c r="A140" s="697"/>
      <c r="B140" s="697"/>
      <c r="C140" s="10"/>
      <c r="D140" s="1709"/>
      <c r="E140" s="1709"/>
      <c r="F140" s="1709"/>
      <c r="G140" s="149"/>
    </row>
    <row r="141" spans="1:7" s="709" customFormat="1" ht="13.7" customHeight="1">
      <c r="A141" s="697"/>
      <c r="B141" s="697"/>
      <c r="C141" s="10"/>
      <c r="D141" s="1709"/>
      <c r="E141" s="1709"/>
      <c r="F141" s="1709"/>
      <c r="G141" s="149"/>
    </row>
    <row r="142" spans="1:7" s="709" customFormat="1" ht="13.7" customHeight="1">
      <c r="A142" s="697"/>
      <c r="B142" s="697"/>
      <c r="C142" s="10"/>
      <c r="D142" s="1709"/>
      <c r="E142" s="1709"/>
      <c r="F142" s="1709"/>
      <c r="G142" s="149"/>
    </row>
    <row r="143" spans="1:7" s="709" customFormat="1" ht="13.7" customHeight="1">
      <c r="A143" s="697"/>
      <c r="B143" s="697"/>
      <c r="C143" s="10"/>
      <c r="D143" s="1709"/>
      <c r="E143" s="1709"/>
      <c r="F143" s="1709"/>
      <c r="G143" s="149"/>
    </row>
    <row r="144" spans="1:7" s="709" customFormat="1" ht="13.7" customHeight="1">
      <c r="A144" s="697"/>
      <c r="B144" s="697"/>
      <c r="C144" s="10"/>
      <c r="D144" s="1709"/>
      <c r="E144" s="1709"/>
      <c r="F144" s="1709"/>
      <c r="G144" s="149"/>
    </row>
    <row r="145" spans="1:7" s="709" customFormat="1" ht="13.7" customHeight="1">
      <c r="A145" s="697"/>
      <c r="B145" s="697"/>
      <c r="C145" s="10"/>
      <c r="D145" s="1709"/>
      <c r="E145" s="1709"/>
      <c r="F145" s="1709"/>
      <c r="G145" s="149"/>
    </row>
    <row r="146" spans="1:7" s="709" customFormat="1" ht="13.7" customHeight="1">
      <c r="A146" s="739"/>
      <c r="B146" s="739"/>
      <c r="C146" s="10"/>
      <c r="D146" s="1709"/>
      <c r="E146" s="1709"/>
      <c r="F146" s="1709"/>
      <c r="G146" s="149"/>
    </row>
    <row r="147" spans="1:7" s="709" customFormat="1" ht="13.7" customHeight="1">
      <c r="A147" s="739"/>
      <c r="B147" s="739"/>
      <c r="C147" s="10"/>
      <c r="D147" s="1709"/>
      <c r="E147" s="1709"/>
      <c r="F147" s="1709"/>
      <c r="G147" s="149"/>
    </row>
    <row r="148" spans="1:7" s="709" customFormat="1" ht="13.7" customHeight="1">
      <c r="A148" s="697"/>
      <c r="B148" s="697"/>
      <c r="C148" s="10"/>
      <c r="D148" s="1709"/>
      <c r="E148" s="1709"/>
      <c r="F148" s="1709"/>
      <c r="G148" s="149"/>
    </row>
    <row r="149" spans="1:7" s="709" customFormat="1" ht="13.7" customHeight="1">
      <c r="A149" s="697"/>
      <c r="B149" s="697"/>
      <c r="C149" s="10"/>
      <c r="D149" s="1709"/>
      <c r="E149" s="1709"/>
      <c r="F149" s="1709"/>
      <c r="G149" s="149"/>
    </row>
    <row r="150" spans="1:7" s="709" customFormat="1" ht="13.7" customHeight="1">
      <c r="A150" s="697"/>
      <c r="B150" s="697"/>
      <c r="C150" s="10"/>
      <c r="D150" s="1709"/>
      <c r="E150" s="1709"/>
      <c r="F150" s="1709"/>
      <c r="G150" s="149"/>
    </row>
    <row r="151" spans="1:7" s="709" customFormat="1" ht="13.7" customHeight="1">
      <c r="A151" s="697"/>
      <c r="B151" s="697"/>
      <c r="C151" s="10"/>
      <c r="D151" s="1709"/>
      <c r="E151" s="1709"/>
      <c r="F151" s="1709"/>
      <c r="G151" s="149"/>
    </row>
    <row r="152" spans="1:7" s="709" customFormat="1" ht="13.7" customHeight="1">
      <c r="A152" s="697"/>
      <c r="B152" s="697"/>
      <c r="C152" s="10"/>
      <c r="D152" s="1709"/>
      <c r="E152" s="1709"/>
      <c r="F152" s="1709"/>
      <c r="G152" s="149"/>
    </row>
    <row r="153" spans="1:7" s="709" customFormat="1" ht="13.7" customHeight="1">
      <c r="A153" s="697"/>
      <c r="B153" s="697"/>
      <c r="C153" s="10"/>
      <c r="D153" s="1709"/>
      <c r="E153" s="1709"/>
      <c r="F153" s="1709"/>
      <c r="G153" s="149"/>
    </row>
    <row r="154" spans="1:7" s="709" customFormat="1" ht="13.7" customHeight="1">
      <c r="A154" s="697"/>
      <c r="B154" s="697"/>
      <c r="C154" s="10"/>
      <c r="D154" s="1709"/>
      <c r="E154" s="1709"/>
      <c r="F154" s="1709"/>
      <c r="G154" s="149"/>
    </row>
    <row r="155" spans="1:7" s="709" customFormat="1" ht="13.7" customHeight="1">
      <c r="A155" s="697"/>
      <c r="B155" s="697"/>
      <c r="C155" s="10"/>
      <c r="D155" s="327"/>
      <c r="E155" s="151"/>
      <c r="F155" s="151"/>
      <c r="G155" s="149"/>
    </row>
    <row r="156" spans="1:7" customFormat="1" ht="13.7" customHeight="1">
      <c r="A156" s="375"/>
      <c r="B156" s="671" t="s">
        <v>313</v>
      </c>
      <c r="C156" s="325"/>
      <c r="D156" s="1721" t="s">
        <v>1234</v>
      </c>
      <c r="E156" s="1721"/>
      <c r="F156" s="1721"/>
      <c r="G156" s="441"/>
    </row>
    <row r="157" spans="1:7" customFormat="1" ht="13.7" customHeight="1">
      <c r="A157" s="375"/>
      <c r="B157" s="375"/>
      <c r="C157" s="325"/>
      <c r="D157" s="1721"/>
      <c r="E157" s="1721"/>
      <c r="F157" s="1721"/>
      <c r="G157" s="441"/>
    </row>
    <row r="158" spans="1:7" customFormat="1" ht="13.7" customHeight="1">
      <c r="A158" s="375"/>
      <c r="B158" s="375"/>
      <c r="C158" s="325"/>
      <c r="D158" s="327"/>
      <c r="E158" s="325"/>
      <c r="F158" s="325"/>
      <c r="G158" s="441"/>
    </row>
    <row r="159" spans="1:7" customFormat="1" ht="13.7" customHeight="1">
      <c r="A159" s="375"/>
      <c r="B159" s="671" t="s">
        <v>313</v>
      </c>
      <c r="C159" s="325"/>
      <c r="D159" s="1717" t="s">
        <v>1235</v>
      </c>
      <c r="E159" s="1717"/>
      <c r="F159" s="1717"/>
      <c r="G159" s="441"/>
    </row>
    <row r="160" spans="1:7" customFormat="1" ht="13.7" customHeight="1">
      <c r="A160" s="375"/>
      <c r="B160" s="375"/>
      <c r="C160" s="325"/>
      <c r="D160" s="1717"/>
      <c r="E160" s="1717"/>
      <c r="F160" s="1717"/>
      <c r="G160" s="441"/>
    </row>
    <row r="161" spans="1:7" customFormat="1" ht="13.7" customHeight="1">
      <c r="A161" s="375"/>
      <c r="B161" s="375"/>
      <c r="C161" s="325"/>
      <c r="D161" s="1717"/>
      <c r="E161" s="1717"/>
      <c r="F161" s="1717"/>
      <c r="G161" s="441"/>
    </row>
    <row r="162" spans="1:7" customFormat="1" ht="13.7" customHeight="1">
      <c r="A162" s="375"/>
      <c r="B162" s="375"/>
      <c r="C162" s="325"/>
      <c r="D162" s="1717"/>
      <c r="E162" s="1717"/>
      <c r="F162" s="1717"/>
      <c r="G162" s="441"/>
    </row>
    <row r="163" spans="1:7" customFormat="1" ht="13.7" customHeight="1">
      <c r="A163" s="132"/>
      <c r="B163" s="668"/>
      <c r="C163" s="10"/>
      <c r="D163" s="151"/>
      <c r="E163" s="151"/>
      <c r="F163" s="151"/>
      <c r="G163" s="149"/>
    </row>
    <row r="164" spans="1:7" customFormat="1" ht="13.7" customHeight="1">
      <c r="A164" s="132"/>
      <c r="B164" s="671" t="s">
        <v>313</v>
      </c>
      <c r="C164" s="10"/>
      <c r="D164" s="1752" t="s">
        <v>1236</v>
      </c>
      <c r="E164" s="1752"/>
      <c r="F164" s="1752"/>
      <c r="G164" s="149"/>
    </row>
    <row r="165" spans="1:7" customFormat="1" ht="13.7" customHeight="1">
      <c r="A165" s="132"/>
      <c r="B165" s="668"/>
      <c r="C165" s="10"/>
      <c r="D165" s="1752"/>
      <c r="E165" s="1752"/>
      <c r="F165" s="1752"/>
      <c r="G165" s="149"/>
    </row>
    <row r="166" spans="1:7" customFormat="1" ht="13.7" customHeight="1">
      <c r="A166" s="132"/>
      <c r="B166" s="668"/>
      <c r="C166" s="10"/>
      <c r="D166" s="1752"/>
      <c r="E166" s="1752"/>
      <c r="F166" s="1752"/>
      <c r="G166" s="149"/>
    </row>
    <row r="167" spans="1:7" customFormat="1" ht="13.7" customHeight="1">
      <c r="A167" s="23"/>
      <c r="B167" s="667"/>
      <c r="C167" s="10"/>
      <c r="D167" s="7"/>
      <c r="E167" s="151"/>
      <c r="F167" s="151"/>
      <c r="G167" s="149"/>
    </row>
    <row r="168" spans="1:7">
      <c r="A168" s="1729" t="s">
        <v>1130</v>
      </c>
      <c r="B168" s="1729"/>
      <c r="C168" s="1729"/>
      <c r="D168" s="1729"/>
      <c r="E168" s="1729"/>
      <c r="F168" s="1729"/>
      <c r="G168" s="1729"/>
    </row>
    <row r="169" spans="1:7" ht="12" customHeight="1">
      <c r="D169" s="135"/>
      <c r="E169" s="135"/>
      <c r="F169" s="135"/>
    </row>
    <row r="170" spans="1:7">
      <c r="B170" s="1757" t="s">
        <v>465</v>
      </c>
      <c r="C170" s="1757"/>
      <c r="D170" s="1757"/>
      <c r="E170" s="1757"/>
      <c r="F170" s="1757"/>
    </row>
    <row r="171" spans="1:7" ht="12" customHeight="1">
      <c r="A171" s="255"/>
      <c r="B171" s="665"/>
      <c r="C171" s="255"/>
    </row>
    <row r="172" spans="1:7">
      <c r="A172" s="1729" t="s">
        <v>1131</v>
      </c>
      <c r="B172" s="1729"/>
      <c r="C172" s="1729"/>
      <c r="D172" s="1729"/>
      <c r="E172" s="1729"/>
      <c r="F172" s="1729"/>
      <c r="G172" s="1729"/>
    </row>
    <row r="173" spans="1:7" ht="12" customHeight="1">
      <c r="A173" s="264"/>
      <c r="B173" s="264"/>
      <c r="C173" s="265"/>
      <c r="D173" s="57"/>
      <c r="E173" s="49"/>
      <c r="F173" s="57"/>
      <c r="G173" s="57"/>
    </row>
    <row r="174" spans="1:7" ht="13.15" customHeight="1">
      <c r="A174" s="264"/>
      <c r="B174" s="264"/>
      <c r="C174" s="265"/>
      <c r="D174" s="1753" t="s">
        <v>1239</v>
      </c>
      <c r="E174" s="1753"/>
      <c r="F174" s="1753"/>
      <c r="G174" s="57"/>
    </row>
    <row r="175" spans="1:7">
      <c r="A175" s="264"/>
      <c r="B175" s="264"/>
      <c r="C175" s="265"/>
      <c r="D175" s="1753"/>
      <c r="E175" s="1753"/>
      <c r="F175" s="1753"/>
      <c r="G175" s="57"/>
    </row>
    <row r="176" spans="1:7" s="711" customFormat="1">
      <c r="A176" s="713"/>
      <c r="B176" s="713"/>
      <c r="C176" s="265"/>
      <c r="D176" s="1754" t="s">
        <v>1240</v>
      </c>
      <c r="E176" s="1754"/>
      <c r="F176" s="1754"/>
      <c r="G176" s="57"/>
    </row>
    <row r="177" spans="1:7" ht="12" customHeight="1">
      <c r="A177" s="264"/>
      <c r="B177" s="264"/>
      <c r="C177" s="265"/>
      <c r="D177" s="57"/>
      <c r="E177" s="49"/>
      <c r="F177" s="57"/>
      <c r="G177" s="57"/>
    </row>
    <row r="178" spans="1:7" ht="14.25">
      <c r="A178" s="261"/>
      <c r="B178" s="671" t="s">
        <v>313</v>
      </c>
      <c r="C178" s="265"/>
      <c r="D178" s="1747" t="s">
        <v>1238</v>
      </c>
      <c r="E178" s="1747"/>
      <c r="F178" s="1747"/>
      <c r="G178" s="57"/>
    </row>
    <row r="179" spans="1:7" ht="14.25">
      <c r="A179" s="261"/>
      <c r="B179" s="261"/>
      <c r="C179" s="265"/>
      <c r="D179" s="1747"/>
      <c r="E179" s="1747"/>
      <c r="F179" s="1747"/>
      <c r="G179" s="57"/>
    </row>
    <row r="180" spans="1:7" ht="14.25">
      <c r="A180" s="261"/>
      <c r="B180" s="261"/>
      <c r="C180" s="265"/>
      <c r="D180" s="1747"/>
      <c r="E180" s="1747"/>
      <c r="F180" s="1747"/>
      <c r="G180" s="57"/>
    </row>
    <row r="181" spans="1:7">
      <c r="A181" s="265"/>
      <c r="B181" s="265"/>
      <c r="C181" s="265"/>
      <c r="D181" s="1747"/>
      <c r="E181" s="1747"/>
      <c r="F181" s="1747"/>
    </row>
    <row r="182" spans="1:7">
      <c r="A182" s="265"/>
      <c r="B182" s="265"/>
      <c r="C182" s="265"/>
      <c r="D182" s="401"/>
      <c r="E182" s="57"/>
      <c r="F182" s="57"/>
    </row>
    <row r="183" spans="1:7">
      <c r="A183" s="265"/>
      <c r="B183" s="265"/>
      <c r="C183" s="265"/>
      <c r="D183" s="1756" t="s">
        <v>1147</v>
      </c>
      <c r="E183" s="1756"/>
      <c r="F183" s="1756"/>
    </row>
    <row r="184" spans="1:7">
      <c r="A184" s="265"/>
      <c r="B184" s="265"/>
      <c r="C184" s="265"/>
      <c r="D184" s="1756"/>
      <c r="E184" s="1756"/>
      <c r="F184" s="1756"/>
    </row>
    <row r="185" spans="1:7" s="674" customFormat="1">
      <c r="A185" s="265"/>
      <c r="B185" s="265"/>
      <c r="C185" s="265"/>
      <c r="D185" s="688"/>
      <c r="E185" s="688"/>
      <c r="F185" s="688"/>
      <c r="G185" s="7"/>
    </row>
    <row r="186" spans="1:7" s="669" customFormat="1" ht="14.25">
      <c r="A186" s="261"/>
      <c r="B186" s="671" t="s">
        <v>313</v>
      </c>
      <c r="C186" s="550"/>
      <c r="D186" s="1709" t="s">
        <v>1237</v>
      </c>
      <c r="E186" s="1709"/>
      <c r="F186" s="1709"/>
      <c r="G186" s="670"/>
    </row>
    <row r="187" spans="1:7" s="669" customFormat="1" ht="14.45" customHeight="1">
      <c r="A187" s="261"/>
      <c r="C187" s="550"/>
      <c r="D187" s="1709"/>
      <c r="E187" s="1709"/>
      <c r="F187" s="1709"/>
      <c r="G187" s="670"/>
    </row>
    <row r="188" spans="1:7" s="669" customFormat="1" ht="14.25">
      <c r="A188" s="261"/>
      <c r="B188" s="689"/>
      <c r="C188" s="550"/>
      <c r="D188" s="1709"/>
      <c r="E188" s="1709"/>
      <c r="F188" s="1709"/>
      <c r="G188" s="670"/>
    </row>
    <row r="189" spans="1:7" s="669" customFormat="1" ht="14.25">
      <c r="A189" s="261"/>
      <c r="B189" s="689"/>
      <c r="C189" s="550"/>
      <c r="D189" s="1709"/>
      <c r="E189" s="1709"/>
      <c r="F189" s="1709"/>
      <c r="G189" s="670"/>
    </row>
    <row r="190" spans="1:7" s="674" customFormat="1">
      <c r="A190" s="265"/>
      <c r="B190" s="265"/>
      <c r="C190" s="265"/>
      <c r="D190" s="688"/>
      <c r="E190" s="688"/>
      <c r="F190" s="688"/>
      <c r="G190" s="7"/>
    </row>
    <row r="191" spans="1:7">
      <c r="A191" s="1729" t="s">
        <v>1132</v>
      </c>
      <c r="B191" s="1729"/>
      <c r="C191" s="1729"/>
      <c r="D191" s="1729"/>
      <c r="E191" s="1729"/>
      <c r="F191" s="1729"/>
      <c r="G191" s="1729"/>
    </row>
    <row r="192" spans="1:7" ht="12" customHeight="1">
      <c r="D192" s="135"/>
      <c r="E192" s="135"/>
      <c r="F192" s="135"/>
    </row>
    <row r="193" spans="1:6">
      <c r="C193" s="262"/>
      <c r="D193" s="1755" t="s">
        <v>214</v>
      </c>
      <c r="E193" s="1755"/>
      <c r="F193" s="1755"/>
    </row>
    <row r="194" spans="1:6">
      <c r="A194" s="255"/>
      <c r="B194" s="665"/>
      <c r="C194" s="255"/>
      <c r="D194" s="1724" t="s">
        <v>1261</v>
      </c>
      <c r="E194" s="1734"/>
      <c r="F194" s="1734"/>
    </row>
    <row r="195" spans="1:6" ht="12" customHeight="1">
      <c r="A195" s="23"/>
      <c r="B195" s="667"/>
      <c r="C195" s="23"/>
    </row>
    <row r="196" spans="1:6" ht="13.15" customHeight="1">
      <c r="A196" s="23"/>
      <c r="C196" s="23"/>
      <c r="D196" s="1732" t="s">
        <v>572</v>
      </c>
      <c r="E196" s="1732"/>
      <c r="F196" s="1732"/>
    </row>
    <row r="197" spans="1:6" ht="14.25">
      <c r="A197" s="261"/>
      <c r="B197" s="671" t="s">
        <v>313</v>
      </c>
      <c r="D197" s="1709" t="s">
        <v>1255</v>
      </c>
      <c r="E197" s="1709"/>
      <c r="F197" s="1709"/>
    </row>
    <row r="198" spans="1:6" ht="14.25">
      <c r="A198" s="261"/>
      <c r="B198" s="261"/>
      <c r="D198" s="1709"/>
      <c r="E198" s="1709"/>
      <c r="F198" s="1709"/>
    </row>
    <row r="199" spans="1:6"/>
    <row r="200" spans="1:6" ht="14.25">
      <c r="A200" s="261"/>
      <c r="B200" s="671" t="s">
        <v>313</v>
      </c>
      <c r="D200" s="1709" t="s">
        <v>1256</v>
      </c>
      <c r="E200" s="1709"/>
      <c r="F200" s="1709"/>
    </row>
    <row r="201" spans="1:6" ht="14.25">
      <c r="A201" s="261"/>
      <c r="B201" s="261"/>
      <c r="D201" s="1709"/>
      <c r="E201" s="1709"/>
      <c r="F201" s="1709"/>
    </row>
    <row r="202" spans="1:6" ht="14.25">
      <c r="A202" s="261"/>
      <c r="B202" s="261"/>
      <c r="D202" s="1709"/>
      <c r="E202" s="1709"/>
      <c r="F202" s="1709"/>
    </row>
    <row r="203" spans="1:6" ht="5.0999999999999996" customHeight="1">
      <c r="A203" s="261"/>
      <c r="B203" s="261"/>
      <c r="D203" s="151"/>
      <c r="E203" s="135"/>
      <c r="F203" s="135"/>
    </row>
    <row r="204" spans="1:6" ht="14.25">
      <c r="A204" s="261"/>
      <c r="B204" s="261"/>
      <c r="D204" s="1709" t="s">
        <v>1257</v>
      </c>
      <c r="E204" s="1709"/>
      <c r="F204" s="1709"/>
    </row>
    <row r="205" spans="1:6" ht="14.25">
      <c r="A205" s="261"/>
      <c r="B205" s="261"/>
      <c r="D205" s="1709"/>
      <c r="E205" s="1709"/>
      <c r="F205" s="1709"/>
    </row>
    <row r="206" spans="1:6" ht="14.25">
      <c r="A206" s="261"/>
      <c r="B206" s="261"/>
      <c r="D206" s="1709"/>
      <c r="E206" s="1709"/>
      <c r="F206" s="1709"/>
    </row>
    <row r="207" spans="1:6" ht="14.25">
      <c r="A207" s="261"/>
      <c r="B207" s="261"/>
      <c r="D207" s="1709"/>
      <c r="E207" s="1709"/>
      <c r="F207" s="1709"/>
    </row>
    <row r="208" spans="1:6" ht="14.25">
      <c r="A208" s="261"/>
      <c r="B208" s="261"/>
      <c r="D208" s="1709"/>
      <c r="E208" s="1709"/>
      <c r="F208" s="1709"/>
    </row>
    <row r="209" spans="1:7" ht="14.25">
      <c r="A209" s="261"/>
      <c r="B209" s="261"/>
      <c r="D209" s="135"/>
      <c r="E209" s="135"/>
      <c r="F209" s="135"/>
    </row>
    <row r="210" spans="1:7" ht="14.25">
      <c r="A210" s="261"/>
      <c r="B210" s="671" t="s">
        <v>313</v>
      </c>
      <c r="D210" s="1723" t="s">
        <v>1258</v>
      </c>
      <c r="E210" s="1723"/>
      <c r="F210" s="1723"/>
    </row>
    <row r="211" spans="1:7" ht="14.25">
      <c r="A211" s="261"/>
      <c r="B211" s="261"/>
      <c r="D211" s="1723"/>
      <c r="E211" s="1723"/>
      <c r="F211" s="1723"/>
    </row>
    <row r="212" spans="1:7" ht="14.25">
      <c r="A212" s="261"/>
      <c r="B212" s="261"/>
      <c r="D212" s="1757" t="s">
        <v>946</v>
      </c>
      <c r="E212" s="1757"/>
      <c r="F212" s="1757"/>
    </row>
    <row r="213" spans="1:7" ht="14.25">
      <c r="A213" s="261"/>
      <c r="B213" s="261"/>
      <c r="D213" s="135"/>
      <c r="E213" s="135"/>
      <c r="F213" s="135"/>
    </row>
    <row r="214" spans="1:7" ht="14.45" customHeight="1">
      <c r="A214" s="261"/>
      <c r="B214" s="671" t="s">
        <v>313</v>
      </c>
      <c r="D214" s="1723" t="s">
        <v>1260</v>
      </c>
      <c r="E214" s="1723"/>
      <c r="F214" s="1723"/>
    </row>
    <row r="215" spans="1:7" ht="14.25">
      <c r="A215" s="261"/>
      <c r="B215" s="261"/>
      <c r="D215" s="1723"/>
      <c r="E215" s="1723"/>
      <c r="F215" s="1723"/>
    </row>
    <row r="216" spans="1:7" ht="14.25">
      <c r="A216" s="261"/>
      <c r="B216" s="261"/>
      <c r="D216" s="1723"/>
      <c r="E216" s="1723"/>
      <c r="F216" s="1723"/>
    </row>
    <row r="217" spans="1:7" ht="14.25">
      <c r="A217" s="261"/>
      <c r="B217" s="261"/>
      <c r="D217" s="1723"/>
      <c r="E217" s="1723"/>
      <c r="F217" s="1723"/>
    </row>
    <row r="218" spans="1:7" ht="14.25">
      <c r="A218" s="261"/>
      <c r="B218" s="261"/>
      <c r="D218" s="1723"/>
      <c r="E218" s="1723"/>
      <c r="F218" s="1723"/>
    </row>
    <row r="219" spans="1:7">
      <c r="D219" s="135"/>
      <c r="E219" s="135"/>
      <c r="F219" s="135"/>
    </row>
    <row r="220" spans="1:7" ht="14.25">
      <c r="A220" s="261"/>
      <c r="B220" s="671" t="s">
        <v>313</v>
      </c>
      <c r="D220" s="1709" t="s">
        <v>1259</v>
      </c>
      <c r="E220" s="1709"/>
      <c r="F220" s="1709"/>
    </row>
    <row r="221" spans="1:7" ht="14.25">
      <c r="A221" s="261"/>
      <c r="B221" s="261"/>
      <c r="D221" s="1709"/>
      <c r="E221" s="1709"/>
      <c r="F221" s="1709"/>
    </row>
    <row r="222" spans="1:7">
      <c r="D222" s="29"/>
    </row>
    <row r="223" spans="1:7">
      <c r="A223" s="1729" t="s">
        <v>1133</v>
      </c>
      <c r="B223" s="1729"/>
      <c r="C223" s="1729"/>
      <c r="D223" s="1729"/>
      <c r="E223" s="1729"/>
      <c r="F223" s="1729"/>
      <c r="G223" s="1729"/>
    </row>
    <row r="224" spans="1:7">
      <c r="D224" s="29"/>
    </row>
    <row r="225" spans="1:6">
      <c r="C225" s="262"/>
      <c r="D225" s="1732" t="s">
        <v>1262</v>
      </c>
      <c r="E225" s="1732"/>
      <c r="F225" s="1732"/>
    </row>
    <row r="226" spans="1:6">
      <c r="A226" s="255"/>
      <c r="B226" s="665"/>
      <c r="C226" s="255"/>
      <c r="D226" s="135"/>
      <c r="E226" s="135"/>
      <c r="F226" s="135"/>
    </row>
    <row r="227" spans="1:6">
      <c r="A227" s="260"/>
      <c r="B227" s="260"/>
      <c r="C227" s="260"/>
      <c r="D227" s="1732" t="s">
        <v>275</v>
      </c>
      <c r="E227" s="1732"/>
      <c r="F227" s="1732"/>
    </row>
    <row r="228" spans="1:6" ht="14.25">
      <c r="A228" s="261"/>
      <c r="B228" s="671" t="s">
        <v>313</v>
      </c>
      <c r="D228" s="1733" t="s">
        <v>1263</v>
      </c>
      <c r="E228" s="1733"/>
      <c r="F228" s="1733"/>
    </row>
    <row r="229" spans="1:6" ht="14.25">
      <c r="A229" s="261"/>
      <c r="B229" s="261"/>
      <c r="D229" s="1733"/>
      <c r="E229" s="1733"/>
      <c r="F229" s="1733"/>
    </row>
    <row r="230" spans="1:6">
      <c r="D230" s="135"/>
      <c r="E230" s="135"/>
      <c r="F230" s="135"/>
    </row>
    <row r="231" spans="1:6" ht="14.45" customHeight="1">
      <c r="A231" s="261"/>
      <c r="B231" s="671" t="s">
        <v>313</v>
      </c>
      <c r="D231" s="1723" t="s">
        <v>1264</v>
      </c>
      <c r="E231" s="1723"/>
      <c r="F231" s="1723"/>
    </row>
    <row r="232" spans="1:6">
      <c r="D232" s="1723"/>
      <c r="E232" s="1723"/>
      <c r="F232" s="1723"/>
    </row>
    <row r="233" spans="1:6">
      <c r="D233" s="1734" t="s">
        <v>937</v>
      </c>
      <c r="E233" s="1734"/>
      <c r="F233" s="1734"/>
    </row>
    <row r="234" spans="1:6">
      <c r="D234" s="135"/>
      <c r="E234" s="135"/>
      <c r="F234" s="135"/>
    </row>
    <row r="235" spans="1:6" ht="14.45" customHeight="1">
      <c r="A235" s="261"/>
      <c r="B235" s="671" t="s">
        <v>313</v>
      </c>
      <c r="D235" s="1723" t="s">
        <v>1266</v>
      </c>
      <c r="E235" s="1723"/>
      <c r="F235" s="1723"/>
    </row>
    <row r="236" spans="1:6">
      <c r="D236" s="1723"/>
      <c r="E236" s="1723"/>
      <c r="F236" s="1723"/>
    </row>
    <row r="237" spans="1:6">
      <c r="D237" s="1723"/>
      <c r="E237" s="1723"/>
      <c r="F237" s="1723"/>
    </row>
    <row r="238" spans="1:6">
      <c r="D238" s="1723"/>
      <c r="E238" s="1723"/>
      <c r="F238" s="1723"/>
    </row>
    <row r="239" spans="1:6">
      <c r="D239" s="1723"/>
      <c r="E239" s="1723"/>
      <c r="F239" s="1723"/>
    </row>
    <row r="240" spans="1:6">
      <c r="D240" s="135"/>
      <c r="E240" s="135"/>
      <c r="F240" s="135"/>
    </row>
    <row r="241" spans="1:7" ht="14.25">
      <c r="A241" s="261"/>
      <c r="B241" s="671" t="s">
        <v>313</v>
      </c>
      <c r="D241" s="1709" t="s">
        <v>1265</v>
      </c>
      <c r="E241" s="1709"/>
      <c r="F241" s="1709"/>
    </row>
    <row r="242" spans="1:7">
      <c r="D242" s="1709"/>
      <c r="E242" s="1709"/>
      <c r="F242" s="1709"/>
    </row>
    <row r="243" spans="1:7">
      <c r="D243" s="1709"/>
      <c r="E243" s="1709"/>
      <c r="F243" s="1709"/>
    </row>
    <row r="244" spans="1:7">
      <c r="D244" s="263"/>
      <c r="E244" s="135"/>
      <c r="F244" s="135"/>
    </row>
    <row r="245" spans="1:7">
      <c r="A245" s="1729" t="s">
        <v>1134</v>
      </c>
      <c r="B245" s="1729"/>
      <c r="C245" s="1729"/>
      <c r="D245" s="1729"/>
      <c r="E245" s="1729"/>
      <c r="F245" s="1729"/>
      <c r="G245" s="1729"/>
    </row>
    <row r="246" spans="1:7">
      <c r="D246" s="263"/>
      <c r="E246" s="135"/>
      <c r="F246" s="135"/>
    </row>
    <row r="247" spans="1:7">
      <c r="C247" s="255"/>
      <c r="D247" s="1758" t="s">
        <v>1267</v>
      </c>
      <c r="E247" s="1758"/>
      <c r="F247" s="1758"/>
    </row>
    <row r="248" spans="1:7">
      <c r="C248" s="255"/>
      <c r="D248" s="1758"/>
      <c r="E248" s="1758"/>
      <c r="F248" s="1758"/>
    </row>
    <row r="249" spans="1:7">
      <c r="A249" s="260"/>
      <c r="B249" s="260"/>
      <c r="C249" s="260"/>
      <c r="D249" s="5"/>
      <c r="E249" s="6"/>
      <c r="F249" s="6"/>
    </row>
    <row r="250" spans="1:7">
      <c r="C250" s="260"/>
      <c r="D250" s="1732" t="s">
        <v>215</v>
      </c>
      <c r="E250" s="1732"/>
      <c r="F250" s="1732"/>
    </row>
    <row r="251" spans="1:7" ht="15.75" customHeight="1">
      <c r="A251" s="261"/>
      <c r="B251" s="261"/>
      <c r="D251" s="1740" t="s">
        <v>1268</v>
      </c>
      <c r="E251" s="1740"/>
      <c r="F251" s="1740"/>
    </row>
    <row r="252" spans="1:7">
      <c r="E252" s="135"/>
      <c r="F252" s="135"/>
    </row>
    <row r="253" spans="1:7" ht="14.25">
      <c r="A253" s="261"/>
      <c r="B253" s="671" t="s">
        <v>313</v>
      </c>
      <c r="D253" s="1709" t="s">
        <v>1269</v>
      </c>
      <c r="E253" s="1709"/>
      <c r="F253" s="1709"/>
    </row>
    <row r="254" spans="1:7" ht="14.25">
      <c r="A254" s="261"/>
      <c r="B254" s="261"/>
      <c r="D254" s="1709"/>
      <c r="E254" s="1709"/>
      <c r="F254" s="1709"/>
    </row>
    <row r="255" spans="1:7">
      <c r="D255" s="135"/>
      <c r="E255" s="135"/>
      <c r="F255" s="135"/>
    </row>
    <row r="256" spans="1:7" ht="14.25">
      <c r="A256" s="261"/>
      <c r="B256" s="671" t="s">
        <v>313</v>
      </c>
      <c r="D256" s="1723" t="s">
        <v>1270</v>
      </c>
      <c r="E256" s="1723"/>
      <c r="F256" s="1723"/>
    </row>
    <row r="257" spans="1:7" ht="14.25">
      <c r="A257" s="261"/>
      <c r="B257" s="261"/>
      <c r="D257" s="1723"/>
      <c r="E257" s="1723"/>
      <c r="F257" s="1723"/>
    </row>
    <row r="258" spans="1:7" ht="14.25">
      <c r="A258" s="261"/>
      <c r="B258" s="261"/>
      <c r="D258" s="1723"/>
      <c r="E258" s="1723"/>
      <c r="F258" s="1723"/>
    </row>
    <row r="259" spans="1:7">
      <c r="D259" s="135"/>
      <c r="E259" s="135"/>
      <c r="F259" s="135"/>
    </row>
    <row r="260" spans="1:7" ht="14.25">
      <c r="A260" s="261"/>
      <c r="B260" s="671" t="s">
        <v>313</v>
      </c>
      <c r="D260" s="1709" t="s">
        <v>1271</v>
      </c>
      <c r="E260" s="1709"/>
      <c r="F260" s="1709"/>
    </row>
    <row r="261" spans="1:7" ht="14.25">
      <c r="A261" s="261"/>
      <c r="B261" s="261"/>
      <c r="D261" s="1709"/>
      <c r="E261" s="1709"/>
      <c r="F261" s="1709"/>
    </row>
    <row r="262" spans="1:7">
      <c r="A262" s="23"/>
      <c r="B262" s="667"/>
      <c r="E262" s="135"/>
      <c r="F262" s="135"/>
    </row>
    <row r="263" spans="1:7">
      <c r="A263" s="1729" t="s">
        <v>1135</v>
      </c>
      <c r="B263" s="1729"/>
      <c r="C263" s="1729"/>
      <c r="D263" s="1729"/>
      <c r="E263" s="1729"/>
      <c r="F263" s="1729"/>
      <c r="G263" s="1729"/>
    </row>
    <row r="264" spans="1:7">
      <c r="A264" s="23"/>
      <c r="B264" s="667"/>
      <c r="D264" s="135"/>
      <c r="E264" s="135"/>
      <c r="F264" s="135"/>
    </row>
    <row r="265" spans="1:7">
      <c r="C265" s="23"/>
      <c r="D265" s="1732" t="s">
        <v>709</v>
      </c>
      <c r="E265" s="1732"/>
      <c r="F265" s="1732"/>
    </row>
    <row r="266" spans="1:7">
      <c r="C266" s="23"/>
      <c r="D266" s="1722" t="s">
        <v>1272</v>
      </c>
      <c r="E266" s="1722"/>
      <c r="F266" s="1722"/>
    </row>
    <row r="267" spans="1:7">
      <c r="C267" s="23"/>
      <c r="D267" s="259"/>
    </row>
    <row r="268" spans="1:7">
      <c r="A268" s="273"/>
      <c r="B268" s="671" t="s">
        <v>313</v>
      </c>
      <c r="D268" s="1722" t="s">
        <v>1273</v>
      </c>
      <c r="E268" s="1722"/>
      <c r="F268" s="1722"/>
    </row>
    <row r="269" spans="1:7" s="39" customFormat="1" ht="14.25">
      <c r="A269" s="400"/>
      <c r="B269" s="400"/>
      <c r="C269" s="273"/>
      <c r="D269" s="490"/>
      <c r="E269" s="491"/>
      <c r="F269" s="491"/>
      <c r="G269" s="130"/>
    </row>
    <row r="270" spans="1:7" s="39" customFormat="1" ht="13.15" customHeight="1">
      <c r="A270" s="273"/>
      <c r="B270" s="671" t="s">
        <v>313</v>
      </c>
      <c r="C270" s="273"/>
      <c r="D270" s="1735" t="s">
        <v>1274</v>
      </c>
      <c r="E270" s="1735"/>
      <c r="F270" s="1735"/>
      <c r="G270" s="130"/>
    </row>
    <row r="271" spans="1:7" s="39" customFormat="1" ht="14.25">
      <c r="A271" s="400"/>
      <c r="B271" s="400"/>
      <c r="C271" s="273"/>
      <c r="D271" s="1735"/>
      <c r="E271" s="1735"/>
      <c r="F271" s="1735"/>
      <c r="G271" s="130"/>
    </row>
    <row r="272" spans="1:7" s="39" customFormat="1" ht="14.25">
      <c r="A272" s="400"/>
      <c r="B272" s="400"/>
      <c r="C272" s="273"/>
      <c r="D272" s="1735"/>
      <c r="E272" s="1735"/>
      <c r="F272" s="1735"/>
      <c r="G272" s="130"/>
    </row>
    <row r="273" spans="1:7" s="39" customFormat="1" ht="14.25">
      <c r="A273" s="400"/>
      <c r="B273" s="400"/>
      <c r="C273" s="273"/>
      <c r="D273" s="1735"/>
      <c r="E273" s="1735"/>
      <c r="F273" s="1735"/>
      <c r="G273" s="130"/>
    </row>
    <row r="274" spans="1:7" s="39" customFormat="1" ht="14.25">
      <c r="A274" s="400"/>
      <c r="B274" s="400"/>
      <c r="C274" s="273"/>
      <c r="D274" s="1735"/>
      <c r="E274" s="1735"/>
      <c r="F274" s="1735"/>
      <c r="G274" s="130"/>
    </row>
    <row r="275" spans="1:7" s="39" customFormat="1" ht="14.25">
      <c r="A275" s="400"/>
      <c r="B275" s="400"/>
      <c r="C275" s="273"/>
      <c r="D275" s="490"/>
      <c r="E275" s="491"/>
      <c r="F275" s="491"/>
      <c r="G275" s="130"/>
    </row>
    <row r="276" spans="1:7" s="39" customFormat="1" ht="13.15" customHeight="1">
      <c r="A276" s="273"/>
      <c r="B276" s="671" t="s">
        <v>313</v>
      </c>
      <c r="C276" s="273"/>
      <c r="D276" s="1735" t="s">
        <v>1275</v>
      </c>
      <c r="E276" s="1735"/>
      <c r="F276" s="1735"/>
      <c r="G276" s="130"/>
    </row>
    <row r="277" spans="1:7" s="39" customFormat="1">
      <c r="A277" s="273"/>
      <c r="B277" s="273"/>
      <c r="C277" s="273"/>
      <c r="D277" s="1735"/>
      <c r="E277" s="1735"/>
      <c r="F277" s="1735"/>
      <c r="G277" s="130"/>
    </row>
    <row r="278" spans="1:7" s="39" customFormat="1" ht="14.25">
      <c r="A278" s="400"/>
      <c r="B278" s="400"/>
      <c r="C278" s="273"/>
      <c r="D278" s="490"/>
      <c r="E278" s="491"/>
      <c r="F278" s="491"/>
      <c r="G278" s="130"/>
    </row>
    <row r="279" spans="1:7">
      <c r="A279" s="273"/>
      <c r="B279" s="671" t="s">
        <v>313</v>
      </c>
      <c r="D279" s="1722" t="s">
        <v>1276</v>
      </c>
      <c r="E279" s="1722"/>
      <c r="F279" s="1722"/>
    </row>
    <row r="280" spans="1:7">
      <c r="E280" s="135"/>
      <c r="F280" s="135"/>
    </row>
    <row r="281" spans="1:7" ht="14.25">
      <c r="A281" s="261"/>
      <c r="B281" s="671" t="s">
        <v>313</v>
      </c>
      <c r="D281" s="1723" t="s">
        <v>1277</v>
      </c>
      <c r="E281" s="1723"/>
      <c r="F281" s="1723"/>
    </row>
    <row r="282" spans="1:7" ht="14.25">
      <c r="A282" s="261"/>
      <c r="B282" s="261"/>
      <c r="D282" s="1723"/>
      <c r="E282" s="1723"/>
      <c r="F282" s="1723"/>
    </row>
    <row r="283" spans="1:7" s="711" customFormat="1" ht="14.25">
      <c r="A283" s="706"/>
      <c r="B283" s="706"/>
      <c r="C283" s="723"/>
      <c r="D283" s="1723"/>
      <c r="E283" s="1723"/>
      <c r="F283" s="1723"/>
      <c r="G283" s="7"/>
    </row>
    <row r="284" spans="1:7" s="711" customFormat="1" ht="14.25">
      <c r="A284" s="706"/>
      <c r="B284" s="706"/>
      <c r="C284" s="723"/>
      <c r="D284" s="1723"/>
      <c r="E284" s="1723"/>
      <c r="F284" s="1723"/>
      <c r="G284" s="7"/>
    </row>
    <row r="285" spans="1:7" s="711" customFormat="1" ht="14.25">
      <c r="A285" s="706"/>
      <c r="B285" s="706"/>
      <c r="C285" s="723"/>
      <c r="D285" s="1723"/>
      <c r="E285" s="1723"/>
      <c r="F285" s="1723"/>
      <c r="G285" s="7"/>
    </row>
    <row r="286" spans="1:7" s="711" customFormat="1" ht="14.25">
      <c r="A286" s="706"/>
      <c r="B286" s="706"/>
      <c r="C286" s="723"/>
      <c r="D286" s="1723"/>
      <c r="E286" s="1723"/>
      <c r="F286" s="1723"/>
      <c r="G286" s="7"/>
    </row>
    <row r="287" spans="1:7" s="711" customFormat="1" ht="14.25">
      <c r="A287" s="706"/>
      <c r="B287" s="706"/>
      <c r="C287" s="723"/>
      <c r="D287" s="1723"/>
      <c r="E287" s="1723"/>
      <c r="F287" s="1723"/>
      <c r="G287" s="7"/>
    </row>
    <row r="288" spans="1:7" s="711" customFormat="1" ht="14.25">
      <c r="A288" s="706"/>
      <c r="B288" s="706"/>
      <c r="C288" s="723"/>
      <c r="D288" s="1723"/>
      <c r="E288" s="1723"/>
      <c r="F288" s="1723"/>
      <c r="G288" s="7"/>
    </row>
    <row r="289" spans="1:7" s="711" customFormat="1" ht="14.25">
      <c r="A289" s="706"/>
      <c r="B289" s="706"/>
      <c r="C289" s="723"/>
      <c r="D289" s="1723"/>
      <c r="E289" s="1723"/>
      <c r="F289" s="1723"/>
      <c r="G289" s="7"/>
    </row>
    <row r="290" spans="1:7" s="711" customFormat="1" ht="14.25">
      <c r="A290" s="706"/>
      <c r="B290" s="706"/>
      <c r="C290" s="723"/>
      <c r="D290" s="1723"/>
      <c r="E290" s="1723"/>
      <c r="F290" s="1723"/>
      <c r="G290" s="7"/>
    </row>
    <row r="291" spans="1:7" s="711" customFormat="1" ht="14.25">
      <c r="A291" s="706"/>
      <c r="B291" s="706"/>
      <c r="C291" s="723"/>
      <c r="D291" s="1723"/>
      <c r="E291" s="1723"/>
      <c r="F291" s="1723"/>
      <c r="G291" s="7"/>
    </row>
    <row r="292" spans="1:7" s="711" customFormat="1" ht="14.25">
      <c r="A292" s="706"/>
      <c r="B292" s="706"/>
      <c r="C292" s="723"/>
      <c r="D292" s="1723"/>
      <c r="E292" s="1723"/>
      <c r="F292" s="1723"/>
      <c r="G292" s="7"/>
    </row>
    <row r="293" spans="1:7" ht="14.25">
      <c r="A293" s="261"/>
      <c r="B293" s="261"/>
      <c r="D293" s="1723"/>
      <c r="E293" s="1723"/>
      <c r="F293" s="1723"/>
    </row>
    <row r="294" spans="1:7" ht="14.25">
      <c r="A294" s="261"/>
      <c r="B294" s="261"/>
      <c r="D294" s="1723"/>
      <c r="E294" s="1723"/>
      <c r="F294" s="1723"/>
    </row>
    <row r="295" spans="1:7" ht="14.25">
      <c r="A295" s="261"/>
      <c r="B295" s="261"/>
      <c r="D295" s="1723"/>
      <c r="E295" s="1723"/>
      <c r="F295" s="1723"/>
    </row>
    <row r="296" spans="1:7">
      <c r="D296" s="135"/>
      <c r="E296" s="135"/>
      <c r="F296" s="135"/>
    </row>
    <row r="297" spans="1:7" ht="14.25">
      <c r="A297" s="261"/>
      <c r="B297" s="671" t="s">
        <v>313</v>
      </c>
      <c r="D297" s="1723" t="s">
        <v>1278</v>
      </c>
      <c r="E297" s="1723"/>
      <c r="F297" s="1723"/>
    </row>
    <row r="298" spans="1:7">
      <c r="D298" s="1723"/>
      <c r="E298" s="1723"/>
      <c r="F298" s="1723"/>
    </row>
    <row r="299" spans="1:7">
      <c r="D299" s="1723"/>
      <c r="E299" s="1723"/>
      <c r="F299" s="1723"/>
    </row>
    <row r="300" spans="1:7">
      <c r="D300" s="1723"/>
      <c r="E300" s="1723"/>
      <c r="F300" s="1723"/>
    </row>
    <row r="301" spans="1:7">
      <c r="D301" s="1723"/>
      <c r="E301" s="1723"/>
      <c r="F301" s="1723"/>
    </row>
    <row r="302" spans="1:7">
      <c r="D302" s="1723"/>
      <c r="E302" s="1723"/>
      <c r="F302" s="1723"/>
    </row>
    <row r="303" spans="1:7">
      <c r="D303" s="1723"/>
      <c r="E303" s="1723"/>
      <c r="F303" s="1723"/>
    </row>
    <row r="304" spans="1:7">
      <c r="D304" s="1723"/>
      <c r="E304" s="1723"/>
      <c r="F304" s="1723"/>
    </row>
    <row r="305" spans="1:7">
      <c r="D305" s="1723"/>
      <c r="E305" s="1723"/>
      <c r="F305" s="1723"/>
    </row>
    <row r="306" spans="1:7">
      <c r="D306" s="135"/>
      <c r="E306" s="135"/>
      <c r="F306" s="135"/>
    </row>
    <row r="307" spans="1:7" ht="14.25">
      <c r="A307" s="261"/>
      <c r="B307" s="671" t="s">
        <v>313</v>
      </c>
      <c r="D307" s="1709" t="s">
        <v>1279</v>
      </c>
      <c r="E307" s="1709"/>
      <c r="F307" s="1709"/>
    </row>
    <row r="308" spans="1:7">
      <c r="D308" s="1709"/>
      <c r="E308" s="1709"/>
      <c r="F308" s="1709"/>
      <c r="G308" s="12"/>
    </row>
    <row r="309" spans="1:7">
      <c r="D309" s="1709"/>
      <c r="E309" s="1709"/>
      <c r="F309" s="1709"/>
      <c r="G309" s="12"/>
    </row>
    <row r="310" spans="1:7">
      <c r="D310" s="1709"/>
      <c r="E310" s="1709"/>
      <c r="F310" s="1709"/>
      <c r="G310" s="12"/>
    </row>
    <row r="311" spans="1:7">
      <c r="D311" s="1709"/>
      <c r="E311" s="1709"/>
      <c r="F311" s="1709"/>
      <c r="G311" s="12"/>
    </row>
    <row r="312" spans="1:7">
      <c r="D312" s="1709"/>
      <c r="E312" s="1709"/>
      <c r="F312" s="1709"/>
      <c r="G312" s="12"/>
    </row>
    <row r="313" spans="1:7" s="711" customFormat="1">
      <c r="A313" s="723"/>
      <c r="B313" s="723"/>
      <c r="C313" s="723"/>
      <c r="D313" s="720"/>
      <c r="E313" s="720"/>
      <c r="F313" s="720"/>
    </row>
    <row r="314" spans="1:7" ht="13.5" thickBot="1">
      <c r="D314" s="1741" t="s">
        <v>1038</v>
      </c>
      <c r="E314" s="1741"/>
      <c r="F314" s="1741"/>
      <c r="G314" s="12"/>
    </row>
    <row r="315" spans="1:7" s="711" customFormat="1" ht="13.5" thickTop="1">
      <c r="A315" s="723"/>
      <c r="B315" s="723"/>
      <c r="C315" s="723"/>
      <c r="D315" s="1742" t="s">
        <v>1280</v>
      </c>
      <c r="E315" s="1742"/>
      <c r="F315" s="1742"/>
    </row>
    <row r="316" spans="1:7">
      <c r="A316" s="325"/>
      <c r="B316" s="325"/>
      <c r="C316" s="325"/>
      <c r="D316" s="464"/>
      <c r="E316" s="464"/>
      <c r="F316" s="135"/>
      <c r="G316" s="12"/>
    </row>
    <row r="317" spans="1:7" ht="14.25">
      <c r="A317" s="261"/>
      <c r="B317" s="671" t="s">
        <v>313</v>
      </c>
      <c r="C317" s="325"/>
      <c r="D317" s="1743" t="s">
        <v>1281</v>
      </c>
      <c r="E317" s="1743"/>
      <c r="F317" s="1743"/>
      <c r="G317" s="12"/>
    </row>
    <row r="318" spans="1:7">
      <c r="A318" s="325"/>
      <c r="B318" s="325"/>
      <c r="C318" s="325"/>
      <c r="D318" s="464"/>
      <c r="E318" s="464"/>
      <c r="F318" s="135"/>
      <c r="G318" s="12"/>
    </row>
    <row r="319" spans="1:7">
      <c r="A319" s="325"/>
      <c r="B319" s="671" t="s">
        <v>313</v>
      </c>
      <c r="C319" s="325"/>
      <c r="D319" s="1738" t="s">
        <v>1282</v>
      </c>
      <c r="E319" s="1738"/>
      <c r="F319" s="1738"/>
      <c r="G319" s="12"/>
    </row>
    <row r="320" spans="1:7">
      <c r="A320" s="325"/>
      <c r="B320" s="325"/>
      <c r="C320" s="325"/>
      <c r="D320" s="1738"/>
      <c r="E320" s="1738"/>
      <c r="F320" s="1738"/>
      <c r="G320" s="12"/>
    </row>
    <row r="321" spans="1:7">
      <c r="A321" s="325"/>
      <c r="B321" s="325"/>
      <c r="C321" s="325"/>
      <c r="D321" s="1738"/>
      <c r="E321" s="1738"/>
      <c r="F321" s="1738"/>
      <c r="G321" s="12"/>
    </row>
    <row r="322" spans="1:7">
      <c r="A322" s="325"/>
      <c r="B322" s="325"/>
      <c r="C322" s="325"/>
      <c r="D322" s="1738"/>
      <c r="E322" s="1738"/>
      <c r="F322" s="1738"/>
      <c r="G322" s="12"/>
    </row>
    <row r="323" spans="1:7" s="711" customFormat="1">
      <c r="A323" s="325"/>
      <c r="B323" s="325"/>
      <c r="C323" s="325"/>
      <c r="D323" s="1738"/>
      <c r="E323" s="1738"/>
      <c r="F323" s="1738"/>
    </row>
    <row r="324" spans="1:7" s="711" customFormat="1">
      <c r="A324" s="325"/>
      <c r="B324" s="325"/>
      <c r="C324" s="325"/>
      <c r="D324" s="1738"/>
      <c r="E324" s="1738"/>
      <c r="F324" s="1738"/>
    </row>
    <row r="325" spans="1:7" s="711" customFormat="1">
      <c r="A325" s="325"/>
      <c r="B325" s="325"/>
      <c r="C325" s="325"/>
      <c r="D325" s="1738"/>
      <c r="E325" s="1738"/>
      <c r="F325" s="1738"/>
    </row>
    <row r="326" spans="1:7" s="711" customFormat="1">
      <c r="A326" s="325"/>
      <c r="B326" s="325"/>
      <c r="C326" s="325"/>
      <c r="D326" s="1738"/>
      <c r="E326" s="1738"/>
      <c r="F326" s="1738"/>
    </row>
    <row r="327" spans="1:7">
      <c r="A327" s="325"/>
      <c r="B327" s="325"/>
      <c r="C327" s="325"/>
      <c r="D327" s="1738"/>
      <c r="E327" s="1738"/>
      <c r="F327" s="1738"/>
      <c r="G327" s="12"/>
    </row>
    <row r="328" spans="1:7">
      <c r="A328" s="325"/>
      <c r="B328" s="325"/>
      <c r="C328" s="325"/>
      <c r="D328" s="1738"/>
      <c r="E328" s="1738"/>
      <c r="F328" s="1738"/>
      <c r="G328" s="12"/>
    </row>
    <row r="329" spans="1:7">
      <c r="A329" s="325"/>
      <c r="B329" s="325"/>
      <c r="C329" s="325"/>
      <c r="D329" s="1738"/>
      <c r="E329" s="1738"/>
      <c r="F329" s="1738"/>
      <c r="G329" s="12"/>
    </row>
    <row r="330" spans="1:7">
      <c r="A330" s="325"/>
      <c r="B330" s="325"/>
      <c r="C330" s="325"/>
      <c r="D330" s="12"/>
      <c r="E330" s="464"/>
      <c r="F330" s="135"/>
      <c r="G330" s="12"/>
    </row>
    <row r="331" spans="1:7" ht="14.25">
      <c r="A331" s="261"/>
      <c r="B331" s="671" t="s">
        <v>313</v>
      </c>
      <c r="C331" s="325"/>
      <c r="D331" s="1736" t="s">
        <v>1283</v>
      </c>
      <c r="E331" s="1736"/>
      <c r="F331" s="1736"/>
      <c r="G331" s="12"/>
    </row>
    <row r="332" spans="1:7">
      <c r="A332" s="325"/>
      <c r="B332" s="325"/>
      <c r="C332" s="325"/>
      <c r="D332" s="1736"/>
      <c r="E332" s="1736"/>
      <c r="F332" s="1736"/>
      <c r="G332" s="12"/>
    </row>
    <row r="333" spans="1:7">
      <c r="A333" s="325"/>
      <c r="B333" s="325"/>
      <c r="C333" s="325"/>
      <c r="D333" s="1736"/>
      <c r="E333" s="1736"/>
      <c r="F333" s="1736"/>
      <c r="G333" s="12"/>
    </row>
    <row r="334" spans="1:7">
      <c r="A334" s="325"/>
      <c r="B334" s="325"/>
      <c r="C334" s="325"/>
      <c r="D334" s="1736"/>
      <c r="E334" s="1736"/>
      <c r="F334" s="1736"/>
      <c r="G334" s="12"/>
    </row>
    <row r="335" spans="1:7">
      <c r="A335" s="325"/>
      <c r="B335" s="325"/>
      <c r="C335" s="325"/>
      <c r="D335" s="498"/>
      <c r="E335" s="464"/>
      <c r="F335" s="135"/>
      <c r="G335" s="12"/>
    </row>
    <row r="336" spans="1:7">
      <c r="A336" s="325"/>
      <c r="B336" s="325"/>
      <c r="C336" s="325"/>
      <c r="D336" s="1736" t="s">
        <v>1284</v>
      </c>
      <c r="E336" s="1736"/>
      <c r="F336" s="1736"/>
      <c r="G336" s="12"/>
    </row>
    <row r="337" spans="1:7">
      <c r="A337" s="325"/>
      <c r="B337" s="325"/>
      <c r="C337" s="325"/>
      <c r="D337" s="1736"/>
      <c r="E337" s="1736"/>
      <c r="F337" s="1736"/>
      <c r="G337" s="12"/>
    </row>
    <row r="338" spans="1:7">
      <c r="A338" s="325"/>
      <c r="B338" s="325"/>
      <c r="C338" s="325"/>
      <c r="D338" s="1736"/>
      <c r="E338" s="1736"/>
      <c r="F338" s="1736"/>
      <c r="G338" s="12"/>
    </row>
    <row r="339" spans="1:7">
      <c r="A339" s="325"/>
      <c r="B339" s="325"/>
      <c r="C339" s="325"/>
      <c r="D339" s="1736"/>
      <c r="E339" s="1736"/>
      <c r="F339" s="1736"/>
      <c r="G339" s="12"/>
    </row>
    <row r="340" spans="1:7" ht="18" customHeight="1">
      <c r="A340" s="325"/>
      <c r="B340" s="325"/>
      <c r="C340" s="325"/>
      <c r="D340" s="1736"/>
      <c r="E340" s="1736"/>
      <c r="F340" s="1736"/>
      <c r="G340" s="12"/>
    </row>
    <row r="341" spans="1:7">
      <c r="A341" s="325"/>
      <c r="B341" s="325"/>
      <c r="C341" s="325"/>
      <c r="D341" s="1736"/>
      <c r="E341" s="1736"/>
      <c r="F341" s="1736"/>
      <c r="G341" s="12"/>
    </row>
    <row r="342" spans="1:7">
      <c r="A342" s="325"/>
      <c r="B342" s="325"/>
      <c r="C342" s="325"/>
      <c r="D342" s="1736"/>
      <c r="E342" s="1736"/>
      <c r="F342" s="1736"/>
      <c r="G342" s="12"/>
    </row>
    <row r="343" spans="1:7">
      <c r="A343" s="325"/>
      <c r="B343" s="325"/>
      <c r="C343" s="325"/>
      <c r="D343" s="1736"/>
      <c r="E343" s="1736"/>
      <c r="F343" s="1736"/>
      <c r="G343" s="12"/>
    </row>
    <row r="344" spans="1:7" ht="8.25" customHeight="1">
      <c r="A344" s="325"/>
      <c r="B344" s="325"/>
      <c r="C344" s="325"/>
      <c r="D344" s="1736"/>
      <c r="E344" s="1736"/>
      <c r="F344" s="1736"/>
      <c r="G344" s="12"/>
    </row>
    <row r="345" spans="1:7" ht="13.15" customHeight="1">
      <c r="A345" s="325"/>
      <c r="B345" s="325"/>
      <c r="C345" s="325"/>
      <c r="D345" s="1737" t="s">
        <v>1285</v>
      </c>
      <c r="E345" s="1737"/>
      <c r="F345" s="1737"/>
      <c r="G345" s="12"/>
    </row>
    <row r="346" spans="1:7">
      <c r="A346" s="325"/>
      <c r="B346" s="325"/>
      <c r="C346" s="325"/>
      <c r="D346" s="1737"/>
      <c r="E346" s="1737"/>
      <c r="F346" s="1737"/>
      <c r="G346" s="12"/>
    </row>
    <row r="347" spans="1:7">
      <c r="A347" s="325"/>
      <c r="B347" s="325"/>
      <c r="C347" s="325"/>
      <c r="D347" s="1737"/>
      <c r="E347" s="1737"/>
      <c r="F347" s="1737"/>
      <c r="G347" s="12"/>
    </row>
    <row r="348" spans="1:7" s="711" customFormat="1">
      <c r="A348" s="325"/>
      <c r="B348" s="325"/>
      <c r="C348" s="325"/>
      <c r="D348" s="1737"/>
      <c r="E348" s="1737"/>
      <c r="F348" s="1737"/>
    </row>
    <row r="349" spans="1:7" s="711" customFormat="1">
      <c r="A349" s="325"/>
      <c r="B349" s="325"/>
      <c r="C349" s="325"/>
      <c r="D349" s="1737"/>
      <c r="E349" s="1737"/>
      <c r="F349" s="1737"/>
    </row>
    <row r="350" spans="1:7" s="711" customFormat="1">
      <c r="A350" s="325"/>
      <c r="B350" s="325"/>
      <c r="C350" s="325"/>
      <c r="D350" s="1737"/>
      <c r="E350" s="1737"/>
      <c r="F350" s="1737"/>
    </row>
    <row r="351" spans="1:7" s="711" customFormat="1">
      <c r="A351" s="325"/>
      <c r="B351" s="325"/>
      <c r="C351" s="325"/>
      <c r="D351" s="1737"/>
      <c r="E351" s="1737"/>
      <c r="F351" s="1737"/>
    </row>
    <row r="352" spans="1:7" s="711" customFormat="1">
      <c r="A352" s="325"/>
      <c r="B352" s="325"/>
      <c r="C352" s="325"/>
      <c r="D352" s="1737"/>
      <c r="E352" s="1737"/>
      <c r="F352" s="1737"/>
    </row>
    <row r="353" spans="1:7">
      <c r="A353" s="325"/>
      <c r="B353" s="325"/>
      <c r="C353" s="325"/>
      <c r="D353" s="1737"/>
      <c r="E353" s="1737"/>
      <c r="F353" s="1737"/>
      <c r="G353" s="12"/>
    </row>
    <row r="354" spans="1:7">
      <c r="A354" s="325"/>
      <c r="B354" s="325"/>
      <c r="C354" s="325"/>
      <c r="D354" s="1737"/>
      <c r="E354" s="1737"/>
      <c r="F354" s="1737"/>
      <c r="G354" s="12"/>
    </row>
    <row r="355" spans="1:7">
      <c r="A355" s="325"/>
      <c r="B355" s="325"/>
      <c r="C355" s="325"/>
      <c r="D355" s="1737"/>
      <c r="E355" s="1737"/>
      <c r="F355" s="1737"/>
      <c r="G355" s="12"/>
    </row>
    <row r="356" spans="1:7">
      <c r="A356" s="325"/>
      <c r="B356" s="325"/>
      <c r="C356" s="325"/>
      <c r="D356" s="1737"/>
      <c r="E356" s="1737"/>
      <c r="F356" s="1737"/>
      <c r="G356" s="12"/>
    </row>
    <row r="357" spans="1:7">
      <c r="A357" s="325"/>
      <c r="B357" s="325"/>
      <c r="C357" s="500"/>
      <c r="D357" s="1737"/>
      <c r="E357" s="1737"/>
      <c r="F357" s="1737"/>
      <c r="G357" s="12"/>
    </row>
    <row r="358" spans="1:7">
      <c r="A358" s="325"/>
      <c r="B358" s="325"/>
      <c r="C358" s="500"/>
      <c r="D358" s="1737"/>
      <c r="E358" s="1737"/>
      <c r="F358" s="1737"/>
      <c r="G358" s="12"/>
    </row>
    <row r="359" spans="1:7">
      <c r="A359" s="325"/>
      <c r="B359" s="325"/>
      <c r="C359" s="325"/>
      <c r="D359" s="1737"/>
      <c r="E359" s="1737"/>
      <c r="F359" s="1737"/>
      <c r="G359" s="12"/>
    </row>
    <row r="360" spans="1:7">
      <c r="A360" s="325"/>
      <c r="B360" s="325"/>
      <c r="C360" s="500"/>
      <c r="D360" s="1737"/>
      <c r="E360" s="1737"/>
      <c r="F360" s="1737"/>
      <c r="G360" s="12"/>
    </row>
    <row r="361" spans="1:7">
      <c r="A361" s="325"/>
      <c r="B361" s="325"/>
      <c r="C361" s="500"/>
      <c r="D361" s="1737"/>
      <c r="E361" s="1737"/>
      <c r="F361" s="1737"/>
      <c r="G361" s="12"/>
    </row>
    <row r="362" spans="1:7">
      <c r="A362" s="325"/>
      <c r="B362" s="325"/>
      <c r="C362" s="500"/>
      <c r="D362" s="1737"/>
      <c r="E362" s="1737"/>
      <c r="F362" s="1737"/>
      <c r="G362" s="12"/>
    </row>
    <row r="363" spans="1:7">
      <c r="A363" s="325"/>
      <c r="B363" s="325"/>
      <c r="C363" s="325"/>
      <c r="D363" s="498"/>
      <c r="E363" s="464"/>
      <c r="F363" s="135"/>
      <c r="G363" s="12"/>
    </row>
    <row r="364" spans="1:7">
      <c r="A364" s="325"/>
      <c r="B364" s="671" t="s">
        <v>313</v>
      </c>
      <c r="C364" s="325"/>
      <c r="D364" s="1737" t="s">
        <v>1286</v>
      </c>
      <c r="E364" s="1737"/>
      <c r="F364" s="1737"/>
      <c r="G364" s="12"/>
    </row>
    <row r="365" spans="1:7">
      <c r="A365" s="325"/>
      <c r="B365" s="325"/>
      <c r="C365" s="325"/>
      <c r="D365" s="1737"/>
      <c r="E365" s="1737"/>
      <c r="F365" s="1737"/>
      <c r="G365" s="12"/>
    </row>
    <row r="366" spans="1:7">
      <c r="A366" s="325"/>
      <c r="B366" s="325"/>
      <c r="C366" s="325"/>
      <c r="D366" s="464"/>
      <c r="E366" s="464"/>
      <c r="F366" s="135"/>
      <c r="G366" s="12"/>
    </row>
    <row r="367" spans="1:7" ht="14.25">
      <c r="A367" s="261"/>
      <c r="B367" s="671" t="s">
        <v>313</v>
      </c>
      <c r="C367" s="325"/>
      <c r="D367" s="1738" t="s">
        <v>1287</v>
      </c>
      <c r="E367" s="1738"/>
      <c r="F367" s="1738"/>
      <c r="G367" s="12"/>
    </row>
    <row r="368" spans="1:7" ht="14.25">
      <c r="A368" s="499"/>
      <c r="B368" s="499"/>
      <c r="C368" s="325"/>
      <c r="D368" s="1738"/>
      <c r="E368" s="1738"/>
      <c r="F368" s="1738"/>
      <c r="G368" s="12"/>
    </row>
    <row r="369" spans="1:7" ht="14.25">
      <c r="A369" s="499"/>
      <c r="B369" s="499"/>
      <c r="C369" s="325"/>
      <c r="D369" s="1738"/>
      <c r="E369" s="1738"/>
      <c r="F369" s="1738"/>
      <c r="G369" s="12"/>
    </row>
    <row r="370" spans="1:7" ht="14.25">
      <c r="A370" s="499"/>
      <c r="B370" s="499"/>
      <c r="C370" s="325"/>
      <c r="D370" s="1738"/>
      <c r="E370" s="1738"/>
      <c r="F370" s="1738"/>
      <c r="G370" s="12"/>
    </row>
    <row r="371" spans="1:7" ht="14.25">
      <c r="A371" s="499"/>
      <c r="B371" s="499"/>
      <c r="C371" s="325"/>
      <c r="D371" s="1738"/>
      <c r="E371" s="1738"/>
      <c r="F371" s="1738"/>
      <c r="G371" s="12"/>
    </row>
    <row r="372" spans="1:7">
      <c r="D372" s="135"/>
      <c r="E372" s="135"/>
      <c r="F372" s="135"/>
      <c r="G372" s="12"/>
    </row>
    <row r="373" spans="1:7" ht="14.25">
      <c r="A373" s="261"/>
      <c r="B373" s="671" t="s">
        <v>313</v>
      </c>
      <c r="C373" s="266"/>
      <c r="D373" s="1709" t="s">
        <v>1288</v>
      </c>
      <c r="E373" s="1709"/>
      <c r="F373" s="1709"/>
      <c r="G373" s="12"/>
    </row>
    <row r="374" spans="1:7" ht="14.25">
      <c r="A374" s="261"/>
      <c r="B374" s="261"/>
      <c r="D374" s="1709"/>
      <c r="E374" s="1709"/>
      <c r="F374" s="1709"/>
      <c r="G374" s="12"/>
    </row>
    <row r="375" spans="1:7">
      <c r="D375" s="1709"/>
      <c r="E375" s="1709"/>
      <c r="F375" s="1709"/>
      <c r="G375" s="12"/>
    </row>
    <row r="376" spans="1:7">
      <c r="D376" s="1709"/>
      <c r="E376" s="1709"/>
      <c r="F376" s="1709"/>
      <c r="G376" s="12"/>
    </row>
    <row r="377" spans="1:7">
      <c r="D377" s="1709"/>
      <c r="E377" s="1709"/>
      <c r="F377" s="1709"/>
      <c r="G377" s="12"/>
    </row>
    <row r="378" spans="1:7">
      <c r="D378" s="1709"/>
      <c r="E378" s="1709"/>
      <c r="F378" s="1709"/>
      <c r="G378" s="12"/>
    </row>
    <row r="379" spans="1:7">
      <c r="D379" s="1709"/>
      <c r="E379" s="1709"/>
      <c r="F379" s="1709"/>
      <c r="G379" s="12"/>
    </row>
    <row r="380" spans="1:7">
      <c r="D380" s="1709"/>
      <c r="E380" s="1709"/>
      <c r="F380" s="1709"/>
      <c r="G380" s="12"/>
    </row>
    <row r="381" spans="1:7">
      <c r="D381" s="1709"/>
      <c r="E381" s="1709"/>
      <c r="F381" s="1709"/>
      <c r="G381" s="12"/>
    </row>
    <row r="382" spans="1:7">
      <c r="D382" s="1709"/>
      <c r="E382" s="1709"/>
      <c r="F382" s="1709"/>
      <c r="G382" s="12"/>
    </row>
    <row r="383" spans="1:7">
      <c r="D383" s="1709"/>
      <c r="E383" s="1709"/>
      <c r="F383" s="1709"/>
      <c r="G383" s="12"/>
    </row>
    <row r="384" spans="1:7">
      <c r="D384" s="1709"/>
      <c r="E384" s="1709"/>
      <c r="F384" s="1709"/>
      <c r="G384" s="12"/>
    </row>
    <row r="385" spans="1:7">
      <c r="D385" s="1709"/>
      <c r="E385" s="1709"/>
      <c r="F385" s="1709"/>
      <c r="G385" s="12"/>
    </row>
    <row r="386" spans="1:7">
      <c r="A386" s="12"/>
      <c r="B386" s="12"/>
      <c r="C386" s="12"/>
      <c r="D386" s="1709"/>
      <c r="E386" s="1709"/>
      <c r="F386" s="1709"/>
      <c r="G386" s="12"/>
    </row>
    <row r="387" spans="1:7">
      <c r="A387" s="12"/>
      <c r="B387" s="12"/>
      <c r="C387" s="12"/>
      <c r="D387" s="1709"/>
      <c r="E387" s="1709"/>
      <c r="F387" s="1709"/>
      <c r="G387" s="12"/>
    </row>
    <row r="388" spans="1:7">
      <c r="A388" s="12"/>
      <c r="B388" s="12"/>
      <c r="C388" s="12"/>
      <c r="D388" s="1709"/>
      <c r="E388" s="1709"/>
      <c r="F388" s="1709"/>
      <c r="G388" s="12"/>
    </row>
    <row r="389" spans="1:7">
      <c r="A389" s="12"/>
      <c r="B389" s="12"/>
      <c r="C389" s="12"/>
      <c r="D389" s="1709"/>
      <c r="E389" s="1709"/>
      <c r="F389" s="1709"/>
      <c r="G389" s="12"/>
    </row>
    <row r="390" spans="1:7">
      <c r="A390" s="12"/>
      <c r="B390" s="12"/>
      <c r="C390" s="12"/>
      <c r="D390" s="1709"/>
      <c r="E390" s="1709"/>
      <c r="F390" s="1709"/>
      <c r="G390" s="12"/>
    </row>
    <row r="391" spans="1:7">
      <c r="A391" s="12"/>
      <c r="B391" s="12"/>
      <c r="C391" s="12"/>
      <c r="D391" s="1709"/>
      <c r="E391" s="1709"/>
      <c r="F391" s="1709"/>
      <c r="G391" s="12"/>
    </row>
    <row r="392" spans="1:7">
      <c r="A392" s="12"/>
      <c r="B392" s="12"/>
      <c r="C392" s="12"/>
      <c r="D392" s="1709"/>
      <c r="E392" s="1709"/>
      <c r="F392" s="1709"/>
      <c r="G392" s="12"/>
    </row>
    <row r="393" spans="1:7">
      <c r="A393" s="12"/>
      <c r="B393" s="12"/>
      <c r="C393" s="12"/>
      <c r="D393" s="1709"/>
      <c r="E393" s="1709"/>
      <c r="F393" s="1709"/>
      <c r="G393" s="12"/>
    </row>
    <row r="394" spans="1:7">
      <c r="A394" s="12"/>
      <c r="B394" s="12"/>
      <c r="C394" s="12"/>
      <c r="D394" s="1709"/>
      <c r="E394" s="1709"/>
      <c r="F394" s="1709"/>
      <c r="G394" s="12"/>
    </row>
    <row r="395" spans="1:7">
      <c r="A395" s="12"/>
      <c r="B395" s="12"/>
      <c r="C395" s="12"/>
      <c r="D395" s="1709"/>
      <c r="E395" s="1709"/>
      <c r="F395" s="1709"/>
      <c r="G395" s="12"/>
    </row>
    <row r="396" spans="1:7">
      <c r="A396" s="12"/>
      <c r="B396" s="12"/>
      <c r="C396" s="12"/>
      <c r="D396" s="1709"/>
      <c r="E396" s="1709"/>
      <c r="F396" s="1709"/>
      <c r="G396" s="12"/>
    </row>
    <row r="397" spans="1:7">
      <c r="A397" s="12"/>
      <c r="B397" s="12"/>
      <c r="C397" s="12"/>
      <c r="D397" s="1709"/>
      <c r="E397" s="1709"/>
      <c r="F397" s="1709"/>
      <c r="G397" s="12"/>
    </row>
    <row r="398" spans="1:7">
      <c r="A398" s="12"/>
      <c r="B398" s="12"/>
      <c r="C398" s="12"/>
      <c r="D398" s="1709"/>
      <c r="E398" s="1709"/>
      <c r="F398" s="1709"/>
      <c r="G398" s="12"/>
    </row>
    <row r="399" spans="1:7">
      <c r="A399" s="12"/>
      <c r="B399" s="12"/>
      <c r="C399" s="12"/>
      <c r="D399" s="1709"/>
      <c r="E399" s="1709"/>
      <c r="F399" s="1709"/>
      <c r="G399" s="12"/>
    </row>
    <row r="400" spans="1:7">
      <c r="A400" s="12"/>
      <c r="B400" s="12"/>
      <c r="C400" s="12"/>
      <c r="D400" s="1709"/>
      <c r="E400" s="1709"/>
      <c r="F400" s="1709"/>
      <c r="G400" s="12"/>
    </row>
    <row r="401" spans="1:7">
      <c r="A401" s="12"/>
      <c r="B401" s="12"/>
      <c r="C401" s="12"/>
      <c r="D401" s="1709"/>
      <c r="E401" s="1709"/>
      <c r="F401" s="1709"/>
      <c r="G401" s="12"/>
    </row>
    <row r="402" spans="1:7" s="32" customFormat="1">
      <c r="A402" s="132"/>
      <c r="B402" s="668"/>
      <c r="C402" s="132"/>
      <c r="D402" s="1709"/>
      <c r="E402" s="1709"/>
      <c r="F402" s="1709"/>
      <c r="G402" s="30"/>
    </row>
    <row r="403" spans="1:7" s="32" customFormat="1" ht="40.700000000000003" customHeight="1">
      <c r="A403" s="132"/>
      <c r="B403" s="668"/>
      <c r="C403" s="132"/>
      <c r="D403" s="1709"/>
      <c r="E403" s="1709"/>
      <c r="F403" s="1709"/>
      <c r="G403" s="30"/>
    </row>
    <row r="404" spans="1:7" s="32" customFormat="1">
      <c r="A404" s="132"/>
      <c r="B404" s="668"/>
      <c r="C404" s="132"/>
      <c r="D404" s="135"/>
      <c r="E404" s="135"/>
      <c r="F404" s="135"/>
      <c r="G404" s="30"/>
    </row>
    <row r="405" spans="1:7" ht="14.25">
      <c r="A405" s="261"/>
      <c r="B405" s="671" t="s">
        <v>313</v>
      </c>
      <c r="C405" s="266"/>
      <c r="D405" s="1722" t="s">
        <v>1289</v>
      </c>
      <c r="E405" s="1722"/>
      <c r="F405" s="1722"/>
    </row>
    <row r="406" spans="1:7">
      <c r="D406" s="1739" t="s">
        <v>1058</v>
      </c>
      <c r="E406" s="1739"/>
      <c r="F406" s="1739"/>
    </row>
    <row r="407" spans="1:7">
      <c r="D407" s="1723" t="s">
        <v>1290</v>
      </c>
      <c r="E407" s="1723"/>
      <c r="F407" s="1723"/>
    </row>
    <row r="408" spans="1:7">
      <c r="D408" s="1723"/>
      <c r="E408" s="1723"/>
      <c r="F408" s="1723"/>
    </row>
    <row r="409" spans="1:7">
      <c r="D409" s="1723"/>
      <c r="E409" s="1723"/>
      <c r="F409" s="1723"/>
    </row>
    <row r="410" spans="1:7">
      <c r="D410" s="1723"/>
      <c r="E410" s="1723"/>
      <c r="F410" s="1723"/>
    </row>
    <row r="411" spans="1:7">
      <c r="D411" s="135"/>
      <c r="E411" s="135"/>
      <c r="F411" s="135"/>
      <c r="G411" s="12"/>
    </row>
    <row r="412" spans="1:7" ht="14.25">
      <c r="A412" s="261"/>
      <c r="B412" s="671" t="s">
        <v>313</v>
      </c>
      <c r="C412" s="266"/>
      <c r="D412" s="1709" t="s">
        <v>1291</v>
      </c>
      <c r="E412" s="1709"/>
      <c r="F412" s="1709"/>
      <c r="G412" s="12"/>
    </row>
    <row r="413" spans="1:7">
      <c r="D413" s="1709"/>
      <c r="E413" s="1709"/>
      <c r="F413" s="1709"/>
      <c r="G413" s="12"/>
    </row>
    <row r="414" spans="1:7">
      <c r="D414" s="1709"/>
      <c r="E414" s="1709"/>
      <c r="F414" s="1709"/>
      <c r="G414" s="12"/>
    </row>
    <row r="415" spans="1:7" s="711" customFormat="1">
      <c r="A415" s="723"/>
      <c r="B415" s="723"/>
      <c r="C415" s="723"/>
      <c r="D415" s="720"/>
      <c r="E415" s="720"/>
      <c r="F415" s="720"/>
    </row>
    <row r="416" spans="1:7" ht="14.25">
      <c r="B416" s="671" t="s">
        <v>313</v>
      </c>
      <c r="C416" s="261"/>
      <c r="D416" s="1723" t="s">
        <v>1292</v>
      </c>
      <c r="E416" s="1723"/>
      <c r="F416" s="1723"/>
      <c r="G416" s="12"/>
    </row>
    <row r="417" spans="1:7">
      <c r="D417" s="1723"/>
      <c r="E417" s="1723"/>
      <c r="F417" s="1723"/>
      <c r="G417" s="12"/>
    </row>
    <row r="418" spans="1:7">
      <c r="D418" s="135"/>
      <c r="E418" s="135"/>
      <c r="F418" s="135"/>
      <c r="G418" s="12"/>
    </row>
    <row r="419" spans="1:7" ht="14.25">
      <c r="B419" s="671" t="s">
        <v>313</v>
      </c>
      <c r="C419" s="261"/>
      <c r="D419" s="1723" t="s">
        <v>1293</v>
      </c>
      <c r="E419" s="1723"/>
      <c r="F419" s="1723"/>
      <c r="G419" s="12"/>
    </row>
    <row r="420" spans="1:7">
      <c r="D420" s="1723"/>
      <c r="E420" s="1723"/>
      <c r="F420" s="1723"/>
      <c r="G420" s="12"/>
    </row>
    <row r="421" spans="1:7">
      <c r="D421" s="1723"/>
      <c r="E421" s="1723"/>
      <c r="F421" s="1723"/>
      <c r="G421" s="12"/>
    </row>
    <row r="422" spans="1:7">
      <c r="D422" s="1723"/>
      <c r="E422" s="1723"/>
      <c r="F422" s="1723"/>
      <c r="G422" s="12"/>
    </row>
    <row r="423" spans="1:7">
      <c r="B423" s="671" t="s">
        <v>313</v>
      </c>
      <c r="D423" s="1723"/>
      <c r="E423" s="1723"/>
      <c r="F423" s="1723"/>
      <c r="G423" s="12"/>
    </row>
    <row r="424" spans="1:7">
      <c r="A424" s="12"/>
      <c r="B424" s="12"/>
      <c r="C424" s="12"/>
      <c r="D424" s="1723"/>
      <c r="E424" s="1723"/>
      <c r="F424" s="1723"/>
      <c r="G424" s="12"/>
    </row>
    <row r="425" spans="1:7">
      <c r="A425" s="12"/>
      <c r="C425" s="12"/>
      <c r="D425" s="1723"/>
      <c r="E425" s="1723"/>
      <c r="F425" s="1723"/>
      <c r="G425" s="12"/>
    </row>
    <row r="426" spans="1:7">
      <c r="A426" s="12"/>
      <c r="B426" s="671" t="s">
        <v>313</v>
      </c>
      <c r="C426" s="12"/>
      <c r="D426" s="1723"/>
      <c r="E426" s="1723"/>
      <c r="F426" s="1723"/>
      <c r="G426" s="12"/>
    </row>
    <row r="427" spans="1:7">
      <c r="A427" s="12"/>
      <c r="B427" s="12"/>
      <c r="C427" s="12"/>
      <c r="D427" s="1723"/>
      <c r="E427" s="1723"/>
      <c r="F427" s="1723"/>
      <c r="G427" s="12"/>
    </row>
    <row r="428" spans="1:7">
      <c r="A428" s="12"/>
      <c r="C428" s="12"/>
      <c r="D428" s="1723"/>
      <c r="E428" s="1723"/>
      <c r="F428" s="1723"/>
      <c r="G428" s="12"/>
    </row>
    <row r="429" spans="1:7">
      <c r="A429" s="12"/>
      <c r="C429" s="12"/>
      <c r="D429" s="1723"/>
      <c r="E429" s="1723"/>
      <c r="F429" s="1723"/>
      <c r="G429" s="12"/>
    </row>
    <row r="430" spans="1:7">
      <c r="A430" s="12"/>
      <c r="B430" s="671" t="s">
        <v>313</v>
      </c>
      <c r="C430" s="12"/>
      <c r="D430" s="1723"/>
      <c r="E430" s="1723"/>
      <c r="F430" s="1723"/>
      <c r="G430" s="12"/>
    </row>
    <row r="431" spans="1:7">
      <c r="A431" s="12"/>
      <c r="B431" s="12"/>
      <c r="C431" s="12"/>
      <c r="D431" s="1723"/>
      <c r="E431" s="1723"/>
      <c r="F431" s="1723"/>
      <c r="G431" s="12"/>
    </row>
    <row r="432" spans="1:7">
      <c r="A432" s="12"/>
      <c r="B432" s="671" t="s">
        <v>313</v>
      </c>
      <c r="C432" s="12"/>
      <c r="D432" s="1723"/>
      <c r="E432" s="1723"/>
      <c r="F432" s="1723"/>
      <c r="G432" s="12"/>
    </row>
    <row r="433" spans="1:7" s="711" customFormat="1">
      <c r="D433" s="721"/>
      <c r="E433" s="721"/>
      <c r="F433" s="721"/>
    </row>
    <row r="434" spans="1:7">
      <c r="A434" s="12"/>
      <c r="B434" s="710" t="s">
        <v>313</v>
      </c>
      <c r="C434" s="12"/>
      <c r="D434" s="1723" t="s">
        <v>1294</v>
      </c>
      <c r="E434" s="1723"/>
      <c r="F434" s="1723"/>
      <c r="G434" s="12"/>
    </row>
    <row r="435" spans="1:7">
      <c r="A435" s="12"/>
      <c r="B435" s="12"/>
      <c r="C435" s="12"/>
      <c r="D435" s="1723"/>
      <c r="E435" s="1723"/>
      <c r="F435" s="1723"/>
      <c r="G435" s="12"/>
    </row>
    <row r="436" spans="1:7">
      <c r="A436" s="12"/>
      <c r="B436" s="12"/>
      <c r="C436" s="12"/>
      <c r="D436" s="1723"/>
      <c r="E436" s="1723"/>
      <c r="F436" s="1723"/>
      <c r="G436" s="12"/>
    </row>
    <row r="437" spans="1:7">
      <c r="A437" s="12"/>
      <c r="B437" s="12"/>
      <c r="C437" s="12"/>
      <c r="D437" s="1723"/>
      <c r="E437" s="1723"/>
      <c r="F437" s="1723"/>
      <c r="G437" s="12"/>
    </row>
    <row r="438" spans="1:7">
      <c r="D438" s="1723"/>
      <c r="E438" s="1723"/>
      <c r="F438" s="1723"/>
    </row>
    <row r="439" spans="1:7">
      <c r="D439" s="135"/>
      <c r="E439" s="135"/>
      <c r="F439" s="135"/>
    </row>
    <row r="440" spans="1:7">
      <c r="B440" s="671" t="s">
        <v>313</v>
      </c>
      <c r="D440" s="1724" t="s">
        <v>1295</v>
      </c>
      <c r="E440" s="1724"/>
      <c r="F440" s="1724"/>
    </row>
    <row r="441" spans="1:7">
      <c r="A441" s="135"/>
      <c r="B441" s="135"/>
    </row>
    <row r="442" spans="1:7">
      <c r="A442" s="1729" t="s">
        <v>1136</v>
      </c>
      <c r="B442" s="1729"/>
      <c r="C442" s="1729"/>
      <c r="D442" s="1729"/>
      <c r="E442" s="1729"/>
      <c r="F442" s="1729"/>
      <c r="G442" s="1729"/>
    </row>
    <row r="443" spans="1:7">
      <c r="A443" s="135"/>
      <c r="B443" s="135"/>
    </row>
    <row r="444" spans="1:7">
      <c r="D444" s="1725" t="s">
        <v>931</v>
      </c>
      <c r="E444" s="1725"/>
      <c r="F444" s="1725"/>
    </row>
    <row r="445" spans="1:7" s="39" customFormat="1" ht="14.25">
      <c r="A445" s="400"/>
      <c r="B445" s="400"/>
      <c r="C445" s="273"/>
      <c r="D445" s="1726" t="s">
        <v>1296</v>
      </c>
      <c r="E445" s="1726"/>
      <c r="F445" s="1726"/>
      <c r="G445" s="130"/>
    </row>
    <row r="446" spans="1:7" s="39" customFormat="1" ht="14.25">
      <c r="A446" s="400"/>
      <c r="B446" s="400"/>
      <c r="C446" s="273"/>
      <c r="D446" s="724"/>
      <c r="E446" s="6"/>
      <c r="F446" s="6"/>
      <c r="G446" s="130"/>
    </row>
    <row r="447" spans="1:7" s="39" customFormat="1" ht="14.25">
      <c r="A447" s="261"/>
      <c r="B447" s="671" t="s">
        <v>313</v>
      </c>
      <c r="C447" s="273"/>
      <c r="D447" s="1727" t="s">
        <v>1297</v>
      </c>
      <c r="E447" s="1727"/>
      <c r="F447" s="1727"/>
      <c r="G447" s="130"/>
    </row>
    <row r="448" spans="1:7" s="39" customFormat="1" ht="14.25">
      <c r="A448" s="261"/>
      <c r="B448" s="261"/>
      <c r="C448" s="273"/>
      <c r="D448" s="1727"/>
      <c r="E448" s="1727"/>
      <c r="F448" s="1727"/>
      <c r="G448" s="130"/>
    </row>
    <row r="449" spans="1:7" s="39" customFormat="1" ht="14.25">
      <c r="A449" s="261"/>
      <c r="B449" s="261"/>
      <c r="C449" s="273"/>
      <c r="D449" s="722"/>
      <c r="E449" s="6"/>
      <c r="F449" s="6"/>
      <c r="G449" s="130"/>
    </row>
    <row r="450" spans="1:7">
      <c r="B450" s="671" t="s">
        <v>313</v>
      </c>
      <c r="D450" s="1728" t="s">
        <v>1298</v>
      </c>
      <c r="E450" s="1728"/>
      <c r="F450" s="1728"/>
    </row>
    <row r="451" spans="1:7" ht="14.25">
      <c r="A451" s="261"/>
      <c r="D451" s="1728"/>
      <c r="E451" s="1728"/>
      <c r="F451" s="1728"/>
    </row>
    <row r="452" spans="1:7" ht="14.25">
      <c r="A452" s="261"/>
      <c r="B452" s="261"/>
      <c r="D452" s="1728"/>
      <c r="E452" s="1728"/>
      <c r="F452" s="1728"/>
    </row>
    <row r="453" spans="1:7" ht="14.25">
      <c r="A453" s="261"/>
      <c r="B453" s="261"/>
      <c r="D453" s="1728"/>
      <c r="E453" s="1728"/>
      <c r="F453" s="1728"/>
    </row>
    <row r="454" spans="1:7">
      <c r="D454" s="670"/>
      <c r="E454" s="670"/>
      <c r="F454" s="670"/>
      <c r="G454" s="12"/>
    </row>
    <row r="455" spans="1:7" ht="14.25">
      <c r="A455" s="261"/>
      <c r="B455" s="671" t="s">
        <v>313</v>
      </c>
      <c r="D455" s="1710" t="s">
        <v>1299</v>
      </c>
      <c r="E455" s="1710"/>
      <c r="F455" s="1710"/>
      <c r="G455" s="12"/>
    </row>
    <row r="456" spans="1:7" ht="14.25">
      <c r="A456" s="261"/>
      <c r="B456" s="261"/>
      <c r="D456" s="1710"/>
      <c r="E456" s="1710"/>
      <c r="F456" s="1710"/>
      <c r="G456" s="12"/>
    </row>
    <row r="457" spans="1:7" ht="14.25">
      <c r="A457" s="261"/>
      <c r="D457" s="1710"/>
      <c r="E457" s="1710"/>
      <c r="F457" s="1710"/>
      <c r="G457" s="12"/>
    </row>
    <row r="458" spans="1:7" ht="14.25">
      <c r="A458" s="261"/>
      <c r="B458" s="261"/>
      <c r="D458" s="670"/>
      <c r="E458" s="670"/>
      <c r="F458" s="670"/>
      <c r="G458" s="12"/>
    </row>
    <row r="459" spans="1:7" ht="14.25">
      <c r="A459" s="261"/>
      <c r="B459" s="710" t="s">
        <v>313</v>
      </c>
      <c r="D459" s="1722" t="s">
        <v>1300</v>
      </c>
      <c r="E459" s="1722"/>
      <c r="F459" s="1722"/>
      <c r="G459" s="12"/>
    </row>
    <row r="460" spans="1:7" ht="14.25">
      <c r="A460" s="261"/>
      <c r="B460" s="261"/>
      <c r="D460" s="722"/>
      <c r="E460" s="6"/>
      <c r="F460" s="6"/>
      <c r="G460" s="12"/>
    </row>
    <row r="461" spans="1:7" ht="14.25">
      <c r="A461" s="261"/>
      <c r="B461" s="671" t="s">
        <v>313</v>
      </c>
      <c r="D461" s="1709" t="s">
        <v>1301</v>
      </c>
      <c r="E461" s="1709"/>
      <c r="F461" s="1709"/>
      <c r="G461" s="12"/>
    </row>
    <row r="462" spans="1:7" ht="14.25">
      <c r="A462" s="261"/>
      <c r="D462" s="1709"/>
      <c r="E462" s="1709"/>
      <c r="F462" s="1709"/>
      <c r="G462" s="12"/>
    </row>
    <row r="463" spans="1:7">
      <c r="A463" s="23"/>
      <c r="B463" s="667"/>
      <c r="D463" s="725"/>
      <c r="E463" s="6"/>
      <c r="F463" s="6"/>
      <c r="G463" s="12"/>
    </row>
    <row r="464" spans="1:7">
      <c r="A464" s="23"/>
      <c r="B464" s="710" t="s">
        <v>313</v>
      </c>
      <c r="D464" s="1722" t="s">
        <v>1302</v>
      </c>
      <c r="E464" s="1722"/>
      <c r="F464" s="1722"/>
      <c r="G464" s="12"/>
    </row>
    <row r="465" spans="1:7" ht="14.25">
      <c r="A465" s="261"/>
      <c r="B465" s="261"/>
      <c r="D465" s="135"/>
    </row>
    <row r="466" spans="1:7">
      <c r="A466" s="1729" t="s">
        <v>1137</v>
      </c>
      <c r="B466" s="1729"/>
      <c r="C466" s="1729"/>
      <c r="D466" s="1729"/>
      <c r="E466" s="1729"/>
      <c r="F466" s="1729"/>
      <c r="G466" s="1729"/>
    </row>
    <row r="467" spans="1:7" customFormat="1" ht="12" customHeight="1">
      <c r="A467" s="261"/>
      <c r="B467" s="261"/>
      <c r="C467" s="10"/>
      <c r="D467" s="151"/>
      <c r="E467" s="149"/>
      <c r="F467" s="149"/>
      <c r="G467" s="149"/>
    </row>
    <row r="468" spans="1:7" customFormat="1">
      <c r="A468" s="273"/>
      <c r="B468" s="273"/>
      <c r="C468" s="312"/>
      <c r="D468" s="1730" t="s">
        <v>835</v>
      </c>
      <c r="E468" s="1730"/>
      <c r="F468" s="1730"/>
      <c r="G468" s="182"/>
    </row>
    <row r="469" spans="1:7" customFormat="1" ht="13.15" customHeight="1">
      <c r="A469" s="260"/>
      <c r="B469" s="260"/>
      <c r="C469" s="313"/>
      <c r="D469" s="1731" t="s">
        <v>1180</v>
      </c>
      <c r="E469" s="1731"/>
      <c r="F469" s="1731"/>
      <c r="G469" s="149"/>
    </row>
    <row r="470" spans="1:7" customFormat="1">
      <c r="A470" s="260"/>
      <c r="B470" s="260"/>
      <c r="C470" s="313"/>
      <c r="D470" s="1731"/>
      <c r="E470" s="1731"/>
      <c r="F470" s="1731"/>
      <c r="G470" s="149"/>
    </row>
    <row r="471" spans="1:7" customFormat="1">
      <c r="A471" s="260"/>
      <c r="B471" s="260"/>
      <c r="C471" s="313"/>
      <c r="D471" s="1731"/>
      <c r="E471" s="1731"/>
      <c r="F471" s="1731"/>
      <c r="G471" s="149"/>
    </row>
    <row r="472" spans="1:7" customFormat="1">
      <c r="A472" s="260"/>
      <c r="B472" s="260"/>
      <c r="C472" s="313"/>
      <c r="D472" s="1731"/>
      <c r="E472" s="1731"/>
      <c r="F472" s="1731"/>
      <c r="G472" s="149"/>
    </row>
    <row r="473" spans="1:7" customFormat="1">
      <c r="A473" s="260"/>
      <c r="B473" s="260"/>
      <c r="C473" s="313"/>
      <c r="D473" s="1731"/>
      <c r="E473" s="1731"/>
      <c r="F473" s="1731"/>
      <c r="G473" s="149"/>
    </row>
    <row r="474" spans="1:7" customFormat="1">
      <c r="A474" s="260"/>
      <c r="B474" s="260"/>
      <c r="C474" s="313"/>
      <c r="D474" s="468"/>
      <c r="E474" s="149"/>
      <c r="F474" s="151"/>
      <c r="G474" s="149"/>
    </row>
    <row r="475" spans="1:7" customFormat="1" ht="14.45" customHeight="1">
      <c r="A475" s="261"/>
      <c r="B475" s="671" t="s">
        <v>313</v>
      </c>
      <c r="C475" s="313"/>
      <c r="D475" s="1771" t="s">
        <v>1171</v>
      </c>
      <c r="E475" s="1771"/>
      <c r="F475" s="1771"/>
      <c r="G475" s="149"/>
    </row>
    <row r="476" spans="1:7" customFormat="1">
      <c r="A476" s="260"/>
      <c r="B476" s="260"/>
      <c r="C476" s="313"/>
      <c r="D476" s="1771"/>
      <c r="E476" s="1771"/>
      <c r="F476" s="1771"/>
      <c r="G476" s="149"/>
    </row>
    <row r="477" spans="1:7" s="672" customFormat="1">
      <c r="A477" s="260"/>
      <c r="B477" s="260"/>
      <c r="C477" s="313"/>
      <c r="D477" s="1771"/>
      <c r="E477" s="1771"/>
      <c r="F477" s="1771"/>
      <c r="G477" s="149"/>
    </row>
    <row r="478" spans="1:7" s="672" customFormat="1">
      <c r="A478" s="260"/>
      <c r="B478" s="260"/>
      <c r="C478" s="313"/>
      <c r="D478" s="1771"/>
      <c r="E478" s="1771"/>
      <c r="F478" s="1771"/>
      <c r="G478" s="149"/>
    </row>
    <row r="479" spans="1:7" customFormat="1">
      <c r="A479" s="260"/>
      <c r="B479" s="260"/>
      <c r="C479" s="313"/>
      <c r="D479" s="1771"/>
      <c r="E479" s="1771"/>
      <c r="F479" s="1771"/>
      <c r="G479" s="149"/>
    </row>
    <row r="480" spans="1:7" customFormat="1">
      <c r="A480" s="260"/>
      <c r="B480" s="260"/>
      <c r="C480" s="313"/>
      <c r="D480" s="440"/>
      <c r="E480" s="149"/>
      <c r="F480" s="151"/>
      <c r="G480" s="149"/>
    </row>
    <row r="481" spans="1:7" customFormat="1" ht="14.45" customHeight="1">
      <c r="A481" s="261"/>
      <c r="B481" s="671" t="s">
        <v>313</v>
      </c>
      <c r="C481" s="313"/>
      <c r="D481" s="1771" t="s">
        <v>1174</v>
      </c>
      <c r="E481" s="1771"/>
      <c r="F481" s="1771"/>
      <c r="G481" s="149"/>
    </row>
    <row r="482" spans="1:7" customFormat="1">
      <c r="A482" s="260"/>
      <c r="B482" s="260"/>
      <c r="C482" s="313"/>
      <c r="D482" s="1771"/>
      <c r="E482" s="1771"/>
      <c r="F482" s="1771"/>
      <c r="G482" s="149"/>
    </row>
    <row r="483" spans="1:7" s="672" customFormat="1">
      <c r="A483" s="260"/>
      <c r="B483" s="260"/>
      <c r="C483" s="313"/>
      <c r="D483" s="1771"/>
      <c r="E483" s="1771"/>
      <c r="F483" s="1771"/>
      <c r="G483" s="149"/>
    </row>
    <row r="484" spans="1:7" customFormat="1">
      <c r="A484" s="260"/>
      <c r="B484" s="260"/>
      <c r="C484" s="313"/>
      <c r="D484" s="1771"/>
      <c r="E484" s="1771"/>
      <c r="F484" s="1771"/>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771" t="s">
        <v>1172</v>
      </c>
      <c r="E486" s="1771"/>
      <c r="F486" s="1771"/>
      <c r="G486" s="149"/>
    </row>
    <row r="487" spans="1:7" customFormat="1">
      <c r="A487" s="260"/>
      <c r="B487" s="260"/>
      <c r="C487" s="313"/>
      <c r="D487" s="1771"/>
      <c r="E487" s="1771"/>
      <c r="F487" s="1771"/>
      <c r="G487" s="149"/>
    </row>
    <row r="488" spans="1:7" customFormat="1">
      <c r="A488" s="260"/>
      <c r="B488" s="260"/>
      <c r="C488" s="313"/>
      <c r="D488" s="1771"/>
      <c r="E488" s="1771"/>
      <c r="F488" s="1771"/>
      <c r="G488" s="149"/>
    </row>
    <row r="489" spans="1:7" s="672" customFormat="1">
      <c r="A489" s="260"/>
      <c r="B489" s="260"/>
      <c r="C489" s="313"/>
      <c r="D489" s="692"/>
      <c r="E489" s="692"/>
      <c r="F489" s="692"/>
      <c r="G489" s="149"/>
    </row>
    <row r="490" spans="1:7" customFormat="1" ht="14.45" customHeight="1">
      <c r="A490" s="261"/>
      <c r="B490" s="671" t="s">
        <v>313</v>
      </c>
      <c r="C490" s="313"/>
      <c r="D490" s="1771" t="s">
        <v>1173</v>
      </c>
      <c r="E490" s="1771"/>
      <c r="F490" s="1771"/>
      <c r="G490" s="149"/>
    </row>
    <row r="491" spans="1:7" customFormat="1">
      <c r="A491" s="260"/>
      <c r="B491" s="260"/>
      <c r="C491" s="313"/>
      <c r="D491" s="1771"/>
      <c r="E491" s="1771"/>
      <c r="F491" s="1771"/>
      <c r="G491" s="149"/>
    </row>
    <row r="492" spans="1:7" customFormat="1">
      <c r="A492" s="260"/>
      <c r="B492" s="260"/>
      <c r="C492" s="313"/>
      <c r="D492" s="1771"/>
      <c r="E492" s="1771"/>
      <c r="F492" s="1771"/>
      <c r="G492" s="149"/>
    </row>
    <row r="493" spans="1:7" customFormat="1">
      <c r="A493" s="260"/>
      <c r="B493" s="260"/>
      <c r="C493" s="313"/>
      <c r="D493" s="1771"/>
      <c r="E493" s="1771"/>
      <c r="F493" s="1771"/>
      <c r="G493" s="149"/>
    </row>
    <row r="494" spans="1:7" customFormat="1">
      <c r="A494" s="260"/>
      <c r="B494" s="260"/>
      <c r="C494" s="313"/>
      <c r="D494" s="1771"/>
      <c r="E494" s="1771"/>
      <c r="F494" s="1771"/>
      <c r="G494" s="149"/>
    </row>
    <row r="495" spans="1:7" customFormat="1">
      <c r="A495" s="260"/>
      <c r="B495" s="260"/>
      <c r="C495" s="313"/>
      <c r="D495" s="1771"/>
      <c r="E495" s="1771"/>
      <c r="F495" s="1771"/>
      <c r="G495" s="149"/>
    </row>
    <row r="496" spans="1:7" customFormat="1">
      <c r="A496" s="260"/>
      <c r="B496" s="260"/>
      <c r="C496" s="313"/>
      <c r="D496" s="1771"/>
      <c r="E496" s="1771"/>
      <c r="F496" s="1771"/>
      <c r="G496" s="149"/>
    </row>
    <row r="497" spans="1:7" customFormat="1">
      <c r="A497" s="482"/>
      <c r="B497" s="482"/>
      <c r="C497" s="481"/>
      <c r="D497" s="1771"/>
      <c r="E497" s="1771"/>
      <c r="F497" s="1771"/>
      <c r="G497" s="149"/>
    </row>
    <row r="498" spans="1:7" customFormat="1">
      <c r="A498" s="482"/>
      <c r="B498" s="482"/>
      <c r="C498" s="481"/>
      <c r="D498" s="1771"/>
      <c r="E498" s="1771"/>
      <c r="F498" s="1771"/>
      <c r="G498" s="149"/>
    </row>
    <row r="499" spans="1:7" customFormat="1">
      <c r="A499" s="482"/>
      <c r="B499" s="482"/>
      <c r="C499" s="481"/>
      <c r="D499" s="440"/>
      <c r="E499" s="149"/>
      <c r="F499" s="151"/>
      <c r="G499" s="149"/>
    </row>
    <row r="500" spans="1:7" customFormat="1" ht="13.15" customHeight="1">
      <c r="A500" s="482"/>
      <c r="B500" s="671" t="s">
        <v>313</v>
      </c>
      <c r="C500" s="481"/>
      <c r="D500" s="1721" t="s">
        <v>1317</v>
      </c>
      <c r="E500" s="1721"/>
      <c r="F500" s="1721"/>
      <c r="G500" s="149"/>
    </row>
    <row r="501" spans="1:7" customFormat="1">
      <c r="A501" s="482"/>
      <c r="B501" s="482"/>
      <c r="C501" s="481"/>
      <c r="D501" s="1721"/>
      <c r="E501" s="1721"/>
      <c r="F501" s="1721"/>
      <c r="G501" s="149"/>
    </row>
    <row r="502" spans="1:7" customFormat="1">
      <c r="A502" s="482"/>
      <c r="B502" s="482"/>
      <c r="C502" s="481"/>
      <c r="D502" s="1721"/>
      <c r="E502" s="1721"/>
      <c r="F502" s="1721"/>
      <c r="G502" s="149"/>
    </row>
    <row r="503" spans="1:7" customFormat="1">
      <c r="A503" s="482"/>
      <c r="B503" s="482"/>
      <c r="C503" s="481"/>
      <c r="D503" s="1721"/>
      <c r="E503" s="1721"/>
      <c r="F503" s="1721"/>
      <c r="G503" s="149"/>
    </row>
    <row r="504" spans="1:7" customFormat="1">
      <c r="A504" s="260"/>
      <c r="B504" s="260"/>
      <c r="C504" s="313"/>
      <c r="D504" s="1721"/>
      <c r="E504" s="1721"/>
      <c r="F504" s="1721"/>
      <c r="G504" s="149"/>
    </row>
    <row r="505" spans="1:7" s="709" customFormat="1">
      <c r="A505" s="712"/>
      <c r="B505" s="712"/>
      <c r="C505" s="313"/>
      <c r="D505" s="733"/>
      <c r="E505" s="733"/>
      <c r="F505" s="733"/>
      <c r="G505" s="149"/>
    </row>
    <row r="506" spans="1:7" customFormat="1" ht="14.45" customHeight="1">
      <c r="A506" s="261"/>
      <c r="B506" s="671" t="s">
        <v>313</v>
      </c>
      <c r="C506" s="10"/>
      <c r="D506" s="1771" t="s">
        <v>1175</v>
      </c>
      <c r="E506" s="1771"/>
      <c r="F506" s="1771"/>
      <c r="G506" s="149"/>
    </row>
    <row r="507" spans="1:7" customFormat="1">
      <c r="A507" s="132"/>
      <c r="B507" s="668"/>
      <c r="C507" s="10"/>
      <c r="D507" s="1771"/>
      <c r="E507" s="1771"/>
      <c r="F507" s="1771"/>
      <c r="G507" s="149"/>
    </row>
    <row r="508" spans="1:7" customFormat="1">
      <c r="A508" s="132"/>
      <c r="B508" s="668"/>
      <c r="C508" s="10"/>
      <c r="D508" s="1771"/>
      <c r="E508" s="1771"/>
      <c r="F508" s="1771"/>
      <c r="G508" s="149"/>
    </row>
    <row r="509" spans="1:7" customFormat="1" ht="12" customHeight="1">
      <c r="A509" s="135"/>
      <c r="B509" s="135"/>
      <c r="C509" s="315"/>
      <c r="D509" s="135"/>
      <c r="E509" s="149"/>
      <c r="F509" s="314"/>
      <c r="G509" s="149"/>
    </row>
    <row r="510" spans="1:7">
      <c r="A510" s="1729" t="s">
        <v>1138</v>
      </c>
      <c r="B510" s="1729"/>
      <c r="C510" s="1729"/>
      <c r="D510" s="1729"/>
      <c r="E510" s="1729"/>
      <c r="F510" s="1729"/>
      <c r="G510" s="1729"/>
    </row>
    <row r="511" spans="1:7">
      <c r="A511" s="135"/>
      <c r="B511" s="135"/>
      <c r="C511" s="266"/>
      <c r="F511" s="134"/>
    </row>
    <row r="512" spans="1:7">
      <c r="B512" s="1757" t="s">
        <v>465</v>
      </c>
      <c r="C512" s="1757"/>
      <c r="D512" s="1757"/>
      <c r="E512" s="1757"/>
      <c r="F512" s="1757"/>
    </row>
    <row r="513" spans="1:7">
      <c r="A513" s="135"/>
      <c r="B513" s="135"/>
      <c r="C513" s="266"/>
      <c r="D513" s="135"/>
      <c r="F513" s="135"/>
    </row>
    <row r="514" spans="1:7">
      <c r="A514" s="1779" t="s">
        <v>1139</v>
      </c>
      <c r="B514" s="1779"/>
      <c r="C514" s="1779"/>
      <c r="D514" s="1779"/>
      <c r="E514" s="1779"/>
      <c r="F514" s="1779"/>
      <c r="G514" s="1779"/>
    </row>
    <row r="515" spans="1:7">
      <c r="A515" s="135"/>
      <c r="B515" s="135"/>
      <c r="C515" s="266"/>
      <c r="D515" s="135"/>
      <c r="F515" s="135"/>
    </row>
    <row r="516" spans="1:7">
      <c r="C516" s="266"/>
      <c r="D516" s="1732" t="s">
        <v>710</v>
      </c>
      <c r="E516" s="1732"/>
      <c r="F516" s="1732"/>
    </row>
    <row r="517" spans="1:7" s="674" customFormat="1">
      <c r="A517" s="691"/>
      <c r="B517" s="691"/>
      <c r="C517" s="266"/>
      <c r="D517" s="1722" t="s">
        <v>1196</v>
      </c>
      <c r="E517" s="1722"/>
      <c r="F517" s="1722"/>
      <c r="G517" s="7"/>
    </row>
    <row r="518" spans="1:7" s="674" customFormat="1">
      <c r="A518" s="691"/>
      <c r="B518" s="691"/>
      <c r="C518" s="266"/>
      <c r="D518" s="696"/>
      <c r="E518" s="696"/>
      <c r="F518" s="696"/>
      <c r="G518" s="7"/>
    </row>
    <row r="519" spans="1:7" ht="13.15" customHeight="1">
      <c r="A519" s="261"/>
      <c r="B519" s="671" t="s">
        <v>313</v>
      </c>
      <c r="C519" s="266"/>
      <c r="D519" s="1722" t="s">
        <v>932</v>
      </c>
      <c r="E519" s="1722"/>
      <c r="F519" s="1722"/>
      <c r="G519" s="12"/>
    </row>
    <row r="520" spans="1:7" ht="13.15" customHeight="1">
      <c r="A520" s="266"/>
      <c r="B520" s="266"/>
      <c r="C520" s="266"/>
      <c r="D520" s="696"/>
      <c r="E520" s="669"/>
      <c r="F520" s="669"/>
      <c r="G520" s="12"/>
    </row>
    <row r="521" spans="1:7" ht="14.25">
      <c r="A521" s="261"/>
      <c r="B521" s="671" t="s">
        <v>313</v>
      </c>
      <c r="C521" s="266"/>
      <c r="D521" s="1709" t="s">
        <v>1197</v>
      </c>
      <c r="E521" s="1709"/>
      <c r="F521" s="1709"/>
      <c r="G521" s="12"/>
    </row>
    <row r="522" spans="1:7">
      <c r="A522" s="266"/>
      <c r="B522" s="266"/>
      <c r="C522" s="266"/>
      <c r="D522" s="1709"/>
      <c r="E522" s="1709"/>
      <c r="F522" s="1709"/>
      <c r="G522" s="12"/>
    </row>
    <row r="523" spans="1:7">
      <c r="A523" s="266"/>
      <c r="B523" s="266"/>
      <c r="C523" s="266"/>
      <c r="D523" s="135"/>
      <c r="E523" s="135"/>
      <c r="F523" s="135"/>
      <c r="G523" s="12"/>
    </row>
    <row r="524" spans="1:7" ht="14.25">
      <c r="A524" s="261"/>
      <c r="B524" s="671" t="s">
        <v>313</v>
      </c>
      <c r="C524" s="266"/>
      <c r="D524" s="1709" t="s">
        <v>1198</v>
      </c>
      <c r="E524" s="1709"/>
      <c r="F524" s="1709"/>
      <c r="G524" s="12"/>
    </row>
    <row r="525" spans="1:7">
      <c r="A525" s="266"/>
      <c r="B525" s="266"/>
      <c r="C525" s="266"/>
      <c r="D525" s="1709"/>
      <c r="E525" s="1709"/>
      <c r="F525" s="1709"/>
      <c r="G525" s="12"/>
    </row>
    <row r="526" spans="1:7">
      <c r="A526" s="266"/>
      <c r="B526" s="266"/>
      <c r="C526" s="266"/>
      <c r="D526" s="135"/>
      <c r="E526" s="135"/>
      <c r="F526" s="135"/>
      <c r="G526" s="12"/>
    </row>
    <row r="527" spans="1:7" ht="14.25">
      <c r="A527" s="261"/>
      <c r="B527" s="671" t="s">
        <v>313</v>
      </c>
      <c r="C527" s="266"/>
      <c r="D527" s="1709" t="s">
        <v>1199</v>
      </c>
      <c r="E527" s="1709"/>
      <c r="F527" s="1709"/>
      <c r="G527" s="12"/>
    </row>
    <row r="528" spans="1:7">
      <c r="A528" s="266"/>
      <c r="B528" s="266"/>
      <c r="C528" s="266"/>
      <c r="D528" s="1709"/>
      <c r="E528" s="1709"/>
      <c r="F528" s="1709"/>
      <c r="G528" s="12"/>
    </row>
    <row r="529" spans="1:7">
      <c r="A529" s="266"/>
      <c r="B529" s="266"/>
      <c r="C529" s="266"/>
      <c r="D529" s="135"/>
      <c r="E529" s="135"/>
      <c r="F529" s="135"/>
      <c r="G529" s="12"/>
    </row>
    <row r="530" spans="1:7" ht="14.25">
      <c r="A530" s="261"/>
      <c r="B530" s="671" t="s">
        <v>313</v>
      </c>
      <c r="C530" s="266"/>
      <c r="D530" s="1709" t="s">
        <v>1200</v>
      </c>
      <c r="E530" s="1709"/>
      <c r="F530" s="1709"/>
      <c r="G530" s="12"/>
    </row>
    <row r="531" spans="1:7">
      <c r="A531" s="266"/>
      <c r="B531" s="266"/>
      <c r="C531" s="266"/>
      <c r="D531" s="1709"/>
      <c r="E531" s="1709"/>
      <c r="F531" s="1709"/>
      <c r="G531" s="12"/>
    </row>
    <row r="532" spans="1:7">
      <c r="A532" s="266"/>
      <c r="B532" s="266"/>
      <c r="C532" s="266"/>
      <c r="D532" s="1709"/>
      <c r="E532" s="1709"/>
      <c r="F532" s="1709"/>
      <c r="G532" s="12"/>
    </row>
    <row r="533" spans="1:7">
      <c r="A533" s="266"/>
      <c r="B533" s="266"/>
      <c r="C533" s="266"/>
      <c r="D533" s="135"/>
      <c r="E533" s="135"/>
      <c r="F533" s="135"/>
    </row>
    <row r="534" spans="1:7" ht="14.25">
      <c r="A534" s="261"/>
      <c r="B534" s="671" t="s">
        <v>313</v>
      </c>
      <c r="C534" s="266"/>
      <c r="D534" s="1744" t="s">
        <v>1318</v>
      </c>
      <c r="E534" s="1744"/>
      <c r="F534" s="1744"/>
    </row>
    <row r="535" spans="1:7">
      <c r="A535" s="266"/>
      <c r="B535" s="266"/>
      <c r="C535" s="266"/>
      <c r="D535" s="1744"/>
      <c r="E535" s="1744"/>
      <c r="F535" s="1744"/>
    </row>
    <row r="536" spans="1:7">
      <c r="A536" s="266"/>
      <c r="B536" s="266"/>
      <c r="C536" s="266"/>
      <c r="D536" s="135"/>
      <c r="E536" s="135"/>
      <c r="F536" s="135"/>
    </row>
    <row r="537" spans="1:7" ht="14.25">
      <c r="A537" s="261"/>
      <c r="B537" s="671" t="s">
        <v>313</v>
      </c>
      <c r="C537" s="266"/>
      <c r="D537" s="1744" t="s">
        <v>1201</v>
      </c>
      <c r="E537" s="1744"/>
      <c r="F537" s="1744"/>
    </row>
    <row r="538" spans="1:7">
      <c r="A538" s="266"/>
      <c r="B538" s="266"/>
      <c r="C538" s="266"/>
      <c r="D538" s="1744"/>
      <c r="E538" s="1744"/>
      <c r="F538" s="1744"/>
    </row>
    <row r="539" spans="1:7">
      <c r="A539" s="266"/>
      <c r="B539" s="266"/>
      <c r="C539" s="266"/>
      <c r="D539" s="135"/>
      <c r="E539" s="135"/>
      <c r="F539" s="135"/>
    </row>
    <row r="540" spans="1:7" ht="14.25">
      <c r="A540" s="261"/>
      <c r="B540" s="671" t="s">
        <v>313</v>
      </c>
      <c r="C540" s="266"/>
      <c r="D540" s="1709" t="s">
        <v>1202</v>
      </c>
      <c r="E540" s="1709"/>
      <c r="F540" s="1709"/>
    </row>
    <row r="541" spans="1:7">
      <c r="A541" s="266"/>
      <c r="B541" s="266"/>
      <c r="C541" s="266"/>
      <c r="D541" s="1709"/>
      <c r="E541" s="1709"/>
      <c r="F541" s="1709"/>
      <c r="G541" s="57"/>
    </row>
    <row r="542" spans="1:7">
      <c r="A542" s="266"/>
      <c r="B542" s="266"/>
      <c r="C542" s="266"/>
      <c r="D542" s="135"/>
      <c r="E542" s="135"/>
      <c r="F542" s="135"/>
      <c r="G542" s="57"/>
    </row>
    <row r="543" spans="1:7" ht="14.25">
      <c r="A543" s="261"/>
      <c r="B543" s="671" t="s">
        <v>313</v>
      </c>
      <c r="C543" s="266"/>
      <c r="D543" s="1722" t="s">
        <v>1203</v>
      </c>
      <c r="E543" s="1722"/>
      <c r="F543" s="1722"/>
      <c r="G543" s="57"/>
    </row>
    <row r="544" spans="1:7">
      <c r="A544" s="23"/>
      <c r="B544" s="667"/>
      <c r="C544" s="266"/>
      <c r="D544" s="1722" t="s">
        <v>865</v>
      </c>
      <c r="E544" s="1722"/>
      <c r="F544" s="1722"/>
      <c r="G544" s="57"/>
    </row>
    <row r="545" spans="1:7">
      <c r="A545" s="23"/>
      <c r="B545" s="667"/>
      <c r="C545" s="266"/>
      <c r="D545" s="6"/>
      <c r="E545" s="1740" t="s">
        <v>1204</v>
      </c>
      <c r="F545" s="1740"/>
      <c r="G545" s="57"/>
    </row>
    <row r="546" spans="1:7" ht="14.25">
      <c r="A546" s="261"/>
      <c r="B546" s="261"/>
      <c r="C546" s="266"/>
      <c r="E546" s="135"/>
      <c r="F546" s="135"/>
      <c r="G546" s="57"/>
    </row>
    <row r="547" spans="1:7" ht="14.25">
      <c r="A547" s="261"/>
      <c r="B547" s="671" t="s">
        <v>313</v>
      </c>
      <c r="C547" s="266"/>
      <c r="D547" s="1784" t="s">
        <v>1205</v>
      </c>
      <c r="E547" s="1784"/>
      <c r="F547" s="1784"/>
      <c r="G547" s="57"/>
    </row>
    <row r="548" spans="1:7">
      <c r="C548" s="266"/>
      <c r="D548" s="1709" t="s">
        <v>1206</v>
      </c>
      <c r="E548" s="1709"/>
      <c r="F548" s="1709"/>
      <c r="G548" s="57"/>
    </row>
    <row r="549" spans="1:7">
      <c r="A549" s="266"/>
      <c r="B549" s="266"/>
      <c r="C549" s="266"/>
      <c r="D549" s="1709"/>
      <c r="E549" s="1709"/>
      <c r="F549" s="1709"/>
      <c r="G549" s="57"/>
    </row>
    <row r="550" spans="1:7">
      <c r="A550" s="266"/>
      <c r="B550" s="266"/>
      <c r="C550" s="266"/>
      <c r="D550" s="1709"/>
      <c r="E550" s="1709"/>
      <c r="F550" s="1709"/>
      <c r="G550" s="57"/>
    </row>
    <row r="551" spans="1:7">
      <c r="A551" s="266"/>
      <c r="B551" s="266"/>
      <c r="C551" s="266"/>
      <c r="D551" s="135"/>
      <c r="E551" s="135"/>
      <c r="F551" s="135"/>
      <c r="G551" s="57"/>
    </row>
    <row r="552" spans="1:7" ht="14.25">
      <c r="A552" s="261"/>
      <c r="B552" s="671" t="s">
        <v>313</v>
      </c>
      <c r="C552" s="266"/>
      <c r="D552" s="1709" t="s">
        <v>1207</v>
      </c>
      <c r="E552" s="1709"/>
      <c r="F552" s="1709"/>
      <c r="G552" s="57"/>
    </row>
    <row r="553" spans="1:7" ht="14.25">
      <c r="A553" s="261"/>
      <c r="B553" s="261"/>
      <c r="C553" s="266"/>
      <c r="D553" s="1709"/>
      <c r="E553" s="1709"/>
      <c r="F553" s="1709"/>
      <c r="G553" s="57"/>
    </row>
    <row r="554" spans="1:7" ht="14.25">
      <c r="A554" s="261"/>
      <c r="B554" s="261"/>
      <c r="C554" s="266"/>
      <c r="D554" s="1709"/>
      <c r="E554" s="1709"/>
      <c r="F554" s="1709"/>
      <c r="G554" s="57"/>
    </row>
    <row r="555" spans="1:7" ht="14.25">
      <c r="A555" s="261"/>
      <c r="B555" s="261"/>
      <c r="C555" s="266"/>
      <c r="D555" s="1709"/>
      <c r="E555" s="1709"/>
      <c r="F555" s="1709"/>
      <c r="G555" s="57"/>
    </row>
    <row r="556" spans="1:7" ht="14.25">
      <c r="A556" s="261"/>
      <c r="B556" s="261"/>
      <c r="C556" s="266"/>
      <c r="D556" s="135"/>
      <c r="E556" s="135"/>
      <c r="F556" s="135"/>
      <c r="G556" s="57"/>
    </row>
    <row r="557" spans="1:7">
      <c r="A557" s="1729" t="s">
        <v>1140</v>
      </c>
      <c r="B557" s="1729"/>
      <c r="C557" s="1729"/>
      <c r="D557" s="1729"/>
      <c r="E557" s="1729"/>
      <c r="F557" s="1729"/>
      <c r="G557" s="1729"/>
    </row>
    <row r="558" spans="1:7">
      <c r="A558" s="266"/>
      <c r="B558" s="266"/>
      <c r="C558" s="266"/>
      <c r="E558" s="135"/>
      <c r="F558" s="135"/>
      <c r="G558" s="57"/>
    </row>
    <row r="559" spans="1:7" ht="12.75" customHeight="1">
      <c r="C559" s="255"/>
      <c r="D559" s="1758" t="s">
        <v>216</v>
      </c>
      <c r="E559" s="1758"/>
      <c r="F559" s="1758"/>
      <c r="G559" s="57"/>
    </row>
    <row r="560" spans="1:7">
      <c r="A560" s="260"/>
      <c r="B560" s="260"/>
      <c r="C560" s="260"/>
      <c r="D560" s="1752" t="s">
        <v>1156</v>
      </c>
      <c r="E560" s="1752"/>
      <c r="F560" s="1752"/>
      <c r="G560" s="57"/>
    </row>
    <row r="561" spans="1:7">
      <c r="A561" s="12"/>
      <c r="B561" s="12"/>
      <c r="C561" s="260"/>
      <c r="D561" s="374"/>
      <c r="G561" s="57"/>
    </row>
    <row r="562" spans="1:7">
      <c r="A562" s="260"/>
      <c r="B562" s="671" t="s">
        <v>313</v>
      </c>
      <c r="D562" s="1752" t="s">
        <v>938</v>
      </c>
      <c r="E562" s="1752"/>
      <c r="F562" s="1752"/>
      <c r="G562" s="57"/>
    </row>
    <row r="563" spans="1:7">
      <c r="A563" s="23"/>
      <c r="B563" s="667"/>
      <c r="D563" s="325"/>
    </row>
    <row r="564" spans="1:7">
      <c r="A564" s="23"/>
      <c r="B564" s="671" t="s">
        <v>313</v>
      </c>
      <c r="D564" s="1728" t="s">
        <v>1157</v>
      </c>
      <c r="E564" s="1728"/>
      <c r="F564" s="1728"/>
    </row>
    <row r="565" spans="1:7">
      <c r="A565" s="23"/>
      <c r="B565" s="667"/>
      <c r="D565" s="1728"/>
      <c r="E565" s="1728"/>
      <c r="F565" s="1728"/>
    </row>
    <row r="566" spans="1:7">
      <c r="A566" s="23"/>
      <c r="B566" s="680"/>
      <c r="D566" s="1728"/>
      <c r="E566" s="1728"/>
      <c r="F566" s="1728"/>
    </row>
    <row r="567" spans="1:7">
      <c r="A567" s="23"/>
      <c r="B567" s="667"/>
      <c r="D567" s="473"/>
    </row>
    <row r="568" spans="1:7" s="674" customFormat="1">
      <c r="A568" s="680"/>
      <c r="B568" s="671" t="s">
        <v>313</v>
      </c>
      <c r="C568" s="681"/>
      <c r="D568" s="1728" t="s">
        <v>1158</v>
      </c>
      <c r="E568" s="1728"/>
      <c r="F568" s="1728"/>
      <c r="G568" s="7"/>
    </row>
    <row r="569" spans="1:7" s="674" customFormat="1">
      <c r="A569" s="680"/>
      <c r="B569" s="680"/>
      <c r="C569" s="681"/>
      <c r="D569" s="1728"/>
      <c r="E569" s="1728"/>
      <c r="F569" s="1728"/>
      <c r="G569" s="7"/>
    </row>
    <row r="570" spans="1:7" s="674" customFormat="1">
      <c r="A570" s="680"/>
      <c r="B570" s="680"/>
      <c r="C570" s="681"/>
      <c r="D570" s="1728"/>
      <c r="E570" s="1728"/>
      <c r="F570" s="1728"/>
      <c r="G570" s="7"/>
    </row>
    <row r="571" spans="1:7" s="674" customFormat="1">
      <c r="A571" s="680"/>
      <c r="B571" s="680"/>
      <c r="C571" s="681"/>
      <c r="D571" s="1728"/>
      <c r="E571" s="1728"/>
      <c r="F571" s="1728"/>
      <c r="G571" s="7"/>
    </row>
    <row r="572" spans="1:7" s="674" customFormat="1">
      <c r="A572" s="680"/>
      <c r="B572" s="680"/>
      <c r="C572" s="681"/>
      <c r="D572" s="686"/>
      <c r="E572" s="686"/>
      <c r="F572" s="686"/>
      <c r="G572" s="7"/>
    </row>
    <row r="573" spans="1:7">
      <c r="A573" s="23"/>
      <c r="B573" s="671" t="s">
        <v>313</v>
      </c>
      <c r="D573" s="1728" t="s">
        <v>1159</v>
      </c>
      <c r="E573" s="1728"/>
      <c r="F573" s="1728"/>
    </row>
    <row r="574" spans="1:7">
      <c r="A574" s="23"/>
      <c r="B574" s="667"/>
      <c r="D574" s="1728"/>
      <c r="E574" s="1728"/>
      <c r="F574" s="1728"/>
    </row>
    <row r="575" spans="1:7">
      <c r="A575" s="23"/>
      <c r="B575" s="667"/>
      <c r="D575" s="374"/>
    </row>
    <row r="576" spans="1:7" s="674" customFormat="1">
      <c r="A576" s="680"/>
      <c r="B576" s="671" t="s">
        <v>313</v>
      </c>
      <c r="C576" s="681"/>
      <c r="D576" s="1752" t="s">
        <v>1160</v>
      </c>
      <c r="E576" s="1752"/>
      <c r="F576" s="1752"/>
      <c r="G576" s="7"/>
    </row>
    <row r="577" spans="1:7" s="674" customFormat="1">
      <c r="A577" s="680"/>
      <c r="B577" s="680"/>
      <c r="C577" s="681"/>
      <c r="D577" s="1752"/>
      <c r="E577" s="1752"/>
      <c r="F577" s="1752"/>
      <c r="G577" s="7"/>
    </row>
    <row r="578" spans="1:7" s="674" customFormat="1">
      <c r="A578" s="680"/>
      <c r="B578" s="680"/>
      <c r="C578" s="681"/>
      <c r="D578" s="374"/>
      <c r="E578" s="7"/>
      <c r="F578" s="7"/>
      <c r="G578" s="7"/>
    </row>
    <row r="579" spans="1:7" ht="14.25">
      <c r="A579" s="261"/>
      <c r="B579" s="671" t="s">
        <v>313</v>
      </c>
      <c r="D579" s="1752" t="s">
        <v>933</v>
      </c>
      <c r="E579" s="1752"/>
      <c r="F579" s="1752"/>
    </row>
    <row r="580" spans="1:7" ht="14.25">
      <c r="A580" s="261"/>
      <c r="B580" s="261"/>
      <c r="D580" s="374"/>
    </row>
    <row r="581" spans="1:7" ht="14.25">
      <c r="A581" s="261"/>
      <c r="B581" s="671" t="s">
        <v>313</v>
      </c>
      <c r="D581" s="1752" t="s">
        <v>1161</v>
      </c>
      <c r="E581" s="1752"/>
      <c r="F581" s="1752"/>
    </row>
    <row r="582" spans="1:7" ht="14.25">
      <c r="A582" s="261"/>
      <c r="B582" s="261"/>
      <c r="D582" s="1752"/>
      <c r="E582" s="1752"/>
      <c r="F582" s="1752"/>
    </row>
    <row r="583" spans="1:7">
      <c r="D583" s="1752"/>
      <c r="E583" s="1752"/>
      <c r="F583" s="1752"/>
    </row>
    <row r="584" spans="1:7">
      <c r="D584" s="1752"/>
      <c r="E584" s="1752"/>
      <c r="F584" s="1752"/>
    </row>
    <row r="585" spans="1:7" s="674" customFormat="1">
      <c r="A585" s="681"/>
      <c r="B585" s="681"/>
      <c r="C585" s="681"/>
      <c r="D585" s="1752"/>
      <c r="E585" s="1752"/>
      <c r="F585" s="1752"/>
      <c r="G585" s="7"/>
    </row>
    <row r="586" spans="1:7" s="674" customFormat="1">
      <c r="A586" s="681"/>
      <c r="B586" s="681"/>
      <c r="C586" s="681"/>
      <c r="D586" s="1752"/>
      <c r="E586" s="1752"/>
      <c r="F586" s="1752"/>
      <c r="G586" s="7"/>
    </row>
    <row r="587" spans="1:7"/>
    <row r="588" spans="1:7">
      <c r="A588" s="1729" t="s">
        <v>1141</v>
      </c>
      <c r="B588" s="1729"/>
      <c r="C588" s="1729"/>
      <c r="D588" s="1729"/>
      <c r="E588" s="1729"/>
      <c r="F588" s="1729"/>
      <c r="G588" s="1729"/>
    </row>
    <row r="589" spans="1:7"/>
    <row r="590" spans="1:7">
      <c r="D590" s="1746" t="s">
        <v>1241</v>
      </c>
      <c r="E590" s="1746"/>
      <c r="F590" s="1746"/>
    </row>
    <row r="591" spans="1:7">
      <c r="D591" s="1785" t="s">
        <v>1242</v>
      </c>
      <c r="E591" s="1785"/>
      <c r="F591" s="1785"/>
    </row>
    <row r="592" spans="1:7" s="711" customFormat="1">
      <c r="A592" s="697"/>
      <c r="B592" s="697"/>
      <c r="C592" s="697"/>
      <c r="D592" s="715"/>
      <c r="E592" s="714"/>
      <c r="F592" s="714"/>
      <c r="G592" s="7"/>
    </row>
    <row r="593" spans="1:7" s="39" customFormat="1" ht="14.25">
      <c r="A593" s="400"/>
      <c r="B593" s="671" t="s">
        <v>313</v>
      </c>
      <c r="C593" s="273"/>
      <c r="D593" s="1748" t="s">
        <v>1243</v>
      </c>
      <c r="E593" s="1748"/>
      <c r="F593" s="1748"/>
      <c r="G593" s="130"/>
    </row>
    <row r="594" spans="1:7">
      <c r="D594" s="1748"/>
      <c r="E594" s="1748"/>
      <c r="F594" s="1748"/>
    </row>
    <row r="595" spans="1:7">
      <c r="D595" s="1748"/>
      <c r="E595" s="1748"/>
      <c r="F595" s="1748"/>
    </row>
    <row r="596" spans="1:7"/>
    <row r="597" spans="1:7">
      <c r="A597" s="1729" t="s">
        <v>1142</v>
      </c>
      <c r="B597" s="1729"/>
      <c r="C597" s="1729"/>
      <c r="D597" s="1729"/>
      <c r="E597" s="1729"/>
      <c r="F597" s="1729"/>
      <c r="G597" s="1729"/>
    </row>
    <row r="598" spans="1:7">
      <c r="A598" s="135"/>
      <c r="B598" s="135"/>
      <c r="G598" s="57"/>
    </row>
    <row r="599" spans="1:7">
      <c r="A599" s="257"/>
      <c r="B599" s="666"/>
      <c r="C599" s="255"/>
      <c r="D599" s="1786" t="s">
        <v>1244</v>
      </c>
      <c r="E599" s="1786"/>
      <c r="F599" s="1786"/>
      <c r="G599" s="57"/>
    </row>
    <row r="600" spans="1:7">
      <c r="A600" s="257"/>
      <c r="B600" s="666"/>
      <c r="C600" s="255"/>
      <c r="D600" s="1786"/>
      <c r="E600" s="1786"/>
      <c r="F600" s="1786"/>
      <c r="G600" s="57"/>
    </row>
    <row r="601" spans="1:7">
      <c r="C601" s="260"/>
      <c r="D601" s="1785" t="s">
        <v>1245</v>
      </c>
      <c r="E601" s="1785"/>
      <c r="F601" s="1785"/>
      <c r="G601" s="57"/>
    </row>
    <row r="602" spans="1:7" s="711" customFormat="1">
      <c r="A602" s="697"/>
      <c r="B602" s="697"/>
      <c r="C602" s="712"/>
      <c r="D602" s="716"/>
      <c r="E602" s="716"/>
      <c r="F602" s="716"/>
      <c r="G602" s="57"/>
    </row>
    <row r="603" spans="1:7">
      <c r="A603" s="23"/>
      <c r="B603" s="671" t="s">
        <v>313</v>
      </c>
      <c r="D603" s="1785" t="s">
        <v>449</v>
      </c>
      <c r="E603" s="1785"/>
      <c r="F603" s="1785"/>
      <c r="G603" s="57"/>
    </row>
    <row r="604" spans="1:7">
      <c r="C604" s="268"/>
      <c r="E604" s="12"/>
      <c r="G604" s="57"/>
    </row>
    <row r="605" spans="1:7">
      <c r="A605" s="23"/>
      <c r="B605" s="671" t="s">
        <v>313</v>
      </c>
      <c r="D605" s="1745" t="s">
        <v>1246</v>
      </c>
      <c r="E605" s="1745"/>
      <c r="F605" s="1745"/>
      <c r="G605" s="57"/>
    </row>
    <row r="606" spans="1:7">
      <c r="D606" s="1745"/>
      <c r="E606" s="1745"/>
      <c r="F606" s="1745"/>
      <c r="G606" s="57"/>
    </row>
    <row r="607" spans="1:7">
      <c r="D607" s="12"/>
      <c r="G607" s="57"/>
    </row>
    <row r="608" spans="1:7">
      <c r="B608" s="671" t="s">
        <v>313</v>
      </c>
      <c r="D608" s="1745" t="s">
        <v>1247</v>
      </c>
      <c r="E608" s="1745"/>
      <c r="F608" s="1745"/>
      <c r="G608" s="57"/>
    </row>
    <row r="609" spans="1:7">
      <c r="C609" s="268"/>
      <c r="D609" s="1745"/>
      <c r="E609" s="1745"/>
      <c r="F609" s="1745"/>
      <c r="G609" s="57"/>
    </row>
    <row r="610" spans="1:7">
      <c r="C610" s="268"/>
      <c r="G610" s="57"/>
    </row>
    <row r="611" spans="1:7">
      <c r="B611" s="671" t="s">
        <v>313</v>
      </c>
      <c r="C611" s="268"/>
      <c r="D611" s="1745" t="s">
        <v>1248</v>
      </c>
      <c r="E611" s="1745"/>
      <c r="F611" s="1745"/>
      <c r="G611" s="57"/>
    </row>
    <row r="612" spans="1:7">
      <c r="C612" s="268"/>
      <c r="D612" s="1745"/>
      <c r="E612" s="1745"/>
      <c r="F612" s="1745"/>
      <c r="G612" s="57"/>
    </row>
    <row r="613" spans="1:7">
      <c r="C613" s="268"/>
      <c r="G613" s="57"/>
    </row>
    <row r="614" spans="1:7">
      <c r="A614" s="1729" t="s">
        <v>1143</v>
      </c>
      <c r="B614" s="1729"/>
      <c r="C614" s="1729"/>
      <c r="D614" s="1729"/>
      <c r="E614" s="1729"/>
      <c r="F614" s="1729"/>
      <c r="G614" s="1729"/>
    </row>
    <row r="615" spans="1:7">
      <c r="A615" s="267"/>
      <c r="B615" s="267"/>
      <c r="C615" s="267"/>
      <c r="G615" s="57"/>
    </row>
    <row r="616" spans="1:7">
      <c r="C616" s="23"/>
      <c r="D616" s="1746" t="s">
        <v>1249</v>
      </c>
      <c r="E616" s="1746"/>
      <c r="F616" s="1746"/>
      <c r="G616" s="57"/>
    </row>
    <row r="617" spans="1:7">
      <c r="A617" s="23"/>
      <c r="B617" s="667"/>
      <c r="C617" s="265"/>
      <c r="D617" s="50"/>
      <c r="G617" s="57"/>
    </row>
    <row r="618" spans="1:7" ht="14.25">
      <c r="A618" s="261"/>
      <c r="B618" s="671" t="s">
        <v>313</v>
      </c>
      <c r="C618" s="265"/>
      <c r="D618" s="1747" t="s">
        <v>1250</v>
      </c>
      <c r="E618" s="1747"/>
      <c r="F618" s="1747"/>
      <c r="G618" s="57"/>
    </row>
    <row r="619" spans="1:7">
      <c r="C619" s="265"/>
      <c r="D619" s="1747"/>
      <c r="E619" s="1747"/>
      <c r="F619" s="1747"/>
      <c r="G619" s="57"/>
    </row>
    <row r="620" spans="1:7">
      <c r="C620" s="265"/>
      <c r="D620" s="1747"/>
      <c r="E620" s="1747"/>
      <c r="F620" s="1747"/>
      <c r="G620" s="57"/>
    </row>
    <row r="621" spans="1:7">
      <c r="C621" s="265"/>
      <c r="D621" s="1747"/>
      <c r="E621" s="1747"/>
      <c r="F621" s="1747"/>
      <c r="G621" s="57"/>
    </row>
    <row r="622" spans="1:7">
      <c r="C622" s="265"/>
      <c r="D622" s="1747"/>
      <c r="E622" s="1747"/>
      <c r="F622" s="1747"/>
      <c r="G622" s="57"/>
    </row>
    <row r="623" spans="1:7">
      <c r="C623" s="265"/>
      <c r="D623" s="1747"/>
      <c r="E623" s="1747"/>
      <c r="F623" s="1747"/>
      <c r="G623" s="57"/>
    </row>
    <row r="624" spans="1:7" s="711" customFormat="1">
      <c r="A624" s="697"/>
      <c r="B624" s="697"/>
      <c r="C624" s="265"/>
      <c r="D624" s="717"/>
      <c r="E624" s="717"/>
      <c r="F624" s="717"/>
      <c r="G624" s="57"/>
    </row>
    <row r="625" spans="1:7" ht="14.25">
      <c r="A625" s="261"/>
      <c r="B625" s="671" t="s">
        <v>313</v>
      </c>
      <c r="C625" s="265"/>
      <c r="D625" s="1747" t="s">
        <v>1251</v>
      </c>
      <c r="E625" s="1747"/>
      <c r="F625" s="1747"/>
      <c r="G625" s="57"/>
    </row>
    <row r="626" spans="1:7">
      <c r="A626" s="266"/>
      <c r="B626" s="266"/>
      <c r="C626" s="266"/>
      <c r="D626" s="1747"/>
      <c r="E626" s="1747"/>
      <c r="F626" s="1747"/>
      <c r="G626" s="57"/>
    </row>
    <row r="627" spans="1:7">
      <c r="A627" s="266"/>
      <c r="B627" s="266"/>
      <c r="C627" s="266"/>
      <c r="D627" s="151"/>
      <c r="E627" s="147"/>
      <c r="F627" s="147"/>
      <c r="G627" s="57"/>
    </row>
    <row r="628" spans="1:7" ht="14.25">
      <c r="A628" s="261"/>
      <c r="B628" s="671" t="s">
        <v>313</v>
      </c>
      <c r="C628" s="266"/>
      <c r="D628" s="1748" t="s">
        <v>1252</v>
      </c>
      <c r="E628" s="1748"/>
      <c r="F628" s="1748"/>
      <c r="G628" s="57"/>
    </row>
    <row r="629" spans="1:7" ht="14.25">
      <c r="A629" s="261"/>
      <c r="B629" s="261"/>
      <c r="C629" s="266"/>
      <c r="D629" s="1748"/>
      <c r="E629" s="1748"/>
      <c r="F629" s="1748"/>
      <c r="G629" s="57"/>
    </row>
    <row r="630" spans="1:7" ht="14.25">
      <c r="A630" s="261"/>
      <c r="B630" s="261"/>
      <c r="C630" s="266"/>
      <c r="D630" s="1748"/>
      <c r="E630" s="1748"/>
      <c r="F630" s="1748"/>
      <c r="G630" s="57"/>
    </row>
    <row r="631" spans="1:7">
      <c r="A631" s="266"/>
      <c r="B631" s="266"/>
      <c r="C631" s="266"/>
      <c r="D631" s="1748"/>
      <c r="E631" s="1748"/>
      <c r="F631" s="1748"/>
      <c r="G631" s="57"/>
    </row>
    <row r="632" spans="1:7" s="711" customFormat="1">
      <c r="A632" s="266"/>
      <c r="B632" s="266"/>
      <c r="C632" s="266"/>
      <c r="D632" s="718"/>
      <c r="E632" s="718"/>
      <c r="F632" s="718"/>
      <c r="G632" s="57"/>
    </row>
    <row r="633" spans="1:7">
      <c r="A633" s="266"/>
      <c r="B633" s="671" t="s">
        <v>313</v>
      </c>
      <c r="C633" s="266"/>
      <c r="D633" s="1749" t="s">
        <v>1253</v>
      </c>
      <c r="E633" s="1749"/>
      <c r="F633" s="1749"/>
      <c r="G633" s="57"/>
    </row>
    <row r="634" spans="1:7">
      <c r="A634" s="266"/>
      <c r="B634" s="266"/>
      <c r="C634" s="266"/>
      <c r="D634" s="719"/>
      <c r="E634" s="719"/>
      <c r="F634" s="719"/>
      <c r="G634" s="57"/>
    </row>
    <row r="635" spans="1:7">
      <c r="A635" s="1729" t="s">
        <v>1144</v>
      </c>
      <c r="B635" s="1729"/>
      <c r="C635" s="1729"/>
      <c r="D635" s="1729"/>
      <c r="E635" s="1729"/>
      <c r="F635" s="1729"/>
      <c r="G635" s="1729"/>
    </row>
    <row r="636" spans="1:7">
      <c r="A636" s="135"/>
      <c r="B636" s="135"/>
      <c r="C636" s="266"/>
      <c r="D636" s="147"/>
      <c r="E636" s="147"/>
      <c r="F636" s="147"/>
      <c r="G636" s="57"/>
    </row>
    <row r="637" spans="1:7">
      <c r="C637" s="267"/>
      <c r="D637" s="1750" t="s">
        <v>1303</v>
      </c>
      <c r="E637" s="1750"/>
      <c r="F637" s="1750"/>
      <c r="G637" s="57"/>
    </row>
    <row r="638" spans="1:7">
      <c r="A638" s="260"/>
      <c r="B638" s="260"/>
      <c r="C638" s="260"/>
      <c r="D638" s="1751" t="s">
        <v>1304</v>
      </c>
      <c r="E638" s="1751"/>
      <c r="F638" s="1751"/>
      <c r="G638" s="57"/>
    </row>
    <row r="639" spans="1:7" s="711" customFormat="1">
      <c r="A639" s="712"/>
      <c r="B639" s="712"/>
      <c r="C639" s="712"/>
      <c r="D639" s="726"/>
      <c r="E639" s="726"/>
      <c r="F639" s="726"/>
      <c r="G639" s="57"/>
    </row>
    <row r="640" spans="1:7" ht="14.45" customHeight="1">
      <c r="A640" s="261"/>
      <c r="B640" s="671" t="s">
        <v>313</v>
      </c>
      <c r="C640" s="266"/>
      <c r="D640" s="1707" t="s">
        <v>1305</v>
      </c>
      <c r="E640" s="1707"/>
      <c r="F640" s="1707"/>
      <c r="G640" s="57"/>
    </row>
    <row r="641" spans="1:11" ht="14.25">
      <c r="A641" s="261"/>
      <c r="B641" s="261"/>
      <c r="C641" s="266"/>
      <c r="D641" s="1707"/>
      <c r="E641" s="1707"/>
      <c r="F641" s="1707"/>
      <c r="G641" s="57"/>
    </row>
    <row r="642" spans="1:11" ht="14.25">
      <c r="A642" s="261"/>
      <c r="B642" s="261"/>
      <c r="C642" s="266"/>
      <c r="D642" s="1707"/>
      <c r="E642" s="1707"/>
      <c r="F642" s="1707"/>
      <c r="G642" s="57"/>
    </row>
    <row r="643" spans="1:11" ht="14.25">
      <c r="A643" s="261"/>
      <c r="B643" s="261"/>
      <c r="C643" s="266"/>
      <c r="D643" s="1707"/>
      <c r="E643" s="1707"/>
      <c r="F643" s="1707"/>
      <c r="G643" s="57"/>
    </row>
    <row r="644" spans="1:11" s="674" customFormat="1" ht="14.25">
      <c r="A644" s="261"/>
      <c r="B644" s="261"/>
      <c r="C644" s="266"/>
      <c r="D644" s="1707"/>
      <c r="E644" s="1707"/>
      <c r="F644" s="1707"/>
      <c r="G644" s="57"/>
    </row>
    <row r="645" spans="1:11" s="711" customFormat="1" ht="14.25">
      <c r="A645" s="706"/>
      <c r="B645" s="706"/>
      <c r="C645" s="266"/>
      <c r="D645" s="728"/>
      <c r="E645" s="728"/>
      <c r="F645" s="728"/>
      <c r="G645" s="57"/>
    </row>
    <row r="646" spans="1:11" s="674" customFormat="1" ht="14.25">
      <c r="A646" s="261"/>
      <c r="B646" s="671" t="s">
        <v>313</v>
      </c>
      <c r="C646" s="266"/>
      <c r="D646" s="1768" t="s">
        <v>1155</v>
      </c>
      <c r="E646" s="1768"/>
      <c r="F646" s="1768"/>
      <c r="G646" s="57"/>
    </row>
    <row r="647" spans="1:11" s="674" customFormat="1" ht="14.25">
      <c r="A647" s="261"/>
      <c r="B647" s="261"/>
      <c r="C647" s="266"/>
      <c r="D647" s="1769" t="s">
        <v>1306</v>
      </c>
      <c r="E647" s="1769"/>
      <c r="F647" s="1769"/>
      <c r="G647" s="57"/>
    </row>
    <row r="648" spans="1:11" s="674" customFormat="1" ht="14.25">
      <c r="A648" s="261"/>
      <c r="B648" s="261"/>
      <c r="C648" s="266"/>
      <c r="D648" s="1769"/>
      <c r="E648" s="1769"/>
      <c r="F648" s="1769"/>
      <c r="G648" s="57"/>
    </row>
    <row r="649" spans="1:11" s="674" customFormat="1" ht="14.25">
      <c r="A649" s="261"/>
      <c r="B649" s="261"/>
      <c r="C649" s="266"/>
      <c r="D649" s="1769"/>
      <c r="E649" s="1769"/>
      <c r="F649" s="1769"/>
      <c r="G649" s="57"/>
    </row>
    <row r="650" spans="1:11" s="674" customFormat="1" ht="14.25">
      <c r="A650" s="261"/>
      <c r="B650" s="261"/>
      <c r="C650" s="266"/>
      <c r="D650" s="1769"/>
      <c r="E650" s="1769"/>
      <c r="F650" s="1769"/>
      <c r="G650" s="57"/>
    </row>
    <row r="651" spans="1:11" s="674" customFormat="1" ht="14.25">
      <c r="A651" s="261"/>
      <c r="B651" s="261"/>
      <c r="C651" s="266"/>
      <c r="D651" s="1769"/>
      <c r="E651" s="1769"/>
      <c r="F651" s="1769"/>
      <c r="G651" s="57"/>
    </row>
    <row r="652" spans="1:11" s="674" customFormat="1" ht="14.25">
      <c r="A652" s="261"/>
      <c r="B652" s="261"/>
      <c r="C652" s="266"/>
      <c r="D652" s="1770" t="s">
        <v>1307</v>
      </c>
      <c r="E652" s="1770"/>
      <c r="F652" s="1770"/>
      <c r="G652" s="57"/>
    </row>
    <row r="653" spans="1:11">
      <c r="A653" s="266"/>
      <c r="B653" s="266"/>
      <c r="C653" s="266"/>
      <c r="D653" s="147"/>
      <c r="E653" s="147"/>
      <c r="F653" s="147"/>
      <c r="G653" s="57"/>
    </row>
    <row r="654" spans="1:11">
      <c r="A654" s="1729" t="s">
        <v>1145</v>
      </c>
      <c r="B654" s="1729"/>
      <c r="C654" s="1729"/>
      <c r="D654" s="1729"/>
      <c r="E654" s="1729"/>
      <c r="F654" s="1729"/>
      <c r="G654" s="1729"/>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32" t="s">
        <v>104</v>
      </c>
      <c r="E656" s="1732"/>
      <c r="F656" s="1732"/>
      <c r="G656" s="57"/>
      <c r="H656" s="269"/>
      <c r="I656" s="269"/>
      <c r="J656" s="269"/>
      <c r="K656" s="269"/>
    </row>
    <row r="657" spans="1:11">
      <c r="A657" s="267"/>
      <c r="B657" s="267"/>
      <c r="C657" s="267"/>
      <c r="D657" s="1732" t="s">
        <v>128</v>
      </c>
      <c r="E657" s="1732"/>
      <c r="F657" s="1732"/>
      <c r="G657" s="57"/>
      <c r="H657" s="269"/>
      <c r="I657" s="269"/>
      <c r="J657" s="269"/>
      <c r="K657" s="269"/>
    </row>
    <row r="658" spans="1:11">
      <c r="A658" s="260"/>
      <c r="B658" s="260"/>
      <c r="C658" s="260"/>
      <c r="D658" s="1722" t="s">
        <v>1181</v>
      </c>
      <c r="E658" s="1722"/>
      <c r="F658" s="1722"/>
      <c r="G658" s="57"/>
      <c r="H658" s="269"/>
      <c r="I658" s="269"/>
      <c r="J658" s="269"/>
      <c r="K658" s="269"/>
    </row>
    <row r="659" spans="1:11">
      <c r="A659" s="260"/>
      <c r="B659" s="260"/>
      <c r="C659" s="260"/>
      <c r="G659" s="57"/>
      <c r="H659" s="269"/>
      <c r="I659" s="269"/>
      <c r="J659" s="269"/>
      <c r="K659" s="269"/>
    </row>
    <row r="660" spans="1:11" ht="14.25">
      <c r="A660" s="261"/>
      <c r="B660" s="671" t="s">
        <v>313</v>
      </c>
      <c r="C660" s="260"/>
      <c r="D660" s="1722" t="s">
        <v>934</v>
      </c>
      <c r="E660" s="1722"/>
      <c r="F660" s="1722"/>
      <c r="G660" s="57"/>
      <c r="H660" s="269"/>
      <c r="I660" s="269"/>
      <c r="J660" s="269"/>
      <c r="K660" s="269"/>
    </row>
    <row r="661" spans="1:11">
      <c r="A661" s="260"/>
      <c r="B661" s="260"/>
      <c r="C661" s="260"/>
      <c r="D661" s="1722" t="s">
        <v>945</v>
      </c>
      <c r="E661" s="1722"/>
      <c r="F661" s="1722"/>
      <c r="G661" s="57"/>
      <c r="H661" s="269"/>
      <c r="I661" s="269"/>
      <c r="J661" s="269"/>
      <c r="K661" s="269"/>
    </row>
    <row r="662" spans="1:11">
      <c r="A662" s="260"/>
      <c r="B662" s="260"/>
      <c r="C662" s="260"/>
      <c r="D662" s="6"/>
      <c r="E662" s="1718" t="s">
        <v>1182</v>
      </c>
      <c r="F662" s="1718"/>
      <c r="G662" s="57"/>
      <c r="H662" s="269"/>
      <c r="I662" s="269"/>
      <c r="J662" s="269"/>
      <c r="K662" s="269"/>
    </row>
    <row r="663" spans="1:11">
      <c r="A663" s="260"/>
      <c r="B663" s="260"/>
      <c r="C663" s="260"/>
      <c r="D663" s="6"/>
      <c r="E663" s="1718"/>
      <c r="F663" s="1718"/>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709" t="s">
        <v>1183</v>
      </c>
      <c r="E665" s="1709"/>
      <c r="F665" s="1709"/>
      <c r="G665" s="57"/>
      <c r="H665" s="269"/>
      <c r="I665" s="269"/>
      <c r="J665" s="269"/>
      <c r="K665" s="269"/>
    </row>
    <row r="666" spans="1:11">
      <c r="A666" s="23"/>
      <c r="B666" s="667"/>
      <c r="C666" s="260"/>
      <c r="D666" s="1709"/>
      <c r="E666" s="1709"/>
      <c r="F666" s="1709"/>
      <c r="G666" s="57"/>
      <c r="H666" s="269"/>
      <c r="I666" s="269"/>
      <c r="J666" s="269"/>
      <c r="K666" s="269"/>
    </row>
    <row r="667" spans="1:11">
      <c r="A667" s="260"/>
      <c r="B667" s="260"/>
      <c r="C667" s="260"/>
      <c r="D667" s="1709"/>
      <c r="E667" s="1709"/>
      <c r="F667" s="1709"/>
      <c r="G667" s="57"/>
      <c r="H667" s="269"/>
      <c r="I667" s="269"/>
      <c r="J667" s="269"/>
      <c r="K667" s="269"/>
    </row>
    <row r="668" spans="1:11">
      <c r="A668" s="260"/>
      <c r="B668" s="260"/>
      <c r="C668" s="260"/>
      <c r="G668" s="57"/>
      <c r="H668" s="269"/>
      <c r="I668" s="269"/>
      <c r="J668" s="269"/>
      <c r="K668" s="269"/>
    </row>
    <row r="669" spans="1:11" ht="14.25">
      <c r="A669" s="261"/>
      <c r="B669" s="671" t="s">
        <v>313</v>
      </c>
      <c r="C669" s="260"/>
      <c r="D669" s="1722" t="s">
        <v>973</v>
      </c>
      <c r="E669" s="1722"/>
      <c r="F669" s="1722"/>
      <c r="G669" s="57"/>
      <c r="H669" s="269"/>
      <c r="I669" s="269"/>
      <c r="J669" s="269"/>
      <c r="K669" s="269"/>
    </row>
    <row r="670" spans="1:11" ht="14.25">
      <c r="A670" s="261"/>
      <c r="B670" s="261"/>
      <c r="C670" s="260"/>
      <c r="D670" s="1722" t="s">
        <v>945</v>
      </c>
      <c r="E670" s="1722"/>
      <c r="F670" s="1722"/>
      <c r="G670" s="57"/>
      <c r="H670" s="269"/>
      <c r="I670" s="269"/>
      <c r="J670" s="269"/>
      <c r="K670" s="269"/>
    </row>
    <row r="671" spans="1:11">
      <c r="A671" s="260"/>
      <c r="B671" s="260"/>
      <c r="C671" s="260"/>
      <c r="D671" s="6"/>
      <c r="E671" s="1740" t="s">
        <v>1184</v>
      </c>
      <c r="F671" s="1740"/>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744" t="s">
        <v>1194</v>
      </c>
      <c r="E673" s="1744"/>
      <c r="F673" s="1744"/>
      <c r="G673" s="57"/>
      <c r="H673" s="269"/>
      <c r="I673" s="269"/>
      <c r="J673" s="269"/>
      <c r="K673" s="269"/>
    </row>
    <row r="674" spans="1:11">
      <c r="A674" s="260"/>
      <c r="B674" s="260"/>
      <c r="C674" s="260"/>
      <c r="D674" s="1744"/>
      <c r="E674" s="1744"/>
      <c r="F674" s="1744"/>
      <c r="G674" s="57"/>
      <c r="H674" s="269"/>
      <c r="I674" s="269"/>
      <c r="J674" s="269"/>
      <c r="K674" s="269"/>
    </row>
    <row r="675" spans="1:11">
      <c r="A675" s="260"/>
      <c r="B675" s="260"/>
      <c r="C675" s="260"/>
      <c r="D675" s="1744"/>
      <c r="E675" s="1744"/>
      <c r="F675" s="1744"/>
      <c r="G675" s="57"/>
      <c r="H675" s="269"/>
      <c r="I675" s="269"/>
      <c r="J675" s="269"/>
      <c r="K675" s="269"/>
    </row>
    <row r="676" spans="1:11">
      <c r="A676" s="260"/>
      <c r="B676" s="260"/>
      <c r="C676" s="260"/>
      <c r="D676" s="1744"/>
      <c r="E676" s="1744"/>
      <c r="F676" s="1744"/>
      <c r="G676" s="57"/>
      <c r="H676" s="269"/>
      <c r="I676" s="269"/>
      <c r="J676" s="269"/>
      <c r="K676" s="269"/>
    </row>
    <row r="677" spans="1:11">
      <c r="A677" s="260"/>
      <c r="B677" s="260"/>
      <c r="C677" s="260"/>
      <c r="D677" s="1744"/>
      <c r="E677" s="1744"/>
      <c r="F677" s="1744"/>
      <c r="G677" s="57"/>
      <c r="H677" s="269"/>
      <c r="I677" s="269"/>
      <c r="J677" s="269"/>
      <c r="K677" s="269"/>
    </row>
    <row r="678" spans="1:11" s="39" customFormat="1">
      <c r="A678" s="482"/>
      <c r="B678" s="482"/>
      <c r="C678" s="482"/>
      <c r="D678" s="1744"/>
      <c r="E678" s="1744"/>
      <c r="F678" s="1744"/>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744" t="s">
        <v>1185</v>
      </c>
      <c r="E680" s="1744"/>
      <c r="F680" s="1744"/>
      <c r="G680" s="57"/>
      <c r="H680" s="269"/>
      <c r="I680" s="269"/>
      <c r="J680" s="269"/>
      <c r="K680" s="269"/>
    </row>
    <row r="681" spans="1:11">
      <c r="A681" s="260"/>
      <c r="B681" s="260"/>
      <c r="C681" s="260"/>
      <c r="D681" s="1744"/>
      <c r="E681" s="1744"/>
      <c r="F681" s="1744"/>
      <c r="G681" s="57"/>
      <c r="H681" s="269"/>
      <c r="I681" s="269"/>
      <c r="J681" s="269"/>
      <c r="K681" s="269"/>
    </row>
    <row r="682" spans="1:11">
      <c r="A682" s="260"/>
      <c r="B682" s="260"/>
      <c r="C682" s="260"/>
      <c r="D682" s="1744"/>
      <c r="E682" s="1744"/>
      <c r="F682" s="1744"/>
      <c r="G682" s="57"/>
      <c r="H682" s="269"/>
      <c r="I682" s="269"/>
      <c r="J682" s="269"/>
      <c r="K682" s="269"/>
    </row>
    <row r="683" spans="1:11" ht="15" customHeight="1">
      <c r="A683" s="260"/>
      <c r="B683" s="260"/>
      <c r="C683" s="260"/>
      <c r="D683" s="1744"/>
      <c r="E683" s="1744"/>
      <c r="F683" s="1744"/>
      <c r="G683" s="57"/>
      <c r="H683" s="269"/>
      <c r="I683" s="269"/>
      <c r="J683" s="269"/>
      <c r="K683" s="269"/>
    </row>
    <row r="684" spans="1:11" ht="15" customHeight="1">
      <c r="A684" s="260"/>
      <c r="B684" s="260"/>
      <c r="C684" s="260"/>
      <c r="D684" s="1744"/>
      <c r="E684" s="1744"/>
      <c r="F684" s="1744"/>
      <c r="G684" s="57"/>
      <c r="H684" s="269"/>
      <c r="I684" s="269"/>
      <c r="J684" s="269"/>
      <c r="K684" s="269"/>
    </row>
    <row r="685" spans="1:11">
      <c r="A685" s="260"/>
      <c r="B685" s="260"/>
      <c r="C685" s="260"/>
      <c r="D685" s="1744"/>
      <c r="E685" s="1744"/>
      <c r="F685" s="1744"/>
      <c r="G685" s="57"/>
      <c r="H685" s="269"/>
      <c r="I685" s="269"/>
      <c r="J685" s="269"/>
      <c r="K685" s="269"/>
    </row>
    <row r="686" spans="1:11">
      <c r="A686" s="260"/>
      <c r="B686" s="260"/>
      <c r="C686" s="260"/>
      <c r="D686" s="1744"/>
      <c r="E686" s="1744"/>
      <c r="F686" s="1744"/>
      <c r="G686" s="57"/>
      <c r="H686" s="269"/>
      <c r="I686" s="269"/>
      <c r="J686" s="269"/>
      <c r="K686" s="269"/>
    </row>
    <row r="687" spans="1:11">
      <c r="A687" s="260"/>
      <c r="B687" s="260"/>
      <c r="C687" s="260"/>
      <c r="D687" s="1744"/>
      <c r="E687" s="1744"/>
      <c r="F687" s="1744"/>
      <c r="G687" s="57"/>
      <c r="H687" s="269"/>
      <c r="I687" s="269"/>
      <c r="J687" s="269"/>
      <c r="K687" s="269"/>
    </row>
    <row r="688" spans="1:11" ht="15" customHeight="1">
      <c r="A688" s="260"/>
      <c r="B688" s="260"/>
      <c r="C688" s="260"/>
      <c r="D688" s="1744"/>
      <c r="E688" s="1744"/>
      <c r="F688" s="1744"/>
      <c r="G688" s="57"/>
      <c r="H688" s="269"/>
      <c r="I688" s="269"/>
      <c r="J688" s="269"/>
      <c r="K688" s="269"/>
    </row>
    <row r="689" spans="1:11">
      <c r="A689" s="260"/>
      <c r="B689" s="260"/>
      <c r="C689" s="260"/>
      <c r="D689" s="1744"/>
      <c r="E689" s="1744"/>
      <c r="F689" s="1744"/>
      <c r="G689" s="57"/>
      <c r="H689" s="269"/>
      <c r="I689" s="269"/>
      <c r="J689" s="269"/>
      <c r="K689" s="269"/>
    </row>
    <row r="690" spans="1:11">
      <c r="A690" s="260"/>
      <c r="B690" s="260"/>
      <c r="C690" s="260"/>
      <c r="D690" s="1744"/>
      <c r="E690" s="1744"/>
      <c r="F690" s="1744"/>
      <c r="G690" s="57"/>
      <c r="H690" s="269"/>
      <c r="I690" s="269"/>
      <c r="J690" s="269"/>
      <c r="K690" s="269"/>
    </row>
    <row r="691" spans="1:11">
      <c r="A691" s="260"/>
      <c r="B691" s="260"/>
      <c r="C691" s="260"/>
      <c r="D691" s="1744"/>
      <c r="E691" s="1744"/>
      <c r="F691" s="1744"/>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744" t="s">
        <v>1195</v>
      </c>
      <c r="E693" s="1744"/>
      <c r="F693" s="1744"/>
      <c r="G693" s="57"/>
      <c r="H693" s="269"/>
      <c r="I693" s="269"/>
      <c r="J693" s="269"/>
      <c r="K693" s="269"/>
    </row>
    <row r="694" spans="1:11">
      <c r="A694" s="260"/>
      <c r="B694" s="260"/>
      <c r="C694" s="260"/>
      <c r="D694" s="1744"/>
      <c r="E694" s="1744"/>
      <c r="F694" s="1744"/>
      <c r="G694" s="57"/>
      <c r="H694" s="269"/>
      <c r="I694" s="269"/>
      <c r="J694" s="269"/>
      <c r="K694" s="269"/>
    </row>
    <row r="695" spans="1:11">
      <c r="A695" s="260"/>
      <c r="B695" s="260"/>
      <c r="C695" s="260"/>
      <c r="D695" s="1744"/>
      <c r="E695" s="1744"/>
      <c r="F695" s="1744"/>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744" t="s">
        <v>1192</v>
      </c>
      <c r="E697" s="1744"/>
      <c r="F697" s="1744"/>
      <c r="G697" s="57"/>
      <c r="H697" s="269"/>
      <c r="I697" s="269"/>
      <c r="J697" s="269"/>
      <c r="K697" s="269"/>
    </row>
    <row r="698" spans="1:11" s="674" customFormat="1">
      <c r="A698" s="260"/>
      <c r="B698" s="260"/>
      <c r="C698" s="260"/>
      <c r="D698" s="1744"/>
      <c r="E698" s="1744"/>
      <c r="F698" s="1744"/>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744" t="s">
        <v>1193</v>
      </c>
      <c r="E700" s="1744"/>
      <c r="F700" s="1744"/>
      <c r="G700" s="57"/>
      <c r="H700" s="269"/>
      <c r="I700" s="269"/>
      <c r="J700" s="269"/>
      <c r="K700" s="269"/>
    </row>
    <row r="701" spans="1:11" s="674" customFormat="1">
      <c r="A701" s="260"/>
      <c r="B701" s="260"/>
      <c r="C701" s="260"/>
      <c r="D701" s="1744"/>
      <c r="E701" s="1744"/>
      <c r="F701" s="1744"/>
      <c r="G701" s="57"/>
      <c r="H701" s="269"/>
      <c r="I701" s="269"/>
      <c r="J701" s="269"/>
      <c r="K701" s="269"/>
    </row>
    <row r="702" spans="1:11" s="674" customFormat="1">
      <c r="A702" s="260"/>
      <c r="B702" s="260"/>
      <c r="C702" s="260"/>
      <c r="D702" s="1744"/>
      <c r="E702" s="1744"/>
      <c r="F702" s="1744"/>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744" t="s">
        <v>1186</v>
      </c>
      <c r="E704" s="1744"/>
      <c r="F704" s="1744"/>
      <c r="G704" s="57"/>
      <c r="H704" s="269"/>
      <c r="I704" s="269"/>
      <c r="J704" s="269"/>
      <c r="K704" s="269"/>
    </row>
    <row r="705" spans="1:11">
      <c r="A705" s="260"/>
      <c r="B705" s="260"/>
      <c r="C705" s="260"/>
      <c r="D705" s="1744"/>
      <c r="E705" s="1744"/>
      <c r="F705" s="1744"/>
      <c r="G705" s="57"/>
      <c r="H705" s="269"/>
      <c r="I705" s="269"/>
      <c r="J705" s="269"/>
      <c r="K705" s="269"/>
    </row>
    <row r="706" spans="1:11">
      <c r="A706" s="260"/>
      <c r="B706" s="260"/>
      <c r="C706" s="260"/>
      <c r="D706" s="1744"/>
      <c r="E706" s="1744"/>
      <c r="F706" s="1744"/>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744" t="s">
        <v>1187</v>
      </c>
      <c r="E708" s="1744"/>
      <c r="F708" s="1744"/>
      <c r="G708" s="57"/>
      <c r="H708" s="269"/>
      <c r="I708" s="269"/>
      <c r="J708" s="269"/>
      <c r="K708" s="269"/>
    </row>
    <row r="709" spans="1:11">
      <c r="A709" s="260"/>
      <c r="B709" s="260"/>
      <c r="C709" s="260"/>
      <c r="D709" s="1744"/>
      <c r="E709" s="1744"/>
      <c r="F709" s="1744"/>
      <c r="G709" s="57"/>
      <c r="H709" s="269"/>
      <c r="I709" s="269"/>
      <c r="J709" s="269"/>
      <c r="K709" s="269"/>
    </row>
    <row r="710" spans="1:11">
      <c r="A710" s="260"/>
      <c r="B710" s="260"/>
      <c r="C710" s="260"/>
      <c r="D710" s="1744"/>
      <c r="E710" s="1744"/>
      <c r="F710" s="1744"/>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709" t="s">
        <v>1188</v>
      </c>
      <c r="E712" s="1709"/>
      <c r="F712" s="1709"/>
      <c r="G712" s="57"/>
      <c r="H712" s="269"/>
      <c r="I712" s="269"/>
      <c r="J712" s="269"/>
      <c r="K712" s="269"/>
    </row>
    <row r="713" spans="1:11">
      <c r="A713" s="260"/>
      <c r="B713" s="260"/>
      <c r="C713" s="260"/>
      <c r="D713" s="1709"/>
      <c r="E713" s="1709"/>
      <c r="F713" s="1709"/>
      <c r="G713" s="57"/>
      <c r="H713" s="269"/>
      <c r="I713" s="269"/>
      <c r="J713" s="269"/>
      <c r="K713" s="269"/>
    </row>
    <row r="714" spans="1:11">
      <c r="A714" s="260"/>
      <c r="B714" s="260"/>
      <c r="C714" s="260"/>
      <c r="D714" s="1709"/>
      <c r="E714" s="1709"/>
      <c r="F714" s="1709"/>
      <c r="G714" s="57"/>
      <c r="H714" s="269"/>
      <c r="I714" s="269"/>
      <c r="J714" s="269"/>
      <c r="K714" s="269"/>
    </row>
    <row r="715" spans="1:11">
      <c r="A715" s="260"/>
      <c r="B715" s="260"/>
      <c r="C715" s="260"/>
      <c r="D715" s="1709"/>
      <c r="E715" s="1709"/>
      <c r="F715" s="1709"/>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744" t="s">
        <v>1321</v>
      </c>
      <c r="E717" s="1744"/>
      <c r="F717" s="1744"/>
      <c r="G717" s="57"/>
      <c r="H717" s="269"/>
      <c r="I717" s="269"/>
      <c r="J717" s="269"/>
      <c r="K717" s="269"/>
    </row>
    <row r="718" spans="1:11">
      <c r="A718" s="260"/>
      <c r="B718" s="260"/>
      <c r="C718" s="260"/>
      <c r="D718" s="1744"/>
      <c r="E718" s="1744"/>
      <c r="F718" s="1744"/>
      <c r="G718" s="57"/>
      <c r="H718" s="269"/>
      <c r="I718" s="269"/>
      <c r="J718" s="269"/>
      <c r="K718" s="269"/>
    </row>
    <row r="719" spans="1:11">
      <c r="A719" s="260"/>
      <c r="B719" s="260"/>
      <c r="C719" s="260"/>
      <c r="D719" s="1744"/>
      <c r="E719" s="1744"/>
      <c r="F719" s="1744"/>
      <c r="G719" s="57"/>
      <c r="H719" s="269"/>
      <c r="I719" s="269"/>
      <c r="J719" s="269"/>
      <c r="K719" s="269"/>
    </row>
    <row r="720" spans="1:11">
      <c r="A720" s="260"/>
      <c r="B720" s="260"/>
      <c r="C720" s="260"/>
      <c r="D720" s="1744"/>
      <c r="E720" s="1744"/>
      <c r="F720" s="1744"/>
      <c r="G720" s="57"/>
      <c r="H720" s="269"/>
      <c r="I720" s="269"/>
      <c r="J720" s="269"/>
      <c r="K720" s="269"/>
    </row>
    <row r="721" spans="1:11">
      <c r="A721" s="260"/>
      <c r="B721" s="260"/>
      <c r="C721" s="260"/>
      <c r="D721" s="1744"/>
      <c r="E721" s="1744"/>
      <c r="F721" s="1744"/>
      <c r="G721" s="57"/>
      <c r="H721" s="269"/>
      <c r="I721" s="269"/>
      <c r="J721" s="269"/>
      <c r="K721" s="269"/>
    </row>
    <row r="722" spans="1:11">
      <c r="A722" s="260"/>
      <c r="B722" s="260"/>
      <c r="C722" s="260"/>
      <c r="D722" s="1744"/>
      <c r="E722" s="1744"/>
      <c r="F722" s="1744"/>
      <c r="G722" s="57"/>
      <c r="H722" s="269"/>
      <c r="I722" s="269"/>
      <c r="J722" s="269"/>
      <c r="K722" s="269"/>
    </row>
    <row r="723" spans="1:11">
      <c r="A723" s="260"/>
      <c r="B723" s="260"/>
      <c r="C723" s="260"/>
      <c r="D723" s="1744"/>
      <c r="E723" s="1744"/>
      <c r="F723" s="1744"/>
      <c r="G723" s="57"/>
      <c r="H723" s="269"/>
      <c r="I723" s="269"/>
      <c r="J723" s="269"/>
      <c r="K723" s="269"/>
    </row>
    <row r="724" spans="1:11">
      <c r="A724" s="260"/>
      <c r="B724" s="260"/>
      <c r="C724" s="260"/>
      <c r="D724" s="1777" t="s">
        <v>1189</v>
      </c>
      <c r="E724" s="1777"/>
      <c r="F724" s="1777"/>
      <c r="G724" s="57"/>
      <c r="H724" s="269"/>
      <c r="I724" s="269"/>
      <c r="J724" s="269"/>
      <c r="K724" s="269"/>
    </row>
    <row r="725" spans="1:11" s="674" customFormat="1">
      <c r="A725" s="260"/>
      <c r="B725" s="260"/>
      <c r="C725" s="260"/>
      <c r="D725" s="526"/>
      <c r="E725" s="7"/>
      <c r="F725" s="7"/>
      <c r="G725" s="57"/>
      <c r="H725" s="269"/>
      <c r="I725" s="269"/>
      <c r="J725" s="269"/>
      <c r="K725" s="269"/>
    </row>
    <row r="726" spans="1:11">
      <c r="A726" s="1779" t="s">
        <v>1146</v>
      </c>
      <c r="B726" s="1779"/>
      <c r="C726" s="1779"/>
      <c r="D726" s="1779"/>
      <c r="E726" s="1779"/>
      <c r="F726" s="1779"/>
      <c r="G726" s="1779"/>
      <c r="H726" s="269"/>
      <c r="I726" s="269"/>
      <c r="J726" s="269"/>
      <c r="K726" s="269"/>
    </row>
    <row r="727" spans="1:11">
      <c r="A727" s="260"/>
      <c r="B727" s="260"/>
      <c r="C727" s="260"/>
      <c r="D727" s="263"/>
      <c r="G727" s="271"/>
      <c r="H727" s="269"/>
      <c r="I727" s="269"/>
      <c r="J727" s="269"/>
      <c r="K727" s="269"/>
    </row>
    <row r="728" spans="1:11" ht="13.15" customHeight="1">
      <c r="C728" s="260"/>
      <c r="D728" s="1758" t="s">
        <v>1162</v>
      </c>
      <c r="E728" s="1758"/>
      <c r="F728" s="1758"/>
      <c r="G728" s="271"/>
      <c r="H728" s="269"/>
      <c r="I728" s="269"/>
      <c r="J728" s="269"/>
      <c r="K728" s="269"/>
    </row>
    <row r="729" spans="1:11">
      <c r="A729" s="260"/>
      <c r="B729" s="260"/>
      <c r="C729" s="260"/>
      <c r="D729" s="1775" t="s">
        <v>1163</v>
      </c>
      <c r="E729" s="1775"/>
      <c r="F729" s="1775"/>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709" t="s">
        <v>1164</v>
      </c>
      <c r="E731" s="1709"/>
      <c r="F731" s="1709"/>
      <c r="G731" s="271"/>
      <c r="H731" s="272"/>
      <c r="I731" s="272"/>
      <c r="J731" s="272"/>
      <c r="K731" s="272"/>
    </row>
    <row r="732" spans="1:11" s="39" customFormat="1" ht="10.5" customHeight="1">
      <c r="A732" s="132"/>
      <c r="B732" s="668"/>
      <c r="C732" s="132"/>
      <c r="D732" s="1709"/>
      <c r="E732" s="1709"/>
      <c r="F732" s="1709"/>
      <c r="G732" s="271"/>
      <c r="H732" s="272"/>
      <c r="I732" s="272"/>
      <c r="J732" s="272"/>
      <c r="K732" s="272"/>
    </row>
    <row r="733" spans="1:11" s="39" customFormat="1">
      <c r="A733" s="132"/>
      <c r="B733" s="668"/>
      <c r="C733" s="132"/>
      <c r="D733" s="1709"/>
      <c r="E733" s="1709"/>
      <c r="F733" s="1709"/>
      <c r="G733" s="271"/>
      <c r="H733" s="272"/>
      <c r="I733" s="272"/>
      <c r="J733" s="272"/>
      <c r="K733" s="272"/>
    </row>
    <row r="734" spans="1:11">
      <c r="D734" s="1709"/>
      <c r="E734" s="1709"/>
      <c r="F734" s="1709"/>
      <c r="G734" s="271"/>
      <c r="H734" s="269"/>
      <c r="I734" s="269"/>
      <c r="J734" s="269"/>
      <c r="K734" s="269"/>
    </row>
    <row r="735" spans="1:11">
      <c r="A735" s="273"/>
      <c r="B735" s="273"/>
      <c r="C735" s="273"/>
      <c r="D735" s="1709"/>
      <c r="E735" s="1709"/>
      <c r="F735" s="1709"/>
      <c r="G735" s="275"/>
      <c r="H735" s="269"/>
      <c r="I735" s="269"/>
      <c r="J735" s="269"/>
      <c r="K735" s="269"/>
    </row>
    <row r="736" spans="1:11" ht="15.6" customHeight="1">
      <c r="A736" s="273"/>
      <c r="B736" s="273"/>
      <c r="C736" s="273"/>
      <c r="D736" s="1709"/>
      <c r="E736" s="1709"/>
      <c r="F736" s="1709"/>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710" t="s">
        <v>1165</v>
      </c>
      <c r="E738" s="1710"/>
      <c r="F738" s="1710"/>
      <c r="G738" s="311"/>
    </row>
    <row r="739" spans="1:11" s="406" customFormat="1">
      <c r="A739" s="405"/>
      <c r="B739" s="405"/>
      <c r="C739" s="405"/>
      <c r="D739" s="1710"/>
      <c r="E739" s="1710"/>
      <c r="F739" s="1710"/>
      <c r="G739" s="311"/>
    </row>
    <row r="740" spans="1:11" s="406" customFormat="1">
      <c r="A740" s="405"/>
      <c r="B740" s="405"/>
      <c r="C740" s="405"/>
      <c r="D740" s="1710"/>
      <c r="E740" s="1710"/>
      <c r="F740" s="1710"/>
      <c r="G740" s="311"/>
    </row>
    <row r="741" spans="1:11" s="406" customFormat="1">
      <c r="A741" s="405"/>
      <c r="B741" s="405"/>
      <c r="C741" s="405"/>
      <c r="D741" s="1710"/>
      <c r="E741" s="1710"/>
      <c r="F741" s="1710"/>
      <c r="G741" s="311"/>
    </row>
    <row r="742" spans="1:11" s="406" customFormat="1">
      <c r="A742" s="405"/>
      <c r="B742" s="405"/>
      <c r="C742" s="405"/>
      <c r="D742" s="374"/>
      <c r="E742" s="311"/>
      <c r="F742" s="311"/>
      <c r="G742" s="311"/>
    </row>
    <row r="743" spans="1:11" s="406" customFormat="1" ht="14.25">
      <c r="A743" s="261"/>
      <c r="B743" s="671" t="s">
        <v>313</v>
      </c>
      <c r="C743" s="405"/>
      <c r="D743" s="1776" t="s">
        <v>1166</v>
      </c>
      <c r="E743" s="1776"/>
      <c r="F743" s="1776"/>
      <c r="G743" s="311"/>
    </row>
    <row r="744" spans="1:11" s="406" customFormat="1">
      <c r="A744" s="405"/>
      <c r="B744" s="405"/>
      <c r="C744" s="405"/>
      <c r="D744" s="1776"/>
      <c r="E744" s="1776"/>
      <c r="F744" s="1776"/>
      <c r="G744" s="311"/>
    </row>
    <row r="745" spans="1:11" s="406" customFormat="1">
      <c r="A745" s="405"/>
      <c r="B745" s="405"/>
      <c r="C745" s="405"/>
      <c r="D745" s="1776"/>
      <c r="E745" s="1776"/>
      <c r="F745" s="1776"/>
      <c r="G745" s="311"/>
    </row>
    <row r="746" spans="1:11">
      <c r="A746" s="273"/>
      <c r="B746" s="273"/>
      <c r="C746" s="273"/>
      <c r="D746" s="374"/>
      <c r="E746" s="274"/>
      <c r="F746" s="274"/>
      <c r="G746" s="275"/>
      <c r="H746" s="269"/>
      <c r="I746" s="269"/>
      <c r="J746" s="269"/>
      <c r="K746" s="269"/>
    </row>
    <row r="747" spans="1:11" ht="14.25">
      <c r="A747" s="261"/>
      <c r="B747" s="671" t="s">
        <v>313</v>
      </c>
      <c r="C747" s="273"/>
      <c r="D747" s="1710" t="s">
        <v>1167</v>
      </c>
      <c r="E747" s="1710"/>
      <c r="F747" s="1710"/>
      <c r="G747" s="275"/>
      <c r="H747" s="269"/>
      <c r="I747" s="269"/>
      <c r="J747" s="269"/>
      <c r="K747" s="269"/>
    </row>
    <row r="748" spans="1:11">
      <c r="A748" s="273"/>
      <c r="B748" s="273"/>
      <c r="C748" s="273"/>
      <c r="D748" s="1710"/>
      <c r="E748" s="1710"/>
      <c r="F748" s="1710"/>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710" t="s">
        <v>1168</v>
      </c>
      <c r="E750" s="1710"/>
      <c r="F750" s="1710"/>
      <c r="G750" s="275"/>
      <c r="H750" s="269"/>
      <c r="I750" s="269"/>
      <c r="J750" s="269"/>
      <c r="K750" s="269"/>
    </row>
    <row r="751" spans="1:11" s="674" customFormat="1">
      <c r="A751" s="273"/>
      <c r="B751" s="273"/>
      <c r="C751" s="273"/>
      <c r="D751" s="1710"/>
      <c r="E751" s="1710"/>
      <c r="F751" s="1710"/>
      <c r="G751" s="275"/>
      <c r="H751" s="269"/>
      <c r="I751" s="269"/>
      <c r="J751" s="269"/>
      <c r="K751" s="269"/>
    </row>
    <row r="752" spans="1:11" s="674" customFormat="1">
      <c r="A752" s="273"/>
      <c r="B752" s="273"/>
      <c r="C752" s="273"/>
      <c r="D752" s="1710"/>
      <c r="E752" s="1710"/>
      <c r="F752" s="1710"/>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81" t="s">
        <v>1169</v>
      </c>
      <c r="B754" s="1781"/>
      <c r="C754" s="1781"/>
      <c r="D754" s="1781"/>
      <c r="E754" s="1781"/>
      <c r="F754" s="1781"/>
      <c r="G754" s="1781"/>
    </row>
    <row r="755" spans="1:11">
      <c r="A755" s="260"/>
      <c r="B755" s="260"/>
      <c r="C755" s="260"/>
      <c r="D755" s="276"/>
      <c r="F755" s="147"/>
      <c r="G755" s="271"/>
    </row>
    <row r="756" spans="1:11">
      <c r="A756" s="273"/>
      <c r="B756" s="273"/>
      <c r="C756" s="439"/>
      <c r="D756" s="1782" t="s">
        <v>1153</v>
      </c>
      <c r="E756" s="1782"/>
      <c r="F756" s="1782"/>
      <c r="G756" s="271"/>
    </row>
    <row r="757" spans="1:11">
      <c r="A757" s="496"/>
      <c r="B757" s="496"/>
      <c r="C757" s="495"/>
      <c r="D757" s="1772" t="s">
        <v>1170</v>
      </c>
      <c r="E757" s="1772"/>
      <c r="F757" s="1772"/>
      <c r="G757" s="271"/>
    </row>
    <row r="758" spans="1:11">
      <c r="A758" s="273"/>
      <c r="B758" s="273"/>
      <c r="C758" s="439"/>
      <c r="D758" s="685"/>
      <c r="E758" s="685"/>
      <c r="F758" s="685"/>
      <c r="G758" s="271"/>
    </row>
    <row r="759" spans="1:11" ht="14.25">
      <c r="A759" s="261"/>
      <c r="B759" s="671" t="s">
        <v>313</v>
      </c>
      <c r="C759" s="439"/>
      <c r="D759" s="1773" t="s">
        <v>1045</v>
      </c>
      <c r="E759" s="1773"/>
      <c r="F759" s="1773"/>
      <c r="G759" s="271"/>
    </row>
    <row r="760" spans="1:11">
      <c r="A760" s="273"/>
      <c r="B760" s="273"/>
      <c r="C760" s="439"/>
      <c r="D760" s="684"/>
      <c r="E760" s="1774" t="s">
        <v>1154</v>
      </c>
      <c r="F760" s="1774"/>
      <c r="G760" s="271"/>
    </row>
    <row r="761" spans="1:11">
      <c r="A761" s="267"/>
      <c r="B761" s="267"/>
      <c r="C761" s="267"/>
      <c r="D761" s="135"/>
      <c r="F761" s="57"/>
      <c r="G761" s="271"/>
    </row>
    <row r="762" spans="1:11">
      <c r="A762" s="1778" t="s">
        <v>466</v>
      </c>
      <c r="B762" s="1778"/>
      <c r="C762" s="1778"/>
      <c r="D762" s="1778"/>
      <c r="E762" s="1778"/>
      <c r="F762" s="1778"/>
      <c r="G762" s="1778"/>
    </row>
    <row r="763" spans="1:11">
      <c r="A763" s="255"/>
      <c r="B763" s="665"/>
      <c r="C763" s="266"/>
      <c r="D763" s="271"/>
      <c r="E763" s="271"/>
      <c r="F763" s="271"/>
      <c r="G763" s="271"/>
    </row>
    <row r="764" spans="1:11">
      <c r="A764" s="135"/>
      <c r="B764" s="1780" t="s">
        <v>1044</v>
      </c>
      <c r="C764" s="1780"/>
      <c r="D764" s="1780"/>
      <c r="E764" s="1780"/>
      <c r="F764" s="1780"/>
      <c r="G764" s="271"/>
    </row>
    <row r="765" spans="1:11">
      <c r="A765" s="23"/>
      <c r="B765" s="667"/>
      <c r="G765" s="271"/>
    </row>
    <row r="766" spans="1:11">
      <c r="A766" s="1778" t="s">
        <v>467</v>
      </c>
      <c r="B766" s="1778"/>
      <c r="C766" s="1778"/>
      <c r="D766" s="1778"/>
      <c r="E766" s="1778"/>
      <c r="F766" s="1778"/>
      <c r="G766" s="1778"/>
    </row>
    <row r="767" spans="1:11">
      <c r="A767" s="255"/>
      <c r="B767" s="665"/>
      <c r="C767" s="255"/>
      <c r="D767" s="263"/>
      <c r="G767" s="271"/>
    </row>
    <row r="768" spans="1:11">
      <c r="A768" s="135"/>
      <c r="B768" s="1724" t="s">
        <v>465</v>
      </c>
      <c r="C768" s="1724"/>
      <c r="D768" s="1724"/>
      <c r="E768" s="1724"/>
      <c r="F768" s="1724"/>
      <c r="G768" s="271"/>
    </row>
    <row r="769" spans="1:7" ht="14.25">
      <c r="A769" s="261"/>
      <c r="B769" s="261"/>
      <c r="D769" s="135"/>
      <c r="E769" s="135"/>
      <c r="F769" s="271"/>
      <c r="G769" s="271"/>
    </row>
    <row r="770" spans="1:7">
      <c r="A770" s="1778" t="s">
        <v>468</v>
      </c>
      <c r="B770" s="1778"/>
      <c r="C770" s="1778"/>
      <c r="D770" s="1778"/>
      <c r="E770" s="1778"/>
      <c r="F770" s="1778"/>
      <c r="G770" s="1778"/>
    </row>
    <row r="771" spans="1:7">
      <c r="C771" s="260"/>
      <c r="D771" s="259"/>
      <c r="E771" s="135"/>
      <c r="F771" s="271"/>
      <c r="G771" s="271"/>
    </row>
    <row r="772" spans="1:7">
      <c r="A772" s="135"/>
      <c r="B772" s="1724" t="s">
        <v>465</v>
      </c>
      <c r="C772" s="1724"/>
      <c r="D772" s="1724"/>
      <c r="E772" s="1724"/>
      <c r="F772" s="1724"/>
      <c r="G772" s="271"/>
    </row>
    <row r="773" spans="1:7">
      <c r="A773" s="135"/>
      <c r="B773" s="135"/>
      <c r="C773" s="266"/>
      <c r="D773" s="271"/>
      <c r="E773" s="271"/>
      <c r="F773" s="271"/>
      <c r="G773" s="271"/>
    </row>
    <row r="774" spans="1:7">
      <c r="A774" s="1778" t="s">
        <v>469</v>
      </c>
      <c r="B774" s="1778"/>
      <c r="C774" s="1778"/>
      <c r="D774" s="1778"/>
      <c r="E774" s="1778"/>
      <c r="F774" s="1778"/>
      <c r="G774" s="1778"/>
    </row>
    <row r="775" spans="1:7">
      <c r="A775" s="135"/>
      <c r="B775" s="135"/>
    </row>
    <row r="776" spans="1:7">
      <c r="A776" s="135"/>
      <c r="B776" s="1724" t="s">
        <v>465</v>
      </c>
      <c r="C776" s="1724"/>
      <c r="D776" s="1724"/>
      <c r="E776" s="1724"/>
      <c r="F776" s="1724"/>
    </row>
    <row r="777" spans="1:7">
      <c r="A777" s="266"/>
      <c r="B777" s="266"/>
      <c r="C777" s="266"/>
      <c r="D777" s="258"/>
      <c r="F777" s="271"/>
    </row>
    <row r="778" spans="1:7">
      <c r="A778" s="1778" t="s">
        <v>470</v>
      </c>
      <c r="B778" s="1778"/>
      <c r="C778" s="1778"/>
      <c r="D778" s="1778"/>
      <c r="E778" s="1778"/>
      <c r="F778" s="1778"/>
      <c r="G778" s="1778"/>
    </row>
    <row r="779" spans="1:7">
      <c r="A779" s="135"/>
      <c r="B779" s="135"/>
    </row>
    <row r="780" spans="1:7">
      <c r="A780" s="135"/>
      <c r="B780" s="1724" t="s">
        <v>465</v>
      </c>
      <c r="C780" s="1724"/>
      <c r="D780" s="1724"/>
      <c r="E780" s="1724"/>
      <c r="F780" s="1724"/>
    </row>
    <row r="781" spans="1:7">
      <c r="A781" s="266"/>
      <c r="B781" s="266"/>
      <c r="C781" s="266"/>
      <c r="D781" s="258"/>
      <c r="F781" s="271"/>
    </row>
    <row r="782" spans="1:7">
      <c r="A782" s="1778" t="s">
        <v>471</v>
      </c>
      <c r="B782" s="1778"/>
      <c r="C782" s="1778"/>
      <c r="D782" s="1778"/>
      <c r="E782" s="1778"/>
      <c r="F782" s="1778"/>
      <c r="G782" s="1778"/>
    </row>
    <row r="783" spans="1:7">
      <c r="A783" s="135"/>
      <c r="B783" s="135"/>
    </row>
    <row r="784" spans="1:7">
      <c r="A784" s="135"/>
      <c r="B784" s="1724" t="s">
        <v>465</v>
      </c>
      <c r="C784" s="1724"/>
      <c r="D784" s="1724"/>
      <c r="E784" s="1724"/>
      <c r="F784" s="1724"/>
    </row>
    <row r="785" spans="1:7">
      <c r="A785" s="265"/>
      <c r="B785" s="265"/>
      <c r="C785" s="265"/>
      <c r="D785" s="277"/>
      <c r="E785" s="57"/>
      <c r="F785" s="57"/>
      <c r="G785" s="57"/>
    </row>
    <row r="786" spans="1:7">
      <c r="A786" s="1778" t="s">
        <v>192</v>
      </c>
      <c r="B786" s="1778"/>
      <c r="C786" s="1778"/>
      <c r="D786" s="1778"/>
      <c r="E786" s="1778"/>
      <c r="F786" s="1778"/>
      <c r="G786" s="1778"/>
    </row>
    <row r="787" spans="1:7">
      <c r="A787" s="135"/>
      <c r="B787" s="135"/>
    </row>
    <row r="788" spans="1:7">
      <c r="A788" s="135"/>
      <c r="B788" s="1724" t="s">
        <v>465</v>
      </c>
      <c r="C788" s="1724"/>
      <c r="D788" s="1724"/>
      <c r="E788" s="1724"/>
      <c r="F788" s="1724"/>
    </row>
    <row r="789" spans="1:7">
      <c r="A789" s="135"/>
      <c r="B789" s="135"/>
      <c r="D789" s="258"/>
    </row>
    <row r="790" spans="1:7">
      <c r="A790" s="1778" t="s">
        <v>921</v>
      </c>
      <c r="B790" s="1778"/>
      <c r="C790" s="1778"/>
      <c r="D790" s="1778"/>
      <c r="E790" s="1778"/>
      <c r="F790" s="1778"/>
      <c r="G790" s="1778"/>
    </row>
    <row r="791" spans="1:7">
      <c r="A791" s="135"/>
      <c r="B791" s="135"/>
    </row>
    <row r="792" spans="1:7">
      <c r="A792" s="135"/>
      <c r="B792" s="1724" t="s">
        <v>465</v>
      </c>
      <c r="C792" s="1724"/>
      <c r="D792" s="1724"/>
      <c r="E792" s="1724"/>
      <c r="F792" s="1724"/>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787" t="s">
        <v>2203</v>
      </c>
      <c r="B2" s="1788"/>
      <c r="C2" s="1788"/>
      <c r="D2" s="1788"/>
      <c r="E2" s="1788"/>
      <c r="F2" s="1788"/>
      <c r="G2" s="1788"/>
      <c r="H2" s="1788"/>
      <c r="I2" s="1788"/>
      <c r="J2" s="1788"/>
    </row>
    <row r="3" spans="1:10" ht="15">
      <c r="A3" s="1792" t="s">
        <v>1452</v>
      </c>
      <c r="B3" s="1793"/>
      <c r="C3" s="1793"/>
      <c r="D3" s="1793"/>
      <c r="E3" s="1793"/>
      <c r="F3" s="1793"/>
      <c r="G3" s="1793"/>
      <c r="H3" s="1793"/>
      <c r="I3" s="1793"/>
      <c r="J3" s="1793"/>
    </row>
    <row r="4" spans="1:10" ht="12.75"/>
    <row r="5" spans="1:10" ht="12.75" customHeight="1">
      <c r="A5" s="1789" t="s">
        <v>2610</v>
      </c>
      <c r="B5" s="1789"/>
      <c r="C5" s="1789"/>
      <c r="D5" s="1789"/>
      <c r="E5" s="1789"/>
      <c r="F5" s="1789"/>
      <c r="G5" s="1789"/>
      <c r="H5" s="1789"/>
      <c r="I5" s="1789"/>
      <c r="J5" s="1789"/>
    </row>
    <row r="6" spans="1:10" ht="12.75">
      <c r="A6" s="1789"/>
      <c r="B6" s="1789"/>
      <c r="C6" s="1789"/>
      <c r="D6" s="1789"/>
      <c r="E6" s="1789"/>
      <c r="F6" s="1789"/>
      <c r="G6" s="1789"/>
      <c r="H6" s="1789"/>
      <c r="I6" s="1789"/>
      <c r="J6" s="1789"/>
    </row>
    <row r="7" spans="1:10" ht="30" customHeight="1">
      <c r="A7" s="1789"/>
      <c r="B7" s="1789"/>
      <c r="C7" s="1789"/>
      <c r="D7" s="1789"/>
      <c r="E7" s="1789"/>
      <c r="F7" s="1789"/>
      <c r="G7" s="1789"/>
      <c r="H7" s="1789"/>
      <c r="I7" s="1789"/>
      <c r="J7" s="1789"/>
    </row>
    <row r="8" spans="1:10" ht="12.75">
      <c r="A8" s="764"/>
      <c r="B8" s="764"/>
      <c r="C8" s="764"/>
      <c r="D8" s="764"/>
      <c r="E8" s="764"/>
      <c r="F8" s="764"/>
      <c r="G8" s="764"/>
      <c r="H8" s="764"/>
      <c r="I8" s="764"/>
      <c r="J8" s="764"/>
    </row>
    <row r="9" spans="1:10" ht="12.75" customHeight="1">
      <c r="A9" s="1110" t="s">
        <v>2206</v>
      </c>
      <c r="B9" s="1109"/>
      <c r="C9" s="1109"/>
      <c r="D9" s="1109"/>
      <c r="E9" s="1109"/>
      <c r="F9" s="1109"/>
      <c r="G9" s="1109"/>
      <c r="H9" s="1109"/>
      <c r="I9" s="1109"/>
      <c r="J9" s="1109"/>
    </row>
    <row r="10" spans="1:10" ht="12.75"/>
    <row r="11" spans="1:10" ht="12.75" customHeight="1">
      <c r="A11" s="1794" t="s">
        <v>2208</v>
      </c>
      <c r="B11" s="1794"/>
      <c r="C11" s="1794"/>
      <c r="D11" s="1794"/>
      <c r="E11" s="1794"/>
      <c r="F11" s="1794"/>
      <c r="G11" s="1794"/>
      <c r="H11" s="1794"/>
      <c r="I11" s="1794"/>
      <c r="J11" s="1794"/>
    </row>
    <row r="12" spans="1:10" ht="12.75">
      <c r="A12" s="1794"/>
      <c r="B12" s="1794"/>
      <c r="C12" s="1794"/>
      <c r="D12" s="1794"/>
      <c r="E12" s="1794"/>
      <c r="F12" s="1794"/>
      <c r="G12" s="1794"/>
      <c r="H12" s="1794"/>
      <c r="I12" s="1794"/>
      <c r="J12" s="1794"/>
    </row>
    <row r="13" spans="1:10" s="1077" customFormat="1" ht="12.75">
      <c r="A13" s="1794"/>
      <c r="B13" s="1794"/>
      <c r="C13" s="1794"/>
      <c r="D13" s="1794"/>
      <c r="E13" s="1794"/>
      <c r="F13" s="1794"/>
      <c r="G13" s="1794"/>
      <c r="H13" s="1794"/>
      <c r="I13" s="1794"/>
      <c r="J13" s="1794"/>
    </row>
    <row r="14" spans="1:10" ht="12.75">
      <c r="A14" s="1795"/>
      <c r="B14" s="1795"/>
      <c r="C14" s="1795"/>
      <c r="D14" s="1795"/>
      <c r="E14" s="1795"/>
      <c r="F14" s="1795"/>
      <c r="G14" s="1795"/>
      <c r="H14" s="1795"/>
      <c r="I14" s="1795"/>
      <c r="J14" s="1795"/>
    </row>
    <row r="15" spans="1:10" ht="12.75">
      <c r="A15" s="1795"/>
      <c r="B15" s="1795"/>
      <c r="C15" s="1795"/>
      <c r="D15" s="1795"/>
      <c r="E15" s="1795"/>
      <c r="F15" s="1795"/>
      <c r="G15" s="1795"/>
      <c r="H15" s="1795"/>
      <c r="I15" s="1795"/>
      <c r="J15" s="1795"/>
    </row>
    <row r="16" spans="1:10" ht="12.75">
      <c r="A16" s="1795"/>
      <c r="B16" s="1795"/>
      <c r="C16" s="1795"/>
      <c r="D16" s="1795"/>
      <c r="E16" s="1795"/>
      <c r="F16" s="1795"/>
      <c r="G16" s="1795"/>
      <c r="H16" s="1795"/>
      <c r="I16" s="1795"/>
      <c r="J16" s="1795"/>
    </row>
    <row r="17" spans="1:10" s="1077" customFormat="1" ht="12.75">
      <c r="A17" s="1112"/>
      <c r="B17" s="1112"/>
      <c r="C17" s="1112"/>
      <c r="D17" s="1112"/>
      <c r="E17" s="1112"/>
      <c r="F17" s="1112"/>
      <c r="G17" s="1112"/>
      <c r="H17" s="1112"/>
      <c r="I17" s="1112"/>
      <c r="J17" s="1112"/>
    </row>
    <row r="18" spans="1:10" ht="12.75">
      <c r="A18" s="765" t="s">
        <v>2207</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796" t="s">
        <v>1353</v>
      </c>
      <c r="B20" s="1793"/>
      <c r="C20" s="1793"/>
      <c r="D20" s="1793"/>
      <c r="E20" s="17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789" t="s">
        <v>1354</v>
      </c>
      <c r="B57" s="1790"/>
      <c r="C57" s="1790"/>
      <c r="D57" s="1790"/>
      <c r="E57" s="1790"/>
      <c r="F57" s="1790"/>
      <c r="G57" s="1790"/>
      <c r="H57" s="1790"/>
      <c r="I57" s="1790"/>
      <c r="J57" s="1790"/>
    </row>
    <row r="58" spans="1:10" ht="12.75">
      <c r="A58" s="1790"/>
      <c r="B58" s="1790"/>
      <c r="C58" s="1790"/>
      <c r="D58" s="1790"/>
      <c r="E58" s="1790"/>
      <c r="F58" s="1790"/>
      <c r="G58" s="1790"/>
      <c r="H58" s="1790"/>
      <c r="I58" s="1790"/>
      <c r="J58" s="1790"/>
    </row>
    <row r="59" spans="1:10" ht="12.75">
      <c r="A59" s="1790"/>
      <c r="B59" s="1790"/>
      <c r="C59" s="1790"/>
      <c r="D59" s="1790"/>
      <c r="E59" s="1790"/>
      <c r="F59" s="1790"/>
      <c r="G59" s="1790"/>
      <c r="H59" s="1790"/>
      <c r="I59" s="1790"/>
      <c r="J59" s="1790"/>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791" t="s">
        <v>2204</v>
      </c>
      <c r="B72" s="1791"/>
      <c r="C72" s="1791"/>
      <c r="D72" s="1791"/>
      <c r="E72" s="1791"/>
      <c r="F72" s="1791"/>
      <c r="G72" s="1791"/>
      <c r="H72" s="1791"/>
      <c r="I72" s="1791"/>
    </row>
    <row r="73" spans="1:9" ht="12.75">
      <c r="A73" s="1715" t="s">
        <v>2608</v>
      </c>
      <c r="B73" s="1715"/>
      <c r="C73" s="1715"/>
      <c r="D73" s="1715"/>
      <c r="E73" s="1715"/>
    </row>
    <row r="74" spans="1:9" ht="12.75">
      <c r="A74" s="1715" t="s">
        <v>2609</v>
      </c>
      <c r="B74" s="1715"/>
      <c r="C74" s="1715"/>
      <c r="D74" s="1715"/>
      <c r="E74" s="1715"/>
    </row>
    <row r="75" spans="1:9" ht="12.75">
      <c r="A75" s="1715" t="s">
        <v>2205</v>
      </c>
      <c r="B75" s="1715"/>
      <c r="C75" s="1715"/>
      <c r="D75" s="1715"/>
      <c r="E75" s="171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u7NVa0yKPIw8Dd3TyuOdhpQykWSOmJc+YIRiPSI5lrcU3nGNdpXIOfpo4TMfmamlg9l6UKCb3xdGohg/Z8gOQ==" saltValue="WMKubf8Prxilrb58TAB1j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130" zoomScaleNormal="130" zoomScaleSheetLayoutView="100" workbookViewId="0">
      <selection activeCell="B613" sqref="B613"/>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082" customWidth="1"/>
    <col min="10" max="16" width="0" style="782" hidden="1" customWidth="1"/>
    <col min="17" max="16384" width="8.85546875" style="782" hidden="1"/>
  </cols>
  <sheetData>
    <row r="1" spans="1:13"/>
    <row r="2" spans="1:13">
      <c r="A2" s="1850" t="s">
        <v>2359</v>
      </c>
      <c r="B2" s="1850"/>
      <c r="C2" s="1850"/>
      <c r="D2" s="1850"/>
      <c r="E2" s="1850"/>
      <c r="F2" s="1850"/>
      <c r="G2" s="1850"/>
      <c r="H2" s="1850"/>
      <c r="I2" s="1850"/>
    </row>
    <row r="3" spans="1:13">
      <c r="A3" s="1851" t="s">
        <v>2062</v>
      </c>
      <c r="B3" s="1851"/>
      <c r="C3" s="1851"/>
      <c r="D3" s="1851"/>
      <c r="E3" s="1851"/>
      <c r="F3" s="1851"/>
      <c r="G3" s="1851"/>
      <c r="H3" s="1851"/>
      <c r="I3" s="1851"/>
    </row>
    <row r="4" spans="1:13">
      <c r="A4" s="1828"/>
      <c r="B4" s="1828"/>
      <c r="C4" s="1829"/>
      <c r="D4" s="1829"/>
      <c r="E4" s="1829"/>
      <c r="F4" s="1829"/>
      <c r="G4" s="1829"/>
      <c r="I4" s="635"/>
    </row>
    <row r="5" spans="1:13" s="783" customFormat="1">
      <c r="A5" s="1828"/>
      <c r="B5" s="1828"/>
      <c r="C5" s="1834"/>
      <c r="D5" s="1834"/>
      <c r="E5" s="1834"/>
      <c r="F5" s="1834"/>
      <c r="G5" s="1834"/>
      <c r="I5" s="1114"/>
    </row>
    <row r="6" spans="1:13" s="783" customFormat="1">
      <c r="A6" s="1837" t="s">
        <v>1223</v>
      </c>
      <c r="B6" s="1837"/>
      <c r="C6" s="1838"/>
      <c r="D6" s="1838"/>
      <c r="E6" s="1838"/>
      <c r="F6" s="1838"/>
      <c r="G6" s="1838"/>
      <c r="I6" s="1113" t="s">
        <v>2216</v>
      </c>
    </row>
    <row r="7" spans="1:13" s="783" customFormat="1">
      <c r="A7" s="1837" t="s">
        <v>1224</v>
      </c>
      <c r="B7" s="1837"/>
      <c r="C7" s="1838"/>
      <c r="D7" s="1838"/>
      <c r="E7" s="1838"/>
      <c r="F7" s="1838"/>
      <c r="G7" s="1838"/>
      <c r="I7" s="1113" t="s">
        <v>2217</v>
      </c>
    </row>
    <row r="8" spans="1:13">
      <c r="A8" s="784"/>
      <c r="B8" s="784"/>
      <c r="C8" s="785"/>
      <c r="D8" s="785"/>
      <c r="E8" s="785"/>
      <c r="F8" s="785"/>
    </row>
    <row r="9" spans="1:13">
      <c r="A9" s="1765" t="s">
        <v>1226</v>
      </c>
      <c r="B9" s="1765"/>
      <c r="C9" s="1765"/>
      <c r="D9" s="1765"/>
      <c r="E9" s="1765"/>
      <c r="F9" s="1765"/>
      <c r="G9" s="1765"/>
      <c r="H9" s="1130"/>
      <c r="I9" s="1131"/>
    </row>
    <row r="10" spans="1:13">
      <c r="A10" s="785"/>
      <c r="B10" s="785"/>
      <c r="E10" s="786"/>
    </row>
    <row r="11" spans="1:13" ht="13.7" customHeight="1">
      <c r="C11" s="785"/>
      <c r="D11" s="1839" t="s">
        <v>1225</v>
      </c>
      <c r="E11" s="1839"/>
      <c r="F11" s="1839"/>
    </row>
    <row r="12" spans="1:13">
      <c r="C12" s="785"/>
      <c r="D12" s="1839"/>
      <c r="E12" s="1839"/>
      <c r="F12" s="1839"/>
    </row>
    <row r="13" spans="1:13">
      <c r="A13" s="787"/>
      <c r="B13" s="787"/>
      <c r="C13" s="787"/>
      <c r="D13" s="1749" t="s">
        <v>1208</v>
      </c>
      <c r="E13" s="1749"/>
      <c r="F13" s="1749"/>
      <c r="M13" s="1042"/>
    </row>
    <row r="14" spans="1:13">
      <c r="A14" s="787"/>
      <c r="B14" s="787"/>
      <c r="C14" s="787"/>
      <c r="D14" s="788"/>
      <c r="L14" s="1185"/>
    </row>
    <row r="15" spans="1:13" ht="14.25">
      <c r="A15" s="789"/>
      <c r="B15" s="790" t="s">
        <v>2698</v>
      </c>
      <c r="C15" s="791"/>
      <c r="D15" s="1747" t="s">
        <v>2389</v>
      </c>
      <c r="E15" s="1747"/>
      <c r="F15" s="1747"/>
      <c r="I15" s="1082" t="s">
        <v>2218</v>
      </c>
    </row>
    <row r="16" spans="1:13">
      <c r="A16" s="787"/>
      <c r="B16" s="787"/>
      <c r="C16" s="791"/>
      <c r="D16" s="1747"/>
      <c r="E16" s="1747"/>
      <c r="F16" s="1747"/>
    </row>
    <row r="17" spans="1:9">
      <c r="A17" s="787"/>
      <c r="B17" s="787"/>
      <c r="C17" s="791"/>
      <c r="D17" s="1747"/>
      <c r="E17" s="1747"/>
      <c r="F17" s="1747"/>
    </row>
    <row r="18" spans="1:9" s="1080" customFormat="1">
      <c r="A18" s="787"/>
      <c r="B18" s="787"/>
      <c r="C18" s="791"/>
      <c r="D18" s="1184"/>
      <c r="E18" s="1185" t="s">
        <v>2386</v>
      </c>
      <c r="F18" s="1184"/>
      <c r="G18" s="1079"/>
      <c r="I18" s="1082"/>
    </row>
    <row r="19" spans="1:9">
      <c r="A19" s="787"/>
      <c r="B19" s="787"/>
      <c r="C19" s="787"/>
    </row>
    <row r="20" spans="1:9" ht="14.25">
      <c r="A20" s="789"/>
      <c r="B20" s="790" t="s">
        <v>2698</v>
      </c>
      <c r="D20" s="1747" t="s">
        <v>2390</v>
      </c>
      <c r="E20" s="1747"/>
      <c r="F20" s="1747"/>
      <c r="I20" s="1082" t="s">
        <v>2219</v>
      </c>
    </row>
    <row r="21" spans="1:9" s="1080" customFormat="1" ht="14.25">
      <c r="A21" s="789"/>
      <c r="B21" s="780"/>
      <c r="C21" s="780"/>
      <c r="D21" s="1747"/>
      <c r="E21" s="1747"/>
      <c r="F21" s="1747"/>
      <c r="G21" s="1079"/>
      <c r="I21" s="1082"/>
    </row>
    <row r="22" spans="1:9" s="1080" customFormat="1" ht="14.25">
      <c r="A22" s="789"/>
      <c r="B22" s="780"/>
      <c r="C22" s="780"/>
      <c r="D22" s="1183"/>
      <c r="E22" s="1042" t="s">
        <v>2385</v>
      </c>
      <c r="F22" s="1183"/>
      <c r="G22" s="1079"/>
      <c r="I22" s="1082"/>
    </row>
    <row r="23" spans="1:9" ht="14.25">
      <c r="A23" s="789"/>
      <c r="B23" s="789"/>
      <c r="D23" s="792"/>
    </row>
    <row r="24" spans="1:9" ht="14.25">
      <c r="A24" s="789"/>
      <c r="B24" s="790" t="s">
        <v>2529</v>
      </c>
      <c r="D24" s="1747" t="s">
        <v>1211</v>
      </c>
      <c r="E24" s="1747"/>
      <c r="F24" s="1747"/>
      <c r="I24" s="1082" t="s">
        <v>2219</v>
      </c>
    </row>
    <row r="25" spans="1:9" ht="14.25">
      <c r="A25" s="789"/>
      <c r="B25" s="789"/>
      <c r="D25" s="1747"/>
      <c r="E25" s="1747"/>
      <c r="F25" s="1747"/>
    </row>
    <row r="26" spans="1:9"/>
    <row r="27" spans="1:9" ht="14.25">
      <c r="A27" s="789"/>
      <c r="B27" s="790" t="s">
        <v>2698</v>
      </c>
      <c r="D27" s="1833" t="s">
        <v>2387</v>
      </c>
      <c r="E27" s="1833"/>
      <c r="F27" s="1833"/>
      <c r="I27" s="1082" t="s">
        <v>2222</v>
      </c>
    </row>
    <row r="28" spans="1:9">
      <c r="D28" s="1833"/>
      <c r="E28" s="1833"/>
      <c r="F28" s="1833"/>
    </row>
    <row r="29" spans="1:9">
      <c r="D29" s="1833"/>
      <c r="E29" s="1833"/>
      <c r="F29" s="1833"/>
    </row>
    <row r="30" spans="1:9">
      <c r="D30" s="1833"/>
      <c r="E30" s="1833"/>
      <c r="F30" s="1833"/>
    </row>
    <row r="31" spans="1:9">
      <c r="D31" s="1833"/>
      <c r="E31" s="1833"/>
      <c r="F31" s="1833"/>
    </row>
    <row r="32" spans="1:9" s="783" customFormat="1">
      <c r="A32" s="793"/>
      <c r="B32" s="793"/>
      <c r="C32" s="793"/>
      <c r="D32" s="725"/>
      <c r="E32" s="794"/>
      <c r="F32" s="794"/>
      <c r="G32" s="794"/>
      <c r="I32" s="1114"/>
    </row>
    <row r="33" spans="1:9" s="783" customFormat="1">
      <c r="A33" s="793"/>
      <c r="B33" s="790" t="s">
        <v>2529</v>
      </c>
      <c r="C33" s="793"/>
      <c r="D33" s="1748" t="s">
        <v>1213</v>
      </c>
      <c r="E33" s="1748"/>
      <c r="F33" s="1748"/>
      <c r="G33" s="794"/>
      <c r="I33" s="1114" t="s">
        <v>2218</v>
      </c>
    </row>
    <row r="34" spans="1:9" s="783" customFormat="1">
      <c r="A34" s="793"/>
      <c r="B34" s="793"/>
      <c r="C34" s="793"/>
      <c r="D34" s="1748"/>
      <c r="E34" s="1748"/>
      <c r="F34" s="1748"/>
      <c r="G34" s="794"/>
      <c r="I34" s="1114"/>
    </row>
    <row r="35" spans="1:9" ht="14.25">
      <c r="A35" s="789"/>
      <c r="B35" s="789"/>
      <c r="D35" s="795"/>
    </row>
    <row r="36" spans="1:9" ht="14.45" customHeight="1">
      <c r="A36" s="789"/>
      <c r="B36" s="790" t="s">
        <v>2529</v>
      </c>
      <c r="D36" s="1748" t="s">
        <v>1381</v>
      </c>
      <c r="E36" s="1748"/>
      <c r="F36" s="1748"/>
      <c r="I36" s="1114" t="s">
        <v>2289</v>
      </c>
    </row>
    <row r="37" spans="1:9" ht="14.25">
      <c r="A37" s="789"/>
      <c r="B37" s="789"/>
      <c r="D37" s="1748"/>
      <c r="E37" s="1748"/>
      <c r="F37" s="1748"/>
    </row>
    <row r="38" spans="1:9" ht="14.25">
      <c r="A38" s="789"/>
      <c r="B38" s="789"/>
      <c r="D38" s="1748"/>
      <c r="E38" s="1748"/>
      <c r="F38" s="1748"/>
    </row>
    <row r="39" spans="1:9" ht="14.25">
      <c r="A39" s="789"/>
      <c r="B39" s="789"/>
      <c r="D39" s="1748"/>
      <c r="E39" s="1748"/>
      <c r="F39" s="1748"/>
    </row>
    <row r="40" spans="1:9" ht="14.25">
      <c r="A40" s="789"/>
      <c r="B40" s="789"/>
      <c r="D40" s="782"/>
    </row>
    <row r="41" spans="1:9" ht="14.25">
      <c r="A41" s="789"/>
      <c r="B41" s="790" t="s">
        <v>2529</v>
      </c>
      <c r="D41" s="1748" t="s">
        <v>1215</v>
      </c>
      <c r="E41" s="1748"/>
      <c r="F41" s="1748"/>
    </row>
    <row r="42" spans="1:9" ht="14.25">
      <c r="A42" s="789"/>
      <c r="B42" s="789"/>
      <c r="D42" s="1748"/>
      <c r="E42" s="1748"/>
      <c r="F42" s="1748"/>
    </row>
    <row r="43" spans="1:9" ht="14.25">
      <c r="A43" s="789"/>
      <c r="B43" s="789"/>
      <c r="D43" s="1748"/>
      <c r="E43" s="1748"/>
      <c r="F43" s="1748"/>
    </row>
    <row r="44" spans="1:9" ht="14.25">
      <c r="A44" s="789"/>
      <c r="B44" s="789"/>
      <c r="D44" s="1748"/>
      <c r="E44" s="1748"/>
      <c r="F44" s="1748"/>
    </row>
    <row r="45" spans="1:9" ht="14.25">
      <c r="A45" s="789"/>
      <c r="B45" s="789"/>
      <c r="D45" s="1748"/>
      <c r="E45" s="1748"/>
      <c r="F45" s="1748"/>
    </row>
    <row r="46" spans="1:9" ht="14.25">
      <c r="A46" s="789"/>
      <c r="B46" s="789"/>
      <c r="D46" s="773"/>
      <c r="E46" s="773"/>
      <c r="F46" s="773"/>
    </row>
    <row r="47" spans="1:9" ht="14.25">
      <c r="A47" s="789"/>
      <c r="B47" s="790" t="s">
        <v>2529</v>
      </c>
      <c r="D47" s="1748" t="s">
        <v>1216</v>
      </c>
      <c r="E47" s="1748"/>
      <c r="F47" s="1748"/>
      <c r="I47" s="1114" t="s">
        <v>2289</v>
      </c>
    </row>
    <row r="48" spans="1:9" ht="14.25">
      <c r="A48" s="789"/>
      <c r="B48" s="789"/>
      <c r="D48" s="1748"/>
      <c r="E48" s="1748"/>
      <c r="F48" s="1748"/>
    </row>
    <row r="49" spans="1:9" ht="14.25">
      <c r="A49" s="789"/>
      <c r="B49" s="789"/>
      <c r="D49" s="1748"/>
      <c r="E49" s="1748"/>
      <c r="F49" s="1748"/>
    </row>
    <row r="50" spans="1:9" ht="23.25" customHeight="1">
      <c r="A50" s="789"/>
      <c r="B50" s="789"/>
      <c r="D50" s="1748"/>
      <c r="E50" s="1748"/>
      <c r="F50" s="1748"/>
    </row>
    <row r="51" spans="1:9" ht="14.25">
      <c r="A51" s="789"/>
      <c r="B51" s="789"/>
      <c r="D51" s="777"/>
    </row>
    <row r="52" spans="1:9" ht="14.45" customHeight="1">
      <c r="A52" s="789"/>
      <c r="B52" s="790" t="s">
        <v>2529</v>
      </c>
      <c r="D52" s="1748" t="s">
        <v>1217</v>
      </c>
      <c r="E52" s="1748"/>
      <c r="F52" s="1748"/>
      <c r="I52" s="1114" t="s">
        <v>2289</v>
      </c>
    </row>
    <row r="53" spans="1:9" ht="14.25">
      <c r="A53" s="789"/>
      <c r="B53" s="789"/>
      <c r="D53" s="1748"/>
      <c r="E53" s="1748"/>
      <c r="F53" s="1748"/>
    </row>
    <row r="54" spans="1:9" ht="14.25">
      <c r="A54" s="789"/>
      <c r="B54" s="789"/>
      <c r="D54" s="1748"/>
      <c r="E54" s="1748"/>
      <c r="F54" s="1748"/>
    </row>
    <row r="55" spans="1:9" s="611" customFormat="1" ht="14.25">
      <c r="A55" s="789"/>
      <c r="B55" s="789"/>
      <c r="C55" s="796"/>
      <c r="D55" s="794"/>
      <c r="E55" s="685"/>
      <c r="F55" s="685"/>
      <c r="G55" s="685"/>
      <c r="I55" s="635"/>
    </row>
    <row r="56" spans="1:9" s="611" customFormat="1" ht="14.25">
      <c r="A56" s="797"/>
      <c r="B56" s="790" t="s">
        <v>2698</v>
      </c>
      <c r="C56" s="798"/>
      <c r="D56" s="1835" t="s">
        <v>1218</v>
      </c>
      <c r="E56" s="1835"/>
      <c r="F56" s="1835"/>
      <c r="G56" s="685"/>
      <c r="I56" s="1082"/>
    </row>
    <row r="57" spans="1:9" s="611" customFormat="1" ht="14.25">
      <c r="A57" s="797"/>
      <c r="B57" s="797"/>
      <c r="C57" s="798"/>
      <c r="D57" s="1835"/>
      <c r="E57" s="1835"/>
      <c r="F57" s="1835"/>
      <c r="G57" s="685"/>
      <c r="I57" s="635"/>
    </row>
    <row r="58" spans="1:9" s="611" customFormat="1" ht="14.25">
      <c r="A58" s="797"/>
      <c r="B58" s="797"/>
      <c r="C58" s="1084"/>
      <c r="D58" s="1196" t="s">
        <v>2388</v>
      </c>
      <c r="E58" s="1182"/>
      <c r="F58" s="1182"/>
      <c r="G58" s="685"/>
      <c r="I58" s="635"/>
    </row>
    <row r="59" spans="1:9" s="611" customFormat="1" ht="14.25">
      <c r="A59" s="797"/>
      <c r="B59" s="797"/>
      <c r="C59" s="1084"/>
      <c r="D59" s="1182"/>
      <c r="E59" s="1185" t="s">
        <v>2386</v>
      </c>
      <c r="F59" s="1182"/>
      <c r="G59" s="685"/>
      <c r="I59" s="635"/>
    </row>
    <row r="60" spans="1:9" s="783" customFormat="1">
      <c r="A60" s="793"/>
      <c r="B60" s="793"/>
      <c r="C60" s="793"/>
      <c r="D60" s="725"/>
      <c r="E60" s="794"/>
      <c r="F60" s="794"/>
      <c r="G60" s="794"/>
      <c r="I60" s="1114"/>
    </row>
    <row r="61" spans="1:9" ht="14.25">
      <c r="A61" s="789"/>
      <c r="B61" s="790" t="s">
        <v>2698</v>
      </c>
      <c r="D61" s="1748" t="s">
        <v>1219</v>
      </c>
      <c r="E61" s="1748"/>
      <c r="F61" s="1748"/>
      <c r="I61" s="1082" t="s">
        <v>2220</v>
      </c>
    </row>
    <row r="62" spans="1:9">
      <c r="D62" s="1748"/>
      <c r="E62" s="1748"/>
      <c r="F62" s="1748"/>
    </row>
    <row r="63" spans="1:9">
      <c r="D63" s="1748"/>
      <c r="E63" s="1748"/>
      <c r="F63" s="1748"/>
    </row>
    <row r="64" spans="1:9">
      <c r="D64" s="685"/>
    </row>
    <row r="65" spans="1:9" ht="14.25">
      <c r="A65" s="789"/>
      <c r="B65" s="790" t="s">
        <v>2529</v>
      </c>
      <c r="D65" s="1748" t="s">
        <v>1220</v>
      </c>
      <c r="E65" s="1748"/>
      <c r="F65" s="1748"/>
      <c r="I65" s="1082" t="s">
        <v>2221</v>
      </c>
    </row>
    <row r="66" spans="1:9">
      <c r="D66" s="1748"/>
      <c r="E66" s="1748"/>
      <c r="F66" s="1748"/>
    </row>
    <row r="67" spans="1:9"/>
    <row r="68" spans="1:9" ht="14.25">
      <c r="A68" s="789"/>
      <c r="B68" s="790" t="s">
        <v>2698</v>
      </c>
      <c r="D68" s="1748" t="s">
        <v>1221</v>
      </c>
      <c r="E68" s="1748"/>
      <c r="F68" s="1748"/>
    </row>
    <row r="69" spans="1:9">
      <c r="D69" s="1748"/>
      <c r="E69" s="1748"/>
      <c r="F69" s="1748"/>
      <c r="I69" s="1082" t="s">
        <v>2222</v>
      </c>
    </row>
    <row r="70" spans="1:9">
      <c r="D70" s="1748"/>
      <c r="E70" s="1748"/>
      <c r="F70" s="1748"/>
    </row>
    <row r="71" spans="1:9">
      <c r="D71" s="782"/>
    </row>
    <row r="72" spans="1:9" ht="14.25">
      <c r="A72" s="789"/>
      <c r="B72" s="790" t="s">
        <v>2698</v>
      </c>
      <c r="D72" s="1747" t="s">
        <v>1222</v>
      </c>
      <c r="E72" s="1747"/>
      <c r="F72" s="1747"/>
      <c r="I72" s="1082" t="s">
        <v>2222</v>
      </c>
    </row>
    <row r="73" spans="1:9">
      <c r="D73" s="1747"/>
      <c r="E73" s="1747"/>
      <c r="F73" s="1747"/>
    </row>
    <row r="74" spans="1:9" ht="14.25">
      <c r="A74" s="789"/>
      <c r="B74" s="789"/>
      <c r="D74" s="792"/>
    </row>
    <row r="75" spans="1:9">
      <c r="A75" s="1729" t="s">
        <v>1129</v>
      </c>
      <c r="B75" s="1729"/>
      <c r="C75" s="1729"/>
      <c r="D75" s="1729"/>
      <c r="E75" s="1729"/>
      <c r="F75" s="1729"/>
      <c r="G75" s="1729"/>
      <c r="H75" s="1130"/>
      <c r="I75" s="1131"/>
    </row>
    <row r="76" spans="1:9"/>
    <row r="77" spans="1:9">
      <c r="C77" s="799"/>
      <c r="D77" s="1817" t="s">
        <v>1227</v>
      </c>
      <c r="E77" s="1817"/>
      <c r="F77" s="1817"/>
    </row>
    <row r="78" spans="1:9">
      <c r="A78" s="792"/>
      <c r="B78" s="792"/>
      <c r="D78" s="1747" t="s">
        <v>1254</v>
      </c>
      <c r="E78" s="1747"/>
      <c r="F78" s="1747"/>
    </row>
    <row r="79" spans="1:9">
      <c r="A79" s="792"/>
      <c r="B79" s="792"/>
    </row>
    <row r="80" spans="1:9" ht="13.7" customHeight="1">
      <c r="A80" s="789"/>
      <c r="B80" s="790" t="s">
        <v>2698</v>
      </c>
      <c r="D80" s="1747" t="s">
        <v>1426</v>
      </c>
      <c r="E80" s="1747"/>
      <c r="F80" s="1747"/>
      <c r="I80" s="1082" t="s">
        <v>2223</v>
      </c>
    </row>
    <row r="81" spans="1:9" ht="14.25">
      <c r="A81" s="789"/>
      <c r="B81" s="789"/>
      <c r="D81" s="1747"/>
      <c r="E81" s="1747"/>
      <c r="F81" s="1747"/>
    </row>
    <row r="82" spans="1:9" ht="14.25">
      <c r="A82" s="789"/>
      <c r="B82" s="789"/>
      <c r="D82" s="1747"/>
      <c r="E82" s="1747"/>
      <c r="F82" s="1747"/>
    </row>
    <row r="83" spans="1:9" ht="14.25">
      <c r="A83" s="789"/>
      <c r="B83" s="789"/>
      <c r="D83" s="1747"/>
      <c r="E83" s="1747"/>
      <c r="F83" s="1747"/>
    </row>
    <row r="84" spans="1:9" ht="14.25">
      <c r="A84" s="789"/>
      <c r="B84" s="789"/>
      <c r="D84" s="1747"/>
      <c r="E84" s="1747"/>
      <c r="F84" s="1747"/>
    </row>
    <row r="85" spans="1:9" ht="14.25">
      <c r="A85" s="789"/>
      <c r="B85" s="789"/>
      <c r="D85" s="1747"/>
      <c r="E85" s="1747"/>
      <c r="F85" s="1747"/>
    </row>
    <row r="86" spans="1:9" ht="14.25">
      <c r="A86" s="789"/>
      <c r="B86" s="789"/>
      <c r="D86" s="1747"/>
      <c r="E86" s="1747"/>
      <c r="F86" s="1747"/>
    </row>
    <row r="87" spans="1:9" ht="14.25">
      <c r="A87" s="789"/>
      <c r="B87" s="789"/>
      <c r="D87" s="1747"/>
      <c r="E87" s="1747"/>
      <c r="F87" s="1747"/>
    </row>
    <row r="88" spans="1:9" ht="14.25">
      <c r="A88" s="789"/>
      <c r="B88" s="789"/>
      <c r="D88" s="870"/>
      <c r="E88" s="870"/>
      <c r="F88" s="870"/>
    </row>
    <row r="89" spans="1:9" ht="15" customHeight="1">
      <c r="A89" s="789"/>
      <c r="B89" s="790" t="s">
        <v>2698</v>
      </c>
      <c r="D89" s="1747" t="s">
        <v>2063</v>
      </c>
      <c r="E89" s="1747"/>
      <c r="F89" s="1747"/>
      <c r="I89" s="1082" t="s">
        <v>2224</v>
      </c>
    </row>
    <row r="90" spans="1:9" ht="14.25">
      <c r="A90" s="789"/>
      <c r="B90" s="789"/>
      <c r="D90" s="1747"/>
      <c r="E90" s="1747"/>
      <c r="F90" s="1747"/>
    </row>
    <row r="91" spans="1:9" ht="14.25">
      <c r="A91" s="789"/>
      <c r="B91" s="789"/>
      <c r="D91" s="1025"/>
      <c r="E91" s="1025"/>
      <c r="F91" s="1025"/>
    </row>
    <row r="92" spans="1:9" ht="14.25">
      <c r="A92" s="789"/>
      <c r="B92" s="790" t="s">
        <v>2698</v>
      </c>
      <c r="D92" s="1747" t="s">
        <v>2066</v>
      </c>
      <c r="E92" s="1747"/>
      <c r="F92" s="1747"/>
      <c r="I92" s="1082" t="s">
        <v>2225</v>
      </c>
    </row>
    <row r="93" spans="1:9" ht="14.25">
      <c r="A93" s="789"/>
      <c r="B93" s="789"/>
      <c r="D93" s="1747"/>
      <c r="E93" s="1747"/>
      <c r="F93" s="1747"/>
    </row>
    <row r="94" spans="1:9" ht="14.25">
      <c r="A94" s="789"/>
      <c r="B94" s="789"/>
      <c r="D94" s="1747"/>
      <c r="E94" s="1747"/>
      <c r="F94" s="1747"/>
    </row>
    <row r="95" spans="1:9" ht="14.25">
      <c r="A95" s="789"/>
      <c r="B95" s="789"/>
      <c r="D95" s="1025"/>
      <c r="E95" s="1025"/>
      <c r="F95" s="1025"/>
    </row>
    <row r="96" spans="1:9" ht="14.25">
      <c r="A96" s="789"/>
      <c r="B96" s="790" t="s">
        <v>2698</v>
      </c>
      <c r="D96" s="1747" t="s">
        <v>2065</v>
      </c>
      <c r="E96" s="1747"/>
      <c r="F96" s="1747"/>
      <c r="I96" s="1082" t="s">
        <v>2270</v>
      </c>
    </row>
    <row r="97" spans="1:9" s="1041" customFormat="1" ht="14.25">
      <c r="A97" s="1039"/>
      <c r="B97" s="1039"/>
      <c r="C97" s="1040"/>
      <c r="D97" s="1747"/>
      <c r="E97" s="1747"/>
      <c r="F97" s="1747"/>
      <c r="I97" s="1115"/>
    </row>
    <row r="98" spans="1:9" ht="14.25">
      <c r="A98" s="789"/>
      <c r="B98" s="789"/>
      <c r="D98" s="1031"/>
      <c r="E98" s="1185" t="s">
        <v>2391</v>
      </c>
      <c r="F98" s="1025"/>
    </row>
    <row r="99" spans="1:9" ht="14.25">
      <c r="A99" s="789"/>
      <c r="B99" s="789"/>
      <c r="D99" s="870"/>
      <c r="E99" s="870"/>
      <c r="F99" s="870"/>
    </row>
    <row r="100" spans="1:9" ht="14.25">
      <c r="A100" s="789"/>
      <c r="B100" s="790" t="s">
        <v>2529</v>
      </c>
      <c r="D100" s="1747" t="s">
        <v>2064</v>
      </c>
      <c r="E100" s="1747"/>
      <c r="F100" s="1747"/>
      <c r="I100" s="1082" t="s">
        <v>2226</v>
      </c>
    </row>
    <row r="101" spans="1:9" ht="14.25">
      <c r="A101" s="789"/>
      <c r="B101" s="789"/>
      <c r="D101" s="1747"/>
      <c r="E101" s="1747"/>
      <c r="F101" s="1747"/>
    </row>
    <row r="102" spans="1:9" ht="14.25">
      <c r="A102" s="789"/>
      <c r="B102" s="789"/>
      <c r="D102" s="1025"/>
      <c r="E102" s="1025"/>
      <c r="F102" s="1025"/>
    </row>
    <row r="103" spans="1:9" ht="14.45" customHeight="1">
      <c r="A103" s="789"/>
      <c r="B103" s="790" t="s">
        <v>2529</v>
      </c>
      <c r="D103" s="1747" t="s">
        <v>1358</v>
      </c>
      <c r="E103" s="1747"/>
      <c r="F103" s="1747"/>
      <c r="G103" s="782"/>
      <c r="I103" s="1082" t="s">
        <v>2227</v>
      </c>
    </row>
    <row r="104" spans="1:9" ht="14.25">
      <c r="A104" s="789"/>
      <c r="B104" s="789"/>
      <c r="D104" s="1747"/>
      <c r="E104" s="1747"/>
      <c r="F104" s="1747"/>
      <c r="G104" s="782"/>
    </row>
    <row r="105" spans="1:9" ht="14.25">
      <c r="A105" s="789"/>
      <c r="B105" s="789"/>
      <c r="D105" s="1747"/>
      <c r="E105" s="1747"/>
      <c r="F105" s="1747"/>
      <c r="G105" s="782"/>
    </row>
    <row r="106" spans="1:9" ht="14.25">
      <c r="A106" s="789"/>
      <c r="B106" s="789"/>
      <c r="D106" s="1747"/>
      <c r="E106" s="1747"/>
      <c r="F106" s="1747"/>
      <c r="G106" s="782"/>
    </row>
    <row r="107" spans="1:9" ht="14.25">
      <c r="A107" s="789"/>
      <c r="B107" s="789"/>
      <c r="D107" s="1747"/>
      <c r="E107" s="1747"/>
      <c r="F107" s="1747"/>
      <c r="G107" s="782"/>
    </row>
    <row r="108" spans="1:9" ht="14.25">
      <c r="A108" s="789"/>
      <c r="B108" s="789"/>
      <c r="D108" s="1747"/>
      <c r="E108" s="1747"/>
      <c r="F108" s="1747"/>
      <c r="G108" s="782"/>
    </row>
    <row r="109" spans="1:9" ht="14.25">
      <c r="A109" s="789"/>
      <c r="B109" s="789"/>
      <c r="D109" s="1747"/>
      <c r="E109" s="1747"/>
      <c r="F109" s="1747"/>
      <c r="G109" s="782"/>
    </row>
    <row r="110" spans="1:9" ht="14.25">
      <c r="A110" s="789"/>
      <c r="B110" s="789"/>
      <c r="D110" s="1747"/>
      <c r="E110" s="1747"/>
      <c r="F110" s="1747"/>
      <c r="G110" s="782"/>
    </row>
    <row r="111" spans="1:9" ht="14.25">
      <c r="A111" s="789"/>
      <c r="B111" s="789"/>
      <c r="D111" s="1747"/>
      <c r="E111" s="1747"/>
      <c r="F111" s="1747"/>
      <c r="G111" s="782"/>
    </row>
    <row r="112" spans="1:9" ht="14.25">
      <c r="A112" s="789"/>
      <c r="B112" s="789"/>
      <c r="D112" s="1747"/>
      <c r="E112" s="1747"/>
      <c r="F112" s="1747"/>
      <c r="G112" s="782"/>
    </row>
    <row r="113" spans="1:11" ht="14.25">
      <c r="A113" s="789"/>
      <c r="B113" s="789"/>
      <c r="D113" s="1747"/>
      <c r="E113" s="1747"/>
      <c r="F113" s="1747"/>
      <c r="G113" s="782"/>
    </row>
    <row r="114" spans="1:11" ht="14.25">
      <c r="A114" s="789"/>
      <c r="B114" s="789"/>
      <c r="D114" s="1747"/>
      <c r="E114" s="1747"/>
      <c r="F114" s="1747"/>
      <c r="G114" s="782"/>
    </row>
    <row r="115" spans="1:11" ht="14.25">
      <c r="A115" s="789"/>
      <c r="B115" s="789"/>
      <c r="D115" s="1747"/>
      <c r="E115" s="1747"/>
      <c r="F115" s="1747"/>
      <c r="G115" s="782"/>
    </row>
    <row r="116" spans="1:11" ht="14.25">
      <c r="A116" s="789"/>
      <c r="B116" s="789"/>
      <c r="D116" s="1747"/>
      <c r="E116" s="1747"/>
      <c r="F116" s="1747"/>
    </row>
    <row r="117" spans="1:11" ht="14.25">
      <c r="A117" s="789"/>
      <c r="B117" s="789"/>
      <c r="D117" s="1747"/>
      <c r="E117" s="1747"/>
      <c r="F117" s="1747"/>
    </row>
    <row r="118" spans="1:11" ht="14.25">
      <c r="A118" s="789"/>
      <c r="B118" s="789"/>
      <c r="D118" s="896"/>
      <c r="E118" s="896"/>
      <c r="F118" s="896"/>
    </row>
    <row r="119" spans="1:11" ht="14.25" customHeight="1">
      <c r="A119" s="789"/>
      <c r="B119" s="790" t="s">
        <v>2529</v>
      </c>
      <c r="D119" s="1767" t="s">
        <v>1229</v>
      </c>
      <c r="E119" s="1767"/>
      <c r="F119" s="1767"/>
    </row>
    <row r="120" spans="1:11" ht="14.25">
      <c r="A120" s="789"/>
      <c r="B120" s="789"/>
      <c r="D120" s="1767"/>
      <c r="E120" s="1767"/>
      <c r="F120" s="1767"/>
    </row>
    <row r="121" spans="1:11" ht="14.25">
      <c r="A121" s="789"/>
      <c r="B121" s="789"/>
      <c r="D121" s="1767"/>
      <c r="E121" s="1767"/>
      <c r="F121" s="1767"/>
    </row>
    <row r="122" spans="1:11" ht="14.25">
      <c r="A122" s="789"/>
      <c r="B122" s="789"/>
      <c r="D122" s="1767"/>
      <c r="E122" s="1767"/>
      <c r="F122" s="1767"/>
    </row>
    <row r="123" spans="1:11" ht="14.25">
      <c r="A123" s="789"/>
      <c r="B123" s="789"/>
      <c r="D123" s="1767"/>
      <c r="E123" s="1767"/>
      <c r="F123" s="1767"/>
    </row>
    <row r="124" spans="1:11" ht="14.25">
      <c r="A124" s="789"/>
      <c r="B124" s="789"/>
      <c r="D124" s="1767"/>
      <c r="E124" s="1767"/>
      <c r="F124" s="1767"/>
    </row>
    <row r="125" spans="1:11" ht="14.25">
      <c r="A125" s="789"/>
      <c r="B125" s="789"/>
      <c r="D125" s="1767"/>
      <c r="E125" s="1767"/>
      <c r="F125" s="1767"/>
    </row>
    <row r="126" spans="1:11" ht="14.25">
      <c r="A126" s="789"/>
      <c r="B126" s="789"/>
      <c r="D126" s="1767"/>
      <c r="E126" s="1767"/>
      <c r="F126" s="1767"/>
    </row>
    <row r="127" spans="1:11">
      <c r="C127" s="714"/>
      <c r="D127" s="897"/>
      <c r="E127" s="897"/>
      <c r="F127" s="897"/>
      <c r="G127" s="714"/>
      <c r="H127" s="714"/>
      <c r="I127" s="615"/>
      <c r="J127" s="714"/>
      <c r="K127" s="714"/>
    </row>
    <row r="128" spans="1:11" ht="14.25">
      <c r="A128" s="789"/>
      <c r="B128" s="790" t="s">
        <v>2698</v>
      </c>
      <c r="C128" s="714"/>
      <c r="D128" s="1767" t="s">
        <v>1231</v>
      </c>
      <c r="E128" s="1767"/>
      <c r="F128" s="1767"/>
      <c r="G128" s="714"/>
      <c r="H128" s="714"/>
      <c r="I128" s="615" t="s">
        <v>2228</v>
      </c>
      <c r="J128" s="714"/>
      <c r="K128" s="714"/>
    </row>
    <row r="129" spans="1:11" ht="14.25">
      <c r="A129" s="789"/>
      <c r="B129" s="789"/>
      <c r="C129" s="714"/>
      <c r="D129" s="1767"/>
      <c r="E129" s="1767"/>
      <c r="F129" s="1767"/>
      <c r="G129" s="714"/>
      <c r="H129" s="714"/>
      <c r="I129" s="615"/>
      <c r="J129" s="714"/>
      <c r="K129" s="714"/>
    </row>
    <row r="130" spans="1:11"/>
    <row r="131" spans="1:11" ht="14.25">
      <c r="A131" s="789"/>
      <c r="B131" s="790" t="s">
        <v>2698</v>
      </c>
      <c r="C131" s="796"/>
      <c r="D131" s="1747" t="s">
        <v>1232</v>
      </c>
      <c r="E131" s="1747"/>
      <c r="F131" s="1747"/>
      <c r="I131" s="615" t="s">
        <v>2228</v>
      </c>
    </row>
    <row r="132" spans="1:11">
      <c r="C132" s="796"/>
      <c r="D132" s="1747"/>
      <c r="E132" s="1747"/>
      <c r="F132" s="1747"/>
    </row>
    <row r="133" spans="1:11">
      <c r="C133" s="796"/>
      <c r="D133" s="1747"/>
      <c r="E133" s="1747"/>
      <c r="F133" s="1747"/>
    </row>
    <row r="134" spans="1:11">
      <c r="C134" s="796"/>
      <c r="D134" s="1747"/>
      <c r="E134" s="1747"/>
      <c r="F134" s="1747"/>
    </row>
    <row r="135" spans="1:11">
      <c r="C135" s="796"/>
      <c r="D135" s="1747"/>
      <c r="E135" s="1747"/>
      <c r="F135" s="1747"/>
    </row>
    <row r="136" spans="1:11">
      <c r="C136" s="796"/>
      <c r="D136" s="664"/>
      <c r="E136" s="664"/>
      <c r="F136" s="664"/>
    </row>
    <row r="137" spans="1:11" s="714" customFormat="1" ht="14.25">
      <c r="A137" s="789"/>
      <c r="B137" s="790" t="s">
        <v>2698</v>
      </c>
      <c r="C137" s="796"/>
      <c r="D137" s="1748" t="s">
        <v>1233</v>
      </c>
      <c r="E137" s="1748"/>
      <c r="F137" s="1748"/>
      <c r="G137" s="664"/>
      <c r="I137" s="615" t="s">
        <v>2229</v>
      </c>
    </row>
    <row r="138" spans="1:11" s="804" customFormat="1" ht="13.7" customHeight="1">
      <c r="A138" s="801"/>
      <c r="B138" s="801"/>
      <c r="C138" s="802"/>
      <c r="D138" s="1748"/>
      <c r="E138" s="1748"/>
      <c r="F138" s="1748"/>
      <c r="G138" s="803"/>
      <c r="I138" s="1116"/>
    </row>
    <row r="139" spans="1:11" s="714" customFormat="1" ht="13.7" customHeight="1">
      <c r="A139" s="780"/>
      <c r="B139" s="780"/>
      <c r="C139" s="796"/>
      <c r="D139" s="1748"/>
      <c r="E139" s="1748"/>
      <c r="F139" s="1748"/>
      <c r="G139" s="664"/>
      <c r="I139" s="615"/>
    </row>
    <row r="140" spans="1:11" s="714" customFormat="1" ht="13.7" customHeight="1">
      <c r="A140" s="780"/>
      <c r="B140" s="780"/>
      <c r="C140" s="796"/>
      <c r="D140" s="1748"/>
      <c r="E140" s="1748"/>
      <c r="F140" s="1748"/>
      <c r="G140" s="664"/>
      <c r="I140" s="615"/>
    </row>
    <row r="141" spans="1:11" s="714" customFormat="1" ht="13.7" customHeight="1">
      <c r="A141" s="780"/>
      <c r="B141" s="780"/>
      <c r="C141" s="796"/>
      <c r="D141" s="1748"/>
      <c r="E141" s="1748"/>
      <c r="F141" s="1748"/>
      <c r="G141" s="664"/>
      <c r="I141" s="615"/>
    </row>
    <row r="142" spans="1:11" s="714" customFormat="1" ht="13.7" customHeight="1">
      <c r="A142" s="805"/>
      <c r="B142" s="805"/>
      <c r="C142" s="796"/>
      <c r="D142" s="1748"/>
      <c r="E142" s="1748"/>
      <c r="F142" s="1748"/>
      <c r="G142" s="664"/>
      <c r="I142" s="615"/>
    </row>
    <row r="143" spans="1:11" s="611" customFormat="1" ht="13.7" customHeight="1">
      <c r="A143" s="793"/>
      <c r="B143" s="793"/>
      <c r="C143" s="798"/>
      <c r="D143" s="1748"/>
      <c r="E143" s="1748"/>
      <c r="F143" s="1748"/>
      <c r="G143" s="685"/>
      <c r="I143" s="635"/>
    </row>
    <row r="144" spans="1:11" s="611" customFormat="1" ht="13.7" customHeight="1">
      <c r="A144" s="793"/>
      <c r="B144" s="793"/>
      <c r="C144" s="798"/>
      <c r="D144" s="1748"/>
      <c r="E144" s="1748"/>
      <c r="F144" s="1748"/>
      <c r="G144" s="685"/>
      <c r="I144" s="635"/>
    </row>
    <row r="145" spans="1:9" s="611" customFormat="1" ht="13.7" customHeight="1">
      <c r="A145" s="793"/>
      <c r="B145" s="793"/>
      <c r="C145" s="1084"/>
      <c r="D145" s="1748"/>
      <c r="E145" s="1748"/>
      <c r="F145" s="1748"/>
      <c r="G145" s="685"/>
      <c r="I145" s="635"/>
    </row>
    <row r="146" spans="1:9" s="714" customFormat="1" ht="13.7" customHeight="1">
      <c r="A146" s="780"/>
      <c r="B146" s="780"/>
      <c r="C146" s="796"/>
      <c r="D146" s="1748"/>
      <c r="E146" s="1748"/>
      <c r="F146" s="1748"/>
      <c r="G146" s="664"/>
      <c r="I146" s="615"/>
    </row>
    <row r="147" spans="1:9" s="714" customFormat="1" ht="13.7" customHeight="1">
      <c r="A147" s="780"/>
      <c r="B147" s="780"/>
      <c r="C147" s="796"/>
      <c r="D147" s="1748"/>
      <c r="E147" s="1748"/>
      <c r="F147" s="1748"/>
      <c r="G147" s="664"/>
      <c r="I147" s="615"/>
    </row>
    <row r="148" spans="1:9" s="714" customFormat="1" ht="13.7" customHeight="1">
      <c r="A148" s="780"/>
      <c r="B148" s="780"/>
      <c r="C148" s="796"/>
      <c r="D148" s="1748"/>
      <c r="E148" s="1748"/>
      <c r="F148" s="1748"/>
      <c r="G148" s="664"/>
      <c r="I148" s="615"/>
    </row>
    <row r="149" spans="1:9" s="714" customFormat="1" ht="13.7" customHeight="1">
      <c r="A149" s="780"/>
      <c r="B149" s="780"/>
      <c r="C149" s="796"/>
      <c r="D149" s="1748"/>
      <c r="E149" s="1748"/>
      <c r="F149" s="1748"/>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2529</v>
      </c>
      <c r="C151" s="796"/>
      <c r="D151" s="1831" t="s">
        <v>1341</v>
      </c>
      <c r="E151" s="1831"/>
      <c r="F151" s="1831"/>
      <c r="G151" s="664"/>
      <c r="I151" s="615" t="s">
        <v>2230</v>
      </c>
    </row>
    <row r="152" spans="1:9" s="714" customFormat="1" ht="13.7" customHeight="1">
      <c r="A152" s="780"/>
      <c r="B152" s="780"/>
      <c r="C152" s="796"/>
      <c r="D152" s="1831"/>
      <c r="E152" s="1831"/>
      <c r="F152" s="1831"/>
      <c r="G152" s="664"/>
      <c r="I152" s="615"/>
    </row>
    <row r="153" spans="1:9" s="714" customFormat="1" ht="13.7" customHeight="1">
      <c r="A153" s="780"/>
      <c r="B153" s="780"/>
      <c r="C153" s="796"/>
      <c r="D153" s="1831"/>
      <c r="E153" s="1831"/>
      <c r="F153" s="1831"/>
      <c r="G153" s="664"/>
      <c r="I153" s="615"/>
    </row>
    <row r="154" spans="1:9" s="714" customFormat="1" ht="13.7" customHeight="1">
      <c r="A154" s="780"/>
      <c r="B154" s="780"/>
      <c r="C154" s="796"/>
      <c r="D154" s="1831"/>
      <c r="E154" s="1831"/>
      <c r="F154" s="1831"/>
      <c r="G154" s="664"/>
      <c r="I154" s="615"/>
    </row>
    <row r="155" spans="1:9" s="714" customFormat="1" ht="13.7" customHeight="1">
      <c r="A155" s="780"/>
      <c r="B155" s="780"/>
      <c r="C155" s="796"/>
      <c r="D155" s="1831"/>
      <c r="E155" s="1831"/>
      <c r="F155" s="1831"/>
      <c r="G155" s="664"/>
      <c r="I155" s="615"/>
    </row>
    <row r="156" spans="1:9" s="714" customFormat="1" ht="13.7" customHeight="1">
      <c r="A156" s="780"/>
      <c r="B156" s="780"/>
      <c r="C156" s="796"/>
      <c r="D156" s="1831"/>
      <c r="E156" s="1831"/>
      <c r="F156" s="1831"/>
      <c r="G156" s="664"/>
      <c r="I156" s="615"/>
    </row>
    <row r="157" spans="1:9" s="714" customFormat="1" ht="13.7" customHeight="1">
      <c r="A157" s="780"/>
      <c r="B157" s="780"/>
      <c r="C157" s="796"/>
      <c r="D157" s="1831"/>
      <c r="E157" s="1831"/>
      <c r="F157" s="1831"/>
      <c r="G157" s="664"/>
      <c r="I157" s="615"/>
    </row>
    <row r="158" spans="1:9" s="714" customFormat="1" ht="13.7" customHeight="1">
      <c r="A158" s="780"/>
      <c r="B158" s="780"/>
      <c r="C158" s="796"/>
      <c r="D158" s="1831"/>
      <c r="E158" s="1831"/>
      <c r="F158" s="1831"/>
      <c r="G158" s="664"/>
      <c r="I158" s="615"/>
    </row>
    <row r="159" spans="1:9" s="714" customFormat="1" ht="13.7" customHeight="1">
      <c r="A159" s="780"/>
      <c r="B159" s="780"/>
      <c r="C159" s="796"/>
      <c r="D159" s="1831"/>
      <c r="E159" s="1831"/>
      <c r="F159" s="1831"/>
      <c r="G159" s="664"/>
      <c r="I159" s="615"/>
    </row>
    <row r="160" spans="1:9" s="714" customFormat="1" ht="13.7" customHeight="1">
      <c r="A160" s="780"/>
      <c r="B160" s="780"/>
      <c r="C160" s="796"/>
      <c r="D160" s="1831"/>
      <c r="E160" s="1831"/>
      <c r="F160" s="1831"/>
      <c r="G160" s="664"/>
      <c r="I160" s="615"/>
    </row>
    <row r="161" spans="1:9" s="714" customFormat="1" ht="13.7" customHeight="1">
      <c r="A161" s="780"/>
      <c r="B161" s="780"/>
      <c r="C161" s="796"/>
      <c r="D161" s="1831"/>
      <c r="E161" s="1831"/>
      <c r="F161" s="1831"/>
      <c r="G161" s="664"/>
      <c r="I161" s="615"/>
    </row>
    <row r="162" spans="1:9" s="714" customFormat="1" ht="13.7" customHeight="1">
      <c r="A162" s="780"/>
      <c r="B162" s="780"/>
      <c r="C162" s="796"/>
      <c r="D162" s="1831"/>
      <c r="E162" s="1831"/>
      <c r="F162" s="1831"/>
      <c r="G162" s="664"/>
      <c r="I162" s="615"/>
    </row>
    <row r="163" spans="1:9" s="714" customFormat="1" ht="13.7" customHeight="1">
      <c r="A163" s="780"/>
      <c r="B163" s="780"/>
      <c r="C163" s="796"/>
      <c r="D163" s="1831"/>
      <c r="E163" s="1831"/>
      <c r="F163" s="1831"/>
      <c r="G163" s="664"/>
      <c r="I163" s="615"/>
    </row>
    <row r="164" spans="1:9" s="714" customFormat="1" ht="13.7" customHeight="1">
      <c r="A164" s="780"/>
      <c r="B164" s="780"/>
      <c r="C164" s="796"/>
      <c r="D164" s="1831"/>
      <c r="E164" s="1831"/>
      <c r="F164" s="1831"/>
      <c r="G164" s="664"/>
      <c r="I164" s="615"/>
    </row>
    <row r="165" spans="1:9" s="714" customFormat="1" ht="13.7" customHeight="1">
      <c r="A165" s="780"/>
      <c r="B165" s="780"/>
      <c r="C165" s="796"/>
      <c r="D165" s="1831"/>
      <c r="E165" s="1831"/>
      <c r="F165" s="1831"/>
      <c r="G165" s="664"/>
      <c r="I165" s="615"/>
    </row>
    <row r="166" spans="1:9" s="714" customFormat="1" ht="13.7" customHeight="1">
      <c r="A166" s="780"/>
      <c r="B166" s="780"/>
      <c r="C166" s="796"/>
      <c r="D166" s="1831"/>
      <c r="E166" s="1831"/>
      <c r="F166" s="1831"/>
      <c r="G166" s="664"/>
      <c r="I166" s="615"/>
    </row>
    <row r="167" spans="1:9" s="714" customFormat="1" ht="13.7" customHeight="1">
      <c r="A167" s="780"/>
      <c r="B167" s="780"/>
      <c r="C167" s="796"/>
      <c r="D167" s="1831"/>
      <c r="E167" s="1831"/>
      <c r="F167" s="1831"/>
      <c r="G167" s="664"/>
      <c r="I167" s="615"/>
    </row>
    <row r="168" spans="1:9" s="714" customFormat="1" ht="13.7" customHeight="1">
      <c r="A168" s="780"/>
      <c r="B168" s="780"/>
      <c r="C168" s="796"/>
      <c r="D168" s="1831"/>
      <c r="E168" s="1831"/>
      <c r="F168" s="1831"/>
      <c r="G168" s="664"/>
      <c r="I168" s="615"/>
    </row>
    <row r="169" spans="1:9" s="714" customFormat="1" ht="13.7" customHeight="1">
      <c r="A169" s="780"/>
      <c r="B169" s="780"/>
      <c r="C169" s="796"/>
      <c r="D169" s="1832" t="s">
        <v>1366</v>
      </c>
      <c r="E169" s="1832"/>
      <c r="F169" s="1832"/>
      <c r="G169" s="848"/>
      <c r="I169" s="615"/>
    </row>
    <row r="170" spans="1:9" s="714" customFormat="1" ht="13.7" customHeight="1">
      <c r="A170" s="780"/>
      <c r="B170" s="780"/>
      <c r="C170" s="796"/>
      <c r="D170" s="1830"/>
      <c r="E170" s="1830"/>
      <c r="F170" s="1830"/>
      <c r="G170" s="1830"/>
      <c r="I170" s="615"/>
    </row>
    <row r="171" spans="1:9" s="714" customFormat="1" ht="14.45" customHeight="1">
      <c r="A171" s="805"/>
      <c r="B171" s="790" t="s">
        <v>2529</v>
      </c>
      <c r="C171" s="806"/>
      <c r="D171" s="1721" t="s">
        <v>1392</v>
      </c>
      <c r="E171" s="1721"/>
      <c r="F171" s="1721"/>
      <c r="G171" s="807"/>
      <c r="I171" s="615" t="s">
        <v>2225</v>
      </c>
    </row>
    <row r="172" spans="1:9" s="714" customFormat="1" ht="14.45" customHeight="1">
      <c r="A172" s="805"/>
      <c r="B172" s="805"/>
      <c r="C172" s="806"/>
      <c r="D172" s="1721"/>
      <c r="E172" s="1721"/>
      <c r="F172" s="1721"/>
      <c r="G172" s="807"/>
      <c r="I172" s="615"/>
    </row>
    <row r="173" spans="1:9" s="714" customFormat="1" ht="13.7" customHeight="1">
      <c r="A173" s="805"/>
      <c r="B173" s="805"/>
      <c r="C173" s="806"/>
      <c r="D173" s="1721"/>
      <c r="E173" s="1721"/>
      <c r="F173" s="1721"/>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2698</v>
      </c>
      <c r="C175" s="806"/>
      <c r="D175" s="1717" t="s">
        <v>1235</v>
      </c>
      <c r="E175" s="1717"/>
      <c r="F175" s="1717"/>
      <c r="G175" s="807"/>
      <c r="I175" s="615" t="s">
        <v>2231</v>
      </c>
    </row>
    <row r="176" spans="1:9" s="714" customFormat="1" ht="13.7" customHeight="1">
      <c r="A176" s="805"/>
      <c r="B176" s="805"/>
      <c r="C176" s="806"/>
      <c r="D176" s="1717"/>
      <c r="E176" s="1717"/>
      <c r="F176" s="1717"/>
      <c r="G176" s="807"/>
      <c r="I176" s="615"/>
    </row>
    <row r="177" spans="1:9" s="714" customFormat="1" ht="13.7" customHeight="1">
      <c r="A177" s="805"/>
      <c r="B177" s="805"/>
      <c r="C177" s="806"/>
      <c r="D177" s="1717"/>
      <c r="E177" s="1717"/>
      <c r="F177" s="1717"/>
      <c r="G177" s="807"/>
      <c r="I177" s="615"/>
    </row>
    <row r="178" spans="1:9" s="714" customFormat="1" ht="13.7" customHeight="1">
      <c r="A178" s="805"/>
      <c r="B178" s="805"/>
      <c r="C178" s="806"/>
      <c r="D178" s="1717"/>
      <c r="E178" s="1717"/>
      <c r="F178" s="1717"/>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2529</v>
      </c>
      <c r="C180" s="796"/>
      <c r="D180" s="1752" t="s">
        <v>1236</v>
      </c>
      <c r="E180" s="1752"/>
      <c r="F180" s="1752"/>
      <c r="G180" s="664"/>
      <c r="I180" s="615" t="s">
        <v>2232</v>
      </c>
    </row>
    <row r="181" spans="1:9" s="714" customFormat="1" ht="13.7" customHeight="1">
      <c r="A181" s="780"/>
      <c r="B181" s="780"/>
      <c r="C181" s="796"/>
      <c r="D181" s="1752"/>
      <c r="E181" s="1752"/>
      <c r="F181" s="1752"/>
      <c r="G181" s="664"/>
      <c r="I181" s="615"/>
    </row>
    <row r="182" spans="1:9" s="714" customFormat="1" ht="13.7" customHeight="1">
      <c r="A182" s="780"/>
      <c r="B182" s="780"/>
      <c r="C182" s="796"/>
      <c r="D182" s="1752"/>
      <c r="E182" s="1752"/>
      <c r="F182" s="1752"/>
      <c r="G182" s="664"/>
      <c r="I182" s="615"/>
    </row>
    <row r="183" spans="1:9" s="714" customFormat="1" ht="13.7" customHeight="1">
      <c r="A183" s="808"/>
      <c r="B183" s="808"/>
      <c r="C183" s="796"/>
      <c r="D183" s="781"/>
      <c r="E183" s="777"/>
      <c r="F183" s="777"/>
      <c r="G183" s="664"/>
      <c r="I183" s="615"/>
    </row>
    <row r="184" spans="1:9">
      <c r="A184" s="1729" t="s">
        <v>2209</v>
      </c>
      <c r="B184" s="1729"/>
      <c r="C184" s="1729"/>
      <c r="D184" s="1729"/>
      <c r="E184" s="1729"/>
      <c r="F184" s="1729"/>
      <c r="G184" s="1729"/>
      <c r="H184" s="1130"/>
      <c r="I184" s="1131"/>
    </row>
    <row r="185" spans="1:9" ht="12" customHeight="1">
      <c r="D185" s="792"/>
      <c r="E185" s="792"/>
      <c r="F185" s="792"/>
    </row>
    <row r="186" spans="1:9">
      <c r="B186" s="1818" t="s">
        <v>465</v>
      </c>
      <c r="C186" s="1818"/>
      <c r="D186" s="1818"/>
      <c r="E186" s="1818"/>
      <c r="F186" s="1818"/>
    </row>
    <row r="187" spans="1:9" s="1080" customFormat="1">
      <c r="A187" s="780"/>
      <c r="B187" s="1111" t="s">
        <v>2210</v>
      </c>
      <c r="C187" s="1111"/>
      <c r="D187" s="1111"/>
      <c r="E187" s="1111"/>
      <c r="F187" s="1111"/>
      <c r="G187" s="1079"/>
      <c r="I187" s="1082"/>
    </row>
    <row r="188" spans="1:9" ht="12" customHeight="1">
      <c r="A188" s="785"/>
      <c r="B188" s="785"/>
      <c r="C188" s="785"/>
    </row>
    <row r="189" spans="1:9">
      <c r="A189" s="1729" t="s">
        <v>1131</v>
      </c>
      <c r="B189" s="1729"/>
      <c r="C189" s="1729"/>
      <c r="D189" s="1729"/>
      <c r="E189" s="1729"/>
      <c r="F189" s="1729"/>
      <c r="G189" s="1729"/>
      <c r="H189" s="1130"/>
      <c r="I189" s="1131"/>
    </row>
    <row r="190" spans="1:9" ht="12" customHeight="1">
      <c r="A190" s="809"/>
      <c r="B190" s="809"/>
      <c r="C190" s="810"/>
      <c r="D190" s="811"/>
      <c r="E190" s="812"/>
      <c r="F190" s="811"/>
      <c r="G190" s="811"/>
    </row>
    <row r="191" spans="1:9" ht="13.7" customHeight="1">
      <c r="A191" s="809"/>
      <c r="B191" s="809"/>
      <c r="C191" s="810"/>
      <c r="D191" s="1753" t="s">
        <v>2067</v>
      </c>
      <c r="E191" s="1753"/>
      <c r="F191" s="1753"/>
      <c r="G191" s="811"/>
    </row>
    <row r="192" spans="1:9">
      <c r="A192" s="809"/>
      <c r="B192" s="809"/>
      <c r="C192" s="810"/>
      <c r="D192" s="1753"/>
      <c r="E192" s="1753"/>
      <c r="F192" s="1753"/>
      <c r="G192" s="811"/>
    </row>
    <row r="193" spans="1:9">
      <c r="A193" s="809"/>
      <c r="B193" s="809"/>
      <c r="C193" s="810"/>
      <c r="D193" s="1754" t="s">
        <v>1359</v>
      </c>
      <c r="E193" s="1754"/>
      <c r="F193" s="1754"/>
      <c r="G193" s="811"/>
    </row>
    <row r="194" spans="1:9">
      <c r="A194" s="809"/>
      <c r="B194" s="809"/>
      <c r="C194" s="810"/>
      <c r="D194" s="1026"/>
      <c r="E194" s="1026"/>
      <c r="F194" s="1026"/>
      <c r="G194" s="811"/>
    </row>
    <row r="195" spans="1:9">
      <c r="A195" s="809"/>
      <c r="B195" s="790" t="s">
        <v>2529</v>
      </c>
      <c r="C195" s="810"/>
      <c r="D195" s="1722" t="s">
        <v>2068</v>
      </c>
      <c r="E195" s="1722"/>
      <c r="F195" s="1722"/>
      <c r="G195" s="811"/>
      <c r="I195" s="1082" t="s">
        <v>2281</v>
      </c>
    </row>
    <row r="196" spans="1:9">
      <c r="A196" s="809"/>
      <c r="B196" s="809"/>
      <c r="C196" s="810"/>
      <c r="D196" s="1775" t="s">
        <v>2367</v>
      </c>
      <c r="E196" s="1775"/>
      <c r="F196" s="1775"/>
      <c r="G196" s="811"/>
    </row>
    <row r="197" spans="1:9">
      <c r="A197" s="809"/>
      <c r="B197" s="809"/>
      <c r="C197" s="810"/>
      <c r="D197" s="1042" t="s">
        <v>2069</v>
      </c>
      <c r="E197" s="1836" t="s">
        <v>2392</v>
      </c>
      <c r="F197" s="1836"/>
      <c r="G197" s="811"/>
    </row>
    <row r="198" spans="1:9">
      <c r="A198" s="809"/>
      <c r="B198" s="809"/>
      <c r="C198" s="810"/>
      <c r="D198" s="155"/>
      <c r="E198" s="155"/>
      <c r="F198" s="155"/>
      <c r="G198" s="811"/>
    </row>
    <row r="199" spans="1:9">
      <c r="A199" s="809"/>
      <c r="B199" s="790" t="s">
        <v>2529</v>
      </c>
      <c r="C199" s="810"/>
      <c r="D199" s="1775" t="s">
        <v>2070</v>
      </c>
      <c r="E199" s="1775"/>
      <c r="F199" s="1775"/>
      <c r="G199" s="811"/>
      <c r="I199" s="1082" t="s">
        <v>2282</v>
      </c>
    </row>
    <row r="200" spans="1:9">
      <c r="A200" s="809"/>
      <c r="B200" s="809"/>
      <c r="C200" s="810"/>
      <c r="D200" s="1722" t="s">
        <v>2367</v>
      </c>
      <c r="E200" s="1722"/>
      <c r="F200" s="1722"/>
      <c r="G200" s="811"/>
    </row>
    <row r="201" spans="1:9">
      <c r="A201" s="809"/>
      <c r="B201" s="809"/>
      <c r="C201" s="810"/>
      <c r="D201" s="1024" t="s">
        <v>2071</v>
      </c>
      <c r="E201" s="1836" t="s">
        <v>2393</v>
      </c>
      <c r="F201" s="1836"/>
      <c r="G201" s="811"/>
    </row>
    <row r="202" spans="1:9">
      <c r="A202" s="809"/>
      <c r="B202" s="809"/>
      <c r="C202" s="810"/>
      <c r="D202" s="155"/>
      <c r="E202" s="155"/>
      <c r="F202" s="155"/>
      <c r="G202" s="811"/>
    </row>
    <row r="203" spans="1:9">
      <c r="A203" s="809"/>
      <c r="B203" s="790" t="s">
        <v>2529</v>
      </c>
      <c r="C203" s="810"/>
      <c r="D203" s="1775" t="s">
        <v>2072</v>
      </c>
      <c r="E203" s="1775"/>
      <c r="F203" s="1775"/>
      <c r="G203" s="811"/>
      <c r="I203" s="1082" t="s">
        <v>2283</v>
      </c>
    </row>
    <row r="204" spans="1:9">
      <c r="A204" s="809"/>
      <c r="B204" s="809"/>
      <c r="C204" s="810"/>
      <c r="D204" s="1722" t="s">
        <v>2367</v>
      </c>
      <c r="E204" s="1722"/>
      <c r="F204" s="1722"/>
      <c r="G204" s="811"/>
    </row>
    <row r="205" spans="1:9">
      <c r="A205" s="809"/>
      <c r="B205" s="809"/>
      <c r="C205" s="810"/>
      <c r="D205" s="1024" t="s">
        <v>2069</v>
      </c>
      <c r="E205" s="1836" t="s">
        <v>2394</v>
      </c>
      <c r="F205" s="1836"/>
      <c r="G205" s="811"/>
    </row>
    <row r="206" spans="1:9">
      <c r="A206" s="809"/>
      <c r="B206" s="809"/>
      <c r="C206" s="810"/>
      <c r="D206" s="1026"/>
      <c r="E206" s="1026"/>
      <c r="F206" s="1026"/>
      <c r="G206" s="811"/>
    </row>
    <row r="207" spans="1:9" ht="14.25" customHeight="1">
      <c r="A207" s="789"/>
      <c r="B207" s="790" t="s">
        <v>2529</v>
      </c>
      <c r="C207" s="810"/>
      <c r="D207" s="1186" t="s">
        <v>2360</v>
      </c>
      <c r="E207" s="870"/>
      <c r="F207" s="870"/>
      <c r="G207" s="811"/>
      <c r="I207" s="1082" t="s">
        <v>2284</v>
      </c>
    </row>
    <row r="208" spans="1:9" ht="14.25">
      <c r="A208" s="789"/>
      <c r="B208" s="789"/>
      <c r="C208" s="810"/>
      <c r="D208" s="1722" t="s">
        <v>2367</v>
      </c>
      <c r="E208" s="1722"/>
      <c r="F208" s="1722"/>
      <c r="G208" s="811"/>
    </row>
    <row r="209" spans="1:9">
      <c r="A209" s="810"/>
      <c r="B209" s="810"/>
      <c r="C209" s="810"/>
      <c r="D209" s="870"/>
      <c r="E209" s="1836" t="s">
        <v>2395</v>
      </c>
      <c r="F209" s="1836"/>
    </row>
    <row r="210" spans="1:9">
      <c r="A210" s="810"/>
      <c r="B210" s="810"/>
      <c r="C210" s="810"/>
      <c r="D210" s="795"/>
      <c r="E210" s="811"/>
      <c r="F210" s="811"/>
    </row>
    <row r="211" spans="1:9">
      <c r="A211" s="810"/>
      <c r="B211" s="790" t="s">
        <v>2529</v>
      </c>
      <c r="C211" s="810"/>
      <c r="D211" s="1775" t="s">
        <v>2073</v>
      </c>
      <c r="E211" s="1775"/>
      <c r="F211" s="1775"/>
      <c r="I211" s="1082" t="s">
        <v>2285</v>
      </c>
    </row>
    <row r="212" spans="1:9">
      <c r="A212" s="810"/>
      <c r="B212" s="810"/>
      <c r="C212" s="810"/>
      <c r="D212" s="1722" t="s">
        <v>2367</v>
      </c>
      <c r="E212" s="1722"/>
      <c r="F212" s="1722"/>
    </row>
    <row r="213" spans="1:9">
      <c r="A213" s="810"/>
      <c r="B213" s="810"/>
      <c r="C213" s="810"/>
      <c r="D213" s="1024" t="s">
        <v>2069</v>
      </c>
      <c r="E213" s="1836" t="s">
        <v>2396</v>
      </c>
      <c r="F213" s="1836"/>
    </row>
    <row r="214" spans="1:9">
      <c r="A214" s="810"/>
      <c r="B214" s="810"/>
      <c r="C214" s="810"/>
      <c r="D214" s="771"/>
      <c r="E214" s="771"/>
      <c r="F214" s="771"/>
    </row>
    <row r="215" spans="1:9" s="611" customFormat="1" ht="14.25">
      <c r="A215" s="789"/>
      <c r="B215" s="790" t="s">
        <v>2529</v>
      </c>
      <c r="C215" s="798"/>
      <c r="D215" s="1747" t="s">
        <v>1383</v>
      </c>
      <c r="E215" s="1747"/>
      <c r="F215" s="1747"/>
      <c r="G215" s="685"/>
      <c r="I215" s="635"/>
    </row>
    <row r="216" spans="1:9" s="611" customFormat="1" ht="14.45" customHeight="1">
      <c r="A216" s="789"/>
      <c r="C216" s="798"/>
      <c r="D216" s="1747"/>
      <c r="E216" s="1747"/>
      <c r="F216" s="1747"/>
      <c r="G216" s="685"/>
      <c r="I216" s="635"/>
    </row>
    <row r="217" spans="1:9" s="611" customFormat="1" ht="14.25">
      <c r="A217" s="789"/>
      <c r="B217" s="810"/>
      <c r="C217" s="798"/>
      <c r="D217" s="1747"/>
      <c r="E217" s="1747"/>
      <c r="F217" s="1747"/>
      <c r="G217" s="685"/>
      <c r="I217" s="635"/>
    </row>
    <row r="218" spans="1:9" s="611" customFormat="1" ht="14.25">
      <c r="A218" s="789"/>
      <c r="B218" s="810"/>
      <c r="C218" s="798"/>
      <c r="D218" s="1747"/>
      <c r="E218" s="1747"/>
      <c r="F218" s="1747"/>
      <c r="G218" s="685"/>
      <c r="I218" s="635"/>
    </row>
    <row r="219" spans="1:9">
      <c r="A219" s="810"/>
      <c r="B219" s="810"/>
      <c r="C219" s="810"/>
      <c r="D219" s="771"/>
      <c r="E219" s="771"/>
      <c r="F219" s="771"/>
    </row>
    <row r="220" spans="1:9">
      <c r="A220" s="1729" t="s">
        <v>1132</v>
      </c>
      <c r="B220" s="1729"/>
      <c r="C220" s="1729"/>
      <c r="D220" s="1729"/>
      <c r="E220" s="1729"/>
      <c r="F220" s="1729"/>
      <c r="G220" s="1729"/>
      <c r="H220" s="1130"/>
      <c r="I220" s="1131"/>
    </row>
    <row r="221" spans="1:9" ht="12" customHeight="1">
      <c r="D221" s="792"/>
      <c r="E221" s="792"/>
      <c r="F221" s="792"/>
    </row>
    <row r="222" spans="1:9">
      <c r="C222" s="799"/>
      <c r="D222" s="1840" t="s">
        <v>214</v>
      </c>
      <c r="E222" s="1840"/>
      <c r="F222" s="1840"/>
    </row>
    <row r="223" spans="1:9">
      <c r="A223" s="785"/>
      <c r="B223" s="785"/>
      <c r="C223" s="785"/>
      <c r="D223" s="1821" t="s">
        <v>1261</v>
      </c>
      <c r="E223" s="1821"/>
      <c r="F223" s="1821"/>
    </row>
    <row r="224" spans="1:9" ht="12" customHeight="1">
      <c r="A224" s="808"/>
      <c r="B224" s="808"/>
      <c r="C224" s="808"/>
    </row>
    <row r="225" spans="1:9" ht="13.7" customHeight="1">
      <c r="A225" s="808"/>
      <c r="C225" s="808"/>
      <c r="D225" s="1746" t="s">
        <v>572</v>
      </c>
      <c r="E225" s="1746"/>
      <c r="F225" s="1746"/>
      <c r="I225" s="1082" t="s">
        <v>2233</v>
      </c>
    </row>
    <row r="226" spans="1:9" ht="14.25">
      <c r="A226" s="789"/>
      <c r="B226" s="790" t="s">
        <v>2698</v>
      </c>
      <c r="D226" s="1747" t="s">
        <v>2074</v>
      </c>
      <c r="E226" s="1747"/>
      <c r="F226" s="1747"/>
    </row>
    <row r="227" spans="1:9" ht="14.25" customHeight="1">
      <c r="A227" s="789"/>
      <c r="B227" s="789"/>
      <c r="D227" s="1747"/>
      <c r="E227" s="1747"/>
      <c r="F227" s="1747"/>
    </row>
    <row r="228" spans="1:9" ht="14.25" customHeight="1">
      <c r="A228" s="789"/>
      <c r="B228" s="789"/>
      <c r="D228" s="1747"/>
      <c r="E228" s="1747"/>
      <c r="F228" s="1747"/>
    </row>
    <row r="229" spans="1:9" ht="14.25">
      <c r="A229" s="789"/>
      <c r="B229" s="789"/>
      <c r="D229" s="1747"/>
      <c r="E229" s="1747"/>
      <c r="F229" s="1747"/>
    </row>
    <row r="230" spans="1:9" ht="14.25">
      <c r="A230" s="789"/>
      <c r="B230" s="789"/>
      <c r="D230" s="1025"/>
      <c r="E230" s="1025"/>
      <c r="F230" s="1025"/>
    </row>
    <row r="231" spans="1:9" ht="14.25">
      <c r="A231" s="789"/>
      <c r="B231" s="790" t="s">
        <v>2698</v>
      </c>
      <c r="D231" s="1747" t="s">
        <v>2075</v>
      </c>
      <c r="E231" s="1747"/>
      <c r="F231" s="1747"/>
      <c r="I231" s="1082" t="s">
        <v>2234</v>
      </c>
    </row>
    <row r="232" spans="1:9" ht="14.25">
      <c r="A232" s="789"/>
      <c r="B232" s="789"/>
      <c r="D232" s="1747"/>
      <c r="E232" s="1747"/>
      <c r="F232" s="1747"/>
    </row>
    <row r="233" spans="1:9" ht="14.25">
      <c r="A233" s="789"/>
      <c r="B233" s="789"/>
      <c r="D233" s="1747"/>
      <c r="E233" s="1747"/>
      <c r="F233" s="1747"/>
    </row>
    <row r="234" spans="1:9" ht="14.25">
      <c r="A234" s="789"/>
      <c r="B234" s="789"/>
      <c r="D234" s="1747"/>
      <c r="E234" s="1747"/>
      <c r="F234" s="1747"/>
    </row>
    <row r="235" spans="1:9" ht="14.25" customHeight="1">
      <c r="A235" s="789"/>
      <c r="B235" s="789"/>
      <c r="D235" s="1747"/>
      <c r="E235" s="1747"/>
      <c r="F235" s="1747"/>
    </row>
    <row r="236" spans="1:9" ht="14.25" customHeight="1">
      <c r="A236" s="789"/>
      <c r="B236" s="789"/>
      <c r="D236" s="1025"/>
      <c r="E236" s="1025"/>
      <c r="F236" s="1025"/>
    </row>
    <row r="237" spans="1:9" ht="14.25">
      <c r="A237" s="789"/>
      <c r="B237" s="789"/>
      <c r="D237" s="1747" t="s">
        <v>1257</v>
      </c>
      <c r="E237" s="1747"/>
      <c r="F237" s="1747"/>
      <c r="I237" s="1082" t="s">
        <v>2233</v>
      </c>
    </row>
    <row r="238" spans="1:9" ht="14.25">
      <c r="A238" s="789"/>
      <c r="B238" s="789"/>
      <c r="D238" s="1747"/>
      <c r="E238" s="1747"/>
      <c r="F238" s="1747"/>
    </row>
    <row r="239" spans="1:9" ht="14.25">
      <c r="A239" s="789"/>
      <c r="B239" s="789"/>
      <c r="D239" s="1747"/>
      <c r="E239" s="1747"/>
      <c r="F239" s="1747"/>
    </row>
    <row r="240" spans="1:9" ht="14.25">
      <c r="A240" s="789"/>
      <c r="B240" s="789"/>
      <c r="D240" s="1747"/>
      <c r="E240" s="1747"/>
      <c r="F240" s="1747"/>
    </row>
    <row r="241" spans="1:9" ht="14.25">
      <c r="A241" s="789"/>
      <c r="B241" s="789"/>
      <c r="D241" s="1747"/>
      <c r="E241" s="1747"/>
      <c r="F241" s="1747"/>
    </row>
    <row r="242" spans="1:9" ht="14.25">
      <c r="A242" s="789"/>
      <c r="B242" s="789"/>
      <c r="D242" s="792"/>
      <c r="E242" s="792"/>
      <c r="F242" s="792"/>
    </row>
    <row r="243" spans="1:9" ht="14.25">
      <c r="A243" s="789"/>
      <c r="B243" s="790" t="s">
        <v>2529</v>
      </c>
      <c r="D243" s="1825" t="s">
        <v>2078</v>
      </c>
      <c r="E243" s="1825"/>
      <c r="F243" s="1825"/>
      <c r="I243" s="1082" t="s">
        <v>2272</v>
      </c>
    </row>
    <row r="244" spans="1:9" ht="14.25">
      <c r="A244" s="789"/>
      <c r="B244" s="789"/>
      <c r="D244" s="1825"/>
      <c r="E244" s="1825"/>
      <c r="F244" s="1825"/>
    </row>
    <row r="245" spans="1:9" ht="14.25">
      <c r="A245" s="789"/>
      <c r="B245" s="789"/>
      <c r="D245" s="1825"/>
      <c r="E245" s="1825"/>
      <c r="F245" s="1825"/>
    </row>
    <row r="246" spans="1:9" ht="14.25">
      <c r="A246" s="789"/>
      <c r="B246" s="789"/>
      <c r="E246" s="1187" t="s">
        <v>2361</v>
      </c>
    </row>
    <row r="247" spans="1:9" ht="14.25">
      <c r="A247" s="789"/>
      <c r="B247" s="789"/>
      <c r="D247" s="792"/>
      <c r="E247" s="792"/>
      <c r="F247" s="792"/>
    </row>
    <row r="248" spans="1:9" ht="14.45" customHeight="1">
      <c r="A248" s="789"/>
      <c r="B248" s="790" t="s">
        <v>2529</v>
      </c>
      <c r="D248" s="1825" t="s">
        <v>1260</v>
      </c>
      <c r="E248" s="1825"/>
      <c r="F248" s="1825"/>
      <c r="I248" s="1082" t="s">
        <v>2290</v>
      </c>
    </row>
    <row r="249" spans="1:9" ht="14.25">
      <c r="A249" s="789"/>
      <c r="B249" s="789"/>
      <c r="D249" s="1825"/>
      <c r="E249" s="1825"/>
      <c r="F249" s="1825"/>
    </row>
    <row r="250" spans="1:9" ht="14.25">
      <c r="A250" s="789"/>
      <c r="B250" s="789"/>
      <c r="D250" s="1825"/>
      <c r="E250" s="1825"/>
      <c r="F250" s="1825"/>
    </row>
    <row r="251" spans="1:9" ht="14.25">
      <c r="A251" s="789"/>
      <c r="B251" s="789"/>
      <c r="D251" s="1825"/>
      <c r="E251" s="1825"/>
      <c r="F251" s="1825"/>
    </row>
    <row r="252" spans="1:9" ht="14.25">
      <c r="A252" s="789"/>
      <c r="B252" s="789"/>
      <c r="D252" s="1825"/>
      <c r="E252" s="1825"/>
      <c r="F252" s="1825"/>
    </row>
    <row r="253" spans="1:9" ht="14.25">
      <c r="A253" s="789"/>
      <c r="B253" s="789"/>
      <c r="D253" s="1036"/>
      <c r="E253" s="1036"/>
      <c r="F253" s="1036"/>
    </row>
    <row r="254" spans="1:9" ht="14.25">
      <c r="A254" s="789"/>
      <c r="B254" s="790" t="s">
        <v>2698</v>
      </c>
      <c r="D254" s="1035" t="s">
        <v>2076</v>
      </c>
      <c r="E254" s="1036"/>
      <c r="F254" s="1036"/>
      <c r="I254" s="1082" t="s">
        <v>2271</v>
      </c>
    </row>
    <row r="255" spans="1:9" ht="14.25">
      <c r="A255" s="789"/>
      <c r="B255" s="789"/>
      <c r="E255" s="1187" t="s">
        <v>2362</v>
      </c>
    </row>
    <row r="256" spans="1:9">
      <c r="D256" s="792"/>
      <c r="E256" s="792"/>
      <c r="F256" s="792"/>
    </row>
    <row r="257" spans="1:9" ht="14.25">
      <c r="A257" s="789"/>
      <c r="B257" s="790" t="s">
        <v>2698</v>
      </c>
      <c r="D257" s="1747" t="s">
        <v>1259</v>
      </c>
      <c r="E257" s="1747"/>
      <c r="F257" s="1747"/>
    </row>
    <row r="258" spans="1:9" ht="14.25">
      <c r="A258" s="789"/>
      <c r="B258" s="789"/>
      <c r="D258" s="1747"/>
      <c r="E258" s="1747"/>
      <c r="F258" s="1747"/>
    </row>
    <row r="259" spans="1:9">
      <c r="D259" s="813"/>
    </row>
    <row r="260" spans="1:9">
      <c r="A260" s="1729" t="s">
        <v>1133</v>
      </c>
      <c r="B260" s="1729"/>
      <c r="C260" s="1729"/>
      <c r="D260" s="1729"/>
      <c r="E260" s="1729"/>
      <c r="F260" s="1729"/>
      <c r="G260" s="1729"/>
      <c r="H260" s="1130"/>
      <c r="I260" s="1131"/>
    </row>
    <row r="261" spans="1:9">
      <c r="D261" s="813"/>
    </row>
    <row r="262" spans="1:9">
      <c r="C262" s="799"/>
      <c r="D262" s="1746" t="s">
        <v>1262</v>
      </c>
      <c r="E262" s="1746"/>
      <c r="F262" s="1746"/>
    </row>
    <row r="263" spans="1:9">
      <c r="A263" s="785"/>
      <c r="B263" s="785"/>
      <c r="C263" s="785"/>
      <c r="D263" s="792"/>
      <c r="E263" s="792"/>
      <c r="F263" s="792"/>
    </row>
    <row r="264" spans="1:9">
      <c r="A264" s="787"/>
      <c r="B264" s="787"/>
      <c r="C264" s="787"/>
      <c r="D264" s="1746" t="s">
        <v>275</v>
      </c>
      <c r="E264" s="1746"/>
      <c r="F264" s="1746"/>
      <c r="I264" s="1082" t="s">
        <v>2273</v>
      </c>
    </row>
    <row r="265" spans="1:9" ht="14.45" customHeight="1">
      <c r="A265" s="789"/>
      <c r="B265" s="790" t="s">
        <v>2698</v>
      </c>
      <c r="D265" s="1827" t="s">
        <v>1360</v>
      </c>
      <c r="E265" s="1827"/>
      <c r="F265" s="1827"/>
    </row>
    <row r="266" spans="1:9">
      <c r="D266" s="1827"/>
      <c r="E266" s="1827"/>
      <c r="F266" s="1827"/>
    </row>
    <row r="267" spans="1:9">
      <c r="E267" s="1187" t="s">
        <v>2363</v>
      </c>
    </row>
    <row r="268" spans="1:9">
      <c r="D268" s="792"/>
      <c r="E268" s="792"/>
      <c r="F268" s="792"/>
    </row>
    <row r="269" spans="1:9" ht="14.45" customHeight="1">
      <c r="A269" s="789"/>
      <c r="B269" s="790" t="s">
        <v>2529</v>
      </c>
      <c r="D269" s="1825" t="s">
        <v>2077</v>
      </c>
      <c r="E269" s="1825"/>
      <c r="F269" s="1825"/>
      <c r="I269" s="1082" t="s">
        <v>2291</v>
      </c>
    </row>
    <row r="270" spans="1:9">
      <c r="D270" s="1825"/>
      <c r="E270" s="1825"/>
      <c r="F270" s="1825"/>
    </row>
    <row r="271" spans="1:9">
      <c r="D271" s="1825"/>
      <c r="E271" s="1825"/>
      <c r="F271" s="1825"/>
    </row>
    <row r="272" spans="1:9">
      <c r="D272" s="1825"/>
      <c r="E272" s="1825"/>
      <c r="F272" s="1825"/>
    </row>
    <row r="273" spans="1:9">
      <c r="D273" s="1825"/>
      <c r="E273" s="1825"/>
      <c r="F273" s="1825"/>
    </row>
    <row r="274" spans="1:9">
      <c r="D274" s="1825"/>
      <c r="E274" s="1825"/>
      <c r="F274" s="1825"/>
    </row>
    <row r="275" spans="1:9">
      <c r="D275" s="792"/>
      <c r="E275" s="792"/>
      <c r="F275" s="792"/>
    </row>
    <row r="276" spans="1:9" ht="14.25">
      <c r="A276" s="789"/>
      <c r="B276" s="790" t="s">
        <v>2529</v>
      </c>
      <c r="D276" s="1747" t="s">
        <v>1265</v>
      </c>
      <c r="E276" s="1747"/>
      <c r="F276" s="1747"/>
    </row>
    <row r="277" spans="1:9">
      <c r="D277" s="1747"/>
      <c r="E277" s="1747"/>
      <c r="F277" s="1747"/>
    </row>
    <row r="278" spans="1:9">
      <c r="D278" s="1747"/>
      <c r="E278" s="1747"/>
      <c r="F278" s="1747"/>
    </row>
    <row r="279" spans="1:9">
      <c r="D279" s="814"/>
      <c r="E279" s="792"/>
      <c r="F279" s="792"/>
    </row>
    <row r="280" spans="1:9">
      <c r="A280" s="1729" t="s">
        <v>1134</v>
      </c>
      <c r="B280" s="1729"/>
      <c r="C280" s="1729"/>
      <c r="D280" s="1729"/>
      <c r="E280" s="1729"/>
      <c r="F280" s="1729"/>
      <c r="G280" s="1729"/>
      <c r="H280" s="1130"/>
      <c r="I280" s="1131"/>
    </row>
    <row r="281" spans="1:9">
      <c r="D281" s="814"/>
      <c r="E281" s="792"/>
      <c r="F281" s="792"/>
    </row>
    <row r="282" spans="1:9">
      <c r="C282" s="785"/>
      <c r="D282" s="1817" t="s">
        <v>1267</v>
      </c>
      <c r="E282" s="1817"/>
      <c r="F282" s="1817"/>
    </row>
    <row r="283" spans="1:9">
      <c r="C283" s="785"/>
      <c r="D283" s="1817"/>
      <c r="E283" s="1817"/>
      <c r="F283" s="1817"/>
    </row>
    <row r="284" spans="1:9">
      <c r="A284" s="787"/>
      <c r="B284" s="787"/>
      <c r="C284" s="787"/>
      <c r="D284" s="615"/>
      <c r="E284" s="664"/>
      <c r="F284" s="664"/>
    </row>
    <row r="285" spans="1:9">
      <c r="C285" s="787"/>
      <c r="D285" s="1746" t="s">
        <v>215</v>
      </c>
      <c r="E285" s="1746"/>
      <c r="F285" s="1746"/>
    </row>
    <row r="286" spans="1:9" ht="15.75" customHeight="1">
      <c r="A286" s="789"/>
      <c r="B286" s="789"/>
      <c r="D286" s="1843" t="s">
        <v>1268</v>
      </c>
      <c r="E286" s="1843"/>
      <c r="F286" s="1843"/>
    </row>
    <row r="287" spans="1:9">
      <c r="E287" s="792"/>
      <c r="F287" s="792"/>
    </row>
    <row r="288" spans="1:9" ht="14.25">
      <c r="A288" s="789"/>
      <c r="B288" s="790" t="s">
        <v>2529</v>
      </c>
      <c r="D288" s="1747" t="s">
        <v>1269</v>
      </c>
      <c r="E288" s="1747"/>
      <c r="F288" s="1747"/>
      <c r="I288" s="1082" t="s">
        <v>2235</v>
      </c>
    </row>
    <row r="289" spans="1:9" ht="14.25">
      <c r="A289" s="789"/>
      <c r="B289" s="789"/>
      <c r="D289" s="1747"/>
      <c r="E289" s="1747"/>
      <c r="F289" s="1747"/>
    </row>
    <row r="290" spans="1:9">
      <c r="D290" s="792"/>
      <c r="E290" s="792"/>
      <c r="F290" s="792"/>
    </row>
    <row r="291" spans="1:9" ht="14.25">
      <c r="A291" s="789"/>
      <c r="B291" s="790" t="s">
        <v>2529</v>
      </c>
      <c r="D291" s="1825" t="s">
        <v>1270</v>
      </c>
      <c r="E291" s="1825"/>
      <c r="F291" s="1825"/>
      <c r="I291" s="1082" t="s">
        <v>2235</v>
      </c>
    </row>
    <row r="292" spans="1:9" ht="14.25">
      <c r="A292" s="789"/>
      <c r="B292" s="789"/>
      <c r="D292" s="1825"/>
      <c r="E292" s="1825"/>
      <c r="F292" s="1825"/>
    </row>
    <row r="293" spans="1:9" ht="14.25">
      <c r="A293" s="789"/>
      <c r="B293" s="789"/>
      <c r="D293" s="1825"/>
      <c r="E293" s="1825"/>
      <c r="F293" s="1825"/>
    </row>
    <row r="294" spans="1:9">
      <c r="D294" s="792"/>
      <c r="E294" s="792"/>
      <c r="F294" s="792"/>
    </row>
    <row r="295" spans="1:9" ht="14.25">
      <c r="A295" s="789"/>
      <c r="B295" s="790" t="s">
        <v>2529</v>
      </c>
      <c r="D295" s="1747" t="s">
        <v>1271</v>
      </c>
      <c r="E295" s="1747"/>
      <c r="F295" s="1747"/>
      <c r="I295" s="1082" t="s">
        <v>2235</v>
      </c>
    </row>
    <row r="296" spans="1:9" ht="14.25">
      <c r="A296" s="789"/>
      <c r="B296" s="789"/>
      <c r="D296" s="1747"/>
      <c r="E296" s="1747"/>
      <c r="F296" s="1747"/>
    </row>
    <row r="297" spans="1:9">
      <c r="A297" s="808"/>
      <c r="B297" s="808"/>
      <c r="E297" s="792"/>
      <c r="F297" s="792"/>
    </row>
    <row r="298" spans="1:9">
      <c r="A298" s="1729" t="s">
        <v>1135</v>
      </c>
      <c r="B298" s="1729"/>
      <c r="C298" s="1729"/>
      <c r="D298" s="1729"/>
      <c r="E298" s="1729"/>
      <c r="F298" s="1729"/>
      <c r="G298" s="1729"/>
      <c r="H298" s="1130"/>
      <c r="I298" s="1131"/>
    </row>
    <row r="299" spans="1:9">
      <c r="A299" s="808"/>
      <c r="B299" s="808"/>
      <c r="D299" s="792"/>
      <c r="E299" s="792"/>
      <c r="F299" s="792"/>
    </row>
    <row r="300" spans="1:9">
      <c r="C300" s="808"/>
      <c r="D300" s="1746" t="s">
        <v>709</v>
      </c>
      <c r="E300" s="1746"/>
      <c r="F300" s="1746"/>
    </row>
    <row r="301" spans="1:9">
      <c r="C301" s="808"/>
      <c r="D301" s="1749" t="s">
        <v>1272</v>
      </c>
      <c r="E301" s="1749"/>
      <c r="F301" s="1749"/>
    </row>
    <row r="302" spans="1:9">
      <c r="C302" s="808"/>
      <c r="D302" s="815"/>
    </row>
    <row r="303" spans="1:9">
      <c r="A303" s="793"/>
      <c r="B303" s="790" t="s">
        <v>2529</v>
      </c>
      <c r="D303" s="1749" t="s">
        <v>1273</v>
      </c>
      <c r="E303" s="1749"/>
      <c r="F303" s="1749"/>
      <c r="I303" s="1082" t="s">
        <v>2236</v>
      </c>
    </row>
    <row r="304" spans="1:9" s="783" customFormat="1" ht="14.25">
      <c r="A304" s="797"/>
      <c r="B304" s="797"/>
      <c r="C304" s="793"/>
      <c r="D304" s="816"/>
      <c r="E304" s="817"/>
      <c r="F304" s="817"/>
      <c r="G304" s="794"/>
      <c r="I304" s="1114"/>
    </row>
    <row r="305" spans="1:9" s="783" customFormat="1" ht="13.7" customHeight="1">
      <c r="A305" s="793"/>
      <c r="B305" s="790" t="s">
        <v>2529</v>
      </c>
      <c r="C305" s="793"/>
      <c r="D305" s="1846" t="s">
        <v>1387</v>
      </c>
      <c r="E305" s="1846"/>
      <c r="F305" s="1846"/>
      <c r="G305" s="794"/>
      <c r="I305" s="1114" t="s">
        <v>2236</v>
      </c>
    </row>
    <row r="306" spans="1:9" s="783" customFormat="1" ht="14.25">
      <c r="A306" s="797"/>
      <c r="B306" s="797"/>
      <c r="C306" s="793"/>
      <c r="D306" s="1846"/>
      <c r="E306" s="1846"/>
      <c r="F306" s="1846"/>
      <c r="G306" s="794"/>
      <c r="I306" s="1114"/>
    </row>
    <row r="307" spans="1:9" s="783" customFormat="1" ht="14.25">
      <c r="A307" s="797"/>
      <c r="B307" s="797"/>
      <c r="C307" s="793"/>
      <c r="D307" s="1846"/>
      <c r="E307" s="1846"/>
      <c r="F307" s="1846"/>
      <c r="G307" s="794"/>
      <c r="I307" s="1114"/>
    </row>
    <row r="308" spans="1:9" s="783" customFormat="1" ht="14.25">
      <c r="A308" s="797"/>
      <c r="B308" s="797"/>
      <c r="C308" s="793"/>
      <c r="D308" s="1846"/>
      <c r="E308" s="1846"/>
      <c r="F308" s="1846"/>
      <c r="G308" s="794"/>
      <c r="I308" s="1114"/>
    </row>
    <row r="309" spans="1:9" s="783" customFormat="1" ht="14.25">
      <c r="A309" s="797"/>
      <c r="B309" s="797"/>
      <c r="C309" s="793"/>
      <c r="D309" s="1846"/>
      <c r="E309" s="1846"/>
      <c r="F309" s="1846"/>
      <c r="G309" s="794"/>
      <c r="I309" s="1114"/>
    </row>
    <row r="310" spans="1:9" s="783" customFormat="1" ht="14.25">
      <c r="A310" s="797"/>
      <c r="B310" s="797"/>
      <c r="C310" s="793"/>
      <c r="D310" s="816"/>
      <c r="E310" s="817"/>
      <c r="F310" s="817"/>
      <c r="G310" s="794"/>
      <c r="I310" s="1114"/>
    </row>
    <row r="311" spans="1:9" s="783" customFormat="1" ht="13.7" customHeight="1">
      <c r="A311" s="793"/>
      <c r="B311" s="790" t="s">
        <v>2529</v>
      </c>
      <c r="C311" s="793"/>
      <c r="D311" s="1846" t="s">
        <v>1275</v>
      </c>
      <c r="E311" s="1846"/>
      <c r="F311" s="1846"/>
      <c r="G311" s="794"/>
      <c r="I311" s="1114" t="s">
        <v>2236</v>
      </c>
    </row>
    <row r="312" spans="1:9" s="783" customFormat="1">
      <c r="A312" s="793"/>
      <c r="B312" s="793"/>
      <c r="C312" s="793"/>
      <c r="D312" s="1846"/>
      <c r="E312" s="1846"/>
      <c r="F312" s="1846"/>
      <c r="G312" s="794"/>
      <c r="I312" s="1114"/>
    </row>
    <row r="313" spans="1:9" s="783" customFormat="1" ht="14.25">
      <c r="A313" s="797"/>
      <c r="B313" s="797"/>
      <c r="C313" s="793"/>
      <c r="D313" s="816"/>
      <c r="E313" s="817"/>
      <c r="F313" s="817"/>
      <c r="G313" s="794"/>
      <c r="I313" s="1114"/>
    </row>
    <row r="314" spans="1:9">
      <c r="A314" s="793"/>
      <c r="B314" s="790" t="s">
        <v>2529</v>
      </c>
      <c r="D314" s="1749" t="s">
        <v>1276</v>
      </c>
      <c r="E314" s="1749"/>
      <c r="F314" s="1749"/>
      <c r="I314" s="1082" t="s">
        <v>2222</v>
      </c>
    </row>
    <row r="315" spans="1:9">
      <c r="E315" s="792"/>
      <c r="F315" s="792"/>
    </row>
    <row r="316" spans="1:9" ht="14.25">
      <c r="A316" s="789"/>
      <c r="B316" s="790" t="s">
        <v>2529</v>
      </c>
      <c r="D316" s="1825" t="s">
        <v>1412</v>
      </c>
      <c r="E316" s="1825"/>
      <c r="F316" s="1825"/>
      <c r="I316" s="1082" t="s">
        <v>2237</v>
      </c>
    </row>
    <row r="317" spans="1:9" ht="14.25">
      <c r="A317" s="789"/>
      <c r="B317" s="789"/>
      <c r="D317" s="1825"/>
      <c r="E317" s="1825"/>
      <c r="F317" s="1825"/>
    </row>
    <row r="318" spans="1:9" ht="14.25">
      <c r="A318" s="789"/>
      <c r="B318" s="789"/>
      <c r="D318" s="1825"/>
      <c r="E318" s="1825"/>
      <c r="F318" s="1825"/>
    </row>
    <row r="319" spans="1:9" ht="14.25">
      <c r="A319" s="789"/>
      <c r="B319" s="789"/>
      <c r="D319" s="1825"/>
      <c r="E319" s="1825"/>
      <c r="F319" s="1825"/>
    </row>
    <row r="320" spans="1:9" ht="14.25">
      <c r="A320" s="789"/>
      <c r="B320" s="789"/>
      <c r="D320" s="1825"/>
      <c r="E320" s="1825"/>
      <c r="F320" s="1825"/>
    </row>
    <row r="321" spans="1:9" ht="14.25">
      <c r="A321" s="789"/>
      <c r="B321" s="789"/>
      <c r="D321" s="1825"/>
      <c r="E321" s="1825"/>
      <c r="F321" s="1825"/>
    </row>
    <row r="322" spans="1:9" ht="14.25">
      <c r="A322" s="789"/>
      <c r="B322" s="789"/>
      <c r="D322" s="1825"/>
      <c r="E322" s="1825"/>
      <c r="F322" s="1825"/>
    </row>
    <row r="323" spans="1:9" ht="14.25">
      <c r="A323" s="789"/>
      <c r="B323" s="789"/>
      <c r="D323" s="1825"/>
      <c r="E323" s="1825"/>
      <c r="F323" s="1825"/>
    </row>
    <row r="324" spans="1:9" ht="14.25">
      <c r="A324" s="789"/>
      <c r="B324" s="789"/>
      <c r="D324" s="1825"/>
      <c r="E324" s="1825"/>
      <c r="F324" s="1825"/>
    </row>
    <row r="325" spans="1:9" ht="14.25">
      <c r="A325" s="789"/>
      <c r="B325" s="789"/>
      <c r="D325" s="1825"/>
      <c r="E325" s="1825"/>
      <c r="F325" s="1825"/>
    </row>
    <row r="326" spans="1:9" ht="14.25">
      <c r="A326" s="789"/>
      <c r="B326" s="789"/>
      <c r="D326" s="1825"/>
      <c r="E326" s="1825"/>
      <c r="F326" s="1825"/>
    </row>
    <row r="327" spans="1:9" ht="14.25">
      <c r="A327" s="789"/>
      <c r="B327" s="789"/>
      <c r="D327" s="1825"/>
      <c r="E327" s="1825"/>
      <c r="F327" s="1825"/>
    </row>
    <row r="328" spans="1:9" ht="14.25">
      <c r="A328" s="789"/>
      <c r="B328" s="789"/>
      <c r="D328" s="1825"/>
      <c r="E328" s="1825"/>
      <c r="F328" s="1825"/>
    </row>
    <row r="329" spans="1:9" ht="14.25">
      <c r="A329" s="789"/>
      <c r="B329" s="789"/>
      <c r="D329" s="1825"/>
      <c r="E329" s="1825"/>
      <c r="F329" s="1825"/>
    </row>
    <row r="330" spans="1:9" ht="14.25">
      <c r="A330" s="789"/>
      <c r="B330" s="789"/>
      <c r="D330" s="1825"/>
      <c r="E330" s="1825"/>
      <c r="F330" s="1825"/>
    </row>
    <row r="331" spans="1:9">
      <c r="D331" s="792"/>
      <c r="E331" s="792"/>
      <c r="F331" s="792"/>
    </row>
    <row r="332" spans="1:9" ht="14.25">
      <c r="A332" s="789"/>
      <c r="B332" s="790" t="s">
        <v>2529</v>
      </c>
      <c r="D332" s="1825" t="s">
        <v>1278</v>
      </c>
      <c r="E332" s="1825"/>
      <c r="F332" s="1825"/>
      <c r="I332" s="1082" t="s">
        <v>2237</v>
      </c>
    </row>
    <row r="333" spans="1:9">
      <c r="D333" s="1825"/>
      <c r="E333" s="1825"/>
      <c r="F333" s="1825"/>
    </row>
    <row r="334" spans="1:9">
      <c r="D334" s="1825"/>
      <c r="E334" s="1825"/>
      <c r="F334" s="1825"/>
    </row>
    <row r="335" spans="1:9">
      <c r="D335" s="1825"/>
      <c r="E335" s="1825"/>
      <c r="F335" s="1825"/>
    </row>
    <row r="336" spans="1:9">
      <c r="D336" s="1825"/>
      <c r="E336" s="1825"/>
      <c r="F336" s="1825"/>
    </row>
    <row r="337" spans="1:9">
      <c r="D337" s="1825"/>
      <c r="E337" s="1825"/>
      <c r="F337" s="1825"/>
    </row>
    <row r="338" spans="1:9">
      <c r="D338" s="1825"/>
      <c r="E338" s="1825"/>
      <c r="F338" s="1825"/>
    </row>
    <row r="339" spans="1:9">
      <c r="D339" s="1825"/>
      <c r="E339" s="1825"/>
      <c r="F339" s="1825"/>
    </row>
    <row r="340" spans="1:9">
      <c r="D340" s="1825"/>
      <c r="E340" s="1825"/>
      <c r="F340" s="1825"/>
    </row>
    <row r="341" spans="1:9">
      <c r="D341" s="792"/>
      <c r="E341" s="792"/>
      <c r="F341" s="792"/>
    </row>
    <row r="342" spans="1:9" ht="14.25" customHeight="1">
      <c r="A342" s="789"/>
      <c r="B342" s="790" t="s">
        <v>2529</v>
      </c>
      <c r="D342" s="1747" t="s">
        <v>2368</v>
      </c>
      <c r="E342" s="1747"/>
      <c r="F342" s="1747"/>
      <c r="I342" s="1082" t="s">
        <v>2274</v>
      </c>
    </row>
    <row r="343" spans="1:9">
      <c r="D343" s="1747"/>
      <c r="E343" s="1747"/>
      <c r="F343" s="1747"/>
      <c r="G343" s="782"/>
    </row>
    <row r="344" spans="1:9">
      <c r="D344" s="1747"/>
      <c r="E344" s="1747"/>
      <c r="F344" s="1747"/>
      <c r="G344" s="782"/>
    </row>
    <row r="345" spans="1:9">
      <c r="D345" s="1747"/>
      <c r="E345" s="1747"/>
      <c r="F345" s="1747"/>
      <c r="G345" s="782"/>
    </row>
    <row r="346" spans="1:9">
      <c r="D346" s="1186" t="s">
        <v>2367</v>
      </c>
      <c r="E346" s="870"/>
      <c r="F346" s="870"/>
      <c r="G346" s="782"/>
    </row>
    <row r="347" spans="1:9">
      <c r="D347" s="870"/>
      <c r="E347" s="1042" t="s">
        <v>2364</v>
      </c>
      <c r="G347" s="1042"/>
    </row>
    <row r="348" spans="1:9" s="1080" customFormat="1">
      <c r="A348" s="780"/>
      <c r="B348" s="780"/>
      <c r="C348" s="780"/>
      <c r="D348" s="1107"/>
      <c r="E348" s="1107"/>
      <c r="F348" s="1107"/>
      <c r="I348" s="1082"/>
    </row>
    <row r="349" spans="1:9" ht="13.5" thickBot="1">
      <c r="A349" s="1108"/>
      <c r="B349" s="1108"/>
      <c r="C349" s="1108"/>
      <c r="D349" s="1826" t="s">
        <v>1038</v>
      </c>
      <c r="E349" s="1826"/>
      <c r="F349" s="1826"/>
      <c r="G349" s="1128"/>
      <c r="H349" s="1128"/>
      <c r="I349" s="1129"/>
    </row>
    <row r="350" spans="1:9" ht="13.5" thickTop="1">
      <c r="D350" s="1847" t="s">
        <v>1280</v>
      </c>
      <c r="E350" s="1847"/>
      <c r="F350" s="1847"/>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2238</v>
      </c>
    </row>
    <row r="353" spans="1:9" ht="14.25">
      <c r="A353" s="789"/>
      <c r="B353" s="790" t="s">
        <v>2529</v>
      </c>
      <c r="C353" s="821"/>
      <c r="D353" s="1749" t="s">
        <v>2366</v>
      </c>
      <c r="E353" s="1749"/>
      <c r="F353" s="1749"/>
      <c r="I353" s="1852" t="s">
        <v>2288</v>
      </c>
    </row>
    <row r="354" spans="1:9" ht="12.75" customHeight="1">
      <c r="D354" s="1188"/>
      <c r="E354" s="1042" t="s">
        <v>2365</v>
      </c>
      <c r="F354" s="1188"/>
      <c r="I354" s="1853"/>
    </row>
    <row r="355" spans="1:9">
      <c r="D355" s="1825" t="s">
        <v>1411</v>
      </c>
      <c r="E355" s="1825"/>
      <c r="F355" s="1825"/>
      <c r="I355" s="1853"/>
    </row>
    <row r="356" spans="1:9">
      <c r="D356" s="1825"/>
      <c r="E356" s="1825"/>
      <c r="F356" s="1825"/>
      <c r="I356" s="1853"/>
    </row>
    <row r="357" spans="1:9">
      <c r="D357" s="1825"/>
      <c r="E357" s="1825"/>
      <c r="F357" s="1825"/>
      <c r="I357" s="1854"/>
    </row>
    <row r="358" spans="1:9" ht="14.25">
      <c r="A358" s="789"/>
      <c r="B358" s="790" t="s">
        <v>2529</v>
      </c>
      <c r="C358" s="806"/>
      <c r="D358" s="1743" t="s">
        <v>1281</v>
      </c>
      <c r="E358" s="1743"/>
      <c r="F358" s="1743"/>
      <c r="G358" s="782"/>
      <c r="I358" s="612"/>
    </row>
    <row r="359" spans="1:9">
      <c r="A359" s="806"/>
      <c r="B359" s="806"/>
      <c r="C359" s="806"/>
      <c r="D359" s="778"/>
      <c r="E359" s="778"/>
      <c r="F359" s="792"/>
      <c r="G359" s="782"/>
    </row>
    <row r="360" spans="1:9">
      <c r="A360" s="806"/>
      <c r="B360" s="790" t="s">
        <v>2529</v>
      </c>
      <c r="C360" s="806"/>
      <c r="D360" s="1738" t="s">
        <v>1390</v>
      </c>
      <c r="E360" s="1738"/>
      <c r="F360" s="1738"/>
      <c r="G360" s="782"/>
    </row>
    <row r="361" spans="1:9">
      <c r="A361" s="806"/>
      <c r="B361" s="806"/>
      <c r="C361" s="806"/>
      <c r="D361" s="1738"/>
      <c r="E361" s="1738"/>
      <c r="F361" s="1738"/>
      <c r="G361" s="782"/>
    </row>
    <row r="362" spans="1:9">
      <c r="A362" s="806"/>
      <c r="B362" s="806"/>
      <c r="C362" s="806"/>
      <c r="D362" s="1738"/>
      <c r="E362" s="1738"/>
      <c r="F362" s="1738"/>
      <c r="G362" s="782"/>
    </row>
    <row r="363" spans="1:9">
      <c r="A363" s="806"/>
      <c r="B363" s="806"/>
      <c r="C363" s="806"/>
      <c r="D363" s="1738"/>
      <c r="E363" s="1738"/>
      <c r="F363" s="1738"/>
      <c r="G363" s="782"/>
    </row>
    <row r="364" spans="1:9">
      <c r="A364" s="806"/>
      <c r="B364" s="806"/>
      <c r="C364" s="806"/>
      <c r="D364" s="1738"/>
      <c r="E364" s="1738"/>
      <c r="F364" s="1738"/>
      <c r="G364" s="782"/>
    </row>
    <row r="365" spans="1:9">
      <c r="A365" s="806"/>
      <c r="B365" s="806"/>
      <c r="C365" s="806"/>
      <c r="D365" s="1738"/>
      <c r="E365" s="1738"/>
      <c r="F365" s="1738"/>
      <c r="G365" s="782"/>
    </row>
    <row r="366" spans="1:9">
      <c r="A366" s="806"/>
      <c r="B366" s="806"/>
      <c r="C366" s="806"/>
      <c r="D366" s="1738"/>
      <c r="E366" s="1738"/>
      <c r="F366" s="1738"/>
      <c r="G366" s="782"/>
    </row>
    <row r="367" spans="1:9">
      <c r="A367" s="806"/>
      <c r="B367" s="806"/>
      <c r="C367" s="806"/>
      <c r="D367" s="1738"/>
      <c r="E367" s="1738"/>
      <c r="F367" s="1738"/>
      <c r="G367" s="782"/>
    </row>
    <row r="368" spans="1:9">
      <c r="A368" s="806"/>
      <c r="B368" s="806"/>
      <c r="C368" s="806"/>
      <c r="D368" s="1738"/>
      <c r="E368" s="1738"/>
      <c r="F368" s="1738"/>
      <c r="G368" s="782"/>
    </row>
    <row r="369" spans="1:9">
      <c r="A369" s="806"/>
      <c r="B369" s="806"/>
      <c r="C369" s="806"/>
      <c r="D369" s="1738"/>
      <c r="E369" s="1738"/>
      <c r="F369" s="1738"/>
      <c r="G369" s="782"/>
    </row>
    <row r="370" spans="1:9">
      <c r="A370" s="806"/>
      <c r="B370" s="806"/>
      <c r="C370" s="806"/>
      <c r="D370" s="1738"/>
      <c r="E370" s="1738"/>
      <c r="F370" s="1738"/>
      <c r="G370" s="782"/>
    </row>
    <row r="371" spans="1:9">
      <c r="A371" s="806"/>
      <c r="B371" s="806"/>
      <c r="C371" s="806"/>
      <c r="D371" s="1738"/>
      <c r="E371" s="1738"/>
      <c r="F371" s="1738"/>
      <c r="G371" s="782"/>
    </row>
    <row r="372" spans="1:9" s="1080" customFormat="1">
      <c r="A372" s="1085"/>
      <c r="B372" s="1085"/>
      <c r="C372" s="1085"/>
      <c r="D372" s="1087"/>
      <c r="E372" s="1087"/>
      <c r="F372" s="1087"/>
      <c r="I372" s="1082"/>
    </row>
    <row r="373" spans="1:9" ht="12.4" customHeight="1">
      <c r="A373" s="806"/>
      <c r="B373" s="790" t="s">
        <v>2529</v>
      </c>
      <c r="C373" s="806"/>
      <c r="D373" s="1855" t="s">
        <v>1391</v>
      </c>
      <c r="E373" s="1855"/>
      <c r="F373" s="1855"/>
      <c r="G373" s="782"/>
    </row>
    <row r="374" spans="1:9">
      <c r="A374" s="806"/>
      <c r="B374" s="806"/>
      <c r="C374" s="806"/>
      <c r="D374" s="1855"/>
      <c r="E374" s="1855"/>
      <c r="F374" s="1855"/>
      <c r="G374" s="782"/>
    </row>
    <row r="375" spans="1:9">
      <c r="A375" s="806"/>
      <c r="B375" s="806"/>
      <c r="C375" s="806"/>
      <c r="D375" s="1855"/>
      <c r="E375" s="1855"/>
      <c r="F375" s="1855"/>
      <c r="G375" s="782"/>
    </row>
    <row r="376" spans="1:9">
      <c r="A376" s="806"/>
      <c r="B376" s="806"/>
      <c r="C376" s="806"/>
      <c r="D376" s="1855"/>
      <c r="E376" s="1855"/>
      <c r="F376" s="1855"/>
      <c r="G376" s="782"/>
    </row>
    <row r="377" spans="1:9" s="1080" customFormat="1">
      <c r="A377" s="1085"/>
      <c r="B377" s="1085"/>
      <c r="C377" s="1085"/>
      <c r="D377" s="1086"/>
      <c r="E377" s="1086"/>
      <c r="F377" s="1086"/>
      <c r="I377" s="1082"/>
    </row>
    <row r="378" spans="1:9" s="1080" customFormat="1">
      <c r="A378" s="1085"/>
      <c r="B378" s="1083" t="s">
        <v>2529</v>
      </c>
      <c r="C378" s="1085"/>
      <c r="D378" s="1080" t="s">
        <v>2165</v>
      </c>
      <c r="E378" s="1086"/>
      <c r="F378" s="1086"/>
      <c r="I378" s="1082"/>
    </row>
    <row r="379" spans="1:9" s="1080" customFormat="1">
      <c r="A379" s="1085"/>
      <c r="B379" s="1085"/>
      <c r="C379" s="1085"/>
      <c r="D379" s="1080" t="s">
        <v>2166</v>
      </c>
      <c r="E379" s="1086"/>
      <c r="F379" s="1086"/>
      <c r="I379" s="1082"/>
    </row>
    <row r="380" spans="1:9" s="1080" customFormat="1">
      <c r="A380" s="1085"/>
      <c r="B380" s="1085"/>
      <c r="C380" s="1085"/>
      <c r="D380" s="1080" t="s">
        <v>2167</v>
      </c>
      <c r="E380" s="1086"/>
      <c r="F380" s="1086"/>
      <c r="I380" s="1082"/>
    </row>
    <row r="381" spans="1:9" s="1080" customFormat="1">
      <c r="A381" s="1085"/>
      <c r="B381" s="1085"/>
      <c r="C381" s="1085"/>
      <c r="D381" s="1080" t="s">
        <v>2168</v>
      </c>
      <c r="E381" s="1086"/>
      <c r="F381" s="1086"/>
      <c r="I381" s="1082"/>
    </row>
    <row r="382" spans="1:9" s="1080" customFormat="1">
      <c r="A382" s="1085"/>
      <c r="B382" s="1085"/>
      <c r="C382" s="1085"/>
      <c r="D382" s="1080" t="s">
        <v>2169</v>
      </c>
      <c r="E382" s="1086"/>
      <c r="F382" s="1086"/>
      <c r="I382" s="1082"/>
    </row>
    <row r="383" spans="1:9" s="1080" customFormat="1">
      <c r="A383" s="1085"/>
      <c r="B383" s="1085"/>
      <c r="C383" s="1085"/>
      <c r="D383" s="1080" t="s">
        <v>2170</v>
      </c>
      <c r="E383" s="1086"/>
      <c r="F383" s="1086"/>
      <c r="I383" s="1082"/>
    </row>
    <row r="384" spans="1:9">
      <c r="A384" s="806"/>
      <c r="B384" s="806"/>
      <c r="C384" s="806"/>
      <c r="D384" s="782"/>
      <c r="E384" s="778"/>
      <c r="F384" s="792"/>
      <c r="G384" s="782"/>
    </row>
    <row r="385" spans="1:7" ht="14.25">
      <c r="A385" s="789"/>
      <c r="B385" s="790" t="s">
        <v>2529</v>
      </c>
      <c r="C385" s="806"/>
      <c r="D385" s="1736" t="s">
        <v>1283</v>
      </c>
      <c r="E385" s="1736"/>
      <c r="F385" s="1736"/>
      <c r="G385" s="782"/>
    </row>
    <row r="386" spans="1:7">
      <c r="A386" s="806"/>
      <c r="B386" s="806"/>
      <c r="C386" s="806"/>
      <c r="D386" s="1736"/>
      <c r="E386" s="1736"/>
      <c r="F386" s="1736"/>
      <c r="G386" s="782"/>
    </row>
    <row r="387" spans="1:7">
      <c r="A387" s="806"/>
      <c r="B387" s="806"/>
      <c r="C387" s="806"/>
      <c r="D387" s="1736"/>
      <c r="E387" s="1736"/>
      <c r="F387" s="1736"/>
      <c r="G387" s="782"/>
    </row>
    <row r="388" spans="1:7">
      <c r="A388" s="806"/>
      <c r="B388" s="806"/>
      <c r="C388" s="806"/>
      <c r="D388" s="1736"/>
      <c r="E388" s="1736"/>
      <c r="F388" s="1736"/>
      <c r="G388" s="782"/>
    </row>
    <row r="389" spans="1:7">
      <c r="A389" s="806"/>
      <c r="B389" s="806"/>
      <c r="C389" s="806"/>
      <c r="D389" s="818"/>
      <c r="E389" s="778"/>
      <c r="F389" s="792"/>
      <c r="G389" s="782"/>
    </row>
    <row r="390" spans="1:7">
      <c r="A390" s="806"/>
      <c r="B390" s="806"/>
      <c r="C390" s="806"/>
      <c r="D390" s="1736" t="s">
        <v>1284</v>
      </c>
      <c r="E390" s="1736"/>
      <c r="F390" s="1736"/>
      <c r="G390" s="782"/>
    </row>
    <row r="391" spans="1:7">
      <c r="A391" s="806"/>
      <c r="B391" s="806"/>
      <c r="C391" s="806"/>
      <c r="D391" s="1736"/>
      <c r="E391" s="1736"/>
      <c r="F391" s="1736"/>
      <c r="G391" s="782"/>
    </row>
    <row r="392" spans="1:7">
      <c r="A392" s="806"/>
      <c r="B392" s="806"/>
      <c r="C392" s="806"/>
      <c r="D392" s="1736"/>
      <c r="E392" s="1736"/>
      <c r="F392" s="1736"/>
      <c r="G392" s="782"/>
    </row>
    <row r="393" spans="1:7">
      <c r="A393" s="806"/>
      <c r="B393" s="806"/>
      <c r="C393" s="806"/>
      <c r="D393" s="1736"/>
      <c r="E393" s="1736"/>
      <c r="F393" s="1736"/>
      <c r="G393" s="782"/>
    </row>
    <row r="394" spans="1:7" ht="18" customHeight="1">
      <c r="A394" s="806"/>
      <c r="B394" s="806"/>
      <c r="C394" s="806"/>
      <c r="D394" s="1736"/>
      <c r="E394" s="1736"/>
      <c r="F394" s="1736"/>
      <c r="G394" s="782"/>
    </row>
    <row r="395" spans="1:7">
      <c r="A395" s="806"/>
      <c r="B395" s="806"/>
      <c r="C395" s="806"/>
      <c r="D395" s="1736"/>
      <c r="E395" s="1736"/>
      <c r="F395" s="1736"/>
      <c r="G395" s="782"/>
    </row>
    <row r="396" spans="1:7">
      <c r="A396" s="806"/>
      <c r="B396" s="806"/>
      <c r="C396" s="806"/>
      <c r="D396" s="1736"/>
      <c r="E396" s="1736"/>
      <c r="F396" s="1736"/>
      <c r="G396" s="782"/>
    </row>
    <row r="397" spans="1:7">
      <c r="A397" s="806"/>
      <c r="B397" s="806"/>
      <c r="C397" s="806"/>
      <c r="D397" s="1736"/>
      <c r="E397" s="1736"/>
      <c r="F397" s="1736"/>
      <c r="G397" s="782"/>
    </row>
    <row r="398" spans="1:7" ht="8.25" customHeight="1">
      <c r="A398" s="806"/>
      <c r="B398" s="806"/>
      <c r="C398" s="806"/>
      <c r="D398" s="1736"/>
      <c r="E398" s="1736"/>
      <c r="F398" s="1736"/>
      <c r="G398" s="782"/>
    </row>
    <row r="399" spans="1:7" ht="13.7" customHeight="1">
      <c r="A399" s="806"/>
      <c r="B399" s="806"/>
      <c r="C399" s="806"/>
      <c r="D399" s="1737" t="s">
        <v>1285</v>
      </c>
      <c r="E399" s="1737"/>
      <c r="F399" s="1737"/>
      <c r="G399" s="782"/>
    </row>
    <row r="400" spans="1:7">
      <c r="A400" s="806"/>
      <c r="B400" s="806"/>
      <c r="C400" s="806"/>
      <c r="D400" s="1737"/>
      <c r="E400" s="1737"/>
      <c r="F400" s="1737"/>
      <c r="G400" s="782"/>
    </row>
    <row r="401" spans="1:7">
      <c r="A401" s="806"/>
      <c r="B401" s="806"/>
      <c r="C401" s="806"/>
      <c r="D401" s="1737"/>
      <c r="E401" s="1737"/>
      <c r="F401" s="1737"/>
      <c r="G401" s="782"/>
    </row>
    <row r="402" spans="1:7">
      <c r="A402" s="806"/>
      <c r="B402" s="806"/>
      <c r="C402" s="806"/>
      <c r="D402" s="1737"/>
      <c r="E402" s="1737"/>
      <c r="F402" s="1737"/>
      <c r="G402" s="782"/>
    </row>
    <row r="403" spans="1:7">
      <c r="A403" s="806"/>
      <c r="B403" s="806"/>
      <c r="C403" s="806"/>
      <c r="D403" s="1737"/>
      <c r="E403" s="1737"/>
      <c r="F403" s="1737"/>
      <c r="G403" s="782"/>
    </row>
    <row r="404" spans="1:7">
      <c r="A404" s="806"/>
      <c r="B404" s="806"/>
      <c r="C404" s="806"/>
      <c r="D404" s="1737"/>
      <c r="E404" s="1737"/>
      <c r="F404" s="1737"/>
      <c r="G404" s="782"/>
    </row>
    <row r="405" spans="1:7">
      <c r="A405" s="806"/>
      <c r="B405" s="806"/>
      <c r="C405" s="806"/>
      <c r="D405" s="1737"/>
      <c r="E405" s="1737"/>
      <c r="F405" s="1737"/>
      <c r="G405" s="782"/>
    </row>
    <row r="406" spans="1:7">
      <c r="A406" s="806"/>
      <c r="B406" s="806"/>
      <c r="C406" s="806"/>
      <c r="D406" s="1737"/>
      <c r="E406" s="1737"/>
      <c r="F406" s="1737"/>
      <c r="G406" s="782"/>
    </row>
    <row r="407" spans="1:7">
      <c r="A407" s="806"/>
      <c r="B407" s="806"/>
      <c r="C407" s="806"/>
      <c r="D407" s="1737"/>
      <c r="E407" s="1737"/>
      <c r="F407" s="1737"/>
      <c r="G407" s="782"/>
    </row>
    <row r="408" spans="1:7">
      <c r="A408" s="806"/>
      <c r="B408" s="806"/>
      <c r="C408" s="806"/>
      <c r="D408" s="1737"/>
      <c r="E408" s="1737"/>
      <c r="F408" s="1737"/>
      <c r="G408" s="782"/>
    </row>
    <row r="409" spans="1:7">
      <c r="A409" s="806"/>
      <c r="B409" s="806"/>
      <c r="C409" s="806"/>
      <c r="D409" s="1737"/>
      <c r="E409" s="1737"/>
      <c r="F409" s="1737"/>
      <c r="G409" s="782"/>
    </row>
    <row r="410" spans="1:7">
      <c r="A410" s="806"/>
      <c r="B410" s="806"/>
      <c r="C410" s="806"/>
      <c r="D410" s="1737"/>
      <c r="E410" s="1737"/>
      <c r="F410" s="1737"/>
      <c r="G410" s="782"/>
    </row>
    <row r="411" spans="1:7">
      <c r="A411" s="806"/>
      <c r="B411" s="806"/>
      <c r="C411" s="819"/>
      <c r="D411" s="1737"/>
      <c r="E411" s="1737"/>
      <c r="F411" s="1737"/>
      <c r="G411" s="782"/>
    </row>
    <row r="412" spans="1:7">
      <c r="A412" s="806"/>
      <c r="B412" s="806"/>
      <c r="C412" s="819"/>
      <c r="D412" s="1737"/>
      <c r="E412" s="1737"/>
      <c r="F412" s="1737"/>
      <c r="G412" s="782"/>
    </row>
    <row r="413" spans="1:7">
      <c r="A413" s="806"/>
      <c r="B413" s="806"/>
      <c r="C413" s="806"/>
      <c r="D413" s="1737"/>
      <c r="E413" s="1737"/>
      <c r="F413" s="1737"/>
      <c r="G413" s="782"/>
    </row>
    <row r="414" spans="1:7">
      <c r="A414" s="806"/>
      <c r="B414" s="806"/>
      <c r="C414" s="819"/>
      <c r="D414" s="1737"/>
      <c r="E414" s="1737"/>
      <c r="F414" s="1737"/>
      <c r="G414" s="782"/>
    </row>
    <row r="415" spans="1:7">
      <c r="A415" s="806"/>
      <c r="B415" s="806"/>
      <c r="C415" s="819"/>
      <c r="D415" s="1737"/>
      <c r="E415" s="1737"/>
      <c r="F415" s="1737"/>
      <c r="G415" s="782"/>
    </row>
    <row r="416" spans="1:7">
      <c r="A416" s="806"/>
      <c r="B416" s="806"/>
      <c r="C416" s="819"/>
      <c r="D416" s="1737"/>
      <c r="E416" s="1737"/>
      <c r="F416" s="1737"/>
      <c r="G416" s="782"/>
    </row>
    <row r="417" spans="1:7">
      <c r="A417" s="806"/>
      <c r="B417" s="806"/>
      <c r="C417" s="806"/>
      <c r="D417" s="818"/>
      <c r="E417" s="778"/>
      <c r="F417" s="792"/>
      <c r="G417" s="782"/>
    </row>
    <row r="418" spans="1:7">
      <c r="A418" s="806"/>
      <c r="B418" s="790" t="s">
        <v>2529</v>
      </c>
      <c r="C418" s="806"/>
      <c r="D418" s="1737" t="s">
        <v>1286</v>
      </c>
      <c r="E418" s="1737"/>
      <c r="F418" s="1737"/>
      <c r="G418" s="782"/>
    </row>
    <row r="419" spans="1:7">
      <c r="A419" s="806"/>
      <c r="B419" s="806"/>
      <c r="C419" s="806"/>
      <c r="D419" s="1737"/>
      <c r="E419" s="1737"/>
      <c r="F419" s="1737"/>
      <c r="G419" s="782"/>
    </row>
    <row r="420" spans="1:7">
      <c r="A420" s="806"/>
      <c r="B420" s="806"/>
      <c r="C420" s="806"/>
      <c r="D420" s="895"/>
      <c r="E420" s="895"/>
      <c r="F420" s="895"/>
      <c r="G420" s="782"/>
    </row>
    <row r="421" spans="1:7" ht="14.45" customHeight="1">
      <c r="A421" s="789"/>
      <c r="B421" s="790" t="s">
        <v>2529</v>
      </c>
      <c r="D421" s="1737" t="s">
        <v>2275</v>
      </c>
      <c r="E421" s="1737"/>
      <c r="F421" s="1737"/>
    </row>
    <row r="422" spans="1:7" ht="14.45" customHeight="1">
      <c r="A422" s="789"/>
      <c r="D422" s="1737"/>
      <c r="E422" s="1737"/>
      <c r="F422" s="1737"/>
    </row>
    <row r="423" spans="1:7" ht="14.45" customHeight="1">
      <c r="A423" s="789"/>
      <c r="D423" s="1737"/>
      <c r="E423" s="1737"/>
      <c r="F423" s="1737"/>
    </row>
    <row r="424" spans="1:7" ht="14.45" customHeight="1">
      <c r="A424" s="789"/>
      <c r="D424" s="1737"/>
      <c r="E424" s="1737"/>
      <c r="F424" s="1737"/>
    </row>
    <row r="425" spans="1:7" ht="14.45" customHeight="1">
      <c r="A425" s="789"/>
      <c r="D425" s="1737"/>
      <c r="E425" s="1737"/>
      <c r="F425" s="1737"/>
    </row>
    <row r="426" spans="1:7" ht="14.45" customHeight="1">
      <c r="A426" s="789"/>
      <c r="D426" s="870"/>
      <c r="E426" s="870"/>
      <c r="F426" s="870"/>
    </row>
    <row r="427" spans="1:7" ht="13.7" customHeight="1">
      <c r="A427" s="789"/>
      <c r="B427" s="790" t="s">
        <v>2529</v>
      </c>
      <c r="C427" s="806"/>
      <c r="D427" s="1738" t="s">
        <v>1413</v>
      </c>
      <c r="E427" s="1738"/>
      <c r="F427" s="1738"/>
      <c r="G427" s="782"/>
    </row>
    <row r="428" spans="1:7" ht="14.25">
      <c r="A428" s="820"/>
      <c r="B428" s="820"/>
      <c r="C428" s="806"/>
      <c r="D428" s="1738"/>
      <c r="E428" s="1738"/>
      <c r="F428" s="1738"/>
      <c r="G428" s="782"/>
    </row>
    <row r="429" spans="1:7" ht="14.25">
      <c r="A429" s="820"/>
      <c r="B429" s="820"/>
      <c r="C429" s="806"/>
      <c r="D429" s="1738"/>
      <c r="E429" s="1738"/>
      <c r="F429" s="1738"/>
      <c r="G429" s="782"/>
    </row>
    <row r="430" spans="1:7" ht="14.25">
      <c r="A430" s="820"/>
      <c r="B430" s="820"/>
      <c r="C430" s="806"/>
      <c r="D430" s="1738"/>
      <c r="E430" s="1738"/>
      <c r="F430" s="1738"/>
      <c r="G430" s="782"/>
    </row>
    <row r="431" spans="1:7" ht="15.75" customHeight="1">
      <c r="A431" s="820"/>
      <c r="B431" s="820"/>
      <c r="C431" s="806"/>
      <c r="D431" s="1848" t="s">
        <v>1457</v>
      </c>
      <c r="E431" s="1738"/>
      <c r="F431" s="1738"/>
      <c r="G431" s="782"/>
    </row>
    <row r="432" spans="1:7">
      <c r="D432" s="792"/>
      <c r="E432" s="792"/>
      <c r="F432" s="792"/>
      <c r="G432" s="782"/>
    </row>
    <row r="433" spans="1:7" ht="14.25">
      <c r="A433" s="789"/>
      <c r="B433" s="790" t="s">
        <v>2529</v>
      </c>
      <c r="C433" s="821"/>
      <c r="D433" s="1747" t="s">
        <v>1288</v>
      </c>
      <c r="E433" s="1747"/>
      <c r="F433" s="1747"/>
      <c r="G433" s="782"/>
    </row>
    <row r="434" spans="1:7" ht="14.25">
      <c r="A434" s="789"/>
      <c r="B434" s="789"/>
      <c r="D434" s="1747"/>
      <c r="E434" s="1747"/>
      <c r="F434" s="1747"/>
      <c r="G434" s="782"/>
    </row>
    <row r="435" spans="1:7">
      <c r="D435" s="1747"/>
      <c r="E435" s="1747"/>
      <c r="F435" s="1747"/>
      <c r="G435" s="782"/>
    </row>
    <row r="436" spans="1:7">
      <c r="D436" s="1747"/>
      <c r="E436" s="1747"/>
      <c r="F436" s="1747"/>
      <c r="G436" s="782"/>
    </row>
    <row r="437" spans="1:7">
      <c r="D437" s="1747"/>
      <c r="E437" s="1747"/>
      <c r="F437" s="1747"/>
      <c r="G437" s="782"/>
    </row>
    <row r="438" spans="1:7">
      <c r="D438" s="1747"/>
      <c r="E438" s="1747"/>
      <c r="F438" s="1747"/>
      <c r="G438" s="782"/>
    </row>
    <row r="439" spans="1:7">
      <c r="D439" s="1747"/>
      <c r="E439" s="1747"/>
      <c r="F439" s="1747"/>
      <c r="G439" s="782"/>
    </row>
    <row r="440" spans="1:7">
      <c r="D440" s="1747"/>
      <c r="E440" s="1747"/>
      <c r="F440" s="1747"/>
      <c r="G440" s="782"/>
    </row>
    <row r="441" spans="1:7">
      <c r="D441" s="1747"/>
      <c r="E441" s="1747"/>
      <c r="F441" s="1747"/>
      <c r="G441" s="782"/>
    </row>
    <row r="442" spans="1:7">
      <c r="D442" s="1747"/>
      <c r="E442" s="1747"/>
      <c r="F442" s="1747"/>
      <c r="G442" s="782"/>
    </row>
    <row r="443" spans="1:7">
      <c r="D443" s="1747"/>
      <c r="E443" s="1747"/>
      <c r="F443" s="1747"/>
      <c r="G443" s="782"/>
    </row>
    <row r="444" spans="1:7">
      <c r="D444" s="1747"/>
      <c r="E444" s="1747"/>
      <c r="F444" s="1747"/>
      <c r="G444" s="782"/>
    </row>
    <row r="445" spans="1:7">
      <c r="D445" s="1747"/>
      <c r="E445" s="1747"/>
      <c r="F445" s="1747"/>
      <c r="G445" s="782"/>
    </row>
    <row r="446" spans="1:7">
      <c r="A446" s="782"/>
      <c r="B446" s="782"/>
      <c r="C446" s="782"/>
      <c r="D446" s="1747"/>
      <c r="E446" s="1747"/>
      <c r="F446" s="1747"/>
      <c r="G446" s="782"/>
    </row>
    <row r="447" spans="1:7">
      <c r="A447" s="782"/>
      <c r="B447" s="782"/>
      <c r="C447" s="782"/>
      <c r="D447" s="1747"/>
      <c r="E447" s="1747"/>
      <c r="F447" s="1747"/>
      <c r="G447" s="782"/>
    </row>
    <row r="448" spans="1:7">
      <c r="A448" s="782"/>
      <c r="B448" s="782"/>
      <c r="C448" s="782"/>
      <c r="D448" s="1747"/>
      <c r="E448" s="1747"/>
      <c r="F448" s="1747"/>
      <c r="G448" s="782"/>
    </row>
    <row r="449" spans="1:9">
      <c r="A449" s="782"/>
      <c r="B449" s="782"/>
      <c r="C449" s="782"/>
      <c r="D449" s="1747"/>
      <c r="E449" s="1747"/>
      <c r="F449" s="1747"/>
      <c r="G449" s="782"/>
    </row>
    <row r="450" spans="1:9">
      <c r="A450" s="782"/>
      <c r="B450" s="782"/>
      <c r="C450" s="782"/>
      <c r="D450" s="1747"/>
      <c r="E450" s="1747"/>
      <c r="F450" s="1747"/>
      <c r="G450" s="782"/>
    </row>
    <row r="451" spans="1:9">
      <c r="A451" s="782"/>
      <c r="B451" s="782"/>
      <c r="C451" s="782"/>
      <c r="D451" s="1747"/>
      <c r="E451" s="1747"/>
      <c r="F451" s="1747"/>
      <c r="G451" s="782"/>
    </row>
    <row r="452" spans="1:9">
      <c r="A452" s="782"/>
      <c r="B452" s="782"/>
      <c r="C452" s="782"/>
      <c r="D452" s="1747"/>
      <c r="E452" s="1747"/>
      <c r="F452" s="1747"/>
      <c r="G452" s="782"/>
    </row>
    <row r="453" spans="1:9">
      <c r="A453" s="782"/>
      <c r="B453" s="782"/>
      <c r="C453" s="782"/>
      <c r="D453" s="1747"/>
      <c r="E453" s="1747"/>
      <c r="F453" s="1747"/>
      <c r="G453" s="782"/>
    </row>
    <row r="454" spans="1:9">
      <c r="A454" s="782"/>
      <c r="B454" s="782"/>
      <c r="C454" s="782"/>
      <c r="D454" s="1747"/>
      <c r="E454" s="1747"/>
      <c r="F454" s="1747"/>
      <c r="G454" s="782"/>
    </row>
    <row r="455" spans="1:9">
      <c r="A455" s="782"/>
      <c r="B455" s="782"/>
      <c r="C455" s="782"/>
      <c r="D455" s="1747"/>
      <c r="E455" s="1747"/>
      <c r="F455" s="1747"/>
      <c r="G455" s="782"/>
    </row>
    <row r="456" spans="1:9">
      <c r="A456" s="782"/>
      <c r="B456" s="782"/>
      <c r="C456" s="782"/>
      <c r="D456" s="1747"/>
      <c r="E456" s="1747"/>
      <c r="F456" s="1747"/>
      <c r="G456" s="782"/>
    </row>
    <row r="457" spans="1:9">
      <c r="A457" s="782"/>
      <c r="B457" s="782"/>
      <c r="C457" s="782"/>
      <c r="D457" s="1747"/>
      <c r="E457" s="1747"/>
      <c r="F457" s="1747"/>
      <c r="G457" s="782"/>
    </row>
    <row r="458" spans="1:9">
      <c r="A458" s="782"/>
      <c r="B458" s="782"/>
      <c r="C458" s="782"/>
      <c r="D458" s="1747"/>
      <c r="E458" s="1747"/>
      <c r="F458" s="1747"/>
      <c r="G458" s="782"/>
    </row>
    <row r="459" spans="1:9">
      <c r="A459" s="782"/>
      <c r="B459" s="782"/>
      <c r="C459" s="782"/>
      <c r="D459" s="1747"/>
      <c r="E459" s="1747"/>
      <c r="F459" s="1747"/>
      <c r="G459" s="782"/>
    </row>
    <row r="460" spans="1:9">
      <c r="A460" s="782"/>
      <c r="B460" s="782"/>
      <c r="C460" s="782"/>
      <c r="D460" s="1747"/>
      <c r="E460" s="1747"/>
      <c r="F460" s="1747"/>
      <c r="G460" s="782"/>
    </row>
    <row r="461" spans="1:9">
      <c r="A461" s="782"/>
      <c r="B461" s="782"/>
      <c r="C461" s="782"/>
      <c r="D461" s="1747"/>
      <c r="E461" s="1747"/>
      <c r="F461" s="1747"/>
      <c r="G461" s="782"/>
    </row>
    <row r="462" spans="1:9" s="823" customFormat="1">
      <c r="A462" s="780"/>
      <c r="B462" s="780"/>
      <c r="C462" s="780"/>
      <c r="D462" s="1747"/>
      <c r="E462" s="1747"/>
      <c r="F462" s="1747"/>
      <c r="G462" s="822"/>
      <c r="I462" s="1117"/>
    </row>
    <row r="463" spans="1:9" s="823" customFormat="1" ht="40.700000000000003" customHeight="1">
      <c r="A463" s="780"/>
      <c r="B463" s="780"/>
      <c r="C463" s="780"/>
      <c r="D463" s="1747"/>
      <c r="E463" s="1747"/>
      <c r="F463" s="1747"/>
      <c r="G463" s="822"/>
      <c r="I463" s="1117"/>
    </row>
    <row r="464" spans="1:9">
      <c r="D464" s="792"/>
      <c r="E464" s="792"/>
      <c r="F464" s="792"/>
      <c r="G464" s="782"/>
    </row>
    <row r="465" spans="1:7" ht="14.25">
      <c r="A465" s="789"/>
      <c r="B465" s="790" t="s">
        <v>2529</v>
      </c>
      <c r="C465" s="821"/>
      <c r="D465" s="1747" t="s">
        <v>1291</v>
      </c>
      <c r="E465" s="1747"/>
      <c r="F465" s="1747"/>
      <c r="G465" s="782"/>
    </row>
    <row r="466" spans="1:7">
      <c r="D466" s="1747"/>
      <c r="E466" s="1747"/>
      <c r="F466" s="1747"/>
      <c r="G466" s="782"/>
    </row>
    <row r="467" spans="1:7">
      <c r="D467" s="1747"/>
      <c r="E467" s="1747"/>
      <c r="F467" s="1747"/>
      <c r="G467" s="782"/>
    </row>
    <row r="468" spans="1:7">
      <c r="D468" s="776"/>
      <c r="E468" s="776"/>
      <c r="F468" s="776"/>
      <c r="G468" s="782"/>
    </row>
    <row r="469" spans="1:7" ht="14.25">
      <c r="B469" s="790" t="s">
        <v>2529</v>
      </c>
      <c r="C469" s="789"/>
      <c r="D469" s="1825" t="s">
        <v>1361</v>
      </c>
      <c r="E469" s="1825"/>
      <c r="F469" s="1825"/>
      <c r="G469" s="782"/>
    </row>
    <row r="470" spans="1:7">
      <c r="D470" s="1825"/>
      <c r="E470" s="1825"/>
      <c r="F470" s="1825"/>
      <c r="G470" s="782"/>
    </row>
    <row r="471" spans="1:7">
      <c r="D471" s="792"/>
      <c r="E471" s="792"/>
      <c r="F471" s="792"/>
      <c r="G471" s="782"/>
    </row>
    <row r="472" spans="1:7" ht="14.25">
      <c r="B472" s="790" t="s">
        <v>2529</v>
      </c>
      <c r="C472" s="789"/>
      <c r="D472" s="1825" t="s">
        <v>1293</v>
      </c>
      <c r="E472" s="1825"/>
      <c r="F472" s="1825"/>
      <c r="G472" s="782"/>
    </row>
    <row r="473" spans="1:7">
      <c r="D473" s="1825"/>
      <c r="E473" s="1825"/>
      <c r="F473" s="1825"/>
      <c r="G473" s="782"/>
    </row>
    <row r="474" spans="1:7">
      <c r="D474" s="1825"/>
      <c r="E474" s="1825"/>
      <c r="F474" s="1825"/>
      <c r="G474" s="782"/>
    </row>
    <row r="475" spans="1:7">
      <c r="D475" s="1825"/>
      <c r="E475" s="1825"/>
      <c r="F475" s="1825"/>
      <c r="G475" s="782"/>
    </row>
    <row r="476" spans="1:7">
      <c r="B476" s="790" t="s">
        <v>2529</v>
      </c>
      <c r="D476" s="1825"/>
      <c r="E476" s="1825"/>
      <c r="F476" s="1825"/>
      <c r="G476" s="782"/>
    </row>
    <row r="477" spans="1:7">
      <c r="A477" s="782"/>
      <c r="B477" s="782"/>
      <c r="C477" s="782"/>
      <c r="D477" s="1825"/>
      <c r="E477" s="1825"/>
      <c r="F477" s="1825"/>
      <c r="G477" s="782"/>
    </row>
    <row r="478" spans="1:7">
      <c r="A478" s="782"/>
      <c r="C478" s="782"/>
      <c r="D478" s="1825"/>
      <c r="E478" s="1825"/>
      <c r="F478" s="1825"/>
      <c r="G478" s="782"/>
    </row>
    <row r="479" spans="1:7">
      <c r="A479" s="782"/>
      <c r="B479" s="790" t="s">
        <v>2529</v>
      </c>
      <c r="C479" s="782"/>
      <c r="D479" s="1825"/>
      <c r="E479" s="1825"/>
      <c r="F479" s="1825"/>
      <c r="G479" s="782"/>
    </row>
    <row r="480" spans="1:7">
      <c r="A480" s="782"/>
      <c r="B480" s="782"/>
      <c r="C480" s="782"/>
      <c r="D480" s="1825"/>
      <c r="E480" s="1825"/>
      <c r="F480" s="1825"/>
      <c r="G480" s="782"/>
    </row>
    <row r="481" spans="1:9">
      <c r="A481" s="782"/>
      <c r="C481" s="782"/>
      <c r="D481" s="1825"/>
      <c r="E481" s="1825"/>
      <c r="F481" s="1825"/>
      <c r="G481" s="782"/>
    </row>
    <row r="482" spans="1:9">
      <c r="A482" s="782"/>
      <c r="C482" s="782"/>
      <c r="D482" s="1825"/>
      <c r="E482" s="1825"/>
      <c r="F482" s="1825"/>
      <c r="G482" s="782"/>
    </row>
    <row r="483" spans="1:9">
      <c r="A483" s="782"/>
      <c r="C483" s="782"/>
      <c r="D483" s="1825"/>
      <c r="E483" s="1825"/>
      <c r="F483" s="1825"/>
      <c r="G483" s="782"/>
    </row>
    <row r="484" spans="1:9">
      <c r="A484" s="782"/>
      <c r="B484" s="790" t="s">
        <v>2529</v>
      </c>
      <c r="C484" s="782"/>
      <c r="D484" s="1825"/>
      <c r="E484" s="1825"/>
      <c r="F484" s="1825"/>
      <c r="G484" s="782"/>
    </row>
    <row r="485" spans="1:9">
      <c r="A485" s="782"/>
      <c r="C485" s="782"/>
      <c r="D485" s="1825"/>
      <c r="E485" s="1825"/>
      <c r="F485" s="1825"/>
      <c r="G485" s="782"/>
    </row>
    <row r="486" spans="1:9">
      <c r="A486" s="782"/>
      <c r="B486" s="790" t="s">
        <v>2529</v>
      </c>
      <c r="C486" s="782"/>
      <c r="D486" s="1825" t="s">
        <v>1294</v>
      </c>
      <c r="E486" s="1825"/>
      <c r="F486" s="1825"/>
      <c r="G486" s="782"/>
    </row>
    <row r="487" spans="1:9">
      <c r="A487" s="782"/>
      <c r="B487" s="782"/>
      <c r="C487" s="782"/>
      <c r="D487" s="1825"/>
      <c r="E487" s="1825"/>
      <c r="F487" s="1825"/>
      <c r="G487" s="782"/>
    </row>
    <row r="488" spans="1:9">
      <c r="A488" s="782"/>
      <c r="B488" s="782"/>
      <c r="C488" s="782"/>
      <c r="D488" s="1825"/>
      <c r="E488" s="1825"/>
      <c r="F488" s="1825"/>
      <c r="G488" s="782"/>
    </row>
    <row r="489" spans="1:9">
      <c r="A489" s="782"/>
      <c r="B489" s="782"/>
      <c r="C489" s="782"/>
      <c r="D489" s="1825"/>
      <c r="E489" s="1825"/>
      <c r="F489" s="1825"/>
      <c r="G489" s="782"/>
    </row>
    <row r="490" spans="1:9">
      <c r="D490" s="1825"/>
      <c r="E490" s="1825"/>
      <c r="F490" s="1825"/>
    </row>
    <row r="491" spans="1:9">
      <c r="D491" s="792"/>
      <c r="E491" s="792"/>
      <c r="F491" s="792"/>
    </row>
    <row r="492" spans="1:9">
      <c r="B492" s="790" t="s">
        <v>2529</v>
      </c>
      <c r="D492" s="1821" t="s">
        <v>1295</v>
      </c>
      <c r="E492" s="1821"/>
      <c r="F492" s="1821"/>
    </row>
    <row r="493" spans="1:9">
      <c r="A493" s="792"/>
      <c r="B493" s="792"/>
    </row>
    <row r="494" spans="1:9">
      <c r="A494" s="1729" t="s">
        <v>1136</v>
      </c>
      <c r="B494" s="1729"/>
      <c r="C494" s="1729"/>
      <c r="D494" s="1729"/>
      <c r="E494" s="1729"/>
      <c r="F494" s="1729"/>
      <c r="G494" s="1729"/>
      <c r="H494" s="1130"/>
      <c r="I494" s="1131"/>
    </row>
    <row r="495" spans="1:9">
      <c r="A495" s="792"/>
      <c r="B495" s="792"/>
    </row>
    <row r="496" spans="1:9">
      <c r="D496" s="1725" t="s">
        <v>931</v>
      </c>
      <c r="E496" s="1725"/>
      <c r="F496" s="1725"/>
    </row>
    <row r="497" spans="1:9" s="783" customFormat="1" ht="14.25">
      <c r="A497" s="797"/>
      <c r="B497" s="797"/>
      <c r="C497" s="793"/>
      <c r="D497" s="1726" t="s">
        <v>1296</v>
      </c>
      <c r="E497" s="1726"/>
      <c r="F497" s="1726"/>
      <c r="G497" s="794"/>
      <c r="I497" s="1114"/>
    </row>
    <row r="498" spans="1:9" s="783" customFormat="1" ht="14.25">
      <c r="A498" s="797"/>
      <c r="B498" s="797"/>
      <c r="C498" s="793"/>
      <c r="D498" s="779"/>
      <c r="E498" s="664"/>
      <c r="F498" s="664"/>
      <c r="G498" s="794"/>
      <c r="I498" s="1114"/>
    </row>
    <row r="499" spans="1:9" s="783" customFormat="1" ht="14.25">
      <c r="A499" s="789"/>
      <c r="B499" s="790" t="s">
        <v>313</v>
      </c>
      <c r="C499" s="793"/>
      <c r="D499" s="1727" t="s">
        <v>1297</v>
      </c>
      <c r="E499" s="1727"/>
      <c r="F499" s="1727"/>
      <c r="G499" s="794"/>
      <c r="I499" s="1114" t="s">
        <v>2239</v>
      </c>
    </row>
    <row r="500" spans="1:9" s="783" customFormat="1" ht="14.25">
      <c r="A500" s="789"/>
      <c r="B500" s="789"/>
      <c r="C500" s="793"/>
      <c r="D500" s="1727"/>
      <c r="E500" s="1727"/>
      <c r="F500" s="1727"/>
      <c r="G500" s="794"/>
      <c r="I500" s="1114"/>
    </row>
    <row r="501" spans="1:9" s="783" customFormat="1" ht="14.25">
      <c r="A501" s="789"/>
      <c r="B501" s="789"/>
      <c r="C501" s="793"/>
      <c r="D501" s="777"/>
      <c r="E501" s="664"/>
      <c r="F501" s="664"/>
      <c r="G501" s="794"/>
      <c r="I501" s="1114"/>
    </row>
    <row r="502" spans="1:9" ht="12.75" customHeight="1">
      <c r="B502" s="790" t="s">
        <v>313</v>
      </c>
      <c r="D502" s="1728" t="s">
        <v>1458</v>
      </c>
      <c r="E502" s="1728"/>
      <c r="F502" s="1728"/>
      <c r="I502" s="1082" t="s">
        <v>2240</v>
      </c>
    </row>
    <row r="503" spans="1:9" ht="14.25">
      <c r="A503" s="789"/>
      <c r="D503" s="1728"/>
      <c r="E503" s="1728"/>
      <c r="F503" s="1728"/>
    </row>
    <row r="504" spans="1:9" ht="14.25">
      <c r="A504" s="789"/>
      <c r="B504" s="789"/>
      <c r="D504" s="1728"/>
      <c r="E504" s="1728"/>
      <c r="F504" s="1728"/>
    </row>
    <row r="505" spans="1:9" ht="14.25">
      <c r="A505" s="789"/>
      <c r="B505" s="789"/>
      <c r="D505" s="1728"/>
      <c r="E505" s="1728"/>
      <c r="F505" s="1728"/>
    </row>
    <row r="506" spans="1:9" ht="14.25">
      <c r="A506" s="789"/>
      <c r="D506" s="885"/>
      <c r="E506" s="885"/>
      <c r="F506" s="885"/>
      <c r="G506" s="782"/>
    </row>
    <row r="507" spans="1:9" ht="14.25">
      <c r="A507" s="789"/>
      <c r="B507" s="790" t="s">
        <v>313</v>
      </c>
      <c r="D507" s="1749" t="s">
        <v>1300</v>
      </c>
      <c r="E507" s="1749"/>
      <c r="F507" s="1749"/>
      <c r="G507" s="782"/>
      <c r="I507" s="1082" t="s">
        <v>2241</v>
      </c>
    </row>
    <row r="508" spans="1:9" ht="14.25">
      <c r="A508" s="789"/>
      <c r="B508" s="789"/>
      <c r="D508" s="777"/>
      <c r="E508" s="664"/>
      <c r="F508" s="664"/>
      <c r="G508" s="782"/>
    </row>
    <row r="509" spans="1:9" ht="14.25">
      <c r="A509" s="789"/>
      <c r="B509" s="790" t="s">
        <v>313</v>
      </c>
      <c r="D509" s="1747" t="s">
        <v>1301</v>
      </c>
      <c r="E509" s="1747"/>
      <c r="F509" s="1747"/>
      <c r="G509" s="782"/>
      <c r="I509" s="1082" t="s">
        <v>2241</v>
      </c>
    </row>
    <row r="510" spans="1:9" ht="14.25">
      <c r="A510" s="789"/>
      <c r="D510" s="1747"/>
      <c r="E510" s="1747"/>
      <c r="F510" s="1747"/>
      <c r="G510" s="782"/>
    </row>
    <row r="511" spans="1:9">
      <c r="A511" s="808"/>
      <c r="B511" s="808"/>
      <c r="D511" s="725"/>
      <c r="E511" s="664"/>
      <c r="F511" s="664"/>
      <c r="G511" s="782"/>
    </row>
    <row r="512" spans="1:9">
      <c r="A512" s="808"/>
      <c r="B512" s="790" t="s">
        <v>313</v>
      </c>
      <c r="D512" s="1749" t="s">
        <v>1302</v>
      </c>
      <c r="E512" s="1749"/>
      <c r="F512" s="1749"/>
      <c r="G512" s="782"/>
      <c r="I512" s="1082" t="s">
        <v>2294</v>
      </c>
    </row>
    <row r="513" spans="1:9" ht="14.25">
      <c r="A513" s="789"/>
      <c r="B513" s="789"/>
      <c r="D513" s="792"/>
    </row>
    <row r="514" spans="1:9">
      <c r="A514" s="1729" t="s">
        <v>1137</v>
      </c>
      <c r="B514" s="1729"/>
      <c r="C514" s="1729"/>
      <c r="D514" s="1729"/>
      <c r="E514" s="1729"/>
      <c r="F514" s="1729"/>
      <c r="G514" s="1729"/>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56" t="s">
        <v>835</v>
      </c>
      <c r="E516" s="1856"/>
      <c r="F516" s="1856"/>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2698</v>
      </c>
      <c r="C520" s="791"/>
      <c r="D520" s="1721" t="s">
        <v>2079</v>
      </c>
      <c r="E520" s="1721"/>
      <c r="F520" s="1721"/>
      <c r="G520" s="664"/>
      <c r="I520" s="615" t="s">
        <v>2276</v>
      </c>
    </row>
    <row r="521" spans="1:9" s="714" customFormat="1">
      <c r="A521" s="787"/>
      <c r="B521" s="787"/>
      <c r="C521" s="791"/>
      <c r="D521" s="1721"/>
      <c r="E521" s="1721"/>
      <c r="F521" s="1721"/>
      <c r="G521" s="664"/>
      <c r="I521" s="615"/>
    </row>
    <row r="522" spans="1:9" s="714" customFormat="1">
      <c r="A522" s="787"/>
      <c r="B522" s="787"/>
      <c r="C522" s="791"/>
      <c r="D522" s="1020"/>
      <c r="E522" s="1020"/>
      <c r="F522" s="1020"/>
      <c r="G522" s="664"/>
    </row>
    <row r="523" spans="1:9" s="714" customFormat="1" ht="12.75" customHeight="1">
      <c r="A523" s="787"/>
      <c r="B523" s="790" t="s">
        <v>2529</v>
      </c>
      <c r="C523" s="796"/>
      <c r="D523" s="1186" t="s">
        <v>2369</v>
      </c>
      <c r="E523" s="870"/>
      <c r="F523" s="870"/>
      <c r="G523" s="664"/>
      <c r="I523" s="615" t="s">
        <v>2242</v>
      </c>
    </row>
    <row r="524" spans="1:9" s="1077" customFormat="1">
      <c r="A524" s="787"/>
      <c r="B524" s="1189"/>
      <c r="C524" s="796"/>
      <c r="D524" s="870"/>
      <c r="E524" s="1042" t="s">
        <v>2370</v>
      </c>
      <c r="F524" s="1079"/>
      <c r="G524" s="664"/>
      <c r="I524" s="615"/>
    </row>
    <row r="525" spans="1:9" s="714" customFormat="1">
      <c r="A525" s="787"/>
      <c r="B525" s="787"/>
      <c r="C525" s="796"/>
      <c r="D525" s="1842" t="s">
        <v>1175</v>
      </c>
      <c r="E525" s="1842"/>
      <c r="F525" s="1842"/>
      <c r="G525" s="664"/>
      <c r="I525" s="615"/>
    </row>
    <row r="526" spans="1:9" s="1077" customFormat="1">
      <c r="A526" s="787"/>
      <c r="B526" s="787"/>
      <c r="C526" s="796"/>
      <c r="D526" s="1842"/>
      <c r="E526" s="1842"/>
      <c r="F526" s="1842"/>
      <c r="G526" s="664"/>
      <c r="I526" s="615"/>
    </row>
    <row r="527" spans="1:9" s="714" customFormat="1">
      <c r="A527" s="787"/>
      <c r="B527" s="787"/>
      <c r="C527" s="791"/>
      <c r="D527" s="1842"/>
      <c r="E527" s="1842"/>
      <c r="F527" s="1842"/>
      <c r="G527" s="664"/>
      <c r="I527" s="615"/>
    </row>
    <row r="528" spans="1:9" s="714" customFormat="1">
      <c r="A528" s="787"/>
      <c r="B528" s="787"/>
      <c r="C528" s="791"/>
      <c r="D528" s="825"/>
      <c r="E528" s="664"/>
      <c r="F528" s="777"/>
      <c r="G528" s="664"/>
      <c r="I528" s="615"/>
    </row>
    <row r="529" spans="1:9" s="714" customFormat="1" ht="13.15" customHeight="1">
      <c r="A529" s="787"/>
      <c r="B529" s="790" t="s">
        <v>2529</v>
      </c>
      <c r="C529" s="791"/>
      <c r="D529" s="1833" t="s">
        <v>1201</v>
      </c>
      <c r="E529" s="1833"/>
      <c r="F529" s="1833"/>
      <c r="G529" s="664"/>
      <c r="I529" s="615" t="s">
        <v>2242</v>
      </c>
    </row>
    <row r="530" spans="1:9" s="714" customFormat="1">
      <c r="A530" s="787"/>
      <c r="B530" s="787"/>
      <c r="C530" s="791"/>
      <c r="D530" s="1833"/>
      <c r="E530" s="1833"/>
      <c r="F530" s="1833"/>
      <c r="G530" s="664"/>
      <c r="I530" s="615"/>
    </row>
    <row r="531" spans="1:9" s="714" customFormat="1" ht="12" customHeight="1">
      <c r="A531" s="792"/>
      <c r="B531" s="792"/>
      <c r="C531" s="800"/>
      <c r="D531" s="792"/>
      <c r="E531" s="664"/>
      <c r="F531" s="827"/>
      <c r="G531" s="664"/>
      <c r="I531" s="615"/>
    </row>
    <row r="532" spans="1:9">
      <c r="A532" s="1729" t="s">
        <v>1138</v>
      </c>
      <c r="B532" s="1729"/>
      <c r="C532" s="1729"/>
      <c r="D532" s="1729"/>
      <c r="E532" s="1729"/>
      <c r="F532" s="1729"/>
      <c r="G532" s="1729"/>
      <c r="H532" s="1130"/>
      <c r="I532" s="1131"/>
    </row>
    <row r="533" spans="1:9">
      <c r="A533" s="792"/>
      <c r="B533" s="792"/>
      <c r="C533" s="821"/>
      <c r="F533" s="828"/>
    </row>
    <row r="534" spans="1:9">
      <c r="B534" s="1818" t="s">
        <v>465</v>
      </c>
      <c r="C534" s="1818"/>
      <c r="D534" s="1818"/>
      <c r="E534" s="1818"/>
      <c r="F534" s="1818"/>
    </row>
    <row r="535" spans="1:9">
      <c r="A535" s="792"/>
      <c r="B535" s="792"/>
      <c r="C535" s="821"/>
      <c r="D535" s="792"/>
      <c r="F535" s="792"/>
    </row>
    <row r="536" spans="1:9">
      <c r="A536" s="1779" t="s">
        <v>1139</v>
      </c>
      <c r="B536" s="1779"/>
      <c r="C536" s="1779"/>
      <c r="D536" s="1779"/>
      <c r="E536" s="1779"/>
      <c r="F536" s="1779"/>
      <c r="G536" s="1779"/>
      <c r="H536" s="1130"/>
      <c r="I536" s="1131"/>
    </row>
    <row r="537" spans="1:9">
      <c r="A537" s="792"/>
      <c r="B537" s="792"/>
      <c r="C537" s="821"/>
      <c r="D537" s="792"/>
      <c r="F537" s="792"/>
    </row>
    <row r="538" spans="1:9">
      <c r="C538" s="821"/>
      <c r="D538" s="1746" t="s">
        <v>710</v>
      </c>
      <c r="E538" s="1746"/>
      <c r="F538" s="1746"/>
    </row>
    <row r="539" spans="1:9">
      <c r="C539" s="821"/>
      <c r="D539" s="1749" t="s">
        <v>1196</v>
      </c>
      <c r="E539" s="1749"/>
      <c r="F539" s="1749"/>
    </row>
    <row r="540" spans="1:9">
      <c r="C540" s="821"/>
      <c r="D540" s="777"/>
      <c r="E540" s="777"/>
      <c r="F540" s="777"/>
    </row>
    <row r="541" spans="1:9" ht="13.7" customHeight="1">
      <c r="A541" s="789"/>
      <c r="B541" s="790" t="s">
        <v>2698</v>
      </c>
      <c r="C541" s="821"/>
      <c r="D541" s="1749" t="s">
        <v>932</v>
      </c>
      <c r="E541" s="1749"/>
      <c r="F541" s="1749"/>
      <c r="G541" s="782"/>
      <c r="I541" s="1082" t="s">
        <v>2292</v>
      </c>
    </row>
    <row r="542" spans="1:9" ht="13.7" customHeight="1">
      <c r="A542" s="821"/>
      <c r="B542" s="821"/>
      <c r="C542" s="821"/>
      <c r="D542" s="777"/>
      <c r="E542" s="611"/>
      <c r="F542" s="611"/>
      <c r="G542" s="782"/>
    </row>
    <row r="543" spans="1:9" ht="14.25">
      <c r="A543" s="789"/>
      <c r="B543" s="790" t="s">
        <v>2698</v>
      </c>
      <c r="C543" s="821"/>
      <c r="D543" s="1747" t="s">
        <v>1197</v>
      </c>
      <c r="E543" s="1747"/>
      <c r="F543" s="1747"/>
      <c r="G543" s="782"/>
      <c r="I543" s="1082" t="s">
        <v>2292</v>
      </c>
    </row>
    <row r="544" spans="1:9">
      <c r="A544" s="821"/>
      <c r="B544" s="821"/>
      <c r="C544" s="821"/>
      <c r="D544" s="1747"/>
      <c r="E544" s="1747"/>
      <c r="F544" s="1747"/>
      <c r="G544" s="782"/>
    </row>
    <row r="545" spans="1:9">
      <c r="A545" s="821"/>
      <c r="B545" s="821"/>
      <c r="C545" s="821"/>
      <c r="D545" s="792"/>
      <c r="E545" s="792"/>
      <c r="F545" s="792"/>
      <c r="G545" s="782"/>
    </row>
    <row r="546" spans="1:9" ht="14.25">
      <c r="A546" s="789"/>
      <c r="B546" s="790" t="s">
        <v>2698</v>
      </c>
      <c r="C546" s="821"/>
      <c r="D546" s="1747" t="s">
        <v>1198</v>
      </c>
      <c r="E546" s="1747"/>
      <c r="F546" s="1747"/>
      <c r="G546" s="782"/>
      <c r="I546" s="1082" t="s">
        <v>2243</v>
      </c>
    </row>
    <row r="547" spans="1:9">
      <c r="A547" s="821"/>
      <c r="B547" s="821"/>
      <c r="C547" s="821"/>
      <c r="D547" s="1747"/>
      <c r="E547" s="1747"/>
      <c r="F547" s="1747"/>
      <c r="G547" s="782"/>
    </row>
    <row r="548" spans="1:9">
      <c r="A548" s="821"/>
      <c r="B548" s="821"/>
      <c r="C548" s="821"/>
      <c r="D548" s="792"/>
      <c r="E548" s="792"/>
      <c r="F548" s="792"/>
      <c r="G548" s="782"/>
    </row>
    <row r="549" spans="1:9" ht="14.25">
      <c r="A549" s="789"/>
      <c r="B549" s="790" t="s">
        <v>2698</v>
      </c>
      <c r="C549" s="821"/>
      <c r="D549" s="1747" t="s">
        <v>1199</v>
      </c>
      <c r="E549" s="1747"/>
      <c r="F549" s="1747"/>
      <c r="G549" s="782"/>
      <c r="I549" s="1082" t="s">
        <v>2244</v>
      </c>
    </row>
    <row r="550" spans="1:9">
      <c r="A550" s="821"/>
      <c r="B550" s="821"/>
      <c r="C550" s="821"/>
      <c r="D550" s="1747"/>
      <c r="E550" s="1747"/>
      <c r="F550" s="1747"/>
      <c r="G550" s="782"/>
    </row>
    <row r="551" spans="1:9">
      <c r="A551" s="821"/>
      <c r="B551" s="821"/>
      <c r="C551" s="821"/>
      <c r="D551" s="792"/>
      <c r="E551" s="792"/>
      <c r="F551" s="792"/>
      <c r="G551" s="782"/>
    </row>
    <row r="552" spans="1:9" ht="14.25">
      <c r="A552" s="789"/>
      <c r="B552" s="790" t="s">
        <v>2698</v>
      </c>
      <c r="C552" s="821"/>
      <c r="D552" s="1747" t="s">
        <v>1200</v>
      </c>
      <c r="E552" s="1747"/>
      <c r="F552" s="1747"/>
      <c r="G552" s="782"/>
      <c r="I552" s="1082" t="s">
        <v>2293</v>
      </c>
    </row>
    <row r="553" spans="1:9">
      <c r="A553" s="821"/>
      <c r="B553" s="821"/>
      <c r="C553" s="821"/>
      <c r="D553" s="1747"/>
      <c r="E553" s="1747"/>
      <c r="F553" s="1747"/>
      <c r="G553" s="782"/>
    </row>
    <row r="554" spans="1:9">
      <c r="A554" s="821"/>
      <c r="B554" s="821"/>
      <c r="C554" s="821"/>
      <c r="D554" s="1747"/>
      <c r="E554" s="1747"/>
      <c r="F554" s="1747"/>
      <c r="G554" s="782"/>
    </row>
    <row r="555" spans="1:9">
      <c r="A555" s="821"/>
      <c r="B555" s="821"/>
      <c r="C555" s="821"/>
      <c r="D555" s="792"/>
      <c r="E555" s="792"/>
      <c r="F555" s="792"/>
    </row>
    <row r="556" spans="1:9" ht="14.25">
      <c r="A556" s="789"/>
      <c r="B556" s="790" t="s">
        <v>2529</v>
      </c>
      <c r="C556" s="821"/>
      <c r="D556" s="1833" t="s">
        <v>1318</v>
      </c>
      <c r="E556" s="1833"/>
      <c r="F556" s="1833"/>
      <c r="I556" s="1082" t="s">
        <v>2292</v>
      </c>
    </row>
    <row r="557" spans="1:9">
      <c r="A557" s="821"/>
      <c r="B557" s="821"/>
      <c r="C557" s="821"/>
      <c r="D557" s="1833"/>
      <c r="E557" s="1833"/>
      <c r="F557" s="1833"/>
    </row>
    <row r="558" spans="1:9">
      <c r="A558" s="821"/>
      <c r="B558" s="821"/>
      <c r="C558" s="821"/>
      <c r="D558" s="792"/>
      <c r="E558" s="792"/>
      <c r="F558" s="792"/>
    </row>
    <row r="559" spans="1:9" ht="14.25">
      <c r="A559" s="789"/>
      <c r="B559" s="790" t="s">
        <v>2698</v>
      </c>
      <c r="C559" s="821"/>
      <c r="D559" s="1747" t="s">
        <v>1202</v>
      </c>
      <c r="E559" s="1747"/>
      <c r="F559" s="1747"/>
      <c r="I559" s="1082" t="s">
        <v>2292</v>
      </c>
    </row>
    <row r="560" spans="1:9">
      <c r="A560" s="821"/>
      <c r="B560" s="821"/>
      <c r="C560" s="821"/>
      <c r="D560" s="1747"/>
      <c r="E560" s="1747"/>
      <c r="F560" s="1747"/>
      <c r="G560" s="811"/>
    </row>
    <row r="561" spans="1:16">
      <c r="A561" s="821"/>
      <c r="B561" s="821"/>
      <c r="C561" s="821"/>
      <c r="D561" s="792"/>
      <c r="E561" s="792"/>
      <c r="F561" s="792"/>
      <c r="G561" s="811"/>
    </row>
    <row r="562" spans="1:16" ht="14.25">
      <c r="A562" s="789"/>
      <c r="B562" s="790" t="s">
        <v>2698</v>
      </c>
      <c r="C562" s="821"/>
      <c r="D562" s="1749" t="s">
        <v>1203</v>
      </c>
      <c r="E562" s="1749"/>
      <c r="F562" s="1749"/>
      <c r="G562" s="811"/>
      <c r="I562" s="1082" t="s">
        <v>2295</v>
      </c>
      <c r="P562" s="1080"/>
    </row>
    <row r="563" spans="1:16">
      <c r="A563" s="808"/>
      <c r="B563" s="808"/>
      <c r="C563" s="821"/>
      <c r="D563" s="1749" t="s">
        <v>2372</v>
      </c>
      <c r="E563" s="1749"/>
      <c r="F563" s="1749"/>
      <c r="G563" s="811"/>
    </row>
    <row r="564" spans="1:16">
      <c r="A564" s="808"/>
      <c r="B564" s="808"/>
      <c r="C564" s="821"/>
      <c r="D564" s="782"/>
      <c r="E564" s="1042" t="s">
        <v>2371</v>
      </c>
      <c r="F564" s="1190"/>
      <c r="G564" s="811"/>
    </row>
    <row r="565" spans="1:16" ht="14.25">
      <c r="A565" s="789"/>
      <c r="B565" s="789"/>
      <c r="C565" s="821"/>
      <c r="E565" s="792"/>
      <c r="F565" s="792"/>
      <c r="G565" s="811"/>
    </row>
    <row r="566" spans="1:16" ht="14.25">
      <c r="A566" s="789"/>
      <c r="B566" s="790" t="s">
        <v>2698</v>
      </c>
      <c r="C566" s="821"/>
      <c r="D566" s="1849" t="s">
        <v>1205</v>
      </c>
      <c r="E566" s="1849"/>
      <c r="F566" s="1849"/>
      <c r="G566" s="811"/>
      <c r="I566" s="1082" t="s">
        <v>2245</v>
      </c>
    </row>
    <row r="567" spans="1:16">
      <c r="C567" s="821"/>
      <c r="D567" s="1747" t="s">
        <v>1206</v>
      </c>
      <c r="E567" s="1747"/>
      <c r="F567" s="1747"/>
      <c r="G567" s="811"/>
    </row>
    <row r="568" spans="1:16">
      <c r="A568" s="821"/>
      <c r="B568" s="821"/>
      <c r="C568" s="821"/>
      <c r="D568" s="1747"/>
      <c r="E568" s="1747"/>
      <c r="F568" s="1747"/>
      <c r="G568" s="811"/>
    </row>
    <row r="569" spans="1:16">
      <c r="A569" s="821"/>
      <c r="B569" s="821"/>
      <c r="C569" s="821"/>
      <c r="D569" s="1747"/>
      <c r="E569" s="1747"/>
      <c r="F569" s="1747"/>
      <c r="G569" s="811"/>
    </row>
    <row r="570" spans="1:16">
      <c r="A570" s="821"/>
      <c r="B570" s="821"/>
      <c r="C570" s="821"/>
      <c r="D570" s="792"/>
      <c r="E570" s="792"/>
      <c r="F570" s="792"/>
      <c r="G570" s="811"/>
    </row>
    <row r="571" spans="1:16" ht="14.25">
      <c r="A571" s="789"/>
      <c r="B571" s="790" t="s">
        <v>2698</v>
      </c>
      <c r="C571" s="821"/>
      <c r="D571" s="1747" t="s">
        <v>1207</v>
      </c>
      <c r="E571" s="1747"/>
      <c r="F571" s="1747"/>
      <c r="G571" s="811"/>
      <c r="I571" s="1082" t="s">
        <v>2246</v>
      </c>
    </row>
    <row r="572" spans="1:16" ht="14.25">
      <c r="A572" s="789"/>
      <c r="B572" s="789"/>
      <c r="C572" s="821"/>
      <c r="D572" s="1747"/>
      <c r="E572" s="1747"/>
      <c r="F572" s="1747"/>
      <c r="G572" s="811"/>
    </row>
    <row r="573" spans="1:16" ht="14.25">
      <c r="A573" s="789"/>
      <c r="B573" s="789"/>
      <c r="C573" s="821"/>
      <c r="D573" s="1747"/>
      <c r="E573" s="1747"/>
      <c r="F573" s="1747"/>
      <c r="G573" s="811"/>
    </row>
    <row r="574" spans="1:16" ht="14.25">
      <c r="A574" s="789"/>
      <c r="B574" s="789"/>
      <c r="C574" s="821"/>
      <c r="D574" s="1747"/>
      <c r="E574" s="1747"/>
      <c r="F574" s="1747"/>
      <c r="G574" s="811"/>
    </row>
    <row r="575" spans="1:16" ht="14.25">
      <c r="A575" s="789"/>
      <c r="B575" s="789"/>
      <c r="C575" s="821"/>
      <c r="D575" s="792"/>
      <c r="E575" s="792"/>
      <c r="F575" s="792"/>
      <c r="G575" s="811"/>
    </row>
    <row r="576" spans="1:16">
      <c r="A576" s="1729" t="s">
        <v>1140</v>
      </c>
      <c r="B576" s="1729"/>
      <c r="C576" s="1729"/>
      <c r="D576" s="1729"/>
      <c r="E576" s="1729"/>
      <c r="F576" s="1729"/>
      <c r="G576" s="1729"/>
      <c r="H576" s="1130"/>
      <c r="I576" s="1131"/>
    </row>
    <row r="577" spans="1:9">
      <c r="A577" s="821"/>
      <c r="B577" s="821"/>
      <c r="C577" s="821"/>
      <c r="E577" s="792"/>
      <c r="F577" s="792"/>
      <c r="G577" s="811"/>
    </row>
    <row r="578" spans="1:9" ht="12.75" customHeight="1">
      <c r="C578" s="785"/>
      <c r="D578" s="1817" t="s">
        <v>216</v>
      </c>
      <c r="E578" s="1817"/>
      <c r="F578" s="1817"/>
      <c r="G578" s="811"/>
    </row>
    <row r="579" spans="1:9">
      <c r="A579" s="787"/>
      <c r="B579" s="787"/>
      <c r="C579" s="787"/>
      <c r="D579" s="1752" t="s">
        <v>1156</v>
      </c>
      <c r="E579" s="1752"/>
      <c r="F579" s="1752"/>
      <c r="G579" s="811"/>
    </row>
    <row r="580" spans="1:9">
      <c r="A580" s="782"/>
      <c r="B580" s="782"/>
      <c r="C580" s="787"/>
      <c r="D580" s="829"/>
      <c r="G580" s="811"/>
      <c r="I580" s="1082" t="s">
        <v>2247</v>
      </c>
    </row>
    <row r="581" spans="1:9">
      <c r="A581" s="787"/>
      <c r="B581" s="790" t="s">
        <v>2698</v>
      </c>
      <c r="D581" s="1752" t="s">
        <v>938</v>
      </c>
      <c r="E581" s="1752"/>
      <c r="F581" s="1752"/>
      <c r="G581" s="811"/>
    </row>
    <row r="582" spans="1:9">
      <c r="A582" s="808"/>
      <c r="B582" s="808"/>
      <c r="D582" s="806"/>
    </row>
    <row r="583" spans="1:9">
      <c r="A583" s="808"/>
      <c r="B583" s="790" t="s">
        <v>2698</v>
      </c>
      <c r="D583" s="1728" t="s">
        <v>1157</v>
      </c>
      <c r="E583" s="1728"/>
      <c r="F583" s="1728"/>
      <c r="I583" s="1082" t="s">
        <v>2249</v>
      </c>
    </row>
    <row r="584" spans="1:9">
      <c r="A584" s="808"/>
      <c r="B584" s="808"/>
      <c r="D584" s="1728"/>
      <c r="E584" s="1728"/>
      <c r="F584" s="1728"/>
      <c r="G584" s="782"/>
      <c r="I584" s="1082" t="s">
        <v>2248</v>
      </c>
    </row>
    <row r="585" spans="1:9">
      <c r="A585" s="808"/>
      <c r="B585" s="808"/>
      <c r="D585" s="1728"/>
      <c r="E585" s="1728"/>
      <c r="F585" s="1728"/>
      <c r="G585" s="782"/>
    </row>
    <row r="586" spans="1:9">
      <c r="A586" s="808"/>
      <c r="B586" s="808"/>
      <c r="D586" s="1728"/>
      <c r="E586" s="1728"/>
      <c r="F586" s="1728"/>
      <c r="G586" s="782"/>
    </row>
    <row r="587" spans="1:9">
      <c r="A587" s="808"/>
      <c r="B587" s="790" t="s">
        <v>2529</v>
      </c>
      <c r="D587" s="1728" t="s">
        <v>1158</v>
      </c>
      <c r="E587" s="1728"/>
      <c r="F587" s="1728"/>
      <c r="G587" s="782"/>
    </row>
    <row r="588" spans="1:9">
      <c r="A588" s="808"/>
      <c r="B588" s="808"/>
      <c r="D588" s="1728"/>
      <c r="E588" s="1728"/>
      <c r="F588" s="1728"/>
      <c r="G588" s="782"/>
    </row>
    <row r="589" spans="1:9">
      <c r="A589" s="808"/>
      <c r="B589" s="808"/>
      <c r="D589" s="1728"/>
      <c r="E589" s="1728"/>
      <c r="F589" s="1728"/>
      <c r="G589" s="782"/>
    </row>
    <row r="590" spans="1:9">
      <c r="A590" s="808"/>
      <c r="B590" s="808"/>
      <c r="D590" s="1728"/>
      <c r="E590" s="1728"/>
      <c r="F590" s="1728"/>
      <c r="G590" s="782"/>
    </row>
    <row r="591" spans="1:9">
      <c r="A591" s="808"/>
      <c r="B591" s="808"/>
      <c r="D591" s="775"/>
      <c r="E591" s="775"/>
      <c r="F591" s="775"/>
      <c r="G591" s="782"/>
    </row>
    <row r="592" spans="1:9">
      <c r="A592" s="808"/>
      <c r="B592" s="790" t="s">
        <v>2698</v>
      </c>
      <c r="D592" s="1728" t="s">
        <v>1159</v>
      </c>
      <c r="E592" s="1728"/>
      <c r="F592" s="1728"/>
      <c r="G592" s="782"/>
    </row>
    <row r="593" spans="1:9">
      <c r="A593" s="808"/>
      <c r="B593" s="808"/>
      <c r="D593" s="1728"/>
      <c r="E593" s="1728"/>
      <c r="F593" s="1728"/>
      <c r="G593" s="782"/>
    </row>
    <row r="594" spans="1:9">
      <c r="A594" s="808"/>
      <c r="B594" s="808"/>
      <c r="D594" s="829"/>
      <c r="G594" s="782"/>
    </row>
    <row r="595" spans="1:9">
      <c r="A595" s="808"/>
      <c r="B595" s="790" t="s">
        <v>2529</v>
      </c>
      <c r="D595" s="1752" t="s">
        <v>1160</v>
      </c>
      <c r="E595" s="1752"/>
      <c r="F595" s="1752"/>
      <c r="G595" s="782"/>
      <c r="I595" s="1082" t="s">
        <v>2296</v>
      </c>
    </row>
    <row r="596" spans="1:9">
      <c r="A596" s="808"/>
      <c r="B596" s="808"/>
      <c r="D596" s="1752"/>
      <c r="E596" s="1752"/>
      <c r="F596" s="1752"/>
      <c r="G596" s="782"/>
    </row>
    <row r="597" spans="1:9" ht="14.25">
      <c r="A597" s="789"/>
      <c r="B597" s="789"/>
      <c r="D597" s="829"/>
      <c r="G597" s="782"/>
    </row>
    <row r="598" spans="1:9">
      <c r="A598" s="1729" t="s">
        <v>1141</v>
      </c>
      <c r="B598" s="1729"/>
      <c r="C598" s="1729"/>
      <c r="D598" s="1729"/>
      <c r="E598" s="1729"/>
      <c r="F598" s="1729"/>
      <c r="G598" s="1729"/>
      <c r="H598" s="1130"/>
      <c r="I598" s="1131"/>
    </row>
    <row r="599" spans="1:9"/>
    <row r="600" spans="1:9">
      <c r="D600" s="1746" t="s">
        <v>1241</v>
      </c>
      <c r="E600" s="1746"/>
      <c r="F600" s="1746"/>
    </row>
    <row r="601" spans="1:9">
      <c r="D601" s="1785" t="s">
        <v>1242</v>
      </c>
      <c r="E601" s="1785"/>
      <c r="F601" s="1785"/>
    </row>
    <row r="602" spans="1:9">
      <c r="D602" s="772"/>
      <c r="E602" s="714"/>
      <c r="F602" s="714"/>
    </row>
    <row r="603" spans="1:9" s="783" customFormat="1" ht="14.25" customHeight="1">
      <c r="A603" s="797"/>
      <c r="B603" s="790" t="s">
        <v>2698</v>
      </c>
      <c r="C603" s="793"/>
      <c r="D603" s="1819" t="s">
        <v>2373</v>
      </c>
      <c r="E603" s="1819"/>
      <c r="F603" s="1819"/>
      <c r="G603" s="794"/>
      <c r="I603" s="1114" t="s">
        <v>2277</v>
      </c>
    </row>
    <row r="604" spans="1:9">
      <c r="D604" s="1819"/>
      <c r="E604" s="1819"/>
      <c r="F604" s="1819"/>
    </row>
    <row r="605" spans="1:9">
      <c r="D605" s="1191"/>
      <c r="E605" s="1187" t="s">
        <v>2374</v>
      </c>
      <c r="F605" s="1191"/>
    </row>
    <row r="606" spans="1:9"/>
    <row r="607" spans="1:9">
      <c r="A607" s="1729" t="s">
        <v>1142</v>
      </c>
      <c r="B607" s="1729"/>
      <c r="C607" s="1729"/>
      <c r="D607" s="1729"/>
      <c r="E607" s="1729"/>
      <c r="F607" s="1729"/>
      <c r="G607" s="1729"/>
      <c r="H607" s="1130"/>
      <c r="I607" s="1131"/>
    </row>
    <row r="608" spans="1:9">
      <c r="A608" s="792"/>
      <c r="B608" s="792"/>
      <c r="G608" s="811"/>
    </row>
    <row r="609" spans="1:13">
      <c r="A609" s="830"/>
      <c r="B609" s="830"/>
      <c r="C609" s="785"/>
      <c r="D609" s="1786" t="s">
        <v>1244</v>
      </c>
      <c r="E609" s="1786"/>
      <c r="F609" s="1786"/>
      <c r="G609" s="811"/>
    </row>
    <row r="610" spans="1:13">
      <c r="A610" s="830"/>
      <c r="B610" s="830"/>
      <c r="C610" s="785"/>
      <c r="D610" s="1786"/>
      <c r="E610" s="1786"/>
      <c r="F610" s="1786"/>
      <c r="G610" s="811"/>
    </row>
    <row r="611" spans="1:13">
      <c r="C611" s="787"/>
      <c r="D611" s="1785" t="s">
        <v>1245</v>
      </c>
      <c r="E611" s="1785"/>
      <c r="F611" s="1785"/>
      <c r="G611" s="811"/>
    </row>
    <row r="612" spans="1:13">
      <c r="C612" s="787"/>
      <c r="D612" s="772"/>
      <c r="E612" s="772"/>
      <c r="F612" s="772"/>
      <c r="G612" s="811"/>
    </row>
    <row r="613" spans="1:13" ht="12.75" customHeight="1">
      <c r="A613" s="808"/>
      <c r="B613" s="790" t="s">
        <v>2698</v>
      </c>
      <c r="D613" s="1745" t="s">
        <v>1246</v>
      </c>
      <c r="E613" s="1745"/>
      <c r="F613" s="1745"/>
      <c r="G613" s="811"/>
      <c r="I613" s="1082" t="s">
        <v>2297</v>
      </c>
    </row>
    <row r="614" spans="1:13">
      <c r="D614" s="1745"/>
      <c r="E614" s="1745"/>
      <c r="F614" s="1745"/>
      <c r="G614" s="811"/>
    </row>
    <row r="615" spans="1:13">
      <c r="D615" s="782"/>
      <c r="G615" s="811"/>
    </row>
    <row r="616" spans="1:13">
      <c r="B616" s="790" t="s">
        <v>2698</v>
      </c>
      <c r="D616" s="1745" t="s">
        <v>1247</v>
      </c>
      <c r="E616" s="1745"/>
      <c r="F616" s="1745"/>
      <c r="G616" s="811"/>
      <c r="I616" s="1082" t="s">
        <v>2250</v>
      </c>
    </row>
    <row r="617" spans="1:13">
      <c r="C617" s="831"/>
      <c r="D617" s="1745"/>
      <c r="E617" s="1745"/>
      <c r="F617" s="1745"/>
      <c r="G617" s="811"/>
    </row>
    <row r="618" spans="1:13">
      <c r="C618" s="831"/>
      <c r="G618" s="811"/>
    </row>
    <row r="619" spans="1:13">
      <c r="B619" s="790" t="s">
        <v>2529</v>
      </c>
      <c r="C619" s="831"/>
      <c r="D619" s="1745" t="s">
        <v>1248</v>
      </c>
      <c r="E619" s="1745"/>
      <c r="F619" s="1745"/>
      <c r="G619" s="811"/>
      <c r="I619" s="1082" t="s">
        <v>2298</v>
      </c>
    </row>
    <row r="620" spans="1:13">
      <c r="C620" s="831"/>
      <c r="D620" s="1745"/>
      <c r="E620" s="1745"/>
      <c r="F620" s="1745"/>
      <c r="G620" s="811"/>
      <c r="I620" s="1127" t="s">
        <v>2299</v>
      </c>
    </row>
    <row r="621" spans="1:13">
      <c r="C621" s="831"/>
      <c r="G621" s="811"/>
    </row>
    <row r="622" spans="1:13">
      <c r="A622" s="1729" t="s">
        <v>1143</v>
      </c>
      <c r="B622" s="1729"/>
      <c r="C622" s="1729"/>
      <c r="D622" s="1729"/>
      <c r="E622" s="1729"/>
      <c r="F622" s="1729"/>
      <c r="G622" s="1729"/>
      <c r="H622" s="1130"/>
      <c r="I622" s="1131"/>
    </row>
    <row r="623" spans="1:13">
      <c r="A623" s="832"/>
      <c r="B623" s="832"/>
      <c r="C623" s="832"/>
      <c r="G623" s="811"/>
    </row>
    <row r="624" spans="1:13">
      <c r="C624" s="808"/>
      <c r="D624" s="1746" t="s">
        <v>1249</v>
      </c>
      <c r="E624" s="1746"/>
      <c r="F624" s="1746"/>
      <c r="G624" s="811"/>
      <c r="M624" s="1080"/>
    </row>
    <row r="625" spans="1:13">
      <c r="A625" s="808"/>
      <c r="B625" s="808"/>
      <c r="C625" s="810"/>
      <c r="D625" s="786"/>
      <c r="G625" s="811"/>
      <c r="M625" s="1080"/>
    </row>
    <row r="626" spans="1:13" ht="14.25" customHeight="1">
      <c r="A626" s="789"/>
      <c r="B626" s="790" t="s">
        <v>2698</v>
      </c>
      <c r="C626" s="810"/>
      <c r="D626" s="1820" t="s">
        <v>2375</v>
      </c>
      <c r="E626" s="1820"/>
      <c r="F626" s="1820"/>
      <c r="G626" s="811"/>
      <c r="I626" s="1082" t="s">
        <v>2278</v>
      </c>
      <c r="M626" s="1080"/>
    </row>
    <row r="627" spans="1:13">
      <c r="C627" s="810"/>
      <c r="D627" s="1820"/>
      <c r="E627" s="1820"/>
      <c r="F627" s="1820"/>
      <c r="G627" s="811"/>
      <c r="M627" s="1080"/>
    </row>
    <row r="628" spans="1:13">
      <c r="C628" s="810"/>
      <c r="D628" s="870"/>
      <c r="E628" s="1187" t="s">
        <v>2377</v>
      </c>
      <c r="F628" s="870"/>
      <c r="G628" s="811"/>
      <c r="M628" s="1080"/>
    </row>
    <row r="629" spans="1:13">
      <c r="C629" s="810"/>
      <c r="D629" s="1747" t="s">
        <v>2376</v>
      </c>
      <c r="E629" s="1747"/>
      <c r="F629" s="1747"/>
      <c r="G629" s="811"/>
      <c r="M629" s="1080"/>
    </row>
    <row r="630" spans="1:13">
      <c r="C630" s="810"/>
      <c r="D630" s="1747"/>
      <c r="E630" s="1747"/>
      <c r="F630" s="1747"/>
      <c r="G630" s="811"/>
    </row>
    <row r="631" spans="1:13">
      <c r="C631" s="810"/>
      <c r="D631" s="1747"/>
      <c r="E631" s="1747"/>
      <c r="F631" s="1747"/>
      <c r="G631" s="811"/>
    </row>
    <row r="632" spans="1:13">
      <c r="C632" s="810"/>
      <c r="D632" s="776"/>
      <c r="E632" s="776"/>
      <c r="F632" s="776"/>
      <c r="G632" s="811"/>
    </row>
    <row r="633" spans="1:13" ht="14.25">
      <c r="A633" s="789"/>
      <c r="B633" s="790" t="s">
        <v>2529</v>
      </c>
      <c r="C633" s="810"/>
      <c r="D633" s="1747" t="s">
        <v>1251</v>
      </c>
      <c r="E633" s="1747"/>
      <c r="F633" s="1747"/>
      <c r="G633" s="811"/>
      <c r="I633" s="1082" t="s">
        <v>2300</v>
      </c>
    </row>
    <row r="634" spans="1:13">
      <c r="A634" s="821"/>
      <c r="B634" s="821"/>
      <c r="C634" s="821"/>
      <c r="D634" s="1747"/>
      <c r="E634" s="1747"/>
      <c r="F634" s="1747"/>
      <c r="G634" s="811"/>
    </row>
    <row r="635" spans="1:13">
      <c r="A635" s="821"/>
      <c r="B635" s="821"/>
      <c r="C635" s="821"/>
      <c r="D635" s="777"/>
      <c r="E635" s="833"/>
      <c r="F635" s="833"/>
      <c r="G635" s="811"/>
    </row>
    <row r="636" spans="1:13" ht="14.25">
      <c r="A636" s="789"/>
      <c r="B636" s="790" t="s">
        <v>2529</v>
      </c>
      <c r="C636" s="821"/>
      <c r="D636" s="1748" t="s">
        <v>1397</v>
      </c>
      <c r="E636" s="1748"/>
      <c r="F636" s="1748"/>
      <c r="G636" s="811"/>
      <c r="I636" s="1082" t="s">
        <v>2251</v>
      </c>
    </row>
    <row r="637" spans="1:13" ht="14.25">
      <c r="A637" s="789"/>
      <c r="B637" s="789"/>
      <c r="C637" s="821"/>
      <c r="D637" s="1748"/>
      <c r="E637" s="1748"/>
      <c r="F637" s="1748"/>
      <c r="G637" s="811"/>
    </row>
    <row r="638" spans="1:13" ht="14.25">
      <c r="A638" s="789"/>
      <c r="B638" s="789"/>
      <c r="C638" s="821"/>
      <c r="D638" s="1748"/>
      <c r="E638" s="1748"/>
      <c r="F638" s="1748"/>
      <c r="G638" s="811"/>
    </row>
    <row r="639" spans="1:13">
      <c r="A639" s="821"/>
      <c r="B639" s="790" t="s">
        <v>2529</v>
      </c>
      <c r="C639" s="821"/>
      <c r="D639" s="1749" t="s">
        <v>1253</v>
      </c>
      <c r="E639" s="1749"/>
      <c r="F639" s="1749"/>
      <c r="G639" s="811"/>
      <c r="I639" s="1082" t="s">
        <v>2251</v>
      </c>
    </row>
    <row r="640" spans="1:13">
      <c r="A640" s="821"/>
      <c r="B640" s="821"/>
      <c r="C640" s="821"/>
      <c r="D640" s="719"/>
      <c r="E640" s="719"/>
      <c r="F640" s="719"/>
      <c r="G640" s="811"/>
    </row>
    <row r="641" spans="1:9">
      <c r="A641" s="1729" t="s">
        <v>1144</v>
      </c>
      <c r="B641" s="1729"/>
      <c r="C641" s="1729"/>
      <c r="D641" s="1729"/>
      <c r="E641" s="1729"/>
      <c r="F641" s="1729"/>
      <c r="G641" s="1729"/>
      <c r="H641" s="1130"/>
      <c r="I641" s="1131"/>
    </row>
    <row r="642" spans="1:9">
      <c r="A642" s="792"/>
      <c r="B642" s="792"/>
      <c r="C642" s="821"/>
      <c r="D642" s="833"/>
      <c r="E642" s="833"/>
      <c r="F642" s="833"/>
      <c r="G642" s="811"/>
    </row>
    <row r="643" spans="1:9">
      <c r="C643" s="832"/>
      <c r="D643" s="1823" t="s">
        <v>1303</v>
      </c>
      <c r="E643" s="1823"/>
      <c r="F643" s="1823"/>
      <c r="G643" s="811"/>
    </row>
    <row r="644" spans="1:9">
      <c r="A644" s="787"/>
      <c r="B644" s="787"/>
      <c r="C644" s="787"/>
      <c r="D644" s="1824" t="s">
        <v>1304</v>
      </c>
      <c r="E644" s="1824"/>
      <c r="F644" s="1824"/>
      <c r="G644" s="811"/>
    </row>
    <row r="645" spans="1:9">
      <c r="A645" s="787"/>
      <c r="B645" s="787"/>
      <c r="C645" s="787"/>
      <c r="D645" s="719"/>
      <c r="E645" s="719"/>
      <c r="F645" s="719"/>
      <c r="G645" s="811"/>
    </row>
    <row r="646" spans="1:9" ht="12.75" customHeight="1">
      <c r="B646" s="790" t="s">
        <v>2529</v>
      </c>
      <c r="C646" s="821"/>
      <c r="D646" s="1831" t="s">
        <v>1472</v>
      </c>
      <c r="E646" s="1831"/>
      <c r="F646" s="1831"/>
      <c r="I646" s="1082" t="s">
        <v>2303</v>
      </c>
    </row>
    <row r="647" spans="1:9">
      <c r="D647" s="1831"/>
      <c r="E647" s="1831"/>
      <c r="F647" s="1831"/>
    </row>
    <row r="648" spans="1:9">
      <c r="D648" s="1831"/>
      <c r="E648" s="1831"/>
      <c r="F648" s="1831"/>
    </row>
    <row r="649" spans="1:9">
      <c r="D649" s="1831"/>
      <c r="E649" s="1831"/>
      <c r="F649" s="1831"/>
    </row>
    <row r="650" spans="1:9" ht="14.45" customHeight="1">
      <c r="A650" s="789"/>
      <c r="B650" s="789"/>
      <c r="C650" s="821"/>
      <c r="D650" s="892"/>
      <c r="E650" s="892"/>
      <c r="F650" s="892"/>
      <c r="G650" s="811"/>
    </row>
    <row r="651" spans="1:9" ht="12.75" customHeight="1">
      <c r="A651" s="787"/>
      <c r="B651" s="790" t="s">
        <v>2529</v>
      </c>
      <c r="C651" s="821"/>
      <c r="D651" s="1831" t="s">
        <v>1475</v>
      </c>
      <c r="E651" s="1831"/>
      <c r="F651" s="1831"/>
      <c r="G651" s="811"/>
      <c r="I651" s="1082" t="s">
        <v>2303</v>
      </c>
    </row>
    <row r="652" spans="1:9" ht="14.25">
      <c r="A652" s="787"/>
      <c r="B652" s="789"/>
      <c r="C652" s="821"/>
      <c r="D652" s="1831"/>
      <c r="E652" s="1831"/>
      <c r="F652" s="1831"/>
      <c r="G652" s="811"/>
    </row>
    <row r="653" spans="1:9" ht="14.25">
      <c r="A653" s="787"/>
      <c r="B653" s="789"/>
      <c r="C653" s="821"/>
      <c r="D653" s="1831"/>
      <c r="E653" s="1831"/>
      <c r="F653" s="1831"/>
      <c r="G653" s="811"/>
    </row>
    <row r="654" spans="1:9" ht="14.25">
      <c r="A654" s="787"/>
      <c r="B654" s="789"/>
      <c r="C654" s="821"/>
      <c r="D654" s="1831"/>
      <c r="E654" s="1831"/>
      <c r="F654" s="1831"/>
      <c r="G654" s="811"/>
    </row>
    <row r="655" spans="1:9" ht="14.25">
      <c r="A655" s="787"/>
      <c r="B655" s="789"/>
      <c r="C655" s="821"/>
      <c r="D655" s="1831"/>
      <c r="E655" s="1831"/>
      <c r="F655" s="1831"/>
      <c r="G655" s="811"/>
    </row>
    <row r="656" spans="1:9" ht="14.25" customHeight="1">
      <c r="A656" s="787"/>
      <c r="B656" s="789"/>
      <c r="C656" s="821"/>
      <c r="F656" s="893"/>
      <c r="G656" s="811"/>
    </row>
    <row r="657" spans="1:11" ht="12.75" customHeight="1">
      <c r="A657" s="787"/>
      <c r="B657" s="790" t="s">
        <v>2529</v>
      </c>
      <c r="C657" s="821"/>
      <c r="D657" s="1831" t="s">
        <v>1473</v>
      </c>
      <c r="E657" s="1831"/>
      <c r="F657" s="1831"/>
      <c r="G657" s="811"/>
      <c r="I657" s="1082" t="s">
        <v>2303</v>
      </c>
    </row>
    <row r="658" spans="1:11" ht="14.25">
      <c r="A658" s="787"/>
      <c r="B658" s="789"/>
      <c r="C658" s="821"/>
      <c r="D658" s="1831"/>
      <c r="E658" s="1831"/>
      <c r="F658" s="1831"/>
      <c r="G658" s="811"/>
    </row>
    <row r="659" spans="1:11" ht="14.25">
      <c r="A659" s="789"/>
      <c r="B659" s="789"/>
      <c r="C659" s="821"/>
      <c r="D659" s="1831"/>
      <c r="E659" s="1831"/>
      <c r="F659" s="1831"/>
      <c r="G659" s="811"/>
    </row>
    <row r="660" spans="1:11" ht="14.25">
      <c r="A660" s="789"/>
      <c r="B660" s="789"/>
      <c r="C660" s="821"/>
      <c r="D660" s="1831"/>
      <c r="E660" s="1831"/>
      <c r="F660" s="1831"/>
      <c r="G660" s="811"/>
    </row>
    <row r="661" spans="1:11" ht="14.25">
      <c r="A661" s="789"/>
      <c r="B661" s="789"/>
      <c r="C661" s="821"/>
      <c r="D661" s="884"/>
      <c r="E661" s="884"/>
      <c r="F661" s="884"/>
      <c r="G661" s="811"/>
    </row>
    <row r="662" spans="1:11" ht="12.75" customHeight="1">
      <c r="A662" s="787"/>
      <c r="B662" s="790" t="s">
        <v>2529</v>
      </c>
      <c r="C662" s="821"/>
      <c r="D662" s="1831" t="s">
        <v>1474</v>
      </c>
      <c r="E662" s="1831"/>
      <c r="F662" s="1831"/>
      <c r="G662" s="811"/>
      <c r="I662" s="1082" t="s">
        <v>2303</v>
      </c>
    </row>
    <row r="663" spans="1:11" ht="12.75" customHeight="1">
      <c r="A663" s="787"/>
      <c r="B663" s="789"/>
      <c r="C663" s="821"/>
      <c r="D663" s="1831"/>
      <c r="E663" s="1831"/>
      <c r="F663" s="1831"/>
      <c r="G663" s="811"/>
    </row>
    <row r="664" spans="1:11" ht="12.75" customHeight="1">
      <c r="A664" s="787"/>
      <c r="B664" s="789"/>
      <c r="C664" s="821"/>
      <c r="D664" s="1831"/>
      <c r="E664" s="1831"/>
      <c r="F664" s="1831"/>
      <c r="G664" s="811"/>
    </row>
    <row r="665" spans="1:11" ht="12.75" customHeight="1">
      <c r="A665" s="787"/>
      <c r="B665" s="789"/>
      <c r="C665" s="821"/>
      <c r="D665" s="1831"/>
      <c r="E665" s="1831"/>
      <c r="F665" s="1831"/>
      <c r="G665" s="811"/>
    </row>
    <row r="666" spans="1:11" ht="12.75" customHeight="1">
      <c r="A666" s="787"/>
      <c r="B666" s="789"/>
      <c r="C666" s="821"/>
      <c r="D666" s="1831"/>
      <c r="E666" s="1831"/>
      <c r="F666" s="1831"/>
      <c r="G666" s="811"/>
    </row>
    <row r="667" spans="1:11" ht="12.75" customHeight="1">
      <c r="A667" s="787"/>
      <c r="B667" s="789"/>
      <c r="C667" s="821"/>
      <c r="D667" s="1831"/>
      <c r="E667" s="1831"/>
      <c r="F667" s="1831"/>
      <c r="G667" s="811"/>
    </row>
    <row r="668" spans="1:11" ht="12.75" customHeight="1">
      <c r="A668" s="787"/>
      <c r="B668" s="789"/>
      <c r="C668" s="821"/>
      <c r="D668" s="1831"/>
      <c r="E668" s="1831"/>
      <c r="F668" s="1831"/>
      <c r="G668" s="811"/>
    </row>
    <row r="669" spans="1:11" ht="12.75" customHeight="1">
      <c r="A669" s="787"/>
      <c r="B669" s="789"/>
      <c r="C669" s="821"/>
      <c r="D669" s="1831"/>
      <c r="E669" s="1831"/>
      <c r="F669" s="1831"/>
      <c r="G669" s="811"/>
    </row>
    <row r="670" spans="1:11" ht="12.75" customHeight="1">
      <c r="A670" s="787"/>
      <c r="B670" s="789"/>
      <c r="C670" s="821"/>
      <c r="D670" s="1831"/>
      <c r="E670" s="1831"/>
      <c r="F670" s="1831"/>
      <c r="G670" s="811"/>
    </row>
    <row r="671" spans="1:11">
      <c r="A671" s="821"/>
      <c r="B671" s="821"/>
      <c r="C671" s="821"/>
      <c r="D671" s="833"/>
      <c r="E671" s="833"/>
      <c r="F671" s="833"/>
      <c r="G671" s="811"/>
    </row>
    <row r="672" spans="1:11">
      <c r="A672" s="1729" t="s">
        <v>1145</v>
      </c>
      <c r="B672" s="1729"/>
      <c r="C672" s="1729"/>
      <c r="D672" s="1729"/>
      <c r="E672" s="1729"/>
      <c r="F672" s="1729"/>
      <c r="G672" s="1729"/>
      <c r="H672" s="1132"/>
      <c r="I672" s="1133"/>
      <c r="J672" s="834"/>
      <c r="K672" s="834"/>
    </row>
    <row r="673" spans="1:11">
      <c r="A673" s="727"/>
      <c r="B673" s="727"/>
      <c r="C673" s="727"/>
      <c r="D673" s="727"/>
      <c r="E673" s="727"/>
      <c r="F673" s="727"/>
      <c r="G673" s="727"/>
      <c r="H673" s="834"/>
      <c r="I673" s="1118"/>
      <c r="J673" s="834"/>
      <c r="K673" s="834"/>
    </row>
    <row r="674" spans="1:11">
      <c r="C674" s="832"/>
      <c r="D674" s="1746" t="s">
        <v>104</v>
      </c>
      <c r="E674" s="1746"/>
      <c r="F674" s="1746"/>
      <c r="G674" s="811"/>
      <c r="H674" s="834"/>
      <c r="I674" s="1118"/>
      <c r="J674" s="834"/>
      <c r="K674" s="834"/>
    </row>
    <row r="675" spans="1:11">
      <c r="A675" s="832"/>
      <c r="B675" s="832"/>
      <c r="C675" s="832"/>
      <c r="D675" s="1746" t="s">
        <v>128</v>
      </c>
      <c r="E675" s="1746"/>
      <c r="F675" s="1746"/>
      <c r="G675" s="811"/>
      <c r="H675" s="834"/>
      <c r="I675" s="1118"/>
      <c r="J675" s="834"/>
      <c r="K675" s="834"/>
    </row>
    <row r="676" spans="1:11">
      <c r="A676" s="787"/>
      <c r="B676" s="787"/>
      <c r="C676" s="787"/>
      <c r="D676" s="1749" t="s">
        <v>1181</v>
      </c>
      <c r="E676" s="1749"/>
      <c r="F676" s="1749"/>
      <c r="G676" s="811"/>
      <c r="H676" s="834"/>
      <c r="I676" s="1118"/>
      <c r="J676" s="834"/>
      <c r="K676" s="834"/>
    </row>
    <row r="677" spans="1:11">
      <c r="A677" s="787"/>
      <c r="B677" s="787"/>
      <c r="C677" s="787"/>
      <c r="G677" s="811"/>
      <c r="H677" s="834"/>
      <c r="I677" s="1118"/>
      <c r="J677" s="834"/>
      <c r="K677" s="834"/>
    </row>
    <row r="678" spans="1:11" ht="14.25">
      <c r="A678" s="789"/>
      <c r="B678" s="790" t="s">
        <v>2698</v>
      </c>
      <c r="C678" s="787"/>
      <c r="D678" s="1749" t="s">
        <v>934</v>
      </c>
      <c r="E678" s="1749"/>
      <c r="F678" s="1749"/>
      <c r="G678" s="811"/>
      <c r="H678" s="834"/>
      <c r="I678" s="1118" t="s">
        <v>2279</v>
      </c>
      <c r="J678" s="834"/>
      <c r="K678" s="834"/>
    </row>
    <row r="679" spans="1:11">
      <c r="A679" s="787"/>
      <c r="B679" s="787"/>
      <c r="C679" s="787"/>
      <c r="D679" s="1749" t="s">
        <v>945</v>
      </c>
      <c r="E679" s="1749"/>
      <c r="F679" s="1749"/>
      <c r="G679" s="811"/>
      <c r="H679" s="834"/>
      <c r="I679" s="1118"/>
      <c r="J679" s="834"/>
      <c r="K679" s="834"/>
    </row>
    <row r="680" spans="1:11" ht="12.75" customHeight="1">
      <c r="A680" s="787"/>
      <c r="B680" s="787"/>
      <c r="C680" s="787"/>
      <c r="D680" s="664"/>
      <c r="E680" s="1187" t="s">
        <v>2379</v>
      </c>
      <c r="F680" s="638"/>
      <c r="G680" s="811"/>
      <c r="H680" s="834"/>
      <c r="I680" s="1118"/>
      <c r="J680" s="834"/>
      <c r="K680" s="834"/>
    </row>
    <row r="681" spans="1:11">
      <c r="A681" s="787"/>
      <c r="B681" s="787"/>
      <c r="C681" s="787"/>
      <c r="D681" s="664"/>
      <c r="E681" s="834" t="s">
        <v>2378</v>
      </c>
      <c r="F681" s="638"/>
      <c r="G681" s="811"/>
      <c r="I681" s="1118"/>
      <c r="J681" s="834"/>
      <c r="K681" s="834"/>
    </row>
    <row r="682" spans="1:11">
      <c r="A682" s="787"/>
      <c r="B682" s="787"/>
      <c r="C682" s="787"/>
      <c r="D682" s="835"/>
      <c r="E682" s="792"/>
      <c r="G682" s="811"/>
      <c r="H682" s="834"/>
      <c r="I682" s="1118"/>
      <c r="J682" s="834"/>
      <c r="K682" s="834"/>
    </row>
    <row r="683" spans="1:11" ht="14.25">
      <c r="A683" s="789"/>
      <c r="B683" s="790" t="s">
        <v>2529</v>
      </c>
      <c r="C683" s="787"/>
      <c r="D683" s="1747" t="s">
        <v>1365</v>
      </c>
      <c r="E683" s="1747"/>
      <c r="F683" s="1747"/>
      <c r="G683" s="811"/>
      <c r="H683" s="834"/>
      <c r="I683" s="1118" t="s">
        <v>2301</v>
      </c>
      <c r="J683" s="834"/>
      <c r="K683" s="834"/>
    </row>
    <row r="684" spans="1:11">
      <c r="A684" s="808"/>
      <c r="B684" s="808"/>
      <c r="C684" s="787"/>
      <c r="D684" s="1747"/>
      <c r="E684" s="1747"/>
      <c r="F684" s="1747"/>
      <c r="G684" s="811"/>
      <c r="H684" s="834"/>
      <c r="I684" s="1118"/>
      <c r="J684" s="834"/>
      <c r="K684" s="834"/>
    </row>
    <row r="685" spans="1:11">
      <c r="A685" s="787"/>
      <c r="B685" s="787"/>
      <c r="C685" s="787"/>
      <c r="D685" s="1747"/>
      <c r="E685" s="1747"/>
      <c r="F685" s="1747"/>
      <c r="G685" s="811"/>
      <c r="H685" s="834"/>
      <c r="I685" s="1118"/>
      <c r="J685" s="834"/>
      <c r="K685" s="834"/>
    </row>
    <row r="686" spans="1:11">
      <c r="A686" s="787"/>
      <c r="B686" s="787"/>
      <c r="C686" s="787"/>
      <c r="G686" s="811"/>
      <c r="H686" s="834"/>
      <c r="I686" s="1118" t="s">
        <v>2280</v>
      </c>
      <c r="J686" s="834"/>
      <c r="K686" s="834"/>
    </row>
    <row r="687" spans="1:11" ht="14.25">
      <c r="A687" s="789"/>
      <c r="B687" s="790" t="s">
        <v>2698</v>
      </c>
      <c r="C687" s="787"/>
      <c r="D687" s="1749" t="s">
        <v>973</v>
      </c>
      <c r="E687" s="1749"/>
      <c r="F687" s="1749"/>
      <c r="G687" s="811"/>
      <c r="H687" s="834"/>
      <c r="I687" s="1118"/>
      <c r="J687" s="834"/>
      <c r="K687" s="834"/>
    </row>
    <row r="688" spans="1:11" ht="14.25">
      <c r="A688" s="789"/>
      <c r="B688" s="789"/>
      <c r="C688" s="787"/>
      <c r="D688" s="1749" t="s">
        <v>945</v>
      </c>
      <c r="E688" s="1749"/>
      <c r="F688" s="1749"/>
      <c r="G688" s="811"/>
      <c r="H688" s="834"/>
      <c r="I688" s="1118"/>
      <c r="J688" s="834"/>
      <c r="K688" s="834"/>
    </row>
    <row r="689" spans="1:11">
      <c r="A689" s="787"/>
      <c r="B689" s="787"/>
      <c r="C689" s="787"/>
      <c r="D689" s="664"/>
      <c r="E689" s="1187" t="s">
        <v>2380</v>
      </c>
      <c r="F689" s="1190"/>
      <c r="G689" s="811"/>
      <c r="H689" s="834"/>
      <c r="I689" s="1118"/>
      <c r="J689" s="834"/>
      <c r="K689" s="834"/>
    </row>
    <row r="690" spans="1:11">
      <c r="A690" s="787"/>
      <c r="B690" s="787"/>
      <c r="C690" s="787"/>
      <c r="D690" s="786"/>
      <c r="G690" s="811"/>
      <c r="H690" s="834"/>
      <c r="I690" s="1118"/>
      <c r="J690" s="834"/>
      <c r="K690" s="834"/>
    </row>
    <row r="691" spans="1:11" ht="14.25">
      <c r="A691" s="789"/>
      <c r="B691" s="790" t="s">
        <v>2529</v>
      </c>
      <c r="C691" s="787"/>
      <c r="D691" s="1833" t="s">
        <v>1194</v>
      </c>
      <c r="E691" s="1833"/>
      <c r="F691" s="1833"/>
      <c r="G691" s="811"/>
      <c r="H691" s="834"/>
      <c r="I691" s="1118" t="s">
        <v>2252</v>
      </c>
      <c r="J691" s="834"/>
      <c r="K691" s="834"/>
    </row>
    <row r="692" spans="1:11">
      <c r="A692" s="787"/>
      <c r="B692" s="787"/>
      <c r="C692" s="787"/>
      <c r="D692" s="1833"/>
      <c r="E692" s="1833"/>
      <c r="F692" s="1833"/>
      <c r="G692" s="811"/>
      <c r="H692" s="834"/>
      <c r="I692" s="1118"/>
      <c r="J692" s="834"/>
      <c r="K692" s="834"/>
    </row>
    <row r="693" spans="1:11">
      <c r="A693" s="787"/>
      <c r="B693" s="787"/>
      <c r="C693" s="787"/>
      <c r="D693" s="1833"/>
      <c r="E693" s="1833"/>
      <c r="F693" s="1833"/>
      <c r="G693" s="811"/>
      <c r="H693" s="834"/>
      <c r="I693" s="1118"/>
      <c r="J693" s="834"/>
      <c r="K693" s="834"/>
    </row>
    <row r="694" spans="1:11">
      <c r="A694" s="787"/>
      <c r="B694" s="787"/>
      <c r="C694" s="787"/>
      <c r="D694" s="1833"/>
      <c r="E694" s="1833"/>
      <c r="F694" s="1833"/>
      <c r="G694" s="811"/>
      <c r="H694" s="834"/>
      <c r="I694" s="1118"/>
      <c r="J694" s="834"/>
      <c r="K694" s="834"/>
    </row>
    <row r="695" spans="1:11">
      <c r="A695" s="787"/>
      <c r="B695" s="787"/>
      <c r="C695" s="787"/>
      <c r="D695" s="1833"/>
      <c r="E695" s="1833"/>
      <c r="F695" s="1833"/>
      <c r="G695" s="811"/>
      <c r="H695" s="834"/>
      <c r="I695" s="1118"/>
      <c r="J695" s="834"/>
      <c r="K695" s="834"/>
    </row>
    <row r="696" spans="1:11" s="783" customFormat="1">
      <c r="A696" s="826"/>
      <c r="B696" s="826"/>
      <c r="C696" s="826"/>
      <c r="D696" s="1833"/>
      <c r="E696" s="1833"/>
      <c r="F696" s="1833"/>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2529</v>
      </c>
      <c r="C698" s="826"/>
      <c r="D698" s="1833" t="s">
        <v>1367</v>
      </c>
      <c r="E698" s="1833"/>
      <c r="F698" s="1833"/>
      <c r="G698" s="836"/>
      <c r="H698" s="837"/>
      <c r="I698" s="1119" t="s">
        <v>2252</v>
      </c>
      <c r="J698" s="837"/>
      <c r="K698" s="837"/>
    </row>
    <row r="699" spans="1:11" s="783" customFormat="1">
      <c r="A699" s="826"/>
      <c r="B699" s="826"/>
      <c r="C699" s="826"/>
      <c r="D699" s="1833"/>
      <c r="E699" s="1833"/>
      <c r="F699" s="1833"/>
      <c r="G699" s="836"/>
      <c r="H699" s="837"/>
      <c r="I699" s="1119"/>
      <c r="J699" s="837"/>
      <c r="K699" s="837"/>
    </row>
    <row r="700" spans="1:11" s="783" customFormat="1">
      <c r="A700" s="826"/>
      <c r="B700" s="826"/>
      <c r="C700" s="826"/>
      <c r="D700" s="838"/>
      <c r="E700" s="838"/>
      <c r="F700" s="838"/>
      <c r="G700" s="836"/>
      <c r="H700" s="837"/>
      <c r="I700" s="1119"/>
      <c r="J700" s="837"/>
      <c r="K700" s="837"/>
    </row>
    <row r="701" spans="1:11" ht="14.25">
      <c r="A701" s="789"/>
      <c r="B701" s="790" t="s">
        <v>2529</v>
      </c>
      <c r="C701" s="787"/>
      <c r="D701" s="1833" t="s">
        <v>1185</v>
      </c>
      <c r="E701" s="1833"/>
      <c r="F701" s="1833"/>
      <c r="G701" s="811"/>
      <c r="H701" s="834"/>
      <c r="I701" s="1118" t="s">
        <v>2252</v>
      </c>
      <c r="J701" s="834"/>
      <c r="K701" s="834"/>
    </row>
    <row r="702" spans="1:11">
      <c r="A702" s="787"/>
      <c r="B702" s="787"/>
      <c r="C702" s="787"/>
      <c r="D702" s="1833"/>
      <c r="E702" s="1833"/>
      <c r="F702" s="1833"/>
      <c r="G702" s="811"/>
      <c r="H702" s="834"/>
      <c r="I702" s="1118"/>
      <c r="J702" s="834"/>
      <c r="K702" s="834"/>
    </row>
    <row r="703" spans="1:11">
      <c r="A703" s="787"/>
      <c r="B703" s="787"/>
      <c r="C703" s="787"/>
      <c r="D703" s="1833"/>
      <c r="E703" s="1833"/>
      <c r="F703" s="1833"/>
      <c r="G703" s="811"/>
      <c r="H703" s="834"/>
      <c r="I703" s="1118"/>
      <c r="J703" s="834"/>
      <c r="K703" s="834"/>
    </row>
    <row r="704" spans="1:11" ht="15" customHeight="1">
      <c r="A704" s="787"/>
      <c r="B704" s="787"/>
      <c r="C704" s="787"/>
      <c r="D704" s="1833"/>
      <c r="E704" s="1833"/>
      <c r="F704" s="1833"/>
      <c r="G704" s="811"/>
      <c r="H704" s="834"/>
      <c r="I704" s="1118"/>
      <c r="J704" s="834"/>
      <c r="K704" s="834"/>
    </row>
    <row r="705" spans="1:11" ht="15" customHeight="1">
      <c r="A705" s="787"/>
      <c r="B705" s="787"/>
      <c r="C705" s="787"/>
      <c r="D705" s="1833"/>
      <c r="E705" s="1833"/>
      <c r="F705" s="1833"/>
      <c r="G705" s="811"/>
      <c r="H705" s="834"/>
      <c r="I705" s="1118"/>
      <c r="J705" s="834"/>
      <c r="K705" s="834"/>
    </row>
    <row r="706" spans="1:11">
      <c r="A706" s="787"/>
      <c r="B706" s="787"/>
      <c r="C706" s="787"/>
      <c r="D706" s="1833"/>
      <c r="E706" s="1833"/>
      <c r="F706" s="1833"/>
      <c r="G706" s="811"/>
      <c r="H706" s="834"/>
      <c r="I706" s="1118"/>
      <c r="J706" s="834"/>
      <c r="K706" s="834"/>
    </row>
    <row r="707" spans="1:11">
      <c r="A707" s="787"/>
      <c r="B707" s="787"/>
      <c r="C707" s="787"/>
      <c r="D707" s="1833"/>
      <c r="E707" s="1833"/>
      <c r="F707" s="1833"/>
      <c r="G707" s="811"/>
      <c r="H707" s="834"/>
      <c r="I707" s="1118"/>
      <c r="J707" s="834"/>
      <c r="K707" s="834"/>
    </row>
    <row r="708" spans="1:11">
      <c r="A708" s="787"/>
      <c r="B708" s="787"/>
      <c r="C708" s="787"/>
      <c r="D708" s="1833"/>
      <c r="E708" s="1833"/>
      <c r="F708" s="1833"/>
      <c r="G708" s="811"/>
      <c r="H708" s="834"/>
      <c r="I708" s="1118"/>
      <c r="J708" s="834"/>
      <c r="K708" s="834"/>
    </row>
    <row r="709" spans="1:11" ht="15" customHeight="1">
      <c r="A709" s="787"/>
      <c r="B709" s="787"/>
      <c r="C709" s="787"/>
      <c r="D709" s="1833"/>
      <c r="E709" s="1833"/>
      <c r="F709" s="1833"/>
      <c r="G709" s="811"/>
      <c r="H709" s="834"/>
      <c r="I709" s="1118"/>
      <c r="J709" s="834"/>
      <c r="K709" s="834"/>
    </row>
    <row r="710" spans="1:11">
      <c r="A710" s="787"/>
      <c r="B710" s="787"/>
      <c r="C710" s="787"/>
      <c r="D710" s="1833"/>
      <c r="E710" s="1833"/>
      <c r="F710" s="1833"/>
      <c r="G710" s="811"/>
      <c r="H710" s="834"/>
      <c r="I710" s="1118"/>
      <c r="J710" s="834"/>
      <c r="K710" s="834"/>
    </row>
    <row r="711" spans="1:11">
      <c r="A711" s="787"/>
      <c r="B711" s="787"/>
      <c r="C711" s="787"/>
      <c r="D711" s="1833"/>
      <c r="E711" s="1833"/>
      <c r="F711" s="1833"/>
      <c r="G711" s="811"/>
      <c r="H711" s="834"/>
      <c r="I711" s="1118"/>
      <c r="J711" s="834"/>
      <c r="K711" s="834"/>
    </row>
    <row r="712" spans="1:11">
      <c r="A712" s="787"/>
      <c r="B712" s="787"/>
      <c r="C712" s="787"/>
      <c r="D712" s="1833"/>
      <c r="E712" s="1833"/>
      <c r="F712" s="1833"/>
      <c r="G712" s="811"/>
      <c r="H712" s="834"/>
      <c r="I712" s="1118"/>
      <c r="J712" s="834"/>
      <c r="K712" s="834"/>
    </row>
    <row r="713" spans="1:11">
      <c r="A713" s="787"/>
      <c r="B713" s="787"/>
      <c r="C713" s="787"/>
      <c r="D713" s="1833"/>
      <c r="E713" s="1833"/>
      <c r="F713" s="1833"/>
      <c r="G713" s="811"/>
      <c r="H713" s="834"/>
      <c r="I713" s="1118"/>
      <c r="J713" s="834"/>
      <c r="K713" s="834"/>
    </row>
    <row r="714" spans="1:11">
      <c r="A714" s="787"/>
      <c r="B714" s="790" t="s">
        <v>2529</v>
      </c>
      <c r="C714" s="787"/>
      <c r="D714" s="1833" t="s">
        <v>1192</v>
      </c>
      <c r="E714" s="1833"/>
      <c r="F714" s="1833"/>
      <c r="G714" s="811"/>
      <c r="H714" s="834"/>
      <c r="I714" s="1118" t="s">
        <v>2302</v>
      </c>
      <c r="J714" s="834"/>
      <c r="K714" s="834"/>
    </row>
    <row r="715" spans="1:11">
      <c r="A715" s="787"/>
      <c r="B715" s="787"/>
      <c r="C715" s="787"/>
      <c r="D715" s="1833"/>
      <c r="E715" s="1833"/>
      <c r="F715" s="1833"/>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2529</v>
      </c>
      <c r="C717" s="787"/>
      <c r="D717" s="1833" t="s">
        <v>1186</v>
      </c>
      <c r="E717" s="1833"/>
      <c r="F717" s="1833"/>
      <c r="G717" s="811"/>
      <c r="H717" s="834"/>
      <c r="I717" s="1118" t="s">
        <v>2302</v>
      </c>
      <c r="J717" s="834"/>
      <c r="K717" s="834"/>
    </row>
    <row r="718" spans="1:11">
      <c r="A718" s="787"/>
      <c r="B718" s="787"/>
      <c r="C718" s="787"/>
      <c r="D718" s="1833"/>
      <c r="E718" s="1833"/>
      <c r="F718" s="1833"/>
      <c r="G718" s="811"/>
      <c r="H718" s="834"/>
      <c r="I718" s="1118"/>
      <c r="J718" s="834"/>
      <c r="K718" s="834"/>
    </row>
    <row r="719" spans="1:11">
      <c r="A719" s="787"/>
      <c r="B719" s="787"/>
      <c r="C719" s="787"/>
      <c r="D719" s="1833"/>
      <c r="E719" s="1833"/>
      <c r="F719" s="1833"/>
      <c r="G719" s="811"/>
      <c r="H719" s="834"/>
      <c r="I719" s="1118"/>
      <c r="J719" s="834"/>
      <c r="K719" s="834"/>
    </row>
    <row r="720" spans="1:11">
      <c r="A720" s="787"/>
      <c r="B720" s="787"/>
      <c r="C720" s="787"/>
      <c r="D720" s="794"/>
      <c r="G720" s="811"/>
      <c r="H720" s="834"/>
      <c r="I720" s="1118"/>
      <c r="J720" s="834"/>
      <c r="K720" s="834"/>
    </row>
    <row r="721" spans="1:11">
      <c r="A721" s="787"/>
      <c r="B721" s="790" t="s">
        <v>2529</v>
      </c>
      <c r="C721" s="787"/>
      <c r="D721" s="1833" t="s">
        <v>1187</v>
      </c>
      <c r="E721" s="1833"/>
      <c r="F721" s="1833"/>
      <c r="G721" s="811"/>
      <c r="H721" s="834"/>
      <c r="I721" s="1118" t="s">
        <v>2302</v>
      </c>
      <c r="J721" s="834"/>
      <c r="K721" s="834"/>
    </row>
    <row r="722" spans="1:11">
      <c r="A722" s="787"/>
      <c r="B722" s="787"/>
      <c r="C722" s="787"/>
      <c r="D722" s="1833"/>
      <c r="E722" s="1833"/>
      <c r="F722" s="1833"/>
      <c r="G722" s="811"/>
      <c r="H722" s="834"/>
      <c r="I722" s="1118"/>
      <c r="J722" s="834"/>
      <c r="K722" s="834"/>
    </row>
    <row r="723" spans="1:11">
      <c r="A723" s="787"/>
      <c r="B723" s="787"/>
      <c r="C723" s="787"/>
      <c r="D723" s="1833"/>
      <c r="E723" s="1833"/>
      <c r="F723" s="1833"/>
      <c r="G723" s="811"/>
      <c r="H723" s="834"/>
      <c r="I723" s="1118"/>
      <c r="J723" s="834"/>
      <c r="K723" s="834"/>
    </row>
    <row r="724" spans="1:11">
      <c r="A724" s="787"/>
      <c r="B724" s="787"/>
      <c r="C724" s="787"/>
      <c r="D724" s="782"/>
      <c r="G724" s="811"/>
      <c r="H724" s="834"/>
      <c r="I724" s="1118"/>
      <c r="J724" s="834"/>
      <c r="K724" s="834"/>
    </row>
    <row r="725" spans="1:11" ht="14.25">
      <c r="A725" s="789"/>
      <c r="B725" s="790" t="s">
        <v>2529</v>
      </c>
      <c r="C725" s="787"/>
      <c r="D725" s="1747" t="s">
        <v>1188</v>
      </c>
      <c r="E725" s="1747"/>
      <c r="F725" s="1747"/>
      <c r="G725" s="811"/>
      <c r="H725" s="834"/>
      <c r="I725" s="1118" t="s">
        <v>2253</v>
      </c>
      <c r="J725" s="834"/>
      <c r="K725" s="834"/>
    </row>
    <row r="726" spans="1:11">
      <c r="A726" s="787"/>
      <c r="B726" s="787"/>
      <c r="C726" s="787"/>
      <c r="D726" s="1747"/>
      <c r="E726" s="1747"/>
      <c r="F726" s="1747"/>
      <c r="G726" s="811"/>
      <c r="H726" s="834"/>
      <c r="I726" s="1118"/>
      <c r="J726" s="834"/>
      <c r="K726" s="834"/>
    </row>
    <row r="727" spans="1:11">
      <c r="A727" s="787"/>
      <c r="B727" s="787"/>
      <c r="C727" s="787"/>
      <c r="D727" s="1747"/>
      <c r="E727" s="1747"/>
      <c r="F727" s="1747"/>
      <c r="G727" s="811"/>
      <c r="H727" s="834"/>
      <c r="I727" s="1118"/>
      <c r="J727" s="834"/>
      <c r="K727" s="834"/>
    </row>
    <row r="728" spans="1:11">
      <c r="A728" s="787"/>
      <c r="B728" s="787"/>
      <c r="C728" s="787"/>
      <c r="D728" s="1747"/>
      <c r="E728" s="1747"/>
      <c r="F728" s="1747"/>
      <c r="G728" s="811"/>
      <c r="H728" s="834"/>
      <c r="I728" s="1118"/>
      <c r="J728" s="834"/>
      <c r="K728" s="834"/>
    </row>
    <row r="729" spans="1:11">
      <c r="A729" s="787"/>
      <c r="B729" s="787"/>
      <c r="C729" s="787"/>
      <c r="D729" s="814"/>
      <c r="G729" s="811"/>
      <c r="H729" s="834"/>
      <c r="I729" s="1118"/>
      <c r="J729" s="834"/>
      <c r="K729" s="834"/>
    </row>
    <row r="730" spans="1:11" ht="14.25">
      <c r="A730" s="789"/>
      <c r="B730" s="790" t="s">
        <v>2529</v>
      </c>
      <c r="C730" s="787"/>
      <c r="D730" s="1833" t="s">
        <v>1321</v>
      </c>
      <c r="E730" s="1833"/>
      <c r="F730" s="1833"/>
      <c r="G730" s="811"/>
      <c r="H730" s="834"/>
      <c r="I730" s="1118" t="s">
        <v>2269</v>
      </c>
      <c r="J730" s="834"/>
      <c r="K730" s="834"/>
    </row>
    <row r="731" spans="1:11">
      <c r="A731" s="787"/>
      <c r="B731" s="787"/>
      <c r="C731" s="787"/>
      <c r="D731" s="1833"/>
      <c r="E731" s="1833"/>
      <c r="F731" s="1833"/>
      <c r="G731" s="811"/>
      <c r="H731" s="834"/>
      <c r="I731" s="1118"/>
      <c r="J731" s="834"/>
      <c r="K731" s="834"/>
    </row>
    <row r="732" spans="1:11">
      <c r="A732" s="787"/>
      <c r="B732" s="787"/>
      <c r="C732" s="787"/>
      <c r="D732" s="1833"/>
      <c r="E732" s="1833"/>
      <c r="F732" s="1833"/>
      <c r="G732" s="811"/>
      <c r="H732" s="834"/>
      <c r="I732" s="1118"/>
      <c r="J732" s="834"/>
      <c r="K732" s="834"/>
    </row>
    <row r="733" spans="1:11">
      <c r="A733" s="787"/>
      <c r="B733" s="787"/>
      <c r="C733" s="787"/>
      <c r="D733" s="1833"/>
      <c r="E733" s="1833"/>
      <c r="F733" s="1833"/>
      <c r="G733" s="811"/>
      <c r="H733" s="834"/>
      <c r="I733" s="1118"/>
      <c r="J733" s="834"/>
      <c r="K733" s="834"/>
    </row>
    <row r="734" spans="1:11">
      <c r="A734" s="787"/>
      <c r="B734" s="787"/>
      <c r="C734" s="787"/>
      <c r="D734" s="1833"/>
      <c r="E734" s="1833"/>
      <c r="F734" s="1833"/>
      <c r="G734" s="811"/>
      <c r="H734" s="834"/>
      <c r="I734" s="1118"/>
      <c r="J734" s="834"/>
      <c r="K734" s="834"/>
    </row>
    <row r="735" spans="1:11">
      <c r="A735" s="787"/>
      <c r="B735" s="787"/>
      <c r="C735" s="787"/>
      <c r="D735" s="1833"/>
      <c r="E735" s="1833"/>
      <c r="F735" s="1833"/>
      <c r="G735" s="811"/>
      <c r="H735" s="834"/>
      <c r="I735" s="1118"/>
      <c r="J735" s="834"/>
      <c r="K735" s="834"/>
    </row>
    <row r="736" spans="1:11">
      <c r="A736" s="787"/>
      <c r="B736" s="787"/>
      <c r="C736" s="787"/>
      <c r="D736" s="1833"/>
      <c r="E736" s="1833"/>
      <c r="F736" s="1833"/>
      <c r="G736" s="811"/>
      <c r="H736" s="834"/>
      <c r="I736" s="1118"/>
      <c r="J736" s="834"/>
      <c r="K736" s="834"/>
    </row>
    <row r="737" spans="1:11">
      <c r="A737" s="787"/>
      <c r="B737" s="787"/>
      <c r="C737" s="787"/>
      <c r="D737" s="1777" t="s">
        <v>1189</v>
      </c>
      <c r="E737" s="1777"/>
      <c r="F737" s="1777"/>
      <c r="G737" s="811"/>
      <c r="H737" s="834"/>
      <c r="I737" s="1118"/>
      <c r="J737" s="834"/>
      <c r="K737" s="834"/>
    </row>
    <row r="738" spans="1:11">
      <c r="A738" s="787"/>
      <c r="B738" s="787"/>
      <c r="C738" s="787"/>
      <c r="D738" s="774"/>
      <c r="G738" s="811"/>
      <c r="H738" s="834"/>
      <c r="I738" s="1118"/>
      <c r="J738" s="834"/>
      <c r="K738" s="834"/>
    </row>
    <row r="739" spans="1:11">
      <c r="A739" s="1779" t="s">
        <v>1146</v>
      </c>
      <c r="B739" s="1779"/>
      <c r="C739" s="1779"/>
      <c r="D739" s="1779"/>
      <c r="E739" s="1779"/>
      <c r="F739" s="1779"/>
      <c r="G739" s="1779"/>
      <c r="H739" s="1132"/>
      <c r="I739" s="1133"/>
      <c r="J739" s="834"/>
      <c r="K739" s="834"/>
    </row>
    <row r="740" spans="1:11">
      <c r="A740" s="787"/>
      <c r="B740" s="787"/>
      <c r="C740" s="787"/>
      <c r="D740" s="814"/>
      <c r="G740" s="839"/>
      <c r="H740" s="834"/>
      <c r="I740" s="1118"/>
      <c r="J740" s="834"/>
      <c r="K740" s="834"/>
    </row>
    <row r="741" spans="1:11" ht="13.7" customHeight="1">
      <c r="C741" s="787"/>
      <c r="D741" s="1817" t="s">
        <v>1162</v>
      </c>
      <c r="E741" s="1817"/>
      <c r="F741" s="1817"/>
      <c r="G741" s="839"/>
      <c r="H741" s="834"/>
      <c r="I741" s="1118"/>
      <c r="J741" s="834"/>
      <c r="K741" s="834"/>
    </row>
    <row r="742" spans="1:11">
      <c r="A742" s="787"/>
      <c r="B742" s="787"/>
      <c r="C742" s="787"/>
      <c r="D742" s="1773" t="s">
        <v>1163</v>
      </c>
      <c r="E742" s="1773"/>
      <c r="F742" s="1773"/>
      <c r="G742" s="839"/>
      <c r="H742" s="834"/>
      <c r="I742" s="1118"/>
      <c r="J742" s="834"/>
      <c r="K742" s="834"/>
    </row>
    <row r="743" spans="1:11">
      <c r="A743" s="787"/>
      <c r="B743" s="787"/>
      <c r="C743" s="787"/>
      <c r="G743" s="839"/>
      <c r="H743" s="834"/>
      <c r="I743" s="1118"/>
      <c r="J743" s="834"/>
      <c r="K743" s="834"/>
    </row>
    <row r="744" spans="1:11" s="783" customFormat="1" ht="14.25">
      <c r="A744" s="789"/>
      <c r="B744" s="790" t="s">
        <v>2698</v>
      </c>
      <c r="C744" s="780"/>
      <c r="D744" s="1747" t="s">
        <v>1164</v>
      </c>
      <c r="E744" s="1747"/>
      <c r="F744" s="1747"/>
      <c r="G744" s="839"/>
      <c r="H744" s="837"/>
      <c r="I744" s="1119" t="s">
        <v>2254</v>
      </c>
      <c r="J744" s="837"/>
      <c r="K744" s="837"/>
    </row>
    <row r="745" spans="1:11" s="783" customFormat="1" ht="10.5" customHeight="1">
      <c r="A745" s="780"/>
      <c r="B745" s="780"/>
      <c r="C745" s="780"/>
      <c r="D745" s="1747"/>
      <c r="E745" s="1747"/>
      <c r="F745" s="1747"/>
      <c r="G745" s="839"/>
      <c r="H745" s="837"/>
      <c r="I745" s="1119"/>
      <c r="J745" s="837"/>
      <c r="K745" s="837"/>
    </row>
    <row r="746" spans="1:11" s="783" customFormat="1">
      <c r="A746" s="780"/>
      <c r="B746" s="780"/>
      <c r="C746" s="780"/>
      <c r="D746" s="1747"/>
      <c r="E746" s="1747"/>
      <c r="F746" s="1747"/>
      <c r="G746" s="839"/>
      <c r="H746" s="837"/>
      <c r="I746" s="1119"/>
      <c r="J746" s="837"/>
      <c r="K746" s="837"/>
    </row>
    <row r="747" spans="1:11">
      <c r="D747" s="1747"/>
      <c r="E747" s="1747"/>
      <c r="F747" s="1747"/>
      <c r="G747" s="839"/>
      <c r="H747" s="834"/>
      <c r="I747" s="1118"/>
      <c r="J747" s="834"/>
      <c r="K747" s="834"/>
    </row>
    <row r="748" spans="1:11">
      <c r="A748" s="793"/>
      <c r="B748" s="793"/>
      <c r="C748" s="793"/>
      <c r="D748" s="1747"/>
      <c r="E748" s="1747"/>
      <c r="F748" s="1747"/>
      <c r="G748" s="840"/>
      <c r="H748" s="834"/>
      <c r="I748" s="1118"/>
      <c r="J748" s="834"/>
      <c r="K748" s="834"/>
    </row>
    <row r="749" spans="1:11" ht="15.6" customHeight="1">
      <c r="A749" s="793"/>
      <c r="B749" s="793"/>
      <c r="C749" s="793"/>
      <c r="D749" s="1747"/>
      <c r="E749" s="1747"/>
      <c r="F749" s="1747"/>
      <c r="G749" s="840"/>
      <c r="H749" s="834"/>
      <c r="I749" s="1118"/>
      <c r="J749" s="834"/>
      <c r="K749" s="834"/>
    </row>
    <row r="750" spans="1:11">
      <c r="A750" s="793"/>
      <c r="B750" s="793"/>
      <c r="C750" s="793"/>
      <c r="D750" s="829"/>
      <c r="E750" s="841"/>
      <c r="F750" s="841"/>
      <c r="G750" s="840"/>
      <c r="H750" s="834"/>
      <c r="I750" s="1118"/>
      <c r="J750" s="834"/>
      <c r="K750" s="834"/>
    </row>
    <row r="751" spans="1:11" s="845" customFormat="1" ht="14.25">
      <c r="A751" s="842"/>
      <c r="B751" s="790" t="s">
        <v>2529</v>
      </c>
      <c r="C751" s="843"/>
      <c r="D751" s="1748" t="s">
        <v>1414</v>
      </c>
      <c r="E751" s="1748"/>
      <c r="F751" s="1748"/>
      <c r="G751" s="844"/>
      <c r="I751" s="1120" t="s">
        <v>2254</v>
      </c>
    </row>
    <row r="752" spans="1:11" s="845" customFormat="1">
      <c r="A752" s="843"/>
      <c r="B752" s="843"/>
      <c r="C752" s="843"/>
      <c r="D752" s="1748"/>
      <c r="E752" s="1748"/>
      <c r="F752" s="1748"/>
      <c r="G752" s="844"/>
      <c r="I752" s="1120"/>
    </row>
    <row r="753" spans="1:11" s="845" customFormat="1">
      <c r="A753" s="843"/>
      <c r="B753" s="843"/>
      <c r="C753" s="843"/>
      <c r="D753" s="1748"/>
      <c r="E753" s="1748"/>
      <c r="F753" s="1748"/>
      <c r="G753" s="844"/>
      <c r="I753" s="1120"/>
    </row>
    <row r="754" spans="1:11" s="845" customFormat="1">
      <c r="A754" s="843"/>
      <c r="B754" s="843"/>
      <c r="C754" s="843"/>
      <c r="D754" s="1748"/>
      <c r="E754" s="1748"/>
      <c r="F754" s="1748"/>
      <c r="G754" s="844"/>
      <c r="I754" s="1120"/>
    </row>
    <row r="755" spans="1:11" s="845" customFormat="1">
      <c r="A755" s="843"/>
      <c r="B755" s="843"/>
      <c r="C755" s="843"/>
      <c r="D755" s="829"/>
      <c r="E755" s="844"/>
      <c r="F755" s="844"/>
      <c r="G755" s="844"/>
      <c r="I755" s="1120"/>
    </row>
    <row r="756" spans="1:11" s="845" customFormat="1" ht="14.25">
      <c r="A756" s="789"/>
      <c r="B756" s="790" t="s">
        <v>2529</v>
      </c>
      <c r="C756" s="843"/>
      <c r="D756" s="1841" t="s">
        <v>1415</v>
      </c>
      <c r="E756" s="1841"/>
      <c r="F756" s="1841"/>
      <c r="G756" s="844"/>
      <c r="I756" s="1120" t="s">
        <v>2255</v>
      </c>
    </row>
    <row r="757" spans="1:11" s="845" customFormat="1">
      <c r="A757" s="843"/>
      <c r="B757" s="843"/>
      <c r="C757" s="843"/>
      <c r="D757" s="1841"/>
      <c r="E757" s="1841"/>
      <c r="F757" s="1841"/>
      <c r="G757" s="844"/>
      <c r="I757" s="1120"/>
    </row>
    <row r="758" spans="1:11" s="845" customFormat="1">
      <c r="A758" s="843"/>
      <c r="B758" s="843"/>
      <c r="C758" s="843"/>
      <c r="D758" s="1841"/>
      <c r="E758" s="1841"/>
      <c r="F758" s="1841"/>
      <c r="G758" s="844"/>
      <c r="I758" s="1120"/>
    </row>
    <row r="759" spans="1:11">
      <c r="A759" s="793"/>
      <c r="B759" s="793"/>
      <c r="C759" s="793"/>
      <c r="D759" s="829"/>
      <c r="E759" s="841"/>
      <c r="F759" s="841"/>
      <c r="G759" s="840"/>
      <c r="H759" s="834"/>
      <c r="I759" s="1118"/>
      <c r="J759" s="834"/>
      <c r="K759" s="834"/>
    </row>
    <row r="760" spans="1:11" ht="14.25">
      <c r="A760" s="789"/>
      <c r="B760" s="790" t="s">
        <v>2529</v>
      </c>
      <c r="C760" s="793"/>
      <c r="D760" s="1748" t="s">
        <v>1362</v>
      </c>
      <c r="E760" s="1748"/>
      <c r="F760" s="1748"/>
      <c r="G760" s="840"/>
      <c r="H760" s="834"/>
      <c r="I760" s="1118" t="s">
        <v>2254</v>
      </c>
      <c r="J760" s="834"/>
      <c r="K760" s="834"/>
    </row>
    <row r="761" spans="1:11">
      <c r="A761" s="793"/>
      <c r="B761" s="793"/>
      <c r="C761" s="793"/>
      <c r="D761" s="1748"/>
      <c r="E761" s="1748"/>
      <c r="F761" s="1748"/>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2529</v>
      </c>
      <c r="C763" s="793"/>
      <c r="D763" s="1748" t="s">
        <v>1382</v>
      </c>
      <c r="E763" s="1748"/>
      <c r="F763" s="1748"/>
      <c r="G763" s="840"/>
      <c r="H763" s="834"/>
      <c r="I763" s="1118" t="s">
        <v>2254</v>
      </c>
      <c r="J763" s="834"/>
      <c r="K763" s="834"/>
    </row>
    <row r="764" spans="1:11">
      <c r="A764" s="793"/>
      <c r="B764" s="793"/>
      <c r="C764" s="793"/>
      <c r="D764" s="1748"/>
      <c r="E764" s="1748"/>
      <c r="F764" s="1748"/>
      <c r="G764" s="840"/>
      <c r="H764" s="834"/>
      <c r="I764" s="1118"/>
      <c r="J764" s="834"/>
      <c r="K764" s="834"/>
    </row>
    <row r="765" spans="1:11">
      <c r="A765" s="793"/>
      <c r="B765" s="793"/>
      <c r="C765" s="793"/>
      <c r="D765" s="1748"/>
      <c r="E765" s="1748"/>
      <c r="F765" s="1748"/>
      <c r="G765" s="840"/>
      <c r="H765" s="834"/>
      <c r="I765" s="1118"/>
      <c r="J765" s="834"/>
      <c r="K765" s="834"/>
    </row>
    <row r="766" spans="1:11">
      <c r="A766" s="793"/>
      <c r="B766" s="793"/>
      <c r="C766" s="793"/>
      <c r="D766" s="773"/>
      <c r="E766" s="773"/>
      <c r="F766" s="773"/>
      <c r="G766" s="840"/>
      <c r="H766" s="834"/>
      <c r="I766" s="1118"/>
      <c r="J766" s="834"/>
      <c r="K766" s="834"/>
    </row>
    <row r="767" spans="1:11">
      <c r="A767" s="1844" t="s">
        <v>2132</v>
      </c>
      <c r="B767" s="1844"/>
      <c r="C767" s="1844"/>
      <c r="D767" s="1844"/>
      <c r="E767" s="1844"/>
      <c r="F767" s="1844"/>
      <c r="G767" s="1844"/>
      <c r="H767" s="1130"/>
      <c r="I767" s="1131"/>
    </row>
    <row r="768" spans="1:11">
      <c r="A768" s="93"/>
      <c r="B768" s="93"/>
      <c r="C768" s="1043"/>
      <c r="D768" s="155"/>
      <c r="E768" s="155"/>
      <c r="F768" s="155"/>
      <c r="G768" s="678"/>
    </row>
    <row r="769" spans="1:9">
      <c r="A769" s="93"/>
      <c r="B769" s="93"/>
      <c r="C769" s="1043"/>
      <c r="D769" s="1845" t="s">
        <v>2186</v>
      </c>
      <c r="E769" s="1845"/>
      <c r="F769" s="1845"/>
      <c r="G769" s="678"/>
    </row>
    <row r="770" spans="1:9">
      <c r="A770" s="93"/>
      <c r="B770" s="93"/>
      <c r="C770" s="1043"/>
      <c r="D770" s="1822" t="s">
        <v>2080</v>
      </c>
      <c r="E770" s="1822"/>
      <c r="F770" s="1822"/>
      <c r="G770" s="678"/>
    </row>
    <row r="771" spans="1:9">
      <c r="A771" s="93"/>
      <c r="B771" s="93"/>
      <c r="C771" s="1043"/>
      <c r="D771" s="725"/>
      <c r="E771" s="725"/>
      <c r="F771" s="725"/>
      <c r="G771" s="678"/>
    </row>
    <row r="772" spans="1:9">
      <c r="A772" s="93"/>
      <c r="B772" s="790" t="s">
        <v>2698</v>
      </c>
      <c r="C772" s="1043"/>
      <c r="D772" s="1769" t="s">
        <v>2081</v>
      </c>
      <c r="E772" s="1769"/>
      <c r="F772" s="1769"/>
      <c r="G772" s="678"/>
      <c r="I772" s="1118" t="s">
        <v>2304</v>
      </c>
    </row>
    <row r="773" spans="1:9">
      <c r="A773" s="93"/>
      <c r="B773" s="93"/>
      <c r="C773" s="1043"/>
      <c r="D773" s="1769"/>
      <c r="E773" s="1769"/>
      <c r="F773" s="1769"/>
      <c r="G773" s="678"/>
    </row>
    <row r="774" spans="1:9">
      <c r="A774" s="712"/>
      <c r="B774" s="712"/>
      <c r="C774" s="313"/>
      <c r="D774" s="1769"/>
      <c r="E774" s="1769"/>
      <c r="F774" s="1769"/>
      <c r="G774" s="1044"/>
    </row>
    <row r="775" spans="1:9">
      <c r="A775" s="1038"/>
      <c r="B775" s="1038"/>
      <c r="C775" s="1045"/>
      <c r="D775" s="1023"/>
      <c r="E775" s="678"/>
      <c r="F775" s="678"/>
      <c r="G775" s="678"/>
    </row>
    <row r="776" spans="1:9">
      <c r="A776" s="267"/>
      <c r="B776" s="790" t="s">
        <v>2529</v>
      </c>
      <c r="C776" s="1046"/>
      <c r="D776" s="1769" t="s">
        <v>2082</v>
      </c>
      <c r="E776" s="1769"/>
      <c r="F776" s="1769"/>
      <c r="G776" s="678"/>
      <c r="I776" s="1118" t="s">
        <v>2304</v>
      </c>
    </row>
    <row r="777" spans="1:9">
      <c r="A777" s="1047"/>
      <c r="B777" s="1047"/>
      <c r="C777" s="1048"/>
      <c r="D777" s="1769"/>
      <c r="E777" s="1769"/>
      <c r="F777" s="1769"/>
      <c r="G777" s="678"/>
    </row>
    <row r="778" spans="1:9">
      <c r="A778" s="267"/>
      <c r="B778" s="267"/>
      <c r="C778" s="1046"/>
      <c r="D778" s="1769"/>
      <c r="E778" s="1769"/>
      <c r="F778" s="1769"/>
      <c r="G778" s="678"/>
    </row>
    <row r="779" spans="1:9">
      <c r="A779" s="712"/>
      <c r="B779" s="712"/>
      <c r="C779" s="313"/>
      <c r="D779" s="6"/>
      <c r="E779" s="1049"/>
      <c r="F779" s="1049"/>
      <c r="G779" s="1050"/>
    </row>
    <row r="780" spans="1:9" ht="14.25">
      <c r="A780" s="706"/>
      <c r="B780" s="790" t="s">
        <v>2529</v>
      </c>
      <c r="C780" s="1051"/>
      <c r="D780" s="1769" t="s">
        <v>2083</v>
      </c>
      <c r="E780" s="1769"/>
      <c r="F780" s="1769"/>
      <c r="G780" s="1050"/>
      <c r="I780" s="1118" t="s">
        <v>2304</v>
      </c>
    </row>
    <row r="781" spans="1:9" ht="14.25">
      <c r="A781" s="706"/>
      <c r="B781" s="706"/>
      <c r="C781" s="1051"/>
      <c r="D781" s="1769"/>
      <c r="E781" s="1769"/>
      <c r="F781" s="1769"/>
      <c r="G781" s="1050"/>
    </row>
    <row r="782" spans="1:9" ht="14.25">
      <c r="A782" s="706"/>
      <c r="B782" s="706"/>
      <c r="C782" s="1051"/>
      <c r="D782" s="1769"/>
      <c r="E782" s="1769"/>
      <c r="F782" s="1769"/>
      <c r="G782" s="1050"/>
    </row>
    <row r="783" spans="1:9" ht="14.25">
      <c r="A783" s="706"/>
      <c r="B783" s="706"/>
      <c r="C783" s="1051"/>
      <c r="D783" s="1021"/>
      <c r="E783" s="6"/>
      <c r="F783" s="6"/>
      <c r="G783" s="1050"/>
    </row>
    <row r="784" spans="1:9" ht="14.25">
      <c r="A784" s="706"/>
      <c r="B784" s="790" t="s">
        <v>2529</v>
      </c>
      <c r="C784" s="1051"/>
      <c r="D784" s="1769" t="s">
        <v>2084</v>
      </c>
      <c r="E784" s="1769"/>
      <c r="F784" s="1769"/>
      <c r="G784" s="1050"/>
      <c r="I784" s="1118" t="s">
        <v>2304</v>
      </c>
    </row>
    <row r="785" spans="1:9" ht="14.25">
      <c r="A785" s="706"/>
      <c r="B785" s="706"/>
      <c r="C785" s="1051"/>
      <c r="D785" s="1769"/>
      <c r="E785" s="1769"/>
      <c r="F785" s="1769"/>
      <c r="G785" s="1050"/>
    </row>
    <row r="786" spans="1:9" ht="14.25">
      <c r="A786" s="706"/>
      <c r="B786" s="706"/>
      <c r="C786" s="1051"/>
      <c r="D786" s="1769"/>
      <c r="E786" s="1769"/>
      <c r="F786" s="1769"/>
      <c r="G786" s="1050"/>
    </row>
    <row r="787" spans="1:9" ht="14.25">
      <c r="A787" s="706"/>
      <c r="B787" s="706"/>
      <c r="C787" s="1051"/>
      <c r="D787" s="1769"/>
      <c r="E787" s="1769"/>
      <c r="F787" s="1769"/>
      <c r="G787" s="1050"/>
    </row>
    <row r="788" spans="1:9" ht="14.25">
      <c r="A788" s="706"/>
      <c r="B788" s="706"/>
      <c r="C788" s="1051"/>
      <c r="D788" s="1769"/>
      <c r="E788" s="1769"/>
      <c r="F788" s="1769"/>
      <c r="G788" s="1050"/>
    </row>
    <row r="789" spans="1:9" ht="14.25">
      <c r="A789" s="706"/>
      <c r="B789" s="706"/>
      <c r="C789" s="1051"/>
      <c r="D789" s="1769"/>
      <c r="E789" s="1769"/>
      <c r="F789" s="1769"/>
      <c r="G789" s="1050"/>
    </row>
    <row r="790" spans="1:9" ht="14.25">
      <c r="A790" s="706"/>
      <c r="B790" s="706"/>
      <c r="C790" s="1051"/>
      <c r="D790" s="1769" t="s">
        <v>2133</v>
      </c>
      <c r="E790" s="1769"/>
      <c r="F790" s="1769"/>
      <c r="G790" s="1050"/>
    </row>
    <row r="791" spans="1:9" ht="14.25">
      <c r="A791" s="706"/>
      <c r="B791" s="706"/>
      <c r="C791" s="1051"/>
      <c r="D791" s="1769"/>
      <c r="E791" s="1769"/>
      <c r="F791" s="1769"/>
      <c r="G791" s="1050"/>
    </row>
    <row r="792" spans="1:9" ht="14.25">
      <c r="A792" s="706"/>
      <c r="B792" s="706"/>
      <c r="C792" s="1051"/>
      <c r="D792" s="1769"/>
      <c r="E792" s="1769"/>
      <c r="F792" s="1769"/>
      <c r="G792" s="1050"/>
    </row>
    <row r="793" spans="1:9" ht="14.25">
      <c r="A793" s="706"/>
      <c r="B793" s="549"/>
      <c r="C793" s="1051"/>
      <c r="D793" s="1052"/>
      <c r="E793" s="1052"/>
      <c r="F793" s="1052"/>
      <c r="G793" s="1050"/>
    </row>
    <row r="794" spans="1:9" ht="14.25">
      <c r="A794" s="706"/>
      <c r="B794" s="790" t="s">
        <v>2529</v>
      </c>
      <c r="C794" s="1051"/>
      <c r="D794" s="1769" t="s">
        <v>2085</v>
      </c>
      <c r="E794" s="1769"/>
      <c r="F794" s="1769"/>
      <c r="G794" s="1050"/>
      <c r="I794" s="1118" t="s">
        <v>2304</v>
      </c>
    </row>
    <row r="795" spans="1:9" ht="14.25">
      <c r="A795" s="706"/>
      <c r="B795" s="706"/>
      <c r="C795" s="1051"/>
      <c r="D795" s="1769"/>
      <c r="E795" s="1769"/>
      <c r="F795" s="1769"/>
      <c r="G795" s="1050"/>
    </row>
    <row r="796" spans="1:9" ht="14.25">
      <c r="A796" s="706"/>
      <c r="B796" s="706"/>
      <c r="C796" s="1051"/>
      <c r="D796" s="1769"/>
      <c r="E796" s="1769"/>
      <c r="F796" s="1769"/>
      <c r="G796" s="1050"/>
    </row>
    <row r="797" spans="1:9" ht="14.25">
      <c r="A797" s="706"/>
      <c r="B797" s="706"/>
      <c r="C797" s="1051"/>
      <c r="D797" s="1769"/>
      <c r="E797" s="1769"/>
      <c r="F797" s="1769"/>
      <c r="G797" s="1050"/>
    </row>
    <row r="798" spans="1:9" ht="14.25">
      <c r="A798" s="706"/>
      <c r="B798" s="706"/>
      <c r="C798" s="1051"/>
      <c r="D798" s="1769"/>
      <c r="E798" s="1769"/>
      <c r="F798" s="1769"/>
      <c r="G798" s="1050"/>
    </row>
    <row r="799" spans="1:9" ht="14.25">
      <c r="A799" s="706"/>
      <c r="B799" s="706"/>
      <c r="C799" s="1051"/>
      <c r="D799" s="1769"/>
      <c r="E799" s="1769"/>
      <c r="F799" s="1769"/>
      <c r="G799" s="1050"/>
    </row>
    <row r="800" spans="1:9" ht="14.25">
      <c r="A800" s="706"/>
      <c r="B800" s="706"/>
      <c r="C800" s="1051"/>
      <c r="D800" s="1030"/>
      <c r="E800" s="1030"/>
      <c r="F800" s="1030"/>
      <c r="G800" s="1050"/>
    </row>
    <row r="801" spans="1:9" ht="14.25">
      <c r="A801" s="706"/>
      <c r="B801" s="790" t="s">
        <v>2529</v>
      </c>
      <c r="C801" s="1051"/>
      <c r="D801" s="1769" t="s">
        <v>2086</v>
      </c>
      <c r="E801" s="1769"/>
      <c r="F801" s="1769"/>
      <c r="G801" s="1050"/>
      <c r="I801" s="1118" t="s">
        <v>2304</v>
      </c>
    </row>
    <row r="802" spans="1:9" ht="14.25">
      <c r="A802" s="706"/>
      <c r="B802" s="706"/>
      <c r="C802" s="1051"/>
      <c r="D802" s="1769"/>
      <c r="E802" s="1769"/>
      <c r="F802" s="1769"/>
      <c r="G802" s="1050"/>
    </row>
    <row r="803" spans="1:9" ht="14.25">
      <c r="A803" s="706"/>
      <c r="B803" s="706"/>
      <c r="C803" s="1051"/>
      <c r="D803" s="1769"/>
      <c r="E803" s="1769"/>
      <c r="F803" s="1769"/>
      <c r="G803" s="1050"/>
    </row>
    <row r="804" spans="1:9" ht="14.25">
      <c r="A804" s="706"/>
      <c r="B804" s="706"/>
      <c r="C804" s="1051"/>
      <c r="D804" s="1769"/>
      <c r="E804" s="1769"/>
      <c r="F804" s="1769"/>
      <c r="G804" s="1050"/>
    </row>
    <row r="805" spans="1:9" ht="14.25">
      <c r="A805" s="706"/>
      <c r="B805" s="706"/>
      <c r="C805" s="1051"/>
      <c r="D805" s="1769"/>
      <c r="E805" s="1769"/>
      <c r="F805" s="1769"/>
      <c r="G805" s="1050"/>
    </row>
    <row r="806" spans="1:9" ht="14.25">
      <c r="A806" s="706"/>
      <c r="B806" s="706"/>
      <c r="C806" s="1051"/>
      <c r="D806" s="1769"/>
      <c r="E806" s="1769"/>
      <c r="F806" s="1769"/>
      <c r="G806" s="1050"/>
    </row>
    <row r="807" spans="1:9" ht="14.25">
      <c r="A807" s="706"/>
      <c r="B807" s="706"/>
      <c r="C807" s="1051"/>
      <c r="D807" s="1030"/>
      <c r="E807" s="1030"/>
      <c r="F807" s="1030"/>
      <c r="G807" s="1050"/>
    </row>
    <row r="808" spans="1:9" ht="14.25">
      <c r="A808" s="706"/>
      <c r="B808" s="790" t="s">
        <v>2529</v>
      </c>
      <c r="C808" s="1051"/>
      <c r="D808" s="1766" t="s">
        <v>2087</v>
      </c>
      <c r="E808" s="1766"/>
      <c r="F808" s="1766"/>
      <c r="G808" s="1050"/>
      <c r="I808" s="1118" t="s">
        <v>2304</v>
      </c>
    </row>
    <row r="809" spans="1:9" ht="14.25">
      <c r="A809" s="706"/>
      <c r="B809" s="706"/>
      <c r="C809" s="1051"/>
      <c r="D809" s="1766"/>
      <c r="E809" s="1766"/>
      <c r="F809" s="1766"/>
      <c r="G809" s="1050"/>
    </row>
    <row r="810" spans="1:9">
      <c r="A810" s="1037"/>
      <c r="B810" s="1037"/>
      <c r="C810" s="1051"/>
      <c r="D810" s="1766"/>
      <c r="E810" s="1766"/>
      <c r="F810" s="1766"/>
      <c r="G810" s="1050"/>
    </row>
    <row r="811" spans="1:9" ht="14.25">
      <c r="A811" s="706"/>
      <c r="B811" s="1037"/>
      <c r="C811" s="1051"/>
      <c r="D811" s="1766"/>
      <c r="E811" s="1766"/>
      <c r="F811" s="1766"/>
      <c r="G811" s="1050"/>
    </row>
    <row r="812" spans="1:9" ht="12.75" customHeight="1">
      <c r="A812" s="706"/>
      <c r="B812" s="1037"/>
      <c r="C812" s="1051"/>
      <c r="D812" s="1766"/>
      <c r="E812" s="1766"/>
      <c r="F812" s="1766"/>
      <c r="G812" s="1050"/>
    </row>
    <row r="813" spans="1:9" ht="12.75" customHeight="1">
      <c r="A813" s="706"/>
      <c r="B813" s="1037"/>
      <c r="C813" s="1051"/>
      <c r="D813" s="1766"/>
      <c r="E813" s="1766"/>
      <c r="F813" s="1766"/>
      <c r="G813" s="1050"/>
    </row>
    <row r="814" spans="1:9" ht="12.75" customHeight="1">
      <c r="A814" s="1037"/>
      <c r="B814" s="1037"/>
      <c r="C814" s="1051"/>
      <c r="D814" s="1049"/>
      <c r="E814" s="6"/>
      <c r="F814" s="6"/>
      <c r="G814" s="1050"/>
    </row>
    <row r="815" spans="1:9" ht="12.75" customHeight="1">
      <c r="A815" s="1778" t="s">
        <v>2088</v>
      </c>
      <c r="B815" s="1778"/>
      <c r="C815" s="1778"/>
      <c r="D815" s="1778"/>
      <c r="E815" s="1778"/>
      <c r="F815" s="1778"/>
      <c r="G815" s="1778"/>
      <c r="H815" s="1130"/>
      <c r="I815" s="1131"/>
    </row>
    <row r="816" spans="1:9" ht="12.75" customHeight="1">
      <c r="A816" s="1027"/>
      <c r="B816" s="1027"/>
      <c r="C816" s="1051"/>
      <c r="D816" s="1049"/>
      <c r="E816" s="1049"/>
      <c r="F816" s="1049"/>
      <c r="G816" s="1050"/>
    </row>
    <row r="817" spans="1:9" ht="12.75" customHeight="1">
      <c r="A817" s="706"/>
      <c r="B817" s="706"/>
      <c r="C817" s="549"/>
      <c r="D817" s="1758" t="s">
        <v>2134</v>
      </c>
      <c r="E817" s="1758"/>
      <c r="F817" s="1758"/>
      <c r="G817" s="670"/>
    </row>
    <row r="818" spans="1:9" ht="14.25" customHeight="1">
      <c r="A818" s="706"/>
      <c r="B818" s="706"/>
      <c r="C818" s="549"/>
      <c r="D818" s="1709" t="s">
        <v>2089</v>
      </c>
      <c r="E818" s="1709"/>
      <c r="F818" s="1709"/>
      <c r="G818" s="670"/>
    </row>
    <row r="819" spans="1:9" ht="12.75" customHeight="1">
      <c r="A819" s="706"/>
      <c r="B819" s="706"/>
      <c r="C819" s="549"/>
      <c r="D819" s="1016"/>
      <c r="E819" s="1016"/>
      <c r="F819" s="1016"/>
      <c r="G819" s="670"/>
    </row>
    <row r="820" spans="1:9" ht="12.75" customHeight="1">
      <c r="A820" s="1053"/>
      <c r="B820" s="790" t="s">
        <v>2698</v>
      </c>
      <c r="C820" s="1051"/>
      <c r="D820" s="1709" t="s">
        <v>2090</v>
      </c>
      <c r="E820" s="1709"/>
      <c r="F820" s="1709"/>
      <c r="G820" s="670"/>
      <c r="I820" s="1082" t="s">
        <v>2272</v>
      </c>
    </row>
    <row r="821" spans="1:9" ht="14.25" customHeight="1">
      <c r="A821" s="1037"/>
      <c r="B821" s="1037"/>
      <c r="C821" s="1051"/>
      <c r="D821" s="782"/>
      <c r="E821" s="1187" t="s">
        <v>2361</v>
      </c>
      <c r="F821" s="1192"/>
      <c r="G821" s="670"/>
    </row>
    <row r="822" spans="1:9" ht="12.75" customHeight="1">
      <c r="A822" s="1037"/>
      <c r="B822" s="1037"/>
      <c r="C822" s="1051"/>
      <c r="D822" s="1054"/>
      <c r="E822" s="6"/>
      <c r="F822" s="6"/>
      <c r="G822" s="670"/>
    </row>
    <row r="823" spans="1:9" ht="14.25" hidden="1" customHeight="1">
      <c r="A823" s="1037"/>
      <c r="B823" s="790" t="s">
        <v>313</v>
      </c>
      <c r="C823" s="1051"/>
      <c r="D823" s="1816" t="s">
        <v>2091</v>
      </c>
      <c r="E823" s="1816"/>
      <c r="F823" s="1816"/>
      <c r="G823" s="670"/>
    </row>
    <row r="824" spans="1:9" ht="12.75" hidden="1" customHeight="1">
      <c r="A824" s="1037"/>
      <c r="B824" s="1037"/>
      <c r="C824" s="1051"/>
      <c r="D824" s="1816"/>
      <c r="E824" s="1816"/>
      <c r="F824" s="1816"/>
      <c r="G824" s="670"/>
    </row>
    <row r="825" spans="1:9" ht="12.75" hidden="1" customHeight="1">
      <c r="A825" s="1037"/>
      <c r="B825" s="1037"/>
      <c r="C825" s="1051"/>
      <c r="D825" s="1816"/>
      <c r="E825" s="1816"/>
      <c r="F825" s="1816"/>
      <c r="G825" s="670"/>
    </row>
    <row r="826" spans="1:9" ht="12.75" hidden="1" customHeight="1">
      <c r="A826" s="1037"/>
      <c r="B826" s="1037"/>
      <c r="C826" s="1051"/>
      <c r="D826" s="1816"/>
      <c r="E826" s="1816"/>
      <c r="F826" s="1816"/>
      <c r="G826" s="670"/>
    </row>
    <row r="827" spans="1:9" ht="12.75" hidden="1" customHeight="1">
      <c r="A827" s="1037"/>
      <c r="B827" s="1037"/>
      <c r="C827" s="1051"/>
      <c r="D827" s="1816"/>
      <c r="E827" s="1816"/>
      <c r="F827" s="1816"/>
      <c r="G827" s="670"/>
    </row>
    <row r="828" spans="1:9" ht="12.75" hidden="1" customHeight="1">
      <c r="A828" s="1037"/>
      <c r="B828" s="1037"/>
      <c r="C828" s="1051"/>
      <c r="D828" s="1816"/>
      <c r="E828" s="1816"/>
      <c r="F828" s="1816"/>
      <c r="G828" s="670"/>
    </row>
    <row r="829" spans="1:9" ht="12.75" hidden="1" customHeight="1">
      <c r="A829" s="1037"/>
      <c r="B829" s="1037"/>
      <c r="C829" s="1051"/>
      <c r="D829" s="1816"/>
      <c r="E829" s="1816"/>
      <c r="F829" s="1816"/>
      <c r="G829" s="670"/>
    </row>
    <row r="830" spans="1:9" ht="12.75" hidden="1" customHeight="1">
      <c r="A830" s="1037"/>
      <c r="B830" s="1037"/>
      <c r="C830" s="1051"/>
      <c r="D830" s="1816"/>
      <c r="E830" s="1816"/>
      <c r="F830" s="1816"/>
      <c r="G830" s="670"/>
    </row>
    <row r="831" spans="1:9" ht="12.75" hidden="1" customHeight="1">
      <c r="A831" s="1037"/>
      <c r="B831" s="1037"/>
      <c r="C831" s="1051"/>
      <c r="D831" s="1816"/>
      <c r="E831" s="1816"/>
      <c r="F831" s="1816"/>
      <c r="G831" s="670"/>
    </row>
    <row r="832" spans="1:9" ht="12.75" hidden="1" customHeight="1">
      <c r="A832" s="1037"/>
      <c r="B832" s="1037"/>
      <c r="C832" s="1051"/>
      <c r="D832" s="1816"/>
      <c r="E832" s="1816"/>
      <c r="F832" s="1816"/>
      <c r="G832" s="670"/>
    </row>
    <row r="833" spans="1:9" ht="12.75" hidden="1" customHeight="1">
      <c r="A833" s="1037"/>
      <c r="B833" s="1037"/>
      <c r="C833" s="1051"/>
      <c r="D833" s="1054"/>
      <c r="E833" s="6"/>
      <c r="F833" s="6"/>
      <c r="G833" s="670"/>
    </row>
    <row r="834" spans="1:9" ht="12.75" customHeight="1">
      <c r="A834" s="706"/>
      <c r="B834" s="790" t="s">
        <v>2698</v>
      </c>
      <c r="C834" s="1051"/>
      <c r="D834" s="1709" t="s">
        <v>2092</v>
      </c>
      <c r="E834" s="1709"/>
      <c r="F834" s="1709"/>
      <c r="G834" s="670"/>
      <c r="I834" s="1082" t="s">
        <v>2290</v>
      </c>
    </row>
    <row r="835" spans="1:9" ht="12.75" customHeight="1">
      <c r="A835" s="706"/>
      <c r="B835" s="706"/>
      <c r="C835" s="1051"/>
      <c r="D835" s="1709"/>
      <c r="E835" s="1709"/>
      <c r="F835" s="1709"/>
      <c r="G835" s="670"/>
    </row>
    <row r="836" spans="1:9" ht="12.75" customHeight="1">
      <c r="A836" s="706"/>
      <c r="B836" s="706"/>
      <c r="C836" s="1051"/>
      <c r="D836" s="1709"/>
      <c r="E836" s="1709"/>
      <c r="F836" s="1709"/>
      <c r="G836" s="670"/>
    </row>
    <row r="837" spans="1:9" ht="12.75" customHeight="1">
      <c r="A837" s="400"/>
      <c r="B837" s="400"/>
      <c r="C837" s="1055"/>
      <c r="D837" s="1033"/>
      <c r="E837" s="670"/>
      <c r="F837" s="670"/>
      <c r="G837" s="670"/>
    </row>
    <row r="838" spans="1:9" ht="12.75" customHeight="1">
      <c r="A838" s="1056"/>
      <c r="B838" s="790" t="s">
        <v>2529</v>
      </c>
      <c r="C838" s="1055"/>
      <c r="D838" s="1814" t="s">
        <v>2093</v>
      </c>
      <c r="E838" s="1814"/>
      <c r="F838" s="1814"/>
      <c r="G838" s="670"/>
    </row>
    <row r="839" spans="1:9" ht="12.75" customHeight="1">
      <c r="A839" s="549"/>
      <c r="B839" s="1056"/>
      <c r="C839" s="1055"/>
      <c r="D839" s="1814"/>
      <c r="E839" s="1814"/>
      <c r="F839" s="1814"/>
      <c r="G839" s="670"/>
    </row>
    <row r="840" spans="1:9" ht="12.75" customHeight="1">
      <c r="A840" s="400"/>
      <c r="B840" s="549"/>
      <c r="C840" s="1055"/>
      <c r="D840" s="1710" t="s">
        <v>2094</v>
      </c>
      <c r="E840" s="1710"/>
      <c r="F840" s="1710"/>
      <c r="G840" s="670"/>
    </row>
    <row r="841" spans="1:9" ht="12.75" customHeight="1">
      <c r="A841" s="400"/>
      <c r="B841" s="400"/>
      <c r="C841" s="1055"/>
      <c r="D841" s="1710"/>
      <c r="E841" s="1710"/>
      <c r="F841" s="1710"/>
      <c r="G841" s="670"/>
    </row>
    <row r="842" spans="1:9" ht="12.75" customHeight="1">
      <c r="A842" s="400"/>
      <c r="B842" s="400"/>
      <c r="C842" s="1055"/>
      <c r="D842" s="1710"/>
      <c r="E842" s="1710"/>
      <c r="F842" s="1710"/>
      <c r="G842" s="670"/>
    </row>
    <row r="843" spans="1:9" ht="12.75" customHeight="1">
      <c r="A843" s="400"/>
      <c r="B843" s="400"/>
      <c r="C843" s="1055"/>
      <c r="D843" s="1710"/>
      <c r="E843" s="1710"/>
      <c r="F843" s="1710"/>
      <c r="G843" s="670"/>
    </row>
    <row r="844" spans="1:9" ht="12.75" customHeight="1">
      <c r="A844" s="400"/>
      <c r="B844" s="400"/>
      <c r="C844" s="1055"/>
      <c r="D844" s="1710"/>
      <c r="E844" s="1710"/>
      <c r="F844" s="1710"/>
      <c r="G844" s="670"/>
    </row>
    <row r="845" spans="1:9" ht="12.75" customHeight="1">
      <c r="A845" s="400"/>
      <c r="B845" s="400"/>
      <c r="C845" s="1055"/>
      <c r="D845" s="1710"/>
      <c r="E845" s="1710"/>
      <c r="F845" s="1710"/>
      <c r="G845" s="670"/>
    </row>
    <row r="846" spans="1:9" ht="12.75" customHeight="1">
      <c r="A846" s="400"/>
      <c r="B846" s="400"/>
      <c r="C846" s="1055"/>
      <c r="D846" s="1033"/>
      <c r="E846" s="670"/>
      <c r="F846" s="670"/>
      <c r="G846" s="670"/>
    </row>
    <row r="847" spans="1:9" ht="12.75" customHeight="1">
      <c r="A847" s="400"/>
      <c r="B847" s="790" t="s">
        <v>2529</v>
      </c>
      <c r="C847" s="1055"/>
      <c r="D847" s="1710" t="s">
        <v>2095</v>
      </c>
      <c r="E847" s="1710"/>
      <c r="F847" s="1710"/>
      <c r="G847" s="670"/>
      <c r="I847" s="1082" t="s">
        <v>2273</v>
      </c>
    </row>
    <row r="848" spans="1:9" ht="12.75" customHeight="1">
      <c r="A848" s="400"/>
      <c r="B848" s="400"/>
      <c r="C848" s="1055"/>
      <c r="D848" s="1710" t="s">
        <v>2096</v>
      </c>
      <c r="E848" s="1710"/>
      <c r="F848" s="1710"/>
      <c r="G848" s="670"/>
    </row>
    <row r="849" spans="1:9" ht="12.75" customHeight="1">
      <c r="A849" s="400"/>
      <c r="B849" s="400"/>
      <c r="C849" s="1055"/>
      <c r="D849" s="782"/>
      <c r="E849" s="1187" t="s">
        <v>2363</v>
      </c>
      <c r="F849" s="1193"/>
      <c r="G849" s="670"/>
    </row>
    <row r="850" spans="1:9" ht="12.75" customHeight="1">
      <c r="A850" s="400"/>
      <c r="B850" s="400"/>
      <c r="C850" s="1055"/>
      <c r="D850" s="1033"/>
      <c r="E850" s="670"/>
      <c r="F850" s="670"/>
      <c r="G850" s="670"/>
    </row>
    <row r="851" spans="1:9" ht="12.75" customHeight="1">
      <c r="A851" s="400"/>
      <c r="B851" s="790" t="s">
        <v>2529</v>
      </c>
      <c r="C851" s="1055"/>
      <c r="D851" s="1710" t="s">
        <v>2097</v>
      </c>
      <c r="E851" s="1710"/>
      <c r="F851" s="1710"/>
      <c r="G851" s="670"/>
      <c r="I851" s="1082" t="s">
        <v>2291</v>
      </c>
    </row>
    <row r="852" spans="1:9" ht="12.75" customHeight="1">
      <c r="A852" s="400"/>
      <c r="B852" s="400"/>
      <c r="C852" s="1055"/>
      <c r="D852" s="1710"/>
      <c r="E852" s="1710"/>
      <c r="F852" s="1710"/>
      <c r="G852" s="670"/>
    </row>
    <row r="853" spans="1:9" ht="12.75" customHeight="1">
      <c r="A853" s="400"/>
      <c r="B853" s="400"/>
      <c r="C853" s="1055"/>
      <c r="D853" s="1710"/>
      <c r="E853" s="1710"/>
      <c r="F853" s="1710"/>
      <c r="G853" s="670"/>
    </row>
    <row r="854" spans="1:9" ht="12.75" customHeight="1">
      <c r="A854" s="400"/>
      <c r="B854" s="400"/>
      <c r="C854" s="1055"/>
      <c r="D854" s="1710"/>
      <c r="E854" s="1710"/>
      <c r="F854" s="1710"/>
      <c r="G854" s="670"/>
    </row>
    <row r="855" spans="1:9" ht="12.75" customHeight="1">
      <c r="A855" s="1027"/>
      <c r="B855" s="1027"/>
      <c r="C855" s="1057"/>
      <c r="D855" s="1021"/>
      <c r="E855" s="6"/>
      <c r="F855" s="6"/>
      <c r="G855" s="670"/>
    </row>
    <row r="856" spans="1:9" ht="12.75" customHeight="1">
      <c r="A856" s="1032" t="s">
        <v>2098</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32" t="s">
        <v>2135</v>
      </c>
      <c r="E858" s="1732"/>
      <c r="F858" s="1732"/>
      <c r="G858" s="1050"/>
    </row>
    <row r="859" spans="1:9" ht="12.75" customHeight="1">
      <c r="A859" s="1053"/>
      <c r="B859" s="1053"/>
      <c r="C859" s="313"/>
      <c r="D859" s="1815" t="s">
        <v>2099</v>
      </c>
      <c r="E859" s="1815"/>
      <c r="F859" s="1815"/>
      <c r="G859" s="1050"/>
    </row>
    <row r="860" spans="1:9" ht="12.75" customHeight="1">
      <c r="A860" s="1053"/>
      <c r="B860" s="1053"/>
      <c r="C860" s="313"/>
      <c r="D860" s="1061"/>
      <c r="E860" s="1061"/>
      <c r="F860" s="1061"/>
      <c r="G860" s="1050"/>
    </row>
    <row r="861" spans="1:9" ht="12.75" customHeight="1">
      <c r="A861" s="706"/>
      <c r="B861" s="790" t="s">
        <v>2698</v>
      </c>
      <c r="C861" s="549"/>
      <c r="D861" s="1722" t="s">
        <v>2100</v>
      </c>
      <c r="E861" s="1722"/>
      <c r="F861" s="1722"/>
      <c r="G861" s="1050"/>
      <c r="I861" s="1082" t="s">
        <v>2273</v>
      </c>
    </row>
    <row r="862" spans="1:9" ht="12.75" customHeight="1">
      <c r="A862" s="1053"/>
      <c r="B862" s="1053"/>
      <c r="C862" s="549"/>
      <c r="D862" s="5" t="s">
        <v>2069</v>
      </c>
      <c r="E862" s="1187" t="s">
        <v>2363</v>
      </c>
      <c r="F862" s="1194"/>
      <c r="G862" s="1050"/>
    </row>
    <row r="863" spans="1:9" ht="12.75" customHeight="1">
      <c r="A863" s="1053"/>
      <c r="B863" s="1053"/>
      <c r="C863" s="549"/>
      <c r="D863" s="1021"/>
      <c r="E863" s="1049"/>
      <c r="F863" s="1049"/>
      <c r="G863" s="1050"/>
    </row>
    <row r="864" spans="1:9" ht="12.75" customHeight="1">
      <c r="A864" s="706"/>
      <c r="B864" s="790" t="s">
        <v>2698</v>
      </c>
      <c r="C864" s="549"/>
      <c r="D864" s="1709" t="s">
        <v>2101</v>
      </c>
      <c r="E864" s="1733"/>
      <c r="F864" s="1733"/>
      <c r="G864" s="670"/>
      <c r="I864" s="1082" t="s">
        <v>2291</v>
      </c>
    </row>
    <row r="865" spans="1:9" ht="12.75" customHeight="1">
      <c r="A865" s="1053"/>
      <c r="B865" s="1053"/>
      <c r="C865" s="549"/>
      <c r="D865" s="1733"/>
      <c r="E865" s="1733"/>
      <c r="F865" s="1733"/>
      <c r="G865" s="670"/>
    </row>
    <row r="866" spans="1:9" ht="12.75" customHeight="1">
      <c r="A866" s="1053"/>
      <c r="B866" s="1053"/>
      <c r="C866" s="549"/>
      <c r="D866" s="1021"/>
      <c r="E866" s="6"/>
      <c r="F866" s="6"/>
      <c r="G866" s="670"/>
    </row>
    <row r="867" spans="1:9" ht="12.75" customHeight="1">
      <c r="A867" s="549"/>
      <c r="B867" s="790" t="s">
        <v>2529</v>
      </c>
      <c r="C867" s="550"/>
      <c r="D867" s="1812" t="s">
        <v>2102</v>
      </c>
      <c r="E867" s="1812"/>
      <c r="F867" s="1812"/>
      <c r="G867" s="1050"/>
    </row>
    <row r="868" spans="1:9" ht="12.75" customHeight="1">
      <c r="A868" s="549"/>
      <c r="B868" s="1062"/>
      <c r="C868" s="550"/>
      <c r="D868" s="1812"/>
      <c r="E868" s="1812"/>
      <c r="F868" s="1812"/>
      <c r="G868" s="1050"/>
    </row>
    <row r="869" spans="1:9" ht="12.75" customHeight="1">
      <c r="A869" s="706"/>
      <c r="B869" s="669"/>
      <c r="C869" s="549"/>
      <c r="D869" s="1710" t="s">
        <v>2094</v>
      </c>
      <c r="E869" s="1710"/>
      <c r="F869" s="1710"/>
      <c r="G869" s="1050"/>
    </row>
    <row r="870" spans="1:9" ht="12.75" customHeight="1">
      <c r="A870" s="706"/>
      <c r="B870" s="706"/>
      <c r="C870" s="549"/>
      <c r="D870" s="1710"/>
      <c r="E870" s="1710"/>
      <c r="F870" s="1710"/>
      <c r="G870" s="1050"/>
    </row>
    <row r="871" spans="1:9" ht="12.75" customHeight="1">
      <c r="A871" s="706"/>
      <c r="B871" s="706"/>
      <c r="C871" s="549"/>
      <c r="D871" s="1710"/>
      <c r="E871" s="1710"/>
      <c r="F871" s="1710"/>
      <c r="G871" s="1050"/>
    </row>
    <row r="872" spans="1:9" ht="12.75" customHeight="1">
      <c r="A872" s="706"/>
      <c r="B872" s="706"/>
      <c r="C872" s="549"/>
      <c r="D872" s="1710"/>
      <c r="E872" s="1710"/>
      <c r="F872" s="1710"/>
      <c r="G872" s="1050"/>
    </row>
    <row r="873" spans="1:9" ht="12.75" customHeight="1">
      <c r="A873" s="706"/>
      <c r="B873" s="706"/>
      <c r="C873" s="549"/>
      <c r="D873" s="1710"/>
      <c r="E873" s="1710"/>
      <c r="F873" s="1710"/>
      <c r="G873" s="1050"/>
    </row>
    <row r="874" spans="1:9" ht="12.75" customHeight="1">
      <c r="A874" s="706"/>
      <c r="B874" s="706"/>
      <c r="C874" s="549"/>
      <c r="D874" s="1710"/>
      <c r="E874" s="1710"/>
      <c r="F874" s="1710"/>
      <c r="G874" s="1050"/>
    </row>
    <row r="875" spans="1:9" ht="12.75" customHeight="1">
      <c r="A875" s="706"/>
      <c r="B875" s="706"/>
      <c r="C875" s="549"/>
      <c r="D875" s="1021"/>
      <c r="E875" s="1049"/>
      <c r="F875" s="1049"/>
      <c r="G875" s="1050"/>
    </row>
    <row r="876" spans="1:9" ht="12.75" customHeight="1">
      <c r="A876" s="706"/>
      <c r="B876" s="790" t="s">
        <v>2529</v>
      </c>
      <c r="C876" s="549"/>
      <c r="D876" s="1775" t="s">
        <v>2095</v>
      </c>
      <c r="E876" s="1775"/>
      <c r="F876" s="1775"/>
      <c r="G876" s="1050"/>
      <c r="I876" s="1082" t="s">
        <v>2273</v>
      </c>
    </row>
    <row r="877" spans="1:9" ht="12.75" customHeight="1">
      <c r="A877" s="706"/>
      <c r="B877" s="706"/>
      <c r="C877" s="549"/>
      <c r="D877" s="1775" t="s">
        <v>2096</v>
      </c>
      <c r="E877" s="1775"/>
      <c r="F877" s="1775"/>
      <c r="G877" s="1050"/>
    </row>
    <row r="878" spans="1:9" ht="12.75" customHeight="1">
      <c r="A878" s="706"/>
      <c r="B878" s="706"/>
      <c r="C878" s="549"/>
      <c r="D878" s="5" t="s">
        <v>1454</v>
      </c>
      <c r="E878" s="1187" t="s">
        <v>2363</v>
      </c>
      <c r="F878" s="1195"/>
      <c r="G878" s="1050"/>
    </row>
    <row r="879" spans="1:9" ht="12.75" customHeight="1">
      <c r="A879" s="706"/>
      <c r="B879" s="706"/>
      <c r="C879" s="549"/>
      <c r="D879" s="1021"/>
      <c r="E879" s="1049"/>
      <c r="F879" s="1049"/>
      <c r="G879" s="1050"/>
    </row>
    <row r="880" spans="1:9" ht="12.75" customHeight="1">
      <c r="A880" s="706"/>
      <c r="B880" s="790" t="s">
        <v>2529</v>
      </c>
      <c r="C880" s="549"/>
      <c r="D880" s="1709" t="s">
        <v>2097</v>
      </c>
      <c r="E880" s="1709"/>
      <c r="F880" s="1709"/>
      <c r="G880" s="1050"/>
      <c r="I880" s="1082" t="s">
        <v>2291</v>
      </c>
    </row>
    <row r="881" spans="1:9" ht="12.75" customHeight="1">
      <c r="A881" s="706"/>
      <c r="B881" s="706"/>
      <c r="C881" s="549"/>
      <c r="D881" s="1709"/>
      <c r="E881" s="1709"/>
      <c r="F881" s="1709"/>
      <c r="G881" s="1050"/>
    </row>
    <row r="882" spans="1:9" ht="12.75" customHeight="1">
      <c r="A882" s="706"/>
      <c r="B882" s="706"/>
      <c r="C882" s="549"/>
      <c r="D882" s="1709"/>
      <c r="E882" s="1709"/>
      <c r="F882" s="1709"/>
      <c r="G882" s="1050"/>
    </row>
    <row r="883" spans="1:9" ht="12.75" customHeight="1">
      <c r="A883" s="706"/>
      <c r="B883" s="706"/>
      <c r="C883" s="549"/>
      <c r="D883" s="1709"/>
      <c r="E883" s="1709"/>
      <c r="F883" s="1709"/>
      <c r="G883" s="1050"/>
    </row>
    <row r="884" spans="1:9" ht="12.75" customHeight="1">
      <c r="A884" s="1022"/>
      <c r="B884" s="1022"/>
      <c r="C884" s="1051"/>
      <c r="D884" s="1049"/>
      <c r="E884" s="1049"/>
      <c r="F884" s="1049"/>
      <c r="G884" s="1050"/>
    </row>
    <row r="885" spans="1:9" ht="12.75" customHeight="1">
      <c r="A885" s="1778" t="s">
        <v>2136</v>
      </c>
      <c r="B885" s="1778"/>
      <c r="C885" s="1778"/>
      <c r="D885" s="1778"/>
      <c r="E885" s="1778"/>
      <c r="F885" s="1778"/>
      <c r="G885" s="1778"/>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68" t="s">
        <v>2142</v>
      </c>
      <c r="E887" s="1768"/>
      <c r="F887" s="1768"/>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2698</v>
      </c>
      <c r="C889" s="93"/>
      <c r="D889" s="1034" t="s">
        <v>2143</v>
      </c>
      <c r="E889" s="1029"/>
      <c r="F889" s="1029"/>
      <c r="G889" s="93"/>
      <c r="I889" s="1082" t="s">
        <v>2305</v>
      </c>
    </row>
    <row r="890" spans="1:9" s="1080" customFormat="1" ht="12.75" customHeight="1">
      <c r="A890" s="93"/>
      <c r="B890" s="93"/>
      <c r="C890" s="93"/>
      <c r="D890" s="1029"/>
      <c r="E890" s="1029"/>
      <c r="F890" s="1029"/>
      <c r="G890" s="93"/>
      <c r="I890" s="1082"/>
    </row>
    <row r="891" spans="1:9" ht="12.75" customHeight="1">
      <c r="A891" s="1053"/>
      <c r="B891" s="1053"/>
      <c r="C891" s="1051"/>
      <c r="D891" s="1768" t="s">
        <v>2137</v>
      </c>
      <c r="E891" s="1768"/>
      <c r="F891" s="1768"/>
      <c r="G891" s="1050"/>
    </row>
    <row r="892" spans="1:9" ht="12.75" customHeight="1">
      <c r="A892" s="1027"/>
      <c r="B892" s="1027"/>
      <c r="C892" s="1057"/>
      <c r="D892" s="1722" t="s">
        <v>2103</v>
      </c>
      <c r="E892" s="1722"/>
      <c r="F892" s="1722"/>
      <c r="G892" s="1050"/>
    </row>
    <row r="893" spans="1:9" ht="12.75" customHeight="1">
      <c r="A893" s="1067"/>
      <c r="B893" s="1067"/>
      <c r="C893" s="1051"/>
      <c r="D893" s="5"/>
      <c r="E893" s="1049"/>
      <c r="F893" s="1049"/>
      <c r="G893" s="1050"/>
    </row>
    <row r="894" spans="1:9" ht="12.75" customHeight="1">
      <c r="A894" s="706"/>
      <c r="B894" s="790" t="s">
        <v>2698</v>
      </c>
      <c r="C894" s="549"/>
      <c r="D894" s="1709" t="s">
        <v>2107</v>
      </c>
      <c r="E894" s="1709"/>
      <c r="F894" s="1709"/>
      <c r="G894" s="670"/>
      <c r="I894" s="1082" t="s">
        <v>2257</v>
      </c>
    </row>
    <row r="895" spans="1:9" ht="12.75" customHeight="1">
      <c r="A895" s="1053"/>
      <c r="B895" s="1053"/>
      <c r="C895" s="549"/>
      <c r="D895" s="1709"/>
      <c r="E895" s="1709"/>
      <c r="F895" s="1709"/>
      <c r="G895" s="670"/>
    </row>
    <row r="896" spans="1:9" s="1080" customFormat="1" ht="12.75" customHeight="1">
      <c r="A896" s="1123"/>
      <c r="B896" s="1123"/>
      <c r="C896" s="1057"/>
      <c r="D896" s="1709" t="s">
        <v>2106</v>
      </c>
      <c r="E896" s="1709"/>
      <c r="F896" s="1709"/>
      <c r="G896" s="1050"/>
      <c r="I896" s="1082"/>
    </row>
    <row r="897" spans="1:9" s="1080" customFormat="1" ht="12.75" customHeight="1">
      <c r="A897" s="1123"/>
      <c r="B897" s="1123"/>
      <c r="C897" s="1057"/>
      <c r="D897" s="1709"/>
      <c r="E897" s="1709"/>
      <c r="F897" s="1709"/>
      <c r="G897" s="1050"/>
      <c r="I897" s="1082"/>
    </row>
    <row r="898" spans="1:9" ht="12.75" customHeight="1">
      <c r="A898" s="1027"/>
      <c r="B898" s="1027"/>
      <c r="C898" s="1057"/>
      <c r="D898" s="6"/>
      <c r="E898" s="6"/>
      <c r="F898" s="1049"/>
      <c r="G898" s="1050"/>
    </row>
    <row r="899" spans="1:9" ht="12.75" customHeight="1">
      <c r="A899" s="400"/>
      <c r="B899" s="790" t="s">
        <v>2698</v>
      </c>
      <c r="C899" s="481"/>
      <c r="D899" s="1802" t="s">
        <v>2104</v>
      </c>
      <c r="E899" s="1802"/>
      <c r="F899" s="1802"/>
      <c r="G899" s="1050"/>
      <c r="I899" s="1082" t="s">
        <v>2256</v>
      </c>
    </row>
    <row r="900" spans="1:9" ht="12.75" customHeight="1">
      <c r="A900" s="400"/>
      <c r="B900" s="400"/>
      <c r="C900" s="481"/>
      <c r="D900" s="1802"/>
      <c r="E900" s="1802"/>
      <c r="F900" s="1802"/>
      <c r="G900" s="1050"/>
    </row>
    <row r="901" spans="1:9" ht="12.75" customHeight="1">
      <c r="A901" s="400"/>
      <c r="B901" s="400"/>
      <c r="C901" s="481"/>
      <c r="D901" s="1802"/>
      <c r="E901" s="1802"/>
      <c r="F901" s="1802"/>
      <c r="G901" s="1050"/>
    </row>
    <row r="902" spans="1:9" s="1080" customFormat="1" ht="12.75" customHeight="1">
      <c r="A902" s="400"/>
      <c r="B902" s="400"/>
      <c r="C902" s="481"/>
      <c r="D902" s="1802"/>
      <c r="E902" s="1802"/>
      <c r="F902" s="1802"/>
      <c r="G902" s="1050"/>
      <c r="I902" s="1082"/>
    </row>
    <row r="903" spans="1:9" ht="12.75" customHeight="1">
      <c r="A903" s="400"/>
      <c r="B903" s="400"/>
      <c r="C903" s="481"/>
      <c r="D903" s="1802"/>
      <c r="E903" s="1802"/>
      <c r="F903" s="1802"/>
      <c r="G903" s="1050"/>
    </row>
    <row r="904" spans="1:9" ht="12.75" customHeight="1">
      <c r="A904" s="482"/>
      <c r="B904" s="482"/>
      <c r="C904" s="481"/>
      <c r="D904" s="1802"/>
      <c r="E904" s="1802"/>
      <c r="F904" s="1802"/>
      <c r="G904" s="1050"/>
    </row>
    <row r="905" spans="1:9" ht="12.75" customHeight="1">
      <c r="A905" s="482"/>
      <c r="B905" s="482"/>
      <c r="C905" s="481"/>
      <c r="D905" s="1802"/>
      <c r="E905" s="1802"/>
      <c r="F905" s="1802"/>
      <c r="G905" s="1050"/>
    </row>
    <row r="906" spans="1:9" ht="12.75" customHeight="1">
      <c r="A906" s="482"/>
      <c r="B906" s="482"/>
      <c r="C906" s="481"/>
      <c r="D906" s="1802"/>
      <c r="E906" s="1802"/>
      <c r="F906" s="1802"/>
      <c r="G906" s="1050"/>
    </row>
    <row r="907" spans="1:9" s="1080" customFormat="1" ht="12.75" customHeight="1">
      <c r="A907" s="482"/>
      <c r="B907" s="482"/>
      <c r="C907" s="481"/>
      <c r="D907" s="1124"/>
      <c r="E907" s="1124"/>
      <c r="F907" s="1124"/>
      <c r="G907" s="1050"/>
      <c r="I907" s="1082"/>
    </row>
    <row r="908" spans="1:9" ht="12.75" customHeight="1">
      <c r="A908" s="1067"/>
      <c r="B908" s="790" t="s">
        <v>2529</v>
      </c>
      <c r="C908" s="1051"/>
      <c r="D908" s="1709" t="s">
        <v>2108</v>
      </c>
      <c r="E908" s="1709"/>
      <c r="F908" s="1709"/>
      <c r="G908" s="1050"/>
    </row>
    <row r="909" spans="1:9" ht="12.75" customHeight="1">
      <c r="A909" s="1067"/>
      <c r="B909" s="1067"/>
      <c r="C909" s="1051"/>
      <c r="D909" s="1709"/>
      <c r="E909" s="1709"/>
      <c r="F909" s="1709"/>
      <c r="G909" s="1050"/>
    </row>
    <row r="910" spans="1:9" ht="12.75" customHeight="1">
      <c r="A910" s="1067"/>
      <c r="B910" s="1067"/>
      <c r="C910" s="1051"/>
      <c r="D910" s="1049"/>
      <c r="E910" s="1049"/>
      <c r="F910" s="1049"/>
      <c r="G910" s="1050"/>
    </row>
    <row r="911" spans="1:9" ht="12.75" customHeight="1">
      <c r="A911" s="1067"/>
      <c r="B911" s="790" t="s">
        <v>2529</v>
      </c>
      <c r="C911" s="1051"/>
      <c r="D911" s="1766" t="s">
        <v>2109</v>
      </c>
      <c r="E911" s="1766"/>
      <c r="F911" s="1766"/>
      <c r="G911" s="1050"/>
    </row>
    <row r="912" spans="1:9" ht="12.75" customHeight="1">
      <c r="A912" s="1067"/>
      <c r="B912" s="1067"/>
      <c r="C912" s="1051"/>
      <c r="D912" s="1766"/>
      <c r="E912" s="1766"/>
      <c r="F912" s="1766"/>
      <c r="G912" s="1050"/>
    </row>
    <row r="913" spans="1:9" ht="12.75" customHeight="1">
      <c r="A913" s="1067"/>
      <c r="B913" s="1067"/>
      <c r="C913" s="1051"/>
      <c r="D913" s="1766"/>
      <c r="E913" s="1766"/>
      <c r="F913" s="1766"/>
      <c r="G913" s="1050"/>
    </row>
    <row r="914" spans="1:9" ht="12.75" customHeight="1">
      <c r="A914" s="1067"/>
      <c r="B914" s="1067"/>
      <c r="C914" s="1051"/>
      <c r="D914" s="1766"/>
      <c r="E914" s="1766"/>
      <c r="F914" s="1766"/>
      <c r="G914" s="1050"/>
    </row>
    <row r="915" spans="1:9" ht="12.75" customHeight="1">
      <c r="A915" s="1067"/>
      <c r="B915" s="1067"/>
      <c r="C915" s="1051"/>
      <c r="D915" s="1021"/>
      <c r="E915" s="1049"/>
      <c r="F915" s="1049"/>
      <c r="G915" s="1050"/>
    </row>
    <row r="916" spans="1:9" ht="12.75" customHeight="1">
      <c r="A916" s="1067"/>
      <c r="B916" s="790" t="s">
        <v>2529</v>
      </c>
      <c r="C916" s="1051"/>
      <c r="D916" s="1722" t="s">
        <v>2110</v>
      </c>
      <c r="E916" s="1722"/>
      <c r="F916" s="1722"/>
      <c r="G916" s="1050"/>
    </row>
    <row r="917" spans="1:9" ht="12.75" customHeight="1">
      <c r="A917" s="1067"/>
      <c r="B917" s="1067"/>
      <c r="C917" s="1051"/>
      <c r="D917" s="1021"/>
      <c r="E917" s="1049"/>
      <c r="F917" s="1049"/>
      <c r="G917" s="1050"/>
    </row>
    <row r="918" spans="1:9" ht="12.75" customHeight="1">
      <c r="A918" s="1067"/>
      <c r="B918" s="790" t="s">
        <v>2529</v>
      </c>
      <c r="C918" s="1051"/>
      <c r="D918" s="1722" t="s">
        <v>2111</v>
      </c>
      <c r="E918" s="1722"/>
      <c r="F918" s="1722"/>
      <c r="G918" s="1050"/>
    </row>
    <row r="919" spans="1:9" ht="12.75" customHeight="1">
      <c r="A919" s="482"/>
      <c r="B919" s="482"/>
      <c r="C919" s="481"/>
      <c r="D919" s="183"/>
      <c r="E919" s="670"/>
      <c r="F919" s="1050"/>
      <c r="G919" s="1050"/>
    </row>
    <row r="920" spans="1:9" ht="12.75" customHeight="1">
      <c r="A920" s="1063"/>
      <c r="B920" s="790" t="s">
        <v>2529</v>
      </c>
      <c r="C920" s="1064"/>
      <c r="D920" s="1802" t="s">
        <v>2105</v>
      </c>
      <c r="E920" s="1802"/>
      <c r="F920" s="1802"/>
      <c r="G920" s="1065"/>
      <c r="I920" s="1082" t="s">
        <v>2306</v>
      </c>
    </row>
    <row r="921" spans="1:9" ht="12.75" customHeight="1">
      <c r="A921" s="1063"/>
      <c r="B921" s="1063"/>
      <c r="C921" s="1064"/>
      <c r="D921" s="1802"/>
      <c r="E921" s="1802"/>
      <c r="F921" s="1802"/>
      <c r="G921" s="1065"/>
    </row>
    <row r="922" spans="1:9" ht="12.75" customHeight="1">
      <c r="A922" s="1063"/>
      <c r="B922" s="1063"/>
      <c r="C922" s="1064"/>
      <c r="D922" s="1802"/>
      <c r="E922" s="1802"/>
      <c r="F922" s="1802"/>
      <c r="G922" s="1065"/>
    </row>
    <row r="923" spans="1:9" ht="12.75" customHeight="1">
      <c r="A923" s="1063"/>
      <c r="B923" s="1063"/>
      <c r="C923" s="1064"/>
      <c r="D923" s="1802"/>
      <c r="E923" s="1802"/>
      <c r="F923" s="1802"/>
      <c r="G923" s="1065"/>
    </row>
    <row r="924" spans="1:9" ht="12.75" customHeight="1">
      <c r="A924" s="1063"/>
      <c r="B924" s="1063"/>
      <c r="C924" s="1064"/>
      <c r="D924" s="1802"/>
      <c r="E924" s="1802"/>
      <c r="F924" s="1802"/>
      <c r="G924" s="1065"/>
    </row>
    <row r="925" spans="1:9" ht="12.75" customHeight="1">
      <c r="A925" s="1063"/>
      <c r="B925" s="1063"/>
      <c r="C925" s="1064"/>
      <c r="D925" s="1802"/>
      <c r="E925" s="1802"/>
      <c r="F925" s="1802"/>
      <c r="G925" s="1065"/>
    </row>
    <row r="926" spans="1:9" ht="12.75" customHeight="1">
      <c r="A926" s="1063"/>
      <c r="B926" s="1063"/>
      <c r="C926" s="1064"/>
      <c r="D926" s="1802"/>
      <c r="E926" s="1802"/>
      <c r="F926" s="1802"/>
      <c r="G926" s="1065"/>
    </row>
    <row r="927" spans="1:9" ht="12.75" customHeight="1">
      <c r="A927" s="1063"/>
      <c r="B927" s="1063"/>
      <c r="C927" s="1064"/>
      <c r="D927" s="1802"/>
      <c r="E927" s="1802"/>
      <c r="F927" s="1802"/>
      <c r="G927" s="1065"/>
    </row>
    <row r="928" spans="1:9" ht="12.75" customHeight="1">
      <c r="A928" s="1063"/>
      <c r="B928" s="1063"/>
      <c r="C928" s="1064"/>
      <c r="D928" s="1802"/>
      <c r="E928" s="1802"/>
      <c r="F928" s="1802"/>
      <c r="G928" s="1065"/>
    </row>
    <row r="929" spans="1:9" ht="12.75" customHeight="1">
      <c r="A929" s="482"/>
      <c r="B929" s="482"/>
      <c r="C929" s="481"/>
      <c r="D929" s="183"/>
      <c r="E929" s="670"/>
      <c r="F929" s="1050"/>
      <c r="G929" s="1050"/>
    </row>
    <row r="930" spans="1:9" ht="12.75" customHeight="1">
      <c r="A930" s="400"/>
      <c r="B930" s="790" t="s">
        <v>2698</v>
      </c>
      <c r="C930" s="481"/>
      <c r="D930" s="1813" t="s">
        <v>2309</v>
      </c>
      <c r="E930" s="1813"/>
      <c r="F930" s="1813"/>
      <c r="G930" s="1050"/>
      <c r="I930" s="1082" t="s">
        <v>2306</v>
      </c>
    </row>
    <row r="931" spans="1:9" ht="12.75" customHeight="1">
      <c r="A931" s="400"/>
      <c r="B931" s="400"/>
      <c r="C931" s="481"/>
      <c r="D931" s="1813"/>
      <c r="E931" s="1813"/>
      <c r="F931" s="1813"/>
      <c r="G931" s="1050"/>
    </row>
    <row r="932" spans="1:9" ht="12.75" customHeight="1">
      <c r="A932" s="400"/>
      <c r="B932" s="400"/>
      <c r="C932" s="481"/>
      <c r="D932" s="1813"/>
      <c r="E932" s="1813"/>
      <c r="F932" s="1813"/>
      <c r="G932" s="1050"/>
    </row>
    <row r="933" spans="1:9" ht="12.75" customHeight="1">
      <c r="A933" s="400"/>
      <c r="B933" s="400"/>
      <c r="C933" s="481"/>
      <c r="D933" s="1813"/>
      <c r="E933" s="1813"/>
      <c r="F933" s="1813"/>
      <c r="G933" s="1050"/>
    </row>
    <row r="934" spans="1:9" ht="12.75" customHeight="1">
      <c r="A934" s="400"/>
      <c r="B934" s="400"/>
      <c r="C934" s="481"/>
      <c r="D934" s="1813"/>
      <c r="E934" s="1813"/>
      <c r="F934" s="1813"/>
      <c r="G934" s="1050"/>
    </row>
    <row r="935" spans="1:9" ht="12.75" customHeight="1">
      <c r="A935" s="400"/>
      <c r="B935" s="400"/>
      <c r="C935" s="481"/>
      <c r="D935" s="1813"/>
      <c r="E935" s="1813"/>
      <c r="F935" s="1813"/>
      <c r="G935" s="1050"/>
    </row>
    <row r="936" spans="1:9" ht="12.75" customHeight="1">
      <c r="A936" s="400"/>
      <c r="B936" s="400"/>
      <c r="C936" s="481"/>
      <c r="D936" s="1813"/>
      <c r="E936" s="1813"/>
      <c r="F936" s="1813"/>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2698</v>
      </c>
      <c r="C938" s="481"/>
      <c r="D938" s="1721" t="s">
        <v>2307</v>
      </c>
      <c r="E938" s="1721"/>
      <c r="F938" s="1721"/>
      <c r="G938" s="1050"/>
      <c r="I938" s="1082"/>
    </row>
    <row r="939" spans="1:9" s="1080" customFormat="1" ht="12.75" customHeight="1">
      <c r="A939" s="400"/>
      <c r="B939" s="400"/>
      <c r="C939" s="481"/>
      <c r="D939" s="1721"/>
      <c r="E939" s="1721"/>
      <c r="F939" s="1721"/>
      <c r="G939" s="1050"/>
      <c r="I939" s="1082"/>
    </row>
    <row r="940" spans="1:9" s="1080" customFormat="1" ht="12.75" customHeight="1">
      <c r="A940" s="400"/>
      <c r="B940" s="400"/>
      <c r="C940" s="481"/>
      <c r="D940" s="1721"/>
      <c r="E940" s="1721"/>
      <c r="F940" s="1721"/>
      <c r="G940" s="1050"/>
      <c r="I940" s="1082"/>
    </row>
    <row r="941" spans="1:9" s="1080" customFormat="1" ht="12.75" customHeight="1">
      <c r="A941" s="400"/>
      <c r="B941" s="400"/>
      <c r="C941" s="481"/>
      <c r="D941" s="1721"/>
      <c r="E941" s="1721"/>
      <c r="F941" s="1721"/>
      <c r="G941" s="1050"/>
      <c r="I941" s="1082"/>
    </row>
    <row r="942" spans="1:9" s="1080" customFormat="1" ht="12.75" customHeight="1">
      <c r="A942" s="400"/>
      <c r="B942" s="400"/>
      <c r="C942" s="481"/>
      <c r="D942" s="1721"/>
      <c r="E942" s="1721"/>
      <c r="F942" s="1721"/>
      <c r="G942" s="1050"/>
      <c r="I942" s="1082"/>
    </row>
    <row r="943" spans="1:9" s="1080" customFormat="1" ht="12.75" customHeight="1">
      <c r="A943" s="400"/>
      <c r="B943" s="400"/>
      <c r="C943" s="481"/>
      <c r="D943" s="1721"/>
      <c r="E943" s="1721"/>
      <c r="F943" s="1721"/>
      <c r="G943" s="1050"/>
      <c r="I943" s="1082"/>
    </row>
    <row r="944" spans="1:9" s="1080" customFormat="1" ht="12.75" customHeight="1">
      <c r="A944" s="400"/>
      <c r="B944" s="400"/>
      <c r="C944" s="481"/>
      <c r="D944" s="1125"/>
      <c r="E944" s="1125"/>
      <c r="F944" s="1125"/>
      <c r="G944" s="1050"/>
      <c r="I944" s="1082"/>
    </row>
    <row r="945" spans="1:9" ht="12.75" customHeight="1">
      <c r="A945" s="1067"/>
      <c r="B945" s="790" t="s">
        <v>2529</v>
      </c>
      <c r="C945" s="1051"/>
      <c r="D945" s="1803" t="s">
        <v>2112</v>
      </c>
      <c r="E945" s="1803"/>
      <c r="F945" s="1803"/>
      <c r="G945" s="1050"/>
    </row>
    <row r="946" spans="1:9" ht="12.75" customHeight="1">
      <c r="A946" s="1067"/>
      <c r="B946" s="1067"/>
      <c r="C946" s="1051"/>
      <c r="D946" s="1803"/>
      <c r="E946" s="1803"/>
      <c r="F946" s="1803"/>
      <c r="G946" s="1050"/>
    </row>
    <row r="947" spans="1:9" ht="12.75" customHeight="1">
      <c r="A947" s="1067"/>
      <c r="B947" s="1067"/>
      <c r="C947" s="1051"/>
      <c r="D947" s="1803"/>
      <c r="E947" s="1803"/>
      <c r="F947" s="1803"/>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2529</v>
      </c>
      <c r="C950" s="481"/>
      <c r="D950" s="1802" t="s">
        <v>2308</v>
      </c>
      <c r="E950" s="1802"/>
      <c r="F950" s="1802"/>
      <c r="G950" s="1050"/>
      <c r="I950" s="1082" t="s">
        <v>2306</v>
      </c>
    </row>
    <row r="951" spans="1:9" ht="12.75" customHeight="1">
      <c r="A951" s="400"/>
      <c r="B951" s="400"/>
      <c r="C951" s="481"/>
      <c r="D951" s="1802"/>
      <c r="E951" s="1802"/>
      <c r="F951" s="1802"/>
      <c r="G951" s="1050"/>
    </row>
    <row r="952" spans="1:9" ht="12.75" customHeight="1">
      <c r="A952" s="400"/>
      <c r="B952" s="400"/>
      <c r="C952" s="481"/>
      <c r="D952" s="1802"/>
      <c r="E952" s="1802"/>
      <c r="F952" s="1802"/>
      <c r="G952" s="1050"/>
    </row>
    <row r="953" spans="1:9" ht="12.75" customHeight="1">
      <c r="A953" s="400"/>
      <c r="B953" s="400"/>
      <c r="C953" s="481"/>
      <c r="D953" s="1802"/>
      <c r="E953" s="1802"/>
      <c r="F953" s="1802"/>
      <c r="G953" s="1050"/>
    </row>
    <row r="954" spans="1:9" ht="12.75" customHeight="1">
      <c r="A954" s="1069"/>
      <c r="B954" s="1069"/>
      <c r="C954" s="1055"/>
      <c r="D954" s="1018"/>
      <c r="E954" s="1018"/>
      <c r="F954" s="1018"/>
      <c r="G954" s="1018"/>
    </row>
    <row r="955" spans="1:9" ht="12.75" customHeight="1">
      <c r="A955" s="1053"/>
      <c r="B955" s="1053"/>
      <c r="C955" s="549"/>
      <c r="D955" s="1732" t="s">
        <v>2113</v>
      </c>
      <c r="E955" s="1732"/>
      <c r="F955" s="1732"/>
      <c r="G955" s="670"/>
    </row>
    <row r="956" spans="1:9" ht="12.75" customHeight="1">
      <c r="A956" s="706"/>
      <c r="B956" s="790" t="s">
        <v>2529</v>
      </c>
      <c r="C956" s="549"/>
      <c r="D956" s="1722" t="s">
        <v>2138</v>
      </c>
      <c r="E956" s="1722"/>
      <c r="F956" s="1722"/>
      <c r="G956" s="670"/>
      <c r="I956" s="1082" t="s">
        <v>2306</v>
      </c>
    </row>
    <row r="957" spans="1:9" ht="12.75" customHeight="1">
      <c r="A957" s="1053"/>
      <c r="B957" s="1053"/>
      <c r="C957" s="549"/>
      <c r="D957" s="6"/>
      <c r="E957" s="6"/>
      <c r="F957" s="6"/>
      <c r="G957" s="670"/>
    </row>
    <row r="958" spans="1:9" ht="12.75" customHeight="1">
      <c r="A958" s="1053"/>
      <c r="B958" s="1053"/>
      <c r="C958" s="549"/>
      <c r="D958" s="1732" t="s">
        <v>2114</v>
      </c>
      <c r="E958" s="1732"/>
      <c r="F958" s="1732"/>
      <c r="G958" s="669"/>
    </row>
    <row r="959" spans="1:9" ht="12.75" customHeight="1">
      <c r="A959" s="706"/>
      <c r="B959" s="790" t="s">
        <v>2529</v>
      </c>
      <c r="C959" s="549"/>
      <c r="D959" s="1709" t="s">
        <v>2115</v>
      </c>
      <c r="E959" s="1709"/>
      <c r="F959" s="1709"/>
      <c r="G959" s="669"/>
      <c r="I959" s="1082" t="s">
        <v>2306</v>
      </c>
    </row>
    <row r="960" spans="1:9" ht="12.75" customHeight="1">
      <c r="A960" s="706"/>
      <c r="B960" s="706"/>
      <c r="C960" s="549"/>
      <c r="D960" s="1709"/>
      <c r="E960" s="1709"/>
      <c r="F960" s="1709"/>
      <c r="G960" s="669"/>
    </row>
    <row r="961" spans="1:9" ht="12.75" customHeight="1">
      <c r="A961" s="706"/>
      <c r="B961" s="706"/>
      <c r="C961" s="549"/>
      <c r="D961" s="1709"/>
      <c r="E961" s="1709"/>
      <c r="F961" s="1709"/>
      <c r="G961" s="669"/>
    </row>
    <row r="962" spans="1:9" ht="12.75" customHeight="1">
      <c r="A962" s="706"/>
      <c r="B962" s="706"/>
      <c r="C962" s="549"/>
      <c r="D962" s="1709"/>
      <c r="E962" s="1709"/>
      <c r="F962" s="1709"/>
      <c r="G962" s="669"/>
    </row>
    <row r="963" spans="1:9" ht="12.75" customHeight="1">
      <c r="A963" s="706"/>
      <c r="B963" s="706"/>
      <c r="C963" s="549"/>
      <c r="D963" s="1709"/>
      <c r="E963" s="1709"/>
      <c r="F963" s="1709"/>
      <c r="G963" s="669"/>
    </row>
    <row r="964" spans="1:9" ht="12.75" customHeight="1">
      <c r="A964" s="706"/>
      <c r="B964" s="706"/>
      <c r="C964" s="549"/>
      <c r="D964" s="1709"/>
      <c r="E964" s="1709"/>
      <c r="F964" s="1709"/>
      <c r="G964" s="669"/>
    </row>
    <row r="965" spans="1:9" ht="12.75" customHeight="1">
      <c r="A965" s="706"/>
      <c r="B965" s="706"/>
      <c r="C965" s="549"/>
      <c r="D965" s="1709"/>
      <c r="E965" s="1709"/>
      <c r="F965" s="1709"/>
      <c r="G965" s="669"/>
    </row>
    <row r="966" spans="1:9" ht="12.75" customHeight="1">
      <c r="A966" s="706"/>
      <c r="B966" s="706"/>
      <c r="C966" s="549"/>
      <c r="D966" s="1709"/>
      <c r="E966" s="1709"/>
      <c r="F966" s="1709"/>
      <c r="G966" s="669"/>
    </row>
    <row r="967" spans="1:9" ht="12.75" customHeight="1">
      <c r="A967" s="706"/>
      <c r="B967" s="706"/>
      <c r="C967" s="549"/>
      <c r="D967" s="1709"/>
      <c r="E967" s="1709"/>
      <c r="F967" s="1709"/>
      <c r="G967" s="669"/>
    </row>
    <row r="968" spans="1:9" ht="12.75" customHeight="1">
      <c r="A968" s="706"/>
      <c r="B968" s="706"/>
      <c r="C968" s="549"/>
      <c r="D968" s="1709"/>
      <c r="E968" s="1709"/>
      <c r="F968" s="1709"/>
      <c r="G968" s="669"/>
    </row>
    <row r="969" spans="1:9" ht="12.75" customHeight="1">
      <c r="A969" s="706"/>
      <c r="B969" s="706"/>
      <c r="C969" s="549"/>
      <c r="D969" s="1709"/>
      <c r="E969" s="1709"/>
      <c r="F969" s="1709"/>
      <c r="G969" s="669"/>
    </row>
    <row r="970" spans="1:9" ht="12.75" customHeight="1">
      <c r="A970" s="706"/>
      <c r="B970" s="706"/>
      <c r="C970" s="549"/>
      <c r="D970" s="1709"/>
      <c r="E970" s="1709"/>
      <c r="F970" s="1709"/>
      <c r="G970" s="669"/>
    </row>
    <row r="971" spans="1:9" s="1080" customFormat="1" ht="12.75" customHeight="1">
      <c r="A971" s="706"/>
      <c r="B971" s="706"/>
      <c r="C971" s="549"/>
      <c r="D971" s="1709"/>
      <c r="E971" s="1709"/>
      <c r="F971" s="1709"/>
      <c r="G971" s="669"/>
      <c r="I971" s="1082"/>
    </row>
    <row r="972" spans="1:9" ht="12.75" customHeight="1">
      <c r="A972" s="706"/>
      <c r="B972" s="706"/>
      <c r="C972" s="549"/>
      <c r="D972" s="1709"/>
      <c r="E972" s="1709"/>
      <c r="F972" s="1709"/>
      <c r="G972" s="669"/>
    </row>
    <row r="973" spans="1:9" ht="12.75" customHeight="1">
      <c r="A973" s="706"/>
      <c r="B973" s="706"/>
      <c r="C973" s="549"/>
      <c r="D973" s="1709"/>
      <c r="E973" s="1709"/>
      <c r="F973" s="1709"/>
      <c r="G973" s="670"/>
    </row>
    <row r="974" spans="1:9" ht="12.75" customHeight="1">
      <c r="A974" s="1053"/>
      <c r="B974" s="1053"/>
      <c r="C974" s="549"/>
      <c r="D974" s="6"/>
      <c r="E974" s="6"/>
      <c r="F974" s="6"/>
      <c r="G974" s="670"/>
    </row>
    <row r="975" spans="1:9" ht="12.75" customHeight="1">
      <c r="A975" s="1778" t="s">
        <v>2116</v>
      </c>
      <c r="B975" s="1778"/>
      <c r="C975" s="1778"/>
      <c r="D975" s="1778"/>
      <c r="E975" s="1778"/>
      <c r="F975" s="1778"/>
      <c r="G975" s="1778"/>
      <c r="H975" s="1130"/>
      <c r="I975" s="1131"/>
    </row>
    <row r="976" spans="1:9" ht="12.75" customHeight="1">
      <c r="A976" s="1022"/>
      <c r="B976" s="1022"/>
      <c r="C976" s="549"/>
      <c r="D976" s="6"/>
      <c r="E976" s="6"/>
      <c r="F976" s="6"/>
      <c r="G976" s="670"/>
    </row>
    <row r="977" spans="1:9" ht="12.75" customHeight="1">
      <c r="A977" s="1053"/>
      <c r="B977" s="1053"/>
      <c r="C977" s="1051"/>
      <c r="D977" s="1732" t="s">
        <v>2139</v>
      </c>
      <c r="E977" s="1732"/>
      <c r="F977" s="1732"/>
      <c r="G977" s="670"/>
    </row>
    <row r="978" spans="1:9" ht="12.75" customHeight="1">
      <c r="A978" s="1027"/>
      <c r="B978" s="1027"/>
      <c r="C978" s="1057"/>
      <c r="D978" s="1722" t="s">
        <v>2117</v>
      </c>
      <c r="E978" s="1722"/>
      <c r="F978" s="1722"/>
      <c r="G978" s="670"/>
    </row>
    <row r="979" spans="1:9" ht="12.75" customHeight="1">
      <c r="A979" s="1027"/>
      <c r="B979" s="1027"/>
      <c r="C979" s="1057"/>
      <c r="D979" s="6"/>
      <c r="E979" s="6"/>
      <c r="F979" s="1049"/>
      <c r="G979" s="669"/>
    </row>
    <row r="980" spans="1:9" ht="12.75" customHeight="1">
      <c r="A980" s="1053"/>
      <c r="B980" s="790" t="s">
        <v>2698</v>
      </c>
      <c r="C980" s="549"/>
      <c r="D980" s="1811" t="s">
        <v>2382</v>
      </c>
      <c r="E980" s="1811"/>
      <c r="F980" s="1811"/>
      <c r="G980" s="669"/>
      <c r="I980" s="1082" t="s">
        <v>2286</v>
      </c>
    </row>
    <row r="981" spans="1:9" ht="12.75" customHeight="1">
      <c r="A981" s="1053"/>
      <c r="B981" s="1053"/>
      <c r="C981" s="549"/>
      <c r="D981" s="1811"/>
      <c r="E981" s="1811"/>
      <c r="F981" s="1811"/>
      <c r="G981" s="669"/>
    </row>
    <row r="982" spans="1:9" ht="12.75" customHeight="1">
      <c r="A982" s="1053"/>
      <c r="B982" s="1053"/>
      <c r="C982" s="549"/>
      <c r="D982" s="1192"/>
      <c r="E982" s="1187" t="s">
        <v>2383</v>
      </c>
      <c r="F982" s="1192"/>
      <c r="G982" s="669"/>
    </row>
    <row r="983" spans="1:9" ht="12.75" customHeight="1">
      <c r="A983" s="1038"/>
      <c r="B983" s="1038"/>
      <c r="C983" s="550"/>
      <c r="D983" s="1720" t="s">
        <v>2381</v>
      </c>
      <c r="E983" s="1720"/>
      <c r="F983" s="1720"/>
      <c r="G983" s="669"/>
    </row>
    <row r="984" spans="1:9" ht="12.75" customHeight="1">
      <c r="A984" s="1038"/>
      <c r="B984" s="1038"/>
      <c r="C984" s="550"/>
      <c r="D984" s="1720"/>
      <c r="E984" s="1720"/>
      <c r="F984" s="1720"/>
      <c r="G984" s="669"/>
    </row>
    <row r="985" spans="1:9" ht="12.75" customHeight="1">
      <c r="A985" s="712"/>
      <c r="B985" s="712"/>
      <c r="C985" s="313"/>
      <c r="D985" s="1720"/>
      <c r="E985" s="1720"/>
      <c r="F985" s="1720"/>
      <c r="G985" s="669"/>
    </row>
    <row r="986" spans="1:9" ht="12.75" customHeight="1">
      <c r="A986" s="712"/>
      <c r="B986" s="712"/>
      <c r="C986" s="313"/>
      <c r="D986" s="1720"/>
      <c r="E986" s="1720"/>
      <c r="F986" s="1720"/>
      <c r="G986" s="669"/>
    </row>
    <row r="987" spans="1:9" ht="12.75" customHeight="1">
      <c r="A987" s="712"/>
      <c r="B987" s="712"/>
      <c r="C987" s="313"/>
      <c r="D987" s="1019"/>
      <c r="E987" s="1019"/>
      <c r="F987" s="1019"/>
      <c r="G987" s="669"/>
    </row>
    <row r="988" spans="1:9" ht="12.75" customHeight="1">
      <c r="A988" s="712"/>
      <c r="B988" s="790" t="s">
        <v>2529</v>
      </c>
      <c r="C988" s="313"/>
      <c r="D988" s="1710" t="s">
        <v>2118</v>
      </c>
      <c r="E988" s="1710"/>
      <c r="F988" s="1710"/>
      <c r="G988" s="669"/>
    </row>
    <row r="989" spans="1:9" ht="12.75" customHeight="1">
      <c r="A989" s="712"/>
      <c r="B989" s="712"/>
      <c r="C989" s="313"/>
      <c r="D989" s="1710"/>
      <c r="E989" s="1710"/>
      <c r="F989" s="1710"/>
      <c r="G989" s="669"/>
    </row>
    <row r="990" spans="1:9" ht="12.75" customHeight="1">
      <c r="A990" s="712"/>
      <c r="B990" s="712"/>
      <c r="C990" s="313"/>
      <c r="D990" s="1710"/>
      <c r="E990" s="1710"/>
      <c r="F990" s="1710"/>
      <c r="G990" s="669"/>
    </row>
    <row r="991" spans="1:9" ht="12.75" customHeight="1">
      <c r="A991" s="712"/>
      <c r="B991" s="712"/>
      <c r="C991" s="313"/>
      <c r="D991" s="1710"/>
      <c r="E991" s="1710"/>
      <c r="F991" s="1710"/>
      <c r="G991" s="669"/>
    </row>
    <row r="992" spans="1:9" ht="12.75" customHeight="1">
      <c r="A992" s="712"/>
      <c r="B992" s="712"/>
      <c r="C992" s="313"/>
      <c r="D992" s="1017"/>
      <c r="E992" s="1017"/>
      <c r="F992" s="1017"/>
      <c r="G992" s="669"/>
    </row>
    <row r="993" spans="1:7" ht="12.75" customHeight="1">
      <c r="A993" s="712"/>
      <c r="B993" s="790" t="s">
        <v>2529</v>
      </c>
      <c r="C993" s="313"/>
      <c r="D993" s="1710" t="s">
        <v>2119</v>
      </c>
      <c r="E993" s="1710"/>
      <c r="F993" s="1710"/>
      <c r="G993" s="669"/>
    </row>
    <row r="994" spans="1:7" ht="12.75" customHeight="1">
      <c r="A994" s="712"/>
      <c r="B994" s="712"/>
      <c r="C994" s="313"/>
      <c r="D994" s="1710"/>
      <c r="E994" s="1710"/>
      <c r="F994" s="1710"/>
      <c r="G994" s="669"/>
    </row>
    <row r="995" spans="1:7" ht="12.75" customHeight="1">
      <c r="A995" s="712"/>
      <c r="B995" s="712"/>
      <c r="C995" s="313"/>
      <c r="D995" s="1017"/>
      <c r="E995" s="1017"/>
      <c r="F995" s="1017"/>
      <c r="G995" s="669"/>
    </row>
    <row r="996" spans="1:7" ht="12.75" customHeight="1">
      <c r="A996" s="706"/>
      <c r="B996" s="790" t="s">
        <v>2529</v>
      </c>
      <c r="C996" s="549"/>
      <c r="D996" s="1722" t="s">
        <v>2120</v>
      </c>
      <c r="E996" s="1722"/>
      <c r="F996" s="1722"/>
      <c r="G996" s="669"/>
    </row>
    <row r="997" spans="1:7" ht="12.75" customHeight="1">
      <c r="A997" s="1053"/>
      <c r="B997" s="1053"/>
      <c r="C997" s="549"/>
      <c r="D997" s="6"/>
      <c r="E997" s="6"/>
      <c r="F997" s="6"/>
      <c r="G997" s="669"/>
    </row>
    <row r="998" spans="1:7" ht="12.75" customHeight="1">
      <c r="A998" s="706"/>
      <c r="B998" s="790" t="s">
        <v>2529</v>
      </c>
      <c r="C998" s="549"/>
      <c r="D998" s="1722" t="s">
        <v>2121</v>
      </c>
      <c r="E998" s="1722"/>
      <c r="F998" s="1722"/>
      <c r="G998" s="669"/>
    </row>
    <row r="999" spans="1:7" ht="12.75" customHeight="1">
      <c r="A999" s="1053"/>
      <c r="B999" s="1053"/>
      <c r="C999" s="549"/>
      <c r="D999" s="1021"/>
      <c r="E999" s="6"/>
      <c r="F999" s="6"/>
      <c r="G999" s="669"/>
    </row>
    <row r="1000" spans="1:7" ht="12.75" customHeight="1">
      <c r="A1000" s="706"/>
      <c r="B1000" s="790" t="s">
        <v>2698</v>
      </c>
      <c r="C1000" s="549"/>
      <c r="D1000" s="1722" t="s">
        <v>2122</v>
      </c>
      <c r="E1000" s="1722"/>
      <c r="F1000" s="1722"/>
      <c r="G1000" s="669"/>
    </row>
    <row r="1001" spans="1:7" ht="12.75" customHeight="1">
      <c r="A1001" s="1053"/>
      <c r="B1001" s="1053"/>
      <c r="C1001" s="549"/>
      <c r="D1001" s="1021"/>
      <c r="E1001" s="6"/>
      <c r="F1001" s="6"/>
      <c r="G1001" s="669"/>
    </row>
    <row r="1002" spans="1:7" ht="12.75" customHeight="1">
      <c r="A1002" s="706"/>
      <c r="B1002" s="790" t="s">
        <v>2698</v>
      </c>
      <c r="C1002" s="549"/>
      <c r="D1002" s="1709" t="s">
        <v>2123</v>
      </c>
      <c r="E1002" s="1709"/>
      <c r="F1002" s="1709"/>
      <c r="G1002" s="669"/>
    </row>
    <row r="1003" spans="1:7" ht="12.75" customHeight="1">
      <c r="A1003" s="706"/>
      <c r="B1003" s="706"/>
      <c r="C1003" s="549"/>
      <c r="D1003" s="1709"/>
      <c r="E1003" s="1709"/>
      <c r="F1003" s="1709"/>
      <c r="G1003" s="669"/>
    </row>
    <row r="1004" spans="1:7" ht="12.75" customHeight="1">
      <c r="A1004" s="706"/>
      <c r="B1004" s="706"/>
      <c r="C1004" s="549"/>
      <c r="D1004" s="1021"/>
      <c r="E1004" s="6"/>
      <c r="F1004" s="6"/>
      <c r="G1004" s="670"/>
    </row>
    <row r="1005" spans="1:7" ht="12.75" customHeight="1">
      <c r="A1005" s="404"/>
      <c r="B1005" s="790" t="s">
        <v>2529</v>
      </c>
      <c r="C1005" s="1070"/>
      <c r="D1005" s="1776" t="s">
        <v>2124</v>
      </c>
      <c r="E1005" s="1776"/>
      <c r="F1005" s="1776"/>
      <c r="G1005" s="1071"/>
    </row>
    <row r="1006" spans="1:7" ht="12.75" customHeight="1">
      <c r="A1006" s="1070"/>
      <c r="B1006" s="1070"/>
      <c r="C1006" s="1070"/>
      <c r="D1006" s="1776"/>
      <c r="E1006" s="1776"/>
      <c r="F1006" s="1776"/>
      <c r="G1006" s="1071"/>
    </row>
    <row r="1007" spans="1:7" ht="12.75" customHeight="1">
      <c r="A1007" s="1070"/>
      <c r="B1007" s="1070"/>
      <c r="C1007" s="1070"/>
      <c r="D1007" s="1072"/>
      <c r="E1007" s="1073"/>
      <c r="F1007" s="1073"/>
      <c r="G1007" s="1071"/>
    </row>
    <row r="1008" spans="1:7" ht="12.75" customHeight="1">
      <c r="A1008" s="404"/>
      <c r="B1008" s="790" t="s">
        <v>2529</v>
      </c>
      <c r="C1008" s="1070"/>
      <c r="D1008" s="1810" t="s">
        <v>2125</v>
      </c>
      <c r="E1008" s="1810"/>
      <c r="F1008" s="1810"/>
      <c r="G1008" s="1071"/>
    </row>
    <row r="1009" spans="1:9" ht="12.75" customHeight="1">
      <c r="A1009" s="1070"/>
      <c r="B1009" s="1070"/>
      <c r="C1009" s="1070"/>
      <c r="D1009" s="1072"/>
      <c r="E1009" s="1073"/>
      <c r="F1009" s="1073"/>
      <c r="G1009" s="1071"/>
    </row>
    <row r="1010" spans="1:9" ht="12.75" customHeight="1">
      <c r="A1010" s="706"/>
      <c r="B1010" s="790" t="s">
        <v>2529</v>
      </c>
      <c r="C1010" s="549"/>
      <c r="D1010" s="1722" t="s">
        <v>2126</v>
      </c>
      <c r="E1010" s="1722"/>
      <c r="F1010" s="1722"/>
      <c r="G1010" s="670"/>
    </row>
    <row r="1011" spans="1:9" ht="12.75" customHeight="1">
      <c r="A1011" s="706"/>
      <c r="B1011" s="706"/>
      <c r="C1011" s="549"/>
      <c r="D1011" s="1021"/>
      <c r="E1011" s="6"/>
      <c r="F1011" s="6"/>
      <c r="G1011" s="670"/>
    </row>
    <row r="1012" spans="1:9" ht="12.75" customHeight="1">
      <c r="A1012" s="706"/>
      <c r="B1012" s="790" t="s">
        <v>2529</v>
      </c>
      <c r="C1012" s="549"/>
      <c r="D1012" s="1709" t="s">
        <v>2127</v>
      </c>
      <c r="E1012" s="1709"/>
      <c r="F1012" s="1709"/>
      <c r="G1012" s="670"/>
    </row>
    <row r="1013" spans="1:9" ht="12.75" customHeight="1">
      <c r="A1013" s="706"/>
      <c r="B1013" s="706"/>
      <c r="C1013" s="549"/>
      <c r="D1013" s="1709"/>
      <c r="E1013" s="1709"/>
      <c r="F1013" s="1709"/>
      <c r="G1013" s="670"/>
    </row>
    <row r="1014" spans="1:9" ht="12.75" customHeight="1">
      <c r="A1014" s="1053"/>
      <c r="B1014" s="1053"/>
      <c r="C1014" s="549"/>
      <c r="D1014" s="6"/>
      <c r="E1014" s="6"/>
      <c r="F1014" s="6"/>
      <c r="G1014" s="670"/>
    </row>
    <row r="1015" spans="1:9" ht="12.75" customHeight="1">
      <c r="A1015" s="1778" t="s">
        <v>2128</v>
      </c>
      <c r="B1015" s="1778"/>
      <c r="C1015" s="1778"/>
      <c r="D1015" s="1778"/>
      <c r="E1015" s="1778"/>
      <c r="F1015" s="1778"/>
      <c r="G1015" s="1778"/>
      <c r="H1015" s="1130"/>
      <c r="I1015" s="1131"/>
    </row>
    <row r="1016" spans="1:9" ht="12.75" customHeight="1">
      <c r="A1016" s="1053"/>
      <c r="B1016" s="1053"/>
      <c r="C1016" s="549"/>
      <c r="D1016" s="6"/>
      <c r="E1016" s="6"/>
      <c r="F1016" s="6"/>
      <c r="G1016" s="670"/>
    </row>
    <row r="1017" spans="1:9" ht="12.75" customHeight="1">
      <c r="A1017" s="1038"/>
      <c r="B1017" s="1038"/>
      <c r="C1017" s="550"/>
      <c r="D1017" s="1768" t="s">
        <v>2129</v>
      </c>
      <c r="E1017" s="1768"/>
      <c r="F1017" s="1768"/>
      <c r="G1017" s="670"/>
    </row>
    <row r="1018" spans="1:9" ht="12.75" customHeight="1">
      <c r="A1018" s="1038"/>
      <c r="B1018" s="1038"/>
      <c r="C1018" s="550"/>
      <c r="D1018" s="1801" t="s">
        <v>2130</v>
      </c>
      <c r="E1018" s="1801"/>
      <c r="F1018" s="1801"/>
      <c r="G1018" s="670"/>
    </row>
    <row r="1019" spans="1:9" ht="12.75" customHeight="1">
      <c r="A1019" s="666"/>
      <c r="B1019" s="666"/>
      <c r="C1019" s="1028"/>
      <c r="D1019" s="670"/>
      <c r="E1019" s="670"/>
      <c r="F1019" s="670"/>
      <c r="G1019" s="670"/>
    </row>
    <row r="1020" spans="1:9" ht="12.75" customHeight="1">
      <c r="A1020" s="706"/>
      <c r="B1020" s="706"/>
      <c r="C1020" s="313"/>
      <c r="D1020" s="1768" t="s">
        <v>2144</v>
      </c>
      <c r="E1020" s="1768"/>
      <c r="F1020" s="1768"/>
      <c r="G1020" s="670"/>
      <c r="I1020" s="1082" t="s">
        <v>2258</v>
      </c>
    </row>
    <row r="1021" spans="1:9" ht="12.75" customHeight="1">
      <c r="A1021" s="1053"/>
      <c r="B1021" s="790" t="s">
        <v>2698</v>
      </c>
      <c r="C1021" s="549"/>
      <c r="D1021" s="1801" t="s">
        <v>1455</v>
      </c>
      <c r="E1021" s="1801"/>
      <c r="F1021" s="1801"/>
      <c r="G1021" s="670"/>
    </row>
    <row r="1022" spans="1:9" s="1080" customFormat="1" ht="12.75" customHeight="1">
      <c r="A1022" s="1053"/>
      <c r="B1022" s="706"/>
      <c r="C1022" s="549"/>
      <c r="D1022" s="1797" t="s">
        <v>2131</v>
      </c>
      <c r="E1022" s="1797"/>
      <c r="F1022" s="1797"/>
      <c r="G1022" s="670"/>
      <c r="I1022" s="1082"/>
    </row>
    <row r="1023" spans="1:9" ht="12.75" customHeight="1">
      <c r="A1023" s="1053"/>
      <c r="B1023" s="1053"/>
      <c r="C1023" s="549"/>
      <c r="D1023" s="1801"/>
      <c r="E1023" s="1801"/>
      <c r="F1023" s="1801"/>
      <c r="G1023" s="670"/>
    </row>
    <row r="1024" spans="1:9" ht="12.75" customHeight="1">
      <c r="A1024" s="1798" t="s">
        <v>2140</v>
      </c>
      <c r="B1024" s="1798"/>
      <c r="C1024" s="1798"/>
      <c r="D1024" s="1798"/>
      <c r="E1024" s="1798"/>
      <c r="F1024" s="1798"/>
      <c r="G1024" s="1798"/>
      <c r="H1024" s="1130"/>
      <c r="I1024" s="1131"/>
    </row>
    <row r="1025" spans="1:9" ht="12.75" customHeight="1">
      <c r="A1025" s="254"/>
      <c r="B1025" s="254"/>
      <c r="C1025" s="1045"/>
      <c r="D1025" s="678"/>
      <c r="E1025" s="678"/>
      <c r="F1025" s="678"/>
      <c r="G1025" s="678"/>
    </row>
    <row r="1026" spans="1:9" ht="12.75" customHeight="1">
      <c r="A1026" s="254"/>
      <c r="B1026" s="1077"/>
      <c r="C1026" s="1084"/>
      <c r="D1026" s="1782" t="s">
        <v>1456</v>
      </c>
      <c r="E1026" s="1782"/>
      <c r="F1026" s="1782"/>
      <c r="G1026" s="678"/>
    </row>
    <row r="1027" spans="1:9" ht="12.75" customHeight="1">
      <c r="A1027" s="254"/>
      <c r="B1027" s="1083" t="s">
        <v>2698</v>
      </c>
      <c r="C1027" s="1084"/>
      <c r="D1027" s="1785" t="s">
        <v>1455</v>
      </c>
      <c r="E1027" s="1785"/>
      <c r="F1027" s="1785"/>
      <c r="G1027" s="678"/>
    </row>
    <row r="1028" spans="1:9" ht="12.75" customHeight="1">
      <c r="A1028" s="254"/>
      <c r="B1028" s="1080"/>
      <c r="C1028" s="1084"/>
      <c r="D1028" s="1785" t="s">
        <v>2141</v>
      </c>
      <c r="E1028" s="1785"/>
      <c r="F1028" s="1785"/>
      <c r="G1028" s="678"/>
    </row>
    <row r="1029" spans="1:9" s="1080" customFormat="1" ht="12.75" customHeight="1">
      <c r="A1029" s="254"/>
      <c r="C1029" s="1084"/>
      <c r="D1029" s="1078"/>
      <c r="E1029" s="1078"/>
      <c r="F1029" s="1078"/>
      <c r="G1029" s="678"/>
      <c r="I1029" s="1082"/>
    </row>
    <row r="1030" spans="1:9" ht="12.75" customHeight="1">
      <c r="A1030" s="254"/>
      <c r="B1030" s="254"/>
      <c r="C1030" s="1045"/>
      <c r="D1030" s="1799" t="s">
        <v>1153</v>
      </c>
      <c r="E1030" s="1799"/>
      <c r="F1030" s="1799"/>
      <c r="G1030" s="678"/>
      <c r="I1030" s="1082" t="s">
        <v>2287</v>
      </c>
    </row>
    <row r="1031" spans="1:9" ht="12.75" customHeight="1">
      <c r="A1031" s="496"/>
      <c r="B1031" s="496"/>
      <c r="C1031" s="495"/>
      <c r="D1031" s="1800" t="s">
        <v>1170</v>
      </c>
      <c r="E1031" s="1800"/>
      <c r="F1031" s="1800"/>
      <c r="G1031" s="1074"/>
    </row>
    <row r="1032" spans="1:9" ht="12.75" customHeight="1">
      <c r="A1032" s="706"/>
      <c r="B1032" s="1083" t="s">
        <v>2529</v>
      </c>
      <c r="C1032" s="550"/>
      <c r="D1032" s="1775" t="s">
        <v>1045</v>
      </c>
      <c r="E1032" s="1775"/>
      <c r="F1032" s="1775"/>
      <c r="G1032" s="670"/>
    </row>
    <row r="1033" spans="1:9" ht="12.75" customHeight="1">
      <c r="A1033" s="1038"/>
      <c r="B1033" s="1038"/>
      <c r="C1033" s="550"/>
      <c r="D1033" s="1187" t="s">
        <v>2384</v>
      </c>
      <c r="E1033" s="1042"/>
      <c r="F1033" s="1042"/>
      <c r="G1033" s="670"/>
    </row>
    <row r="1034" spans="1:9">
      <c r="A1034" s="782"/>
      <c r="B1034" s="782"/>
      <c r="C1034" s="782"/>
      <c r="D1034" s="782"/>
      <c r="E1034" s="782"/>
      <c r="F1034" s="782"/>
      <c r="G1034" s="782"/>
    </row>
    <row r="1035" spans="1:9">
      <c r="A1035" s="1798" t="s">
        <v>2161</v>
      </c>
      <c r="B1035" s="1798"/>
      <c r="C1035" s="1798"/>
      <c r="D1035" s="1798"/>
      <c r="E1035" s="1798"/>
      <c r="F1035" s="1798"/>
      <c r="G1035" s="1798"/>
      <c r="H1035" s="1130"/>
      <c r="I1035" s="1131"/>
    </row>
    <row r="1036" spans="1:9">
      <c r="A1036" s="782"/>
      <c r="B1036" s="782"/>
      <c r="C1036" s="782"/>
      <c r="D1036" s="782"/>
      <c r="E1036" s="782"/>
      <c r="F1036" s="782"/>
      <c r="G1036" s="782"/>
    </row>
    <row r="1037" spans="1:9">
      <c r="A1037" s="782"/>
      <c r="B1037" s="782"/>
      <c r="C1037" s="782"/>
      <c r="D1037" s="1082" t="s">
        <v>2147</v>
      </c>
      <c r="E1037" s="782"/>
      <c r="F1037" s="782"/>
      <c r="G1037" s="782"/>
    </row>
    <row r="1038" spans="1:9" s="1080" customFormat="1">
      <c r="D1038" s="1079" t="s">
        <v>2146</v>
      </c>
      <c r="I1038" s="1082"/>
    </row>
    <row r="1039" spans="1:9" s="1080" customFormat="1">
      <c r="D1039" s="1082"/>
      <c r="I1039" s="1082"/>
    </row>
    <row r="1040" spans="1:9">
      <c r="A1040" s="782"/>
      <c r="B1040" s="1083" t="s">
        <v>2529</v>
      </c>
      <c r="C1040" s="782"/>
      <c r="D1040" s="1806" t="s">
        <v>2145</v>
      </c>
      <c r="E1040" s="1806"/>
      <c r="F1040" s="1806"/>
      <c r="G1040" s="782"/>
      <c r="I1040" s="1082" t="s">
        <v>2259</v>
      </c>
    </row>
    <row r="1041" spans="1:9">
      <c r="A1041" s="782"/>
      <c r="B1041" s="782"/>
      <c r="C1041" s="782"/>
      <c r="D1041" s="1806"/>
      <c r="E1041" s="1806"/>
      <c r="F1041" s="1806"/>
      <c r="G1041" s="782"/>
    </row>
    <row r="1042" spans="1:9">
      <c r="A1042" s="782"/>
      <c r="B1042" s="782"/>
      <c r="C1042" s="782"/>
      <c r="D1042" s="1806"/>
      <c r="E1042" s="1806"/>
      <c r="F1042" s="1806"/>
      <c r="G1042" s="782"/>
    </row>
    <row r="1043" spans="1:9">
      <c r="A1043" s="782"/>
      <c r="B1043" s="782"/>
      <c r="C1043" s="782"/>
      <c r="D1043" s="1806"/>
      <c r="E1043" s="1806"/>
      <c r="F1043" s="1806"/>
      <c r="G1043" s="782"/>
    </row>
    <row r="1044" spans="1:9">
      <c r="A1044" s="782"/>
      <c r="B1044" s="782"/>
      <c r="C1044" s="782"/>
      <c r="D1044" s="782"/>
      <c r="E1044" s="782"/>
      <c r="F1044" s="782"/>
      <c r="G1044" s="782"/>
    </row>
    <row r="1045" spans="1:9">
      <c r="A1045" s="782"/>
      <c r="B1045" s="1080"/>
      <c r="C1045" s="782"/>
      <c r="D1045" s="1082" t="s">
        <v>1514</v>
      </c>
      <c r="E1045" s="782"/>
      <c r="F1045" s="782"/>
      <c r="G1045" s="782"/>
    </row>
    <row r="1046" spans="1:9">
      <c r="A1046" s="782"/>
      <c r="B1046" s="782"/>
      <c r="C1046" s="782"/>
      <c r="D1046" s="1080" t="s">
        <v>2148</v>
      </c>
      <c r="E1046" s="782"/>
      <c r="F1046" s="782"/>
      <c r="G1046" s="782"/>
    </row>
    <row r="1047" spans="1:9">
      <c r="A1047" s="782"/>
      <c r="B1047" s="782"/>
      <c r="C1047" s="782"/>
      <c r="D1047" s="782"/>
      <c r="E1047" s="782"/>
      <c r="F1047" s="782"/>
      <c r="G1047" s="782"/>
    </row>
    <row r="1048" spans="1:9">
      <c r="A1048" s="782"/>
      <c r="B1048" s="1083" t="s">
        <v>2698</v>
      </c>
      <c r="C1048" s="782"/>
      <c r="D1048" s="1080" t="s">
        <v>2143</v>
      </c>
      <c r="E1048" s="782"/>
      <c r="F1048" s="782"/>
      <c r="G1048" s="782"/>
      <c r="I1048" s="1082" t="s">
        <v>2260</v>
      </c>
    </row>
    <row r="1049" spans="1:9">
      <c r="A1049" s="782"/>
      <c r="B1049" s="782"/>
      <c r="C1049" s="782"/>
      <c r="D1049" s="782"/>
      <c r="E1049" s="782"/>
      <c r="F1049" s="782"/>
      <c r="G1049" s="782"/>
    </row>
    <row r="1050" spans="1:9">
      <c r="A1050" s="782"/>
      <c r="B1050" s="1083" t="s">
        <v>2698</v>
      </c>
      <c r="C1050" s="782"/>
      <c r="D1050" s="1806" t="s">
        <v>2149</v>
      </c>
      <c r="E1050" s="1806"/>
      <c r="F1050" s="1806"/>
      <c r="G1050" s="782"/>
      <c r="I1050" s="1082" t="s">
        <v>2261</v>
      </c>
    </row>
    <row r="1051" spans="1:9">
      <c r="A1051" s="782"/>
      <c r="B1051" s="782"/>
      <c r="C1051" s="782"/>
      <c r="D1051" s="1806"/>
      <c r="E1051" s="1806"/>
      <c r="F1051" s="1806"/>
      <c r="G1051" s="782"/>
    </row>
    <row r="1052" spans="1:9">
      <c r="A1052" s="782"/>
      <c r="B1052" s="782"/>
      <c r="C1052" s="782"/>
      <c r="D1052" s="1806"/>
      <c r="E1052" s="1806"/>
      <c r="F1052" s="1806"/>
      <c r="G1052" s="782"/>
    </row>
    <row r="1053" spans="1:9">
      <c r="A1053" s="782"/>
      <c r="B1053" s="782"/>
      <c r="C1053" s="782"/>
      <c r="D1053" s="1806"/>
      <c r="E1053" s="1806"/>
      <c r="F1053" s="1806"/>
      <c r="G1053" s="782"/>
    </row>
    <row r="1054" spans="1:9">
      <c r="A1054" s="782"/>
      <c r="B1054" s="782"/>
      <c r="C1054" s="782"/>
      <c r="D1054" s="1806"/>
      <c r="E1054" s="1806"/>
      <c r="F1054" s="1806"/>
      <c r="G1054" s="782"/>
    </row>
    <row r="1055" spans="1:9">
      <c r="A1055" s="782"/>
      <c r="B1055" s="782"/>
      <c r="C1055" s="782"/>
      <c r="D1055" s="782"/>
      <c r="E1055" s="782"/>
      <c r="F1055" s="782"/>
      <c r="G1055" s="782"/>
    </row>
    <row r="1056" spans="1:9">
      <c r="A1056" s="1798" t="s">
        <v>2150</v>
      </c>
      <c r="B1056" s="1798"/>
      <c r="C1056" s="1798"/>
      <c r="D1056" s="1798"/>
      <c r="E1056" s="1798"/>
      <c r="F1056" s="1798"/>
      <c r="G1056" s="1798"/>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2698</v>
      </c>
      <c r="C1059" s="782"/>
      <c r="D1059" s="1076" t="s">
        <v>2153</v>
      </c>
      <c r="E1059" s="1079"/>
      <c r="F1059" s="782"/>
      <c r="G1059" s="782"/>
      <c r="I1059" s="1082" t="s">
        <v>2262</v>
      </c>
    </row>
    <row r="1060" spans="1:9">
      <c r="A1060" s="782"/>
      <c r="B1060" s="782"/>
      <c r="C1060" s="782"/>
      <c r="D1060" s="1076" t="s">
        <v>2155</v>
      </c>
      <c r="E1060" s="1079"/>
      <c r="F1060" s="782"/>
      <c r="G1060" s="782"/>
    </row>
    <row r="1061" spans="1:9" s="1080" customFormat="1">
      <c r="D1061" s="1076"/>
      <c r="E1061" s="1079"/>
      <c r="I1061" s="1082"/>
    </row>
    <row r="1062" spans="1:9">
      <c r="A1062" s="782"/>
      <c r="B1062" s="1083" t="s">
        <v>2529</v>
      </c>
      <c r="C1062" s="782"/>
      <c r="D1062" s="1076" t="s">
        <v>2156</v>
      </c>
      <c r="E1062" s="1079"/>
      <c r="F1062" s="782"/>
      <c r="G1062" s="782"/>
      <c r="I1062" s="1082" t="s">
        <v>2263</v>
      </c>
    </row>
    <row r="1063" spans="1:9" s="1080" customFormat="1">
      <c r="D1063" s="1076" t="s">
        <v>2154</v>
      </c>
      <c r="E1063" s="1079"/>
      <c r="I1063" s="1082"/>
    </row>
    <row r="1064" spans="1:9" s="1080" customFormat="1">
      <c r="D1064" s="1076"/>
      <c r="E1064" s="1079"/>
      <c r="I1064" s="1082"/>
    </row>
    <row r="1065" spans="1:9">
      <c r="A1065" s="782"/>
      <c r="B1065" s="1083" t="s">
        <v>2529</v>
      </c>
      <c r="C1065" s="782"/>
      <c r="D1065" s="1075" t="s">
        <v>2159</v>
      </c>
      <c r="E1065" s="1079"/>
      <c r="F1065" s="782"/>
      <c r="G1065" s="782"/>
      <c r="I1065" s="1082" t="s">
        <v>2264</v>
      </c>
    </row>
    <row r="1066" spans="1:9" s="1080" customFormat="1">
      <c r="D1066" s="1807" t="s">
        <v>2160</v>
      </c>
      <c r="E1066" s="1807"/>
      <c r="F1066" s="1807"/>
      <c r="I1066" s="1082"/>
    </row>
    <row r="1067" spans="1:9" s="1080" customFormat="1">
      <c r="D1067" s="1807"/>
      <c r="E1067" s="1807"/>
      <c r="F1067" s="1807"/>
      <c r="I1067" s="1082"/>
    </row>
    <row r="1068" spans="1:9" s="1080" customFormat="1">
      <c r="D1068" s="1807"/>
      <c r="E1068" s="1807"/>
      <c r="F1068" s="1807"/>
      <c r="I1068" s="1082"/>
    </row>
    <row r="1069" spans="1:9" s="1080" customFormat="1">
      <c r="D1069" s="1807"/>
      <c r="E1069" s="1807"/>
      <c r="F1069" s="1807"/>
      <c r="I1069" s="1082"/>
    </row>
    <row r="1070" spans="1:9" s="1080" customFormat="1">
      <c r="D1070" s="1075" t="s">
        <v>2158</v>
      </c>
      <c r="E1070" s="1079"/>
      <c r="I1070" s="1082"/>
    </row>
    <row r="1071" spans="1:9" s="1080" customFormat="1">
      <c r="D1071" s="1075"/>
      <c r="E1071" s="1079"/>
      <c r="I1071" s="1082"/>
    </row>
    <row r="1072" spans="1:9">
      <c r="A1072" s="782"/>
      <c r="B1072" s="782"/>
      <c r="C1072" s="782"/>
      <c r="D1072" s="1076" t="s">
        <v>2151</v>
      </c>
      <c r="E1072" s="1079"/>
      <c r="F1072" s="782"/>
      <c r="G1072" s="782"/>
      <c r="I1072" s="1082" t="s">
        <v>2265</v>
      </c>
    </row>
    <row r="1073" spans="1:9">
      <c r="A1073" s="782"/>
      <c r="B1073" s="1083" t="s">
        <v>2529</v>
      </c>
      <c r="C1073" s="782"/>
      <c r="D1073" s="1804" t="s">
        <v>2152</v>
      </c>
      <c r="E1073" s="1804"/>
      <c r="F1073" s="1804"/>
      <c r="G1073" s="782"/>
    </row>
    <row r="1074" spans="1:9" s="1080" customFormat="1">
      <c r="D1074" s="1804"/>
      <c r="E1074" s="1804"/>
      <c r="F1074" s="1804"/>
      <c r="I1074" s="1082"/>
    </row>
    <row r="1075" spans="1:9" s="1080" customFormat="1">
      <c r="D1075" s="1804"/>
      <c r="E1075" s="1804"/>
      <c r="F1075" s="1804"/>
      <c r="I1075" s="1082"/>
    </row>
    <row r="1076" spans="1:9" s="1080" customFormat="1">
      <c r="D1076" s="1804"/>
      <c r="E1076" s="1804"/>
      <c r="F1076" s="1804"/>
      <c r="I1076" s="1082"/>
    </row>
    <row r="1077" spans="1:9">
      <c r="A1077" s="782"/>
      <c r="B1077" s="782"/>
      <c r="C1077" s="782"/>
      <c r="D1077" s="1804"/>
      <c r="E1077" s="1804"/>
      <c r="F1077" s="1804"/>
      <c r="G1077" s="782"/>
    </row>
    <row r="1078" spans="1:9">
      <c r="A1078" s="782"/>
      <c r="B1078" s="782"/>
      <c r="C1078" s="782"/>
      <c r="D1078" s="1076" t="s">
        <v>2157</v>
      </c>
      <c r="E1078" s="782"/>
      <c r="F1078" s="782"/>
      <c r="G1078" s="782"/>
    </row>
    <row r="1079" spans="1:9">
      <c r="A1079" s="782"/>
      <c r="B1079" s="782"/>
      <c r="C1079" s="782"/>
      <c r="D1079" s="782"/>
      <c r="E1079" s="782"/>
      <c r="F1079" s="782"/>
      <c r="G1079" s="782"/>
    </row>
    <row r="1080" spans="1:9">
      <c r="A1080" s="1798" t="s">
        <v>2162</v>
      </c>
      <c r="B1080" s="1798"/>
      <c r="C1080" s="1798"/>
      <c r="D1080" s="1798"/>
      <c r="E1080" s="1798"/>
      <c r="F1080" s="1798"/>
      <c r="G1080" s="1798"/>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2529</v>
      </c>
      <c r="C1083" s="782"/>
      <c r="D1083" s="1808" t="s">
        <v>2398</v>
      </c>
      <c r="E1083" s="1808"/>
      <c r="F1083" s="1808"/>
      <c r="G1083" s="782"/>
      <c r="I1083" s="1082" t="s">
        <v>2266</v>
      </c>
    </row>
    <row r="1084" spans="1:9" s="1080" customFormat="1">
      <c r="D1084" s="1808"/>
      <c r="E1084" s="1808"/>
      <c r="F1084" s="1808"/>
      <c r="I1084" s="1082"/>
    </row>
    <row r="1085" spans="1:9" s="1080" customFormat="1">
      <c r="D1085" s="1809" t="s">
        <v>2397</v>
      </c>
      <c r="E1085" s="1807"/>
      <c r="F1085" s="1807"/>
      <c r="I1085" s="1082"/>
    </row>
    <row r="1086" spans="1:9" s="1080" customFormat="1">
      <c r="D1086" s="1076"/>
      <c r="I1086" s="1082"/>
    </row>
    <row r="1087" spans="1:9">
      <c r="A1087" s="782"/>
      <c r="B1087" s="1083" t="s">
        <v>2529</v>
      </c>
      <c r="C1087" s="782"/>
      <c r="D1087" s="1804" t="s">
        <v>2163</v>
      </c>
      <c r="E1087" s="1804"/>
      <c r="F1087" s="1804"/>
      <c r="G1087" s="782"/>
      <c r="I1087" s="1082" t="s">
        <v>2267</v>
      </c>
    </row>
    <row r="1088" spans="1:9" s="1080" customFormat="1">
      <c r="D1088" s="1804"/>
      <c r="E1088" s="1804"/>
      <c r="F1088" s="1804"/>
      <c r="I1088" s="1082"/>
    </row>
    <row r="1089" spans="1:9" s="1080" customFormat="1">
      <c r="D1089" s="1076"/>
      <c r="I1089" s="1082"/>
    </row>
    <row r="1090" spans="1:9">
      <c r="A1090" s="782"/>
      <c r="B1090" s="1083" t="s">
        <v>2529</v>
      </c>
      <c r="C1090" s="782"/>
      <c r="D1090" s="1804" t="s">
        <v>2312</v>
      </c>
      <c r="E1090" s="1804"/>
      <c r="F1090" s="1804"/>
      <c r="G1090" s="782"/>
      <c r="I1090" s="1082" t="s">
        <v>2310</v>
      </c>
    </row>
    <row r="1091" spans="1:9" s="1080" customFormat="1">
      <c r="D1091" s="1804"/>
      <c r="E1091" s="1804"/>
      <c r="F1091" s="1804"/>
      <c r="I1091" s="1082"/>
    </row>
    <row r="1092" spans="1:9" s="1080" customFormat="1">
      <c r="D1092" s="1804"/>
      <c r="E1092" s="1804"/>
      <c r="F1092" s="1804"/>
      <c r="I1092" s="1082"/>
    </row>
    <row r="1093" spans="1:9" s="1080" customFormat="1">
      <c r="D1093" s="1804"/>
      <c r="E1093" s="1804"/>
      <c r="F1093" s="1804"/>
      <c r="I1093" s="1082"/>
    </row>
    <row r="1094" spans="1:9" s="1080" customFormat="1">
      <c r="D1094" s="1804"/>
      <c r="E1094" s="1804"/>
      <c r="F1094" s="1804"/>
      <c r="I1094" s="1082"/>
    </row>
    <row r="1095" spans="1:9" s="1080" customFormat="1">
      <c r="D1095" s="1804"/>
      <c r="E1095" s="1804"/>
      <c r="F1095" s="1804"/>
      <c r="I1095" s="1082"/>
    </row>
    <row r="1096" spans="1:9" s="1081" customFormat="1">
      <c r="B1096" s="1080"/>
      <c r="D1096" s="1076" t="s">
        <v>2311</v>
      </c>
    </row>
    <row r="1097" spans="1:9">
      <c r="A1097" s="782"/>
      <c r="B1097" s="1083" t="s">
        <v>2529</v>
      </c>
      <c r="C1097" s="782"/>
      <c r="D1097" s="1804" t="s">
        <v>2164</v>
      </c>
      <c r="E1097" s="1804"/>
      <c r="F1097" s="1804"/>
      <c r="G1097" s="782"/>
      <c r="I1097" s="1114" t="s">
        <v>2268</v>
      </c>
    </row>
    <row r="1098" spans="1:9" s="1080" customFormat="1">
      <c r="D1098" s="1804"/>
      <c r="E1098" s="1804"/>
      <c r="F1098" s="1804"/>
      <c r="I1098" s="1082"/>
    </row>
    <row r="1099" spans="1:9" s="1080" customFormat="1">
      <c r="D1099" s="1804"/>
      <c r="E1099" s="1804"/>
      <c r="F1099" s="1804"/>
      <c r="I1099" s="1082"/>
    </row>
    <row r="1100" spans="1:9" s="1080" customFormat="1">
      <c r="D1100" s="1076"/>
      <c r="I1100" s="1082"/>
    </row>
    <row r="1101" spans="1:9">
      <c r="A1101" s="782"/>
      <c r="B1101" s="1083" t="s">
        <v>2698</v>
      </c>
      <c r="C1101" s="782"/>
      <c r="D1101" s="1805" t="s">
        <v>2313</v>
      </c>
      <c r="E1101" s="1805"/>
      <c r="F1101" s="1805"/>
      <c r="G1101" s="782"/>
      <c r="I1101" s="1082" t="s">
        <v>2269</v>
      </c>
    </row>
    <row r="1102" spans="1:9">
      <c r="A1102" s="782"/>
      <c r="B1102" s="782"/>
      <c r="C1102" s="782"/>
      <c r="D1102" s="1805"/>
      <c r="E1102" s="1805"/>
      <c r="F1102" s="1805"/>
      <c r="G1102" s="782"/>
    </row>
    <row r="1103" spans="1:9">
      <c r="A1103" s="782"/>
      <c r="B1103" s="782"/>
      <c r="C1103" s="782"/>
      <c r="D1103" s="1805"/>
      <c r="E1103" s="1805"/>
      <c r="F1103" s="1805"/>
      <c r="G1103" s="782"/>
    </row>
    <row r="1104" spans="1:9" s="1080" customFormat="1">
      <c r="D1104" s="1126"/>
      <c r="E1104" s="1126"/>
      <c r="F1104" s="1126"/>
      <c r="I1104" s="1082"/>
    </row>
    <row r="1105" spans="1:9" s="1080" customFormat="1" ht="15.75" customHeight="1">
      <c r="B1105" s="1083" t="s">
        <v>2529</v>
      </c>
      <c r="D1105" s="1710" t="s">
        <v>2315</v>
      </c>
      <c r="E1105" s="1710"/>
      <c r="F1105" s="1710"/>
      <c r="I1105" s="1082" t="s">
        <v>2314</v>
      </c>
    </row>
    <row r="1106" spans="1:9" s="1080" customFormat="1">
      <c r="D1106" s="1710"/>
      <c r="E1106" s="1710"/>
      <c r="F1106" s="1710"/>
      <c r="I1106" s="1082"/>
    </row>
    <row r="1107" spans="1:9" s="1080" customFormat="1">
      <c r="D1107" s="1710"/>
      <c r="E1107" s="1710"/>
      <c r="F1107" s="1710"/>
      <c r="I1107" s="1082"/>
    </row>
    <row r="1108" spans="1:9" s="1080" customFormat="1">
      <c r="D1108" s="1710"/>
      <c r="E1108" s="1710"/>
      <c r="F1108" s="1710"/>
      <c r="I1108" s="1082"/>
    </row>
    <row r="1109" spans="1:9" s="1080" customFormat="1">
      <c r="D1109" s="1126"/>
      <c r="E1109" s="1126"/>
      <c r="F1109" s="1126"/>
      <c r="I1109" s="1082"/>
    </row>
    <row r="1110" spans="1:9" ht="38.25">
      <c r="A1110" s="782"/>
      <c r="B1110" s="782"/>
      <c r="C1110" s="782"/>
      <c r="D1110" s="782"/>
      <c r="E1110" s="782"/>
      <c r="F1110" s="782"/>
      <c r="G1110" s="782"/>
      <c r="I1110" s="1121" t="s">
        <v>2316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46"/>
      <c r="H1523" s="1746"/>
      <c r="I1523" s="174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pYx97fI5FD+j6MwMv1RciFmWZROUIs2qyKWAZ76pRpo52xVKrS9NYvkP2KN8g7vLBE/Q1xI7wuKYcBzTeRWprw==" saltValue="f0Ac27yTuIH+hxzuhdcXv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O13" sqref="AO1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137" t="s">
        <v>105</v>
      </c>
      <c r="B8" s="2137"/>
      <c r="C8" s="2137"/>
      <c r="D8" s="2137"/>
      <c r="E8" s="2137"/>
      <c r="F8" s="2137"/>
      <c r="G8" s="2137"/>
      <c r="H8" s="2137"/>
      <c r="I8" s="2137"/>
      <c r="J8" s="2137"/>
      <c r="K8" s="2137"/>
      <c r="L8" s="2137"/>
      <c r="M8" s="2137"/>
      <c r="N8" s="2137"/>
      <c r="O8" s="2137"/>
      <c r="P8" s="2137"/>
      <c r="Q8" s="2137"/>
      <c r="R8" s="2137"/>
      <c r="S8" s="2137"/>
      <c r="T8" s="2137"/>
      <c r="U8" s="2137"/>
      <c r="V8" s="2137"/>
      <c r="W8" s="2137"/>
      <c r="X8" s="2137"/>
      <c r="Y8" s="2137"/>
      <c r="Z8" s="2137"/>
      <c r="AA8" s="2137"/>
      <c r="AB8" s="2137"/>
      <c r="AC8" s="2137"/>
      <c r="AD8" s="2137"/>
      <c r="AE8" s="2137"/>
      <c r="AF8" s="2137"/>
      <c r="AG8" s="2137"/>
      <c r="AH8" s="2137"/>
      <c r="AI8" s="2137"/>
      <c r="AJ8" s="2137"/>
      <c r="AK8" s="2137"/>
      <c r="AL8" s="2137"/>
      <c r="AM8" s="949"/>
      <c r="AN8" s="949"/>
      <c r="AO8" s="949"/>
      <c r="AP8" s="949"/>
      <c r="AQ8" s="949"/>
      <c r="AR8" s="949"/>
      <c r="AS8" s="949"/>
      <c r="AT8" s="949"/>
      <c r="AU8" s="949"/>
      <c r="AV8" s="949"/>
      <c r="AW8" s="949"/>
      <c r="AX8" s="949"/>
      <c r="AY8" s="949"/>
    </row>
    <row r="9" spans="1:96" s="711" customFormat="1" ht="12.75">
      <c r="A9" s="2299" t="s">
        <v>2611</v>
      </c>
      <c r="B9" s="2299"/>
      <c r="C9" s="2299"/>
      <c r="D9" s="2299"/>
      <c r="E9" s="2299"/>
      <c r="F9" s="2299"/>
      <c r="G9" s="2299"/>
      <c r="H9" s="2299"/>
      <c r="I9" s="2299"/>
      <c r="J9" s="2299"/>
      <c r="K9" s="2299"/>
      <c r="L9" s="2299"/>
      <c r="M9" s="2299"/>
      <c r="N9" s="2299"/>
      <c r="O9" s="2299"/>
      <c r="P9" s="2299"/>
      <c r="Q9" s="2299"/>
      <c r="R9" s="2299"/>
      <c r="S9" s="2299"/>
      <c r="T9" s="2299"/>
      <c r="U9" s="2299"/>
      <c r="V9" s="2299"/>
      <c r="W9" s="2299"/>
      <c r="X9" s="2299"/>
      <c r="Y9" s="2299"/>
      <c r="Z9" s="2299"/>
      <c r="AA9" s="2299"/>
      <c r="AB9" s="2299"/>
      <c r="AC9" s="2299"/>
      <c r="AD9" s="2299"/>
      <c r="AE9" s="2299"/>
      <c r="AF9" s="2299"/>
      <c r="AG9" s="2299"/>
      <c r="AH9" s="2299"/>
      <c r="AI9" s="2299"/>
      <c r="AJ9" s="2299"/>
      <c r="AK9" s="2299"/>
      <c r="AL9" s="2299"/>
      <c r="AM9" s="933"/>
      <c r="AN9" s="933"/>
      <c r="AO9" s="933"/>
      <c r="AP9" s="933"/>
      <c r="AQ9" s="933"/>
      <c r="AR9" s="933"/>
      <c r="AS9" s="933"/>
      <c r="AT9" s="933"/>
      <c r="AU9" s="933"/>
      <c r="AV9" s="933"/>
      <c r="AW9" s="933"/>
      <c r="AX9" s="933"/>
      <c r="AY9" s="933"/>
      <c r="CR9" s="25"/>
    </row>
    <row r="10" spans="1:96" ht="15" customHeight="1">
      <c r="A10" s="2213" t="s">
        <v>2329</v>
      </c>
      <c r="B10" s="2213"/>
      <c r="C10" s="2213"/>
      <c r="D10" s="2213"/>
      <c r="E10" s="2213"/>
      <c r="F10" s="2213"/>
      <c r="G10" s="2213"/>
      <c r="H10" s="2213"/>
      <c r="I10" s="2213"/>
      <c r="J10" s="2213"/>
      <c r="K10" s="2213"/>
      <c r="L10" s="2213"/>
      <c r="M10" s="2213"/>
      <c r="N10" s="2213"/>
      <c r="O10" s="2213"/>
      <c r="P10" s="2213"/>
      <c r="Q10" s="2213"/>
      <c r="R10" s="2213"/>
      <c r="S10" s="2213"/>
      <c r="T10" s="2213"/>
      <c r="U10" s="2213"/>
      <c r="V10" s="2213"/>
      <c r="W10" s="2213"/>
      <c r="X10" s="2213"/>
      <c r="Y10" s="2213"/>
      <c r="Z10" s="2213"/>
      <c r="AA10" s="2213"/>
      <c r="AB10" s="2213"/>
      <c r="AC10" s="2213"/>
      <c r="AD10" s="2213"/>
      <c r="AE10" s="2213"/>
      <c r="AF10" s="2213"/>
      <c r="AG10" s="2213"/>
      <c r="AH10" s="2213"/>
      <c r="AI10" s="2213"/>
      <c r="AJ10" s="2213"/>
      <c r="AK10" s="2213"/>
      <c r="AL10" s="2213"/>
      <c r="AM10" s="20"/>
      <c r="AN10" s="20"/>
      <c r="AO10" s="20"/>
      <c r="AP10" s="20"/>
      <c r="AQ10" s="20"/>
      <c r="AR10" s="20"/>
      <c r="AS10" s="20"/>
      <c r="AT10" s="20"/>
      <c r="AU10" s="20"/>
      <c r="AV10" s="20"/>
      <c r="AW10" s="20"/>
      <c r="AX10" s="20"/>
      <c r="AY10" s="20"/>
    </row>
    <row r="11" spans="1:96" ht="15" customHeight="1">
      <c r="A11" s="2299" t="s">
        <v>1871</v>
      </c>
      <c r="B11" s="2299"/>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J11" s="2299"/>
      <c r="AK11" s="2299"/>
      <c r="AL11" s="2299"/>
      <c r="AM11" s="933"/>
      <c r="AN11" s="933"/>
      <c r="AO11" s="933"/>
      <c r="AP11" s="933"/>
      <c r="AQ11" s="933"/>
      <c r="AR11" s="933"/>
      <c r="AS11" s="933"/>
      <c r="AT11" s="933"/>
      <c r="AU11" s="933"/>
      <c r="AV11" s="933"/>
      <c r="AW11" s="933"/>
      <c r="AX11" s="933"/>
      <c r="AY11" s="933"/>
    </row>
    <row r="12" spans="1:96" ht="12.75">
      <c r="A12" s="2316" t="s">
        <v>2650</v>
      </c>
      <c r="B12" s="2317"/>
      <c r="C12" s="2317"/>
      <c r="D12" s="2317"/>
      <c r="E12" s="2317"/>
      <c r="F12" s="2317"/>
      <c r="G12" s="2317"/>
      <c r="H12" s="2317"/>
      <c r="I12" s="2317"/>
      <c r="J12" s="2317"/>
      <c r="K12" s="2317"/>
      <c r="L12" s="2317"/>
      <c r="M12" s="2317"/>
      <c r="N12" s="2317"/>
      <c r="O12" s="2317"/>
      <c r="P12" s="2317"/>
      <c r="Q12" s="2317"/>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939"/>
      <c r="AN12" s="939"/>
      <c r="AO12" s="939"/>
      <c r="AP12" s="939"/>
      <c r="AQ12" s="939"/>
      <c r="AR12" s="939"/>
      <c r="AS12" s="939"/>
      <c r="AT12" s="939"/>
      <c r="AU12" s="939"/>
      <c r="AV12" s="939"/>
      <c r="AW12" s="939"/>
      <c r="AX12" s="939"/>
      <c r="AY12" s="939"/>
    </row>
    <row r="13" spans="1:96" ht="12.75">
      <c r="A13" s="1705" t="s">
        <v>2612</v>
      </c>
      <c r="B13" s="1705"/>
      <c r="C13" s="1705"/>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1705"/>
      <c r="AA13" s="1705"/>
      <c r="AB13" s="1705"/>
      <c r="AC13" s="1705"/>
      <c r="AD13" s="1705"/>
      <c r="AE13" s="1705"/>
      <c r="AF13" s="1705"/>
      <c r="AG13" s="1705"/>
      <c r="AH13" s="1705"/>
      <c r="AI13" s="1705"/>
      <c r="AJ13" s="1705"/>
      <c r="AK13" s="1705"/>
      <c r="AL13" s="1705"/>
      <c r="AM13" s="950"/>
      <c r="AN13" s="950"/>
      <c r="AO13" s="950"/>
      <c r="AP13" s="950"/>
      <c r="AQ13" s="950"/>
      <c r="AR13" s="950"/>
      <c r="AS13" s="950"/>
      <c r="AT13" s="950"/>
      <c r="AU13" s="950"/>
      <c r="AV13" s="950"/>
      <c r="AW13" s="950"/>
      <c r="AX13" s="950"/>
      <c r="AY13" s="950"/>
    </row>
    <row r="14" spans="1:96" ht="12.75" customHeight="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1706"/>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2613</v>
      </c>
      <c r="C16" s="7"/>
      <c r="D16" s="7"/>
      <c r="E16" s="7"/>
      <c r="F16" s="7"/>
      <c r="G16" s="7"/>
      <c r="H16" s="2297" t="s">
        <v>2495</v>
      </c>
      <c r="I16" s="2292"/>
      <c r="J16" s="2292"/>
      <c r="K16" s="2292"/>
      <c r="L16" s="2292"/>
      <c r="M16" s="2292"/>
      <c r="N16" s="2292"/>
      <c r="O16" s="2292"/>
      <c r="P16" s="2292"/>
      <c r="Q16" s="2292"/>
      <c r="R16" s="2292"/>
      <c r="S16" s="2292"/>
      <c r="T16" s="2292"/>
      <c r="U16" s="2292"/>
      <c r="V16" s="2292"/>
      <c r="W16" s="2292"/>
      <c r="X16" s="2292"/>
      <c r="Y16" s="2292"/>
      <c r="Z16" s="2292"/>
      <c r="AA16" s="2292"/>
      <c r="AB16" s="2292"/>
      <c r="AC16" s="2292"/>
      <c r="AD16" s="2292"/>
      <c r="AE16" s="2292"/>
      <c r="AF16" s="2292"/>
      <c r="AG16" s="2292"/>
      <c r="AH16" s="2292"/>
      <c r="AI16" s="2292"/>
      <c r="AJ16" s="2292"/>
    </row>
    <row r="17" spans="1:96" ht="12.75" customHeight="1"/>
    <row r="18" spans="1:96" ht="12.75" customHeight="1">
      <c r="A18" s="134" t="s">
        <v>106</v>
      </c>
      <c r="C18" s="7"/>
      <c r="D18" s="7"/>
      <c r="E18" s="7"/>
      <c r="F18" s="7"/>
      <c r="G18" s="7"/>
      <c r="H18" s="2144" t="s">
        <v>2494</v>
      </c>
      <c r="I18" s="2192"/>
      <c r="J18" s="2192"/>
      <c r="K18" s="2192"/>
      <c r="L18" s="2192"/>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row>
    <row r="19" spans="1:96" ht="12.75" customHeight="1"/>
    <row r="20" spans="1:96" ht="14.25" customHeight="1">
      <c r="A20" s="2309" t="s">
        <v>920</v>
      </c>
      <c r="B20" s="2309"/>
      <c r="C20" s="2309"/>
      <c r="D20" s="2309"/>
      <c r="E20" s="2309"/>
      <c r="F20" s="2309"/>
      <c r="G20" s="2309"/>
      <c r="H20" s="2309"/>
      <c r="I20" s="2309"/>
      <c r="J20" s="2309"/>
      <c r="K20" s="2309"/>
      <c r="L20" s="2309"/>
      <c r="M20" s="2309"/>
      <c r="N20" s="2309"/>
      <c r="O20" s="2309"/>
      <c r="P20" s="2309"/>
      <c r="Q20" s="2309"/>
      <c r="R20" s="2309"/>
      <c r="S20" s="2309"/>
      <c r="T20" s="2309"/>
      <c r="U20" s="2309"/>
      <c r="V20" s="2309"/>
      <c r="W20" s="2309"/>
      <c r="X20" s="2309"/>
      <c r="Y20" s="2309"/>
      <c r="Z20" s="2309"/>
      <c r="AA20" s="2309"/>
      <c r="AB20" s="2309"/>
      <c r="AC20" s="2309"/>
      <c r="AD20" s="2309"/>
      <c r="AE20" s="2309"/>
      <c r="AF20" s="2309"/>
      <c r="AG20" s="2309"/>
      <c r="AH20" s="2309"/>
      <c r="AI20" s="2309"/>
      <c r="AJ20" s="2309"/>
      <c r="AK20" s="2309"/>
      <c r="AL20" s="2309"/>
      <c r="AM20" s="952"/>
      <c r="AN20" s="952"/>
      <c r="AO20" s="952"/>
      <c r="AP20" s="952"/>
      <c r="AQ20" s="952"/>
      <c r="AR20" s="952"/>
      <c r="AS20" s="952"/>
      <c r="AT20" s="952"/>
      <c r="AU20" s="952"/>
      <c r="AV20" s="952"/>
      <c r="AW20" s="952"/>
      <c r="AX20" s="952"/>
      <c r="AY20" s="952"/>
    </row>
    <row r="21" spans="1:96" ht="12.75" customHeight="1">
      <c r="A21" s="2298" t="s">
        <v>1086</v>
      </c>
      <c r="B21" s="2298"/>
      <c r="C21" s="2298"/>
      <c r="D21" s="2298"/>
      <c r="E21" s="2298"/>
      <c r="F21" s="2298"/>
      <c r="G21" s="2298"/>
      <c r="H21" s="2298"/>
      <c r="I21" s="2298"/>
      <c r="J21" s="2298"/>
      <c r="K21" s="2298"/>
      <c r="L21" s="2298"/>
      <c r="M21" s="2298"/>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c r="AL21" s="2298"/>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2614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96">
        <f>'Basis &amp; Credits'!AB56</f>
        <v>2248875</v>
      </c>
      <c r="N26" s="2296"/>
      <c r="O26" s="2296"/>
      <c r="P26" s="2296"/>
      <c r="Q26" s="2296"/>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69">
        <f>'Basis &amp; Credits'!AB77</f>
        <v>11047587</v>
      </c>
      <c r="N27" s="1869"/>
      <c r="O27" s="1869"/>
      <c r="P27" s="1869"/>
      <c r="Q27" s="1869"/>
      <c r="R27" s="58" t="s">
        <v>1450</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2615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1463</v>
      </c>
      <c r="C33" s="890"/>
      <c r="D33" s="890"/>
      <c r="E33" s="890"/>
      <c r="F33" s="890"/>
      <c r="G33" s="890"/>
      <c r="H33" s="890"/>
      <c r="I33" s="890"/>
      <c r="J33" s="890"/>
      <c r="K33" s="890"/>
      <c r="L33" s="890"/>
      <c r="M33" s="890"/>
      <c r="N33" s="890"/>
      <c r="O33" s="1875" t="s">
        <v>696</v>
      </c>
      <c r="P33" s="1875"/>
      <c r="Q33" s="890" t="s">
        <v>1464</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1466</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1465</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1467</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1468</v>
      </c>
      <c r="AZ37" s="31"/>
    </row>
    <row r="38" spans="1:96" ht="12.75" customHeight="1">
      <c r="A38" s="58" t="s">
        <v>1469</v>
      </c>
      <c r="AZ38" s="31"/>
    </row>
    <row r="39" spans="1:96" ht="12.75" customHeight="1">
      <c r="AZ39" s="31"/>
    </row>
    <row r="40" spans="1:96" ht="12.75" customHeight="1">
      <c r="A40" s="890" t="s">
        <v>2616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2617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2618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2619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2620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1500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2621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2622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2623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2624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2625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2.75">
      <c r="A90" s="138" t="s">
        <v>2626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2627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2628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2629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1420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1421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2630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2631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2632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10"/>
      <c r="H122" s="2310"/>
      <c r="I122" s="239" t="s">
        <v>187</v>
      </c>
      <c r="L122" s="2310"/>
      <c r="M122" s="2310"/>
      <c r="N122" s="2310"/>
      <c r="O122" s="2293" t="s">
        <v>1451</v>
      </c>
      <c r="P122" s="2293"/>
      <c r="Q122" s="2293"/>
      <c r="R122" s="229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329"/>
      <c r="D124" s="2329"/>
      <c r="E124" s="2329"/>
      <c r="F124" s="2329"/>
      <c r="G124" s="2329"/>
      <c r="H124" s="2329"/>
      <c r="I124" s="2329"/>
      <c r="J124" s="2329"/>
      <c r="K124" s="2329"/>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310"/>
      <c r="Z126" s="2310"/>
      <c r="AA126" s="2310"/>
      <c r="AB126" s="2310"/>
      <c r="AC126" s="2310"/>
      <c r="AD126" s="2310"/>
      <c r="AE126" s="2310"/>
      <c r="AF126" s="2310"/>
      <c r="AG126" s="2310"/>
      <c r="AH126" s="2310"/>
      <c r="AI126" s="2310"/>
      <c r="AJ126" s="2310"/>
      <c r="AK126" s="2310"/>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2.75">
      <c r="A129" s="689"/>
      <c r="B129" s="150"/>
      <c r="R129" s="265"/>
      <c r="S129" s="265"/>
      <c r="T129" s="265"/>
      <c r="U129" s="265"/>
      <c r="V129" s="265"/>
      <c r="W129" s="265"/>
      <c r="X129" s="58"/>
      <c r="Y129" s="2310" t="s">
        <v>2493</v>
      </c>
      <c r="Z129" s="2310"/>
      <c r="AA129" s="2310"/>
      <c r="AB129" s="2310"/>
      <c r="AC129" s="2310"/>
      <c r="AD129" s="2310"/>
      <c r="AE129" s="2310"/>
      <c r="AF129" s="2310"/>
      <c r="AG129" s="2310"/>
      <c r="AH129" s="2310"/>
      <c r="AI129" s="2310"/>
      <c r="AJ129" s="2310"/>
      <c r="AK129" s="2310"/>
      <c r="AL129" s="689"/>
      <c r="AM129" s="957"/>
      <c r="AN129" s="957"/>
      <c r="AO129" s="957"/>
      <c r="AP129" s="957"/>
      <c r="AQ129" s="957"/>
      <c r="AR129" s="957"/>
      <c r="AS129" s="957"/>
      <c r="AT129" s="957"/>
      <c r="AU129" s="957"/>
      <c r="AV129" s="957"/>
      <c r="AW129" s="957"/>
      <c r="AX129" s="957"/>
      <c r="AY129" s="957"/>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310" t="s">
        <v>2496</v>
      </c>
      <c r="Z132" s="2310"/>
      <c r="AA132" s="2310"/>
      <c r="AB132" s="2310"/>
      <c r="AC132" s="2310"/>
      <c r="AD132" s="2310"/>
      <c r="AE132" s="2310"/>
      <c r="AF132" s="2310"/>
      <c r="AG132" s="2310"/>
      <c r="AH132" s="2310"/>
      <c r="AI132" s="2310"/>
      <c r="AJ132" s="2310"/>
      <c r="AK132" s="23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324"/>
      <c r="G150" s="2324"/>
      <c r="H150" s="2324"/>
      <c r="I150" s="2324"/>
      <c r="J150" s="2324"/>
      <c r="K150" s="2324"/>
      <c r="L150" s="2324"/>
      <c r="M150" s="2324"/>
      <c r="N150" s="2324"/>
      <c r="O150" s="2324"/>
      <c r="P150" s="2324"/>
      <c r="Q150" s="2324"/>
      <c r="R150" s="2324"/>
      <c r="S150" s="2324"/>
      <c r="T150" s="23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144" t="s">
        <v>2500</v>
      </c>
      <c r="P153" s="2144"/>
      <c r="Q153" s="2144"/>
      <c r="R153" s="2144"/>
      <c r="S153" s="2144"/>
      <c r="T153" s="2144"/>
      <c r="U153" s="2144"/>
      <c r="V153" s="2144"/>
      <c r="W153" s="2144"/>
      <c r="X153" s="2144"/>
      <c r="Y153" s="2144"/>
      <c r="Z153" s="2144"/>
      <c r="AA153" s="2144"/>
      <c r="AB153" s="2144"/>
      <c r="AC153" s="2144"/>
      <c r="AD153" s="2144"/>
      <c r="AE153" s="2144"/>
      <c r="AF153" s="2144"/>
      <c r="AG153" s="2144"/>
      <c r="AH153" s="2144"/>
    </row>
    <row r="154" spans="1:96" ht="12.75" customHeight="1">
      <c r="D154" s="463" t="s">
        <v>458</v>
      </c>
      <c r="F154" s="32"/>
      <c r="G154" s="32"/>
      <c r="H154" s="32"/>
      <c r="I154" s="32"/>
      <c r="J154" s="32"/>
      <c r="K154" s="32"/>
      <c r="L154" s="32"/>
      <c r="M154" s="32"/>
      <c r="N154" s="32"/>
      <c r="O154" s="1925" t="s">
        <v>2501</v>
      </c>
      <c r="P154" s="1925"/>
      <c r="Q154" s="1925"/>
      <c r="R154" s="1925"/>
      <c r="S154" s="1925"/>
      <c r="T154" s="1925"/>
      <c r="U154" s="1925"/>
      <c r="V154" s="1925"/>
      <c r="W154" s="1925"/>
      <c r="X154" s="1925"/>
      <c r="Y154" s="1925"/>
      <c r="Z154" s="1925"/>
      <c r="AA154" s="1925"/>
      <c r="AB154" s="1925"/>
      <c r="AC154" s="1925"/>
      <c r="AD154" s="1925"/>
      <c r="AE154" s="1925"/>
      <c r="AF154" s="1925"/>
      <c r="AG154" s="1925"/>
      <c r="AH154" s="1925"/>
      <c r="AZ154" s="25"/>
    </row>
    <row r="155" spans="1:96" ht="12.75">
      <c r="D155" s="13" t="s">
        <v>460</v>
      </c>
      <c r="F155" s="13"/>
      <c r="G155" s="13"/>
      <c r="H155" s="13"/>
      <c r="I155" s="13"/>
      <c r="J155" s="13"/>
      <c r="K155" s="13"/>
      <c r="L155" s="13"/>
      <c r="M155" s="13"/>
      <c r="N155" s="13"/>
      <c r="O155" s="2300" t="s">
        <v>459</v>
      </c>
      <c r="P155" s="2300"/>
      <c r="Q155" s="2300"/>
      <c r="R155" s="2300"/>
      <c r="S155" s="2300"/>
      <c r="T155" s="2300"/>
      <c r="U155" s="2300"/>
      <c r="V155" s="2300"/>
      <c r="W155" s="2300"/>
      <c r="X155" s="2300"/>
      <c r="Y155" s="2300"/>
      <c r="Z155" s="2300"/>
      <c r="AA155" s="2300"/>
      <c r="AB155" s="2300"/>
      <c r="AC155" s="2300"/>
      <c r="AD155" s="2300"/>
      <c r="AE155" s="2300"/>
      <c r="AF155" s="2300"/>
      <c r="AG155" s="2300"/>
      <c r="AH155" s="2300"/>
      <c r="AZ155" s="25"/>
    </row>
    <row r="156" spans="1:96" ht="12.75">
      <c r="D156" s="32" t="s">
        <v>319</v>
      </c>
      <c r="F156" s="32"/>
      <c r="G156" s="32"/>
      <c r="H156" s="32"/>
      <c r="I156" s="32"/>
      <c r="J156" s="32"/>
      <c r="K156" s="32"/>
      <c r="L156" s="32"/>
      <c r="M156" s="32"/>
      <c r="N156" s="32"/>
      <c r="O156" s="1903" t="s">
        <v>2502</v>
      </c>
      <c r="P156" s="1903"/>
      <c r="Q156" s="1903"/>
      <c r="R156" s="1903"/>
      <c r="S156" s="1903"/>
      <c r="T156" s="1903"/>
      <c r="U156" s="1903"/>
      <c r="V156" s="1903"/>
      <c r="W156" s="1903"/>
      <c r="X156" s="1903"/>
      <c r="Y156" s="1903"/>
      <c r="Z156" s="1903"/>
      <c r="AA156" s="1903"/>
      <c r="AB156" s="1903"/>
      <c r="AC156" s="1903"/>
      <c r="AD156" s="1903"/>
      <c r="AE156" s="1903"/>
      <c r="AF156" s="1903"/>
      <c r="AG156" s="1903"/>
      <c r="AH156" s="1903"/>
      <c r="BT156" s="12" t="s">
        <v>313</v>
      </c>
    </row>
    <row r="157" spans="1:96" ht="12.75">
      <c r="D157" s="32" t="s">
        <v>320</v>
      </c>
      <c r="F157" s="32"/>
      <c r="G157" s="32"/>
      <c r="H157" s="32"/>
      <c r="I157" s="32"/>
      <c r="J157" s="32"/>
      <c r="K157" s="32"/>
      <c r="L157" s="32"/>
      <c r="M157" s="32"/>
      <c r="N157" s="32"/>
      <c r="O157" s="2144" t="s">
        <v>67</v>
      </c>
      <c r="P157" s="2144"/>
      <c r="Q157" s="2144"/>
      <c r="R157" s="2144"/>
      <c r="S157" s="2144"/>
      <c r="T157" s="2144"/>
      <c r="U157" s="2144"/>
      <c r="V157" s="2144"/>
      <c r="W157" s="2144"/>
      <c r="X157" s="2144"/>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301">
        <v>92866</v>
      </c>
      <c r="P158" s="2301"/>
      <c r="Q158" s="2301"/>
      <c r="R158" s="2301"/>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303">
        <v>7147442222</v>
      </c>
      <c r="P159" s="2303"/>
      <c r="Q159" s="2303"/>
      <c r="R159" s="2303"/>
      <c r="S159" s="2303"/>
      <c r="T159" s="2303"/>
      <c r="V159" s="146" t="s">
        <v>277</v>
      </c>
      <c r="W159" s="2302"/>
      <c r="X159" s="2302"/>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303">
        <v>7147445523</v>
      </c>
      <c r="P160" s="2303"/>
      <c r="Q160" s="2303"/>
      <c r="R160" s="2303"/>
      <c r="S160" s="2303"/>
      <c r="T160" s="2303"/>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10" t="s">
        <v>2503</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330" t="s">
        <v>2649</v>
      </c>
      <c r="E164" s="2330"/>
      <c r="F164" s="2330"/>
      <c r="G164" s="2330"/>
      <c r="H164" s="2330"/>
      <c r="I164" s="2330"/>
      <c r="J164" s="2330"/>
      <c r="K164" s="2330"/>
      <c r="L164" s="2330"/>
      <c r="M164" s="2330"/>
      <c r="N164" s="2330"/>
      <c r="O164" s="2330"/>
      <c r="P164" s="2330"/>
      <c r="Q164" s="2330"/>
      <c r="R164" s="2330"/>
      <c r="S164" s="2330"/>
      <c r="T164" s="2330"/>
      <c r="U164" s="2330"/>
      <c r="V164" s="2330"/>
      <c r="W164" s="2330"/>
      <c r="X164" s="2330"/>
      <c r="Y164" s="2330"/>
      <c r="Z164" s="2330"/>
      <c r="AA164" s="2330"/>
      <c r="AB164" s="2330"/>
      <c r="AC164" s="2330"/>
      <c r="AD164" s="2330"/>
      <c r="AE164" s="2330"/>
      <c r="AF164" s="2330"/>
      <c r="AG164" s="2330"/>
      <c r="AH164" s="2330"/>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35" t="s">
        <v>565</v>
      </c>
      <c r="B169" s="2135"/>
      <c r="C169" s="2135"/>
      <c r="D169" s="2135"/>
      <c r="E169" s="2135"/>
      <c r="F169" s="2135"/>
      <c r="G169" s="2135"/>
      <c r="H169" s="2135"/>
      <c r="I169" s="2135"/>
      <c r="J169" s="2135"/>
      <c r="K169" s="2135"/>
      <c r="L169" s="2135"/>
      <c r="M169" s="2135"/>
      <c r="N169" s="2135"/>
      <c r="O169" s="2135"/>
      <c r="P169" s="2135"/>
      <c r="Q169" s="2135"/>
      <c r="R169" s="2135"/>
      <c r="S169" s="2135"/>
      <c r="T169" s="2135"/>
      <c r="U169" s="2135"/>
      <c r="V169" s="2135"/>
      <c r="W169" s="2135"/>
      <c r="X169" s="2135"/>
      <c r="Y169" s="2135"/>
      <c r="Z169" s="2135"/>
      <c r="AA169" s="2135"/>
      <c r="AB169" s="2135"/>
      <c r="AC169" s="2135"/>
      <c r="AD169" s="2135"/>
      <c r="AE169" s="2135"/>
      <c r="AF169" s="2135"/>
      <c r="AG169" s="2135"/>
      <c r="AH169" s="2135"/>
      <c r="AI169" s="2135"/>
      <c r="AJ169" s="2135"/>
      <c r="AK169" s="2135"/>
      <c r="AL169" s="2135"/>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36"/>
      <c r="B170" s="2136"/>
      <c r="C170" s="2136"/>
      <c r="D170" s="2136"/>
      <c r="E170" s="2136"/>
      <c r="F170" s="2136"/>
      <c r="G170" s="2136"/>
      <c r="H170" s="2136"/>
      <c r="I170" s="2136"/>
      <c r="J170" s="2136"/>
      <c r="K170" s="2136"/>
      <c r="L170" s="2136"/>
      <c r="M170" s="2136"/>
      <c r="N170" s="2136"/>
      <c r="O170" s="2136"/>
      <c r="P170" s="2136"/>
      <c r="Q170" s="2136"/>
      <c r="R170" s="2136"/>
      <c r="S170" s="2136"/>
      <c r="T170" s="2136"/>
      <c r="U170" s="2136"/>
      <c r="V170" s="2136"/>
      <c r="W170" s="2136"/>
      <c r="X170" s="2136"/>
      <c r="Y170" s="2136"/>
      <c r="Z170" s="2136"/>
      <c r="AA170" s="2136"/>
      <c r="AB170" s="2136"/>
      <c r="AC170" s="2136"/>
      <c r="AD170" s="2136"/>
      <c r="AE170" s="2136"/>
      <c r="AF170" s="2136"/>
      <c r="AG170" s="2136"/>
      <c r="AH170" s="2136"/>
      <c r="AI170" s="2136"/>
      <c r="AJ170" s="2136"/>
      <c r="AK170" s="2136"/>
      <c r="AL170" s="2136"/>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306" t="s">
        <v>386</v>
      </c>
      <c r="K173" s="2306"/>
      <c r="L173" s="2306"/>
      <c r="M173" s="2306"/>
      <c r="N173" s="2306"/>
      <c r="O173" s="2306"/>
      <c r="P173" s="2306"/>
      <c r="Q173" s="2306"/>
      <c r="R173" s="2306"/>
      <c r="S173" s="2306"/>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1368</v>
      </c>
      <c r="E174" s="25"/>
      <c r="F174" s="25"/>
      <c r="G174" s="25"/>
      <c r="H174" s="25"/>
      <c r="I174" s="25"/>
      <c r="J174" s="1903" t="s">
        <v>2633</v>
      </c>
      <c r="K174" s="1903"/>
      <c r="L174" s="1903"/>
      <c r="M174" s="1903"/>
      <c r="N174" s="1903"/>
      <c r="O174" s="1903"/>
      <c r="P174" s="1903"/>
      <c r="Q174" s="1903"/>
      <c r="R174" s="1903"/>
      <c r="S174" s="1903"/>
      <c r="T174" s="1903"/>
      <c r="U174" s="1903"/>
      <c r="V174" s="1903"/>
      <c r="W174" s="1903"/>
      <c r="X174" s="1903"/>
      <c r="Y174" s="1903"/>
      <c r="Z174" s="1903"/>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1875" t="s">
        <v>571</v>
      </c>
      <c r="V175" s="1875"/>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2634</v>
      </c>
      <c r="Q176" s="25"/>
      <c r="R176" s="25"/>
      <c r="S176" s="25" t="s">
        <v>311</v>
      </c>
      <c r="T176" s="711"/>
      <c r="U176" s="1891">
        <v>22</v>
      </c>
      <c r="V176" s="1891"/>
      <c r="W176" s="4" t="s">
        <v>312</v>
      </c>
      <c r="X176" s="2305">
        <v>441</v>
      </c>
      <c r="Y176" s="2305"/>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1875" t="s">
        <v>696</v>
      </c>
      <c r="S177" s="1875"/>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1369</v>
      </c>
      <c r="E178" s="12"/>
      <c r="F178" s="12"/>
      <c r="G178" s="12"/>
      <c r="H178" s="12"/>
      <c r="I178" s="12"/>
      <c r="J178" s="12"/>
      <c r="K178" s="12"/>
      <c r="L178" s="12"/>
      <c r="M178" s="12"/>
      <c r="N178" s="12"/>
      <c r="P178" s="25"/>
      <c r="R178" s="12"/>
      <c r="S178" s="12"/>
      <c r="T178" s="12"/>
      <c r="U178" s="12"/>
      <c r="V178" s="12"/>
      <c r="W178" s="12"/>
      <c r="X178" s="12"/>
      <c r="Y178" s="12"/>
      <c r="AA178" s="25" t="s">
        <v>2634</v>
      </c>
      <c r="AC178" s="25"/>
      <c r="AD178" s="25" t="s">
        <v>311</v>
      </c>
      <c r="AF178" s="2145"/>
      <c r="AG178" s="2145"/>
      <c r="AH178" s="4" t="s">
        <v>312</v>
      </c>
      <c r="AI178" s="2197"/>
      <c r="AJ178" s="2197"/>
      <c r="AK178" s="2197"/>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2635</v>
      </c>
      <c r="E180" s="25"/>
      <c r="X180" s="1875" t="s">
        <v>696</v>
      </c>
      <c r="Y180" s="1875"/>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1867" t="str">
        <f>H18</f>
        <v>Orion</v>
      </c>
      <c r="J184" s="1867"/>
      <c r="K184" s="1867"/>
      <c r="L184" s="1867"/>
      <c r="M184" s="1867"/>
      <c r="N184" s="1867"/>
      <c r="O184" s="1867"/>
      <c r="P184" s="1867"/>
      <c r="Q184" s="1867"/>
      <c r="R184" s="1867"/>
      <c r="S184" s="1867"/>
      <c r="T184" s="1867"/>
      <c r="U184" s="1867"/>
      <c r="V184" s="1867"/>
      <c r="W184" s="1867"/>
      <c r="X184" s="1867"/>
      <c r="Y184" s="1867"/>
      <c r="Z184" s="1867"/>
      <c r="AA184" s="1867"/>
      <c r="AB184" s="1867"/>
      <c r="AC184" s="1867"/>
      <c r="AD184" s="1867"/>
      <c r="AE184" s="1867"/>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1877" t="s">
        <v>2497</v>
      </c>
      <c r="J185" s="1877"/>
      <c r="K185" s="1877"/>
      <c r="L185" s="1877"/>
      <c r="M185" s="1877"/>
      <c r="N185" s="1877"/>
      <c r="O185" s="1877"/>
      <c r="P185" s="1877"/>
      <c r="Q185" s="1877"/>
      <c r="R185" s="1877"/>
      <c r="S185" s="1877"/>
      <c r="T185" s="1877"/>
      <c r="U185" s="1877"/>
      <c r="V185" s="1877"/>
      <c r="W185" s="1877"/>
      <c r="X185" s="1877"/>
      <c r="Y185" s="1877"/>
      <c r="Z185" s="1877"/>
      <c r="AA185" s="1877"/>
      <c r="AB185" s="1877"/>
      <c r="AC185" s="1877"/>
      <c r="AD185" s="1877"/>
      <c r="AE185" s="1877"/>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314"/>
      <c r="F187" s="2314"/>
      <c r="G187" s="2314"/>
      <c r="H187" s="2314"/>
      <c r="I187" s="2314"/>
      <c r="J187" s="2314"/>
      <c r="K187" s="2314"/>
      <c r="L187" s="2314"/>
      <c r="M187" s="2314"/>
      <c r="N187" s="2314"/>
      <c r="O187" s="2314"/>
      <c r="P187" s="2314"/>
      <c r="Q187" s="2314"/>
      <c r="R187" s="2314"/>
      <c r="S187" s="2314"/>
      <c r="T187" s="2314"/>
      <c r="U187" s="2314"/>
      <c r="V187" s="2314"/>
      <c r="W187" s="2314"/>
      <c r="X187" s="2314"/>
      <c r="Y187" s="2314"/>
      <c r="Z187" s="2314"/>
      <c r="AA187" s="2314"/>
      <c r="AB187" s="2314"/>
      <c r="AC187" s="2314"/>
      <c r="AD187" s="2314"/>
      <c r="AE187" s="2314"/>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315"/>
      <c r="F188" s="2315"/>
      <c r="G188" s="2315"/>
      <c r="H188" s="2315"/>
      <c r="I188" s="2315"/>
      <c r="J188" s="2315"/>
      <c r="K188" s="2315"/>
      <c r="L188" s="2315"/>
      <c r="M188" s="2315"/>
      <c r="N188" s="2315"/>
      <c r="O188" s="2315"/>
      <c r="P188" s="2315"/>
      <c r="Q188" s="2315"/>
      <c r="R188" s="2315"/>
      <c r="S188" s="2315"/>
      <c r="T188" s="2315"/>
      <c r="U188" s="2315"/>
      <c r="V188" s="2315"/>
      <c r="W188" s="2315"/>
      <c r="X188" s="2315"/>
      <c r="Y188" s="2315"/>
      <c r="Z188" s="2315"/>
      <c r="AA188" s="2315"/>
      <c r="AB188" s="2315"/>
      <c r="AC188" s="2315"/>
      <c r="AD188" s="2315"/>
      <c r="AE188" s="2315"/>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1903" t="s">
        <v>67</v>
      </c>
      <c r="J189" s="1903"/>
      <c r="K189" s="1903"/>
      <c r="L189" s="1903"/>
      <c r="M189" s="1903"/>
      <c r="N189" s="1903"/>
      <c r="O189" s="1903"/>
      <c r="P189" s="1903"/>
      <c r="Q189" s="25" t="s">
        <v>609</v>
      </c>
      <c r="T189" s="1903" t="s">
        <v>67</v>
      </c>
      <c r="U189" s="1903"/>
      <c r="V189" s="1903"/>
      <c r="W189" s="1903"/>
      <c r="X189" s="1903"/>
      <c r="Y189" s="1903"/>
      <c r="Z189" s="1903"/>
      <c r="AA189" s="1903"/>
      <c r="AB189" s="1903"/>
      <c r="AC189" s="1903"/>
      <c r="AD189" s="1903"/>
      <c r="AE189" s="1903"/>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1877">
        <v>92866</v>
      </c>
      <c r="J190" s="1877"/>
      <c r="K190" s="1877"/>
      <c r="L190" s="1877"/>
      <c r="M190" s="1877"/>
      <c r="N190" s="1877"/>
      <c r="O190" s="25" t="s">
        <v>612</v>
      </c>
      <c r="P190" s="25"/>
      <c r="Q190" s="25"/>
      <c r="R190" s="25"/>
      <c r="S190" s="25"/>
      <c r="T190" s="2312">
        <v>758.06</v>
      </c>
      <c r="U190" s="2312"/>
      <c r="V190" s="2312"/>
      <c r="W190" s="2312"/>
      <c r="X190" s="2312"/>
      <c r="Y190" s="2312"/>
      <c r="Z190" s="2312"/>
      <c r="AA190" s="2312"/>
      <c r="AB190" s="2312"/>
      <c r="AC190" s="2312"/>
      <c r="AD190" s="2312"/>
      <c r="AE190" s="2312"/>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662</v>
      </c>
      <c r="BT190" s="12" t="s">
        <v>71</v>
      </c>
    </row>
    <row r="191" spans="1:96" ht="12.75">
      <c r="A191" s="25"/>
      <c r="C191" s="46"/>
      <c r="D191" s="25" t="s">
        <v>488</v>
      </c>
      <c r="E191" s="25"/>
      <c r="F191" s="25"/>
      <c r="G191" s="25"/>
      <c r="H191" s="25"/>
      <c r="I191" s="25"/>
      <c r="J191" s="25"/>
      <c r="K191" s="25"/>
      <c r="L191" s="25"/>
      <c r="M191" s="25"/>
      <c r="N191" s="2314" t="s">
        <v>2498</v>
      </c>
      <c r="O191" s="2314"/>
      <c r="P191" s="2314"/>
      <c r="Q191" s="2314"/>
      <c r="R191" s="2314"/>
      <c r="S191" s="2314"/>
      <c r="T191" s="2314"/>
      <c r="U191" s="2314"/>
      <c r="V191" s="2314"/>
      <c r="W191" s="2314"/>
      <c r="X191" s="2314"/>
      <c r="Y191" s="2314"/>
      <c r="Z191" s="2314"/>
      <c r="AA191" s="2314"/>
      <c r="AB191" s="2314"/>
      <c r="AC191" s="2314"/>
      <c r="AD191" s="2314"/>
      <c r="AE191" s="2314"/>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716</v>
      </c>
      <c r="BT191" s="12" t="s">
        <v>758</v>
      </c>
    </row>
    <row r="192" spans="1:96" ht="12.75">
      <c r="A192" s="25"/>
      <c r="C192" s="46"/>
      <c r="D192" s="25"/>
      <c r="E192" s="25"/>
      <c r="F192" s="25"/>
      <c r="G192" s="25"/>
      <c r="H192" s="25"/>
      <c r="I192" s="25"/>
      <c r="J192" s="25"/>
      <c r="K192" s="25"/>
      <c r="L192" s="25"/>
      <c r="M192" s="170"/>
      <c r="N192" s="2315"/>
      <c r="O192" s="2315"/>
      <c r="P192" s="2315"/>
      <c r="Q192" s="2315"/>
      <c r="R192" s="2315"/>
      <c r="S192" s="2315"/>
      <c r="T192" s="2315"/>
      <c r="U192" s="2315"/>
      <c r="V192" s="2315"/>
      <c r="W192" s="2315"/>
      <c r="X192" s="2315"/>
      <c r="Y192" s="2315"/>
      <c r="Z192" s="2315"/>
      <c r="AA192" s="2315"/>
      <c r="AB192" s="2315"/>
      <c r="AC192" s="2315"/>
      <c r="AD192" s="2315"/>
      <c r="AE192" s="2315"/>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1840</v>
      </c>
      <c r="BN192" s="36" t="s">
        <v>717</v>
      </c>
      <c r="BT192" s="12" t="s">
        <v>759</v>
      </c>
    </row>
    <row r="193" spans="1:96" ht="12.75">
      <c r="A193" s="25"/>
      <c r="B193" s="711"/>
      <c r="C193" s="46"/>
      <c r="D193" s="679" t="s">
        <v>2636</v>
      </c>
      <c r="E193" s="25"/>
      <c r="F193" s="25"/>
      <c r="G193" s="25"/>
      <c r="H193" s="25"/>
      <c r="I193" s="25"/>
      <c r="J193" s="25"/>
      <c r="K193" s="25"/>
      <c r="L193" s="25"/>
      <c r="M193" s="170"/>
      <c r="N193" s="941"/>
      <c r="O193" s="941"/>
      <c r="P193" s="941"/>
      <c r="Q193" s="941"/>
      <c r="R193" s="941"/>
      <c r="S193" s="941"/>
      <c r="T193" s="2318" t="s">
        <v>2447</v>
      </c>
      <c r="U193" s="2318"/>
      <c r="V193" s="2318"/>
      <c r="W193" s="2318"/>
      <c r="X193" s="2318"/>
      <c r="Y193" s="2318"/>
      <c r="Z193" s="2318"/>
      <c r="AA193" s="2318"/>
      <c r="AB193" s="2318"/>
      <c r="AC193" s="2318"/>
      <c r="AD193" s="2318"/>
      <c r="AE193" s="2318"/>
      <c r="AF193" s="2318"/>
      <c r="AG193" s="2318"/>
      <c r="AH193" s="2318"/>
      <c r="AI193" s="2318"/>
      <c r="AJ193" s="673"/>
      <c r="AK193" s="673"/>
      <c r="AL193" s="673"/>
      <c r="AM193" s="673"/>
      <c r="AN193" s="673"/>
      <c r="AO193" s="673"/>
      <c r="AP193" s="673"/>
      <c r="AQ193" s="673"/>
      <c r="AR193" s="673"/>
      <c r="AS193" s="673"/>
      <c r="AT193" s="673"/>
      <c r="AU193" s="673"/>
      <c r="AV193" s="673"/>
      <c r="AW193" s="673"/>
      <c r="AX193" s="673"/>
      <c r="AY193" s="673"/>
      <c r="BC193" s="711" t="s">
        <v>1124</v>
      </c>
      <c r="BH193" s="58" t="s">
        <v>1841</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1875" t="s">
        <v>696</v>
      </c>
      <c r="U194" s="1875"/>
      <c r="W194" s="25" t="s">
        <v>712</v>
      </c>
      <c r="X194" s="25"/>
      <c r="Y194" s="25"/>
      <c r="Z194" s="25"/>
      <c r="AA194" s="25"/>
      <c r="AB194" s="25"/>
      <c r="AC194" s="25"/>
      <c r="AD194" s="25"/>
      <c r="AE194" s="25"/>
      <c r="AF194" s="25"/>
      <c r="AG194" s="25"/>
      <c r="AH194" s="1875">
        <v>46</v>
      </c>
      <c r="AI194" s="1875"/>
      <c r="AJ194" s="3"/>
      <c r="AK194" s="3"/>
      <c r="AL194" s="3"/>
      <c r="AM194" s="673"/>
      <c r="AN194" s="673"/>
      <c r="AO194" s="673"/>
      <c r="AP194" s="673"/>
      <c r="AQ194" s="673"/>
      <c r="AR194" s="673"/>
      <c r="AS194" s="673"/>
      <c r="AT194" s="673"/>
      <c r="AU194" s="673"/>
      <c r="AV194" s="673"/>
      <c r="AW194" s="673"/>
      <c r="AX194" s="673"/>
      <c r="AY194" s="673"/>
      <c r="BC194" s="711" t="s">
        <v>1565</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32" t="s">
        <v>696</v>
      </c>
      <c r="U195" s="2032"/>
      <c r="V195" s="12"/>
      <c r="W195" s="25" t="s">
        <v>713</v>
      </c>
      <c r="X195" s="25"/>
      <c r="Y195" s="25"/>
      <c r="Z195" s="25"/>
      <c r="AA195" s="25"/>
      <c r="AB195" s="25"/>
      <c r="AC195" s="25"/>
      <c r="AD195" s="25"/>
      <c r="AE195" s="25"/>
      <c r="AF195" s="25"/>
      <c r="AG195" s="25"/>
      <c r="AH195" s="1875">
        <v>68</v>
      </c>
      <c r="AI195" s="1875"/>
      <c r="AJ195" s="3"/>
      <c r="AK195" s="3"/>
      <c r="AL195" s="3"/>
      <c r="AM195" s="673"/>
      <c r="AN195" s="673"/>
      <c r="AO195" s="673"/>
      <c r="AP195" s="673"/>
      <c r="AQ195" s="673"/>
      <c r="AR195" s="673"/>
      <c r="AS195" s="673"/>
      <c r="AT195" s="673"/>
      <c r="AU195" s="673"/>
      <c r="AV195" s="673"/>
      <c r="AW195" s="673"/>
      <c r="AX195" s="673"/>
      <c r="AY195" s="673"/>
      <c r="BC195" s="711" t="s">
        <v>2188</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32" t="s">
        <v>696</v>
      </c>
      <c r="U196" s="2032"/>
      <c r="W196" s="25" t="s">
        <v>714</v>
      </c>
      <c r="X196" s="25"/>
      <c r="Y196" s="25"/>
      <c r="Z196" s="25"/>
      <c r="AA196" s="25"/>
      <c r="AB196" s="25"/>
      <c r="AC196" s="25"/>
      <c r="AD196" s="25"/>
      <c r="AE196" s="25"/>
      <c r="AF196" s="25"/>
      <c r="AG196" s="25"/>
      <c r="AH196" s="1875">
        <v>37</v>
      </c>
      <c r="AI196" s="1875"/>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1865</v>
      </c>
      <c r="E197" s="25"/>
      <c r="F197" s="25"/>
      <c r="G197" s="25"/>
      <c r="H197" s="25"/>
      <c r="I197" s="25"/>
      <c r="J197" s="25"/>
      <c r="K197" s="25"/>
      <c r="L197" s="25"/>
      <c r="M197" s="25"/>
      <c r="N197" s="25"/>
      <c r="O197" s="25"/>
      <c r="P197" s="25"/>
      <c r="Q197" s="25"/>
      <c r="R197" s="25"/>
      <c r="S197" s="711"/>
      <c r="T197" s="2032"/>
      <c r="U197" s="203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2637</v>
      </c>
      <c r="Y198" s="1875" t="s">
        <v>696</v>
      </c>
      <c r="Z198" s="1875"/>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730</v>
      </c>
      <c r="BO202" s="51"/>
      <c r="BP202" s="54"/>
      <c r="BQ202" s="54"/>
      <c r="BR202" s="54"/>
      <c r="BS202" s="54"/>
      <c r="BT202" s="55" t="s">
        <v>201</v>
      </c>
    </row>
    <row r="203" spans="1:96" ht="12.75" customHeight="1">
      <c r="A203" s="25"/>
      <c r="C203" s="25"/>
      <c r="D203" s="1867" t="s">
        <v>400</v>
      </c>
      <c r="E203" s="1867"/>
      <c r="F203" s="1867"/>
      <c r="G203" s="1867"/>
      <c r="H203" s="1867"/>
      <c r="I203" s="1867"/>
      <c r="J203" s="1867"/>
      <c r="K203" s="1867"/>
      <c r="L203" s="1867"/>
      <c r="M203" s="1867"/>
      <c r="P203" s="2307">
        <f>M26</f>
        <v>2248875</v>
      </c>
      <c r="Q203" s="2308"/>
      <c r="R203" s="2308"/>
      <c r="S203" s="2308"/>
      <c r="T203" s="2308"/>
      <c r="U203" s="2308"/>
      <c r="V203" s="25"/>
      <c r="W203" s="25"/>
      <c r="X203" s="25"/>
      <c r="Y203" s="25"/>
      <c r="Z203" s="2322" t="s">
        <v>2692</v>
      </c>
      <c r="AA203" s="2322"/>
      <c r="AB203" s="2322"/>
      <c r="AC203" s="2322"/>
      <c r="AD203" s="2322"/>
      <c r="AE203" s="2322"/>
      <c r="AF203" s="2322"/>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731</v>
      </c>
      <c r="BO203" s="51"/>
      <c r="BP203" s="54"/>
      <c r="BQ203" s="54"/>
      <c r="BR203" s="54"/>
      <c r="BS203" s="55"/>
      <c r="BT203" s="55" t="s">
        <v>202</v>
      </c>
    </row>
    <row r="204" spans="1:96" ht="12.75" customHeight="1">
      <c r="A204" s="25"/>
      <c r="C204" s="45"/>
      <c r="D204" s="2319" t="s">
        <v>1428</v>
      </c>
      <c r="E204" s="1867"/>
      <c r="F204" s="1867"/>
      <c r="G204" s="1867"/>
      <c r="H204" s="1867"/>
      <c r="I204" s="1867"/>
      <c r="J204" s="1867"/>
      <c r="K204" s="1867"/>
      <c r="L204" s="1867"/>
      <c r="M204" s="1867"/>
      <c r="P204" s="2308">
        <f>M27</f>
        <v>11047587</v>
      </c>
      <c r="Q204" s="2308"/>
      <c r="R204" s="2308"/>
      <c r="S204" s="2308"/>
      <c r="T204" s="2308"/>
      <c r="U204" s="2308"/>
      <c r="V204" s="47"/>
      <c r="W204" s="58" t="s">
        <v>2040</v>
      </c>
      <c r="Z204" s="2322"/>
      <c r="AA204" s="2322"/>
      <c r="AB204" s="2322"/>
      <c r="AC204" s="2322"/>
      <c r="AD204" s="2322"/>
      <c r="AE204" s="2322"/>
      <c r="AF204" s="2322"/>
      <c r="AG204" s="25" t="s">
        <v>1429</v>
      </c>
      <c r="AH204" s="25"/>
      <c r="AI204" s="25"/>
      <c r="AJ204" s="25"/>
      <c r="AK204" s="25"/>
      <c r="AL204" s="25"/>
      <c r="AM204" s="25"/>
      <c r="AN204" s="25"/>
      <c r="AO204" s="25"/>
      <c r="AP204" s="1875" t="s">
        <v>696</v>
      </c>
      <c r="AQ204" s="1875"/>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23"/>
      <c r="AA205" s="2323"/>
      <c r="AB205" s="2323"/>
      <c r="AC205" s="2323"/>
      <c r="AD205" s="2323"/>
      <c r="AE205" s="2323"/>
      <c r="AF205" s="2323"/>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192" t="s">
        <v>2499</v>
      </c>
      <c r="E207" s="2192"/>
      <c r="F207" s="2192"/>
      <c r="G207" s="2192"/>
      <c r="H207" s="2192"/>
      <c r="I207" s="2192"/>
      <c r="J207" s="2192"/>
      <c r="K207" s="2192"/>
      <c r="L207" s="2192"/>
      <c r="M207" s="219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1384</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192" t="s">
        <v>2188</v>
      </c>
      <c r="E210" s="2192"/>
      <c r="F210" s="2192"/>
      <c r="G210" s="2192"/>
      <c r="H210" s="2192"/>
      <c r="I210" s="2192"/>
      <c r="J210" s="2192"/>
      <c r="K210" s="2192"/>
      <c r="L210" s="2192"/>
      <c r="M210" s="2192"/>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1418</v>
      </c>
      <c r="E211" s="711"/>
      <c r="F211" s="711"/>
      <c r="G211" s="711"/>
      <c r="H211" s="711"/>
      <c r="I211" s="711"/>
      <c r="J211" s="711"/>
      <c r="K211" s="711"/>
      <c r="L211" s="711"/>
      <c r="M211" s="711"/>
      <c r="N211" s="711"/>
      <c r="O211" s="711"/>
      <c r="P211" s="711"/>
      <c r="Q211" s="711"/>
      <c r="R211" s="711"/>
      <c r="S211" s="711"/>
      <c r="T211" s="711"/>
      <c r="U211" s="711"/>
      <c r="V211" s="711"/>
      <c r="W211" s="711"/>
      <c r="X211" s="711"/>
      <c r="Y211" s="1875"/>
      <c r="Z211" s="1875"/>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1839</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397" t="s">
        <v>618</v>
      </c>
      <c r="E213" s="2397"/>
      <c r="F213" s="2397"/>
      <c r="G213" s="2397"/>
      <c r="H213" s="2397"/>
      <c r="I213" s="2397"/>
      <c r="J213" s="2397"/>
      <c r="K213" s="2397"/>
      <c r="L213" s="2397"/>
      <c r="M213" s="2397"/>
      <c r="N213" s="2397"/>
      <c r="O213" s="2397"/>
      <c r="P213" s="2397"/>
      <c r="Q213" s="2397"/>
      <c r="R213" s="2397"/>
      <c r="S213" s="2397"/>
      <c r="T213" s="2397"/>
      <c r="U213" s="2397"/>
      <c r="V213" s="2397"/>
      <c r="W213" s="2397"/>
      <c r="X213" s="2397"/>
      <c r="Y213" s="2397"/>
      <c r="Z213" s="2397"/>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1866</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335"/>
      <c r="AC214" s="2335"/>
      <c r="AD214" s="2335"/>
      <c r="AE214" s="2335"/>
      <c r="AF214" s="2335"/>
      <c r="AG214" s="2335"/>
      <c r="AH214" s="2335"/>
      <c r="AI214" s="2335"/>
      <c r="AJ214" s="2335"/>
      <c r="AK214" s="2335"/>
      <c r="AL214" s="2335"/>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1864</v>
      </c>
      <c r="Z215" s="69"/>
      <c r="AB215" s="2335"/>
      <c r="AC215" s="2335"/>
      <c r="AD215" s="2335"/>
      <c r="AE215" s="2335"/>
      <c r="AF215" s="2335"/>
      <c r="AG215" s="2335"/>
      <c r="AH215" s="2335"/>
      <c r="AI215" s="2335"/>
      <c r="AJ215" s="2335"/>
      <c r="AK215" s="2335"/>
      <c r="AL215" s="2335"/>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1393</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192" t="s">
        <v>637</v>
      </c>
      <c r="E219" s="2192"/>
      <c r="F219" s="2192"/>
      <c r="G219" s="2192"/>
      <c r="H219" s="2192"/>
      <c r="I219" s="2192"/>
      <c r="J219" s="2192"/>
      <c r="K219" s="2192"/>
      <c r="L219" s="2192"/>
      <c r="M219" s="2192"/>
      <c r="N219" s="2192"/>
      <c r="O219" s="2192"/>
      <c r="P219" s="2192"/>
      <c r="Q219" s="2192"/>
      <c r="R219" s="2192"/>
      <c r="S219" s="2192"/>
      <c r="T219" s="2192"/>
      <c r="U219" s="2192"/>
      <c r="V219" s="2192"/>
      <c r="W219" s="2192"/>
      <c r="X219" s="2192"/>
      <c r="Y219" s="2192"/>
      <c r="Z219" s="2192"/>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35" t="s">
        <v>566</v>
      </c>
      <c r="B221" s="2135"/>
      <c r="C221" s="2135"/>
      <c r="D221" s="2135"/>
      <c r="E221" s="2135"/>
      <c r="F221" s="2135"/>
      <c r="G221" s="2135"/>
      <c r="H221" s="2135"/>
      <c r="I221" s="2135"/>
      <c r="J221" s="2135"/>
      <c r="K221" s="2135"/>
      <c r="L221" s="2135"/>
      <c r="M221" s="2135"/>
      <c r="N221" s="2135"/>
      <c r="O221" s="2135"/>
      <c r="P221" s="2135"/>
      <c r="Q221" s="2135"/>
      <c r="R221" s="2135"/>
      <c r="S221" s="2135"/>
      <c r="T221" s="2135"/>
      <c r="U221" s="2135"/>
      <c r="V221" s="2135"/>
      <c r="W221" s="2135"/>
      <c r="X221" s="2135"/>
      <c r="Y221" s="2135"/>
      <c r="Z221" s="2135"/>
      <c r="AA221" s="2135"/>
      <c r="AB221" s="2135"/>
      <c r="AC221" s="2135"/>
      <c r="AD221" s="2135"/>
      <c r="AE221" s="2135"/>
      <c r="AF221" s="2135"/>
      <c r="AG221" s="2135"/>
      <c r="AH221" s="2135"/>
      <c r="AI221" s="2135"/>
      <c r="AJ221" s="2135"/>
      <c r="AK221" s="2135"/>
      <c r="AL221" s="2135"/>
      <c r="AM221" s="144"/>
      <c r="AN221" s="144"/>
      <c r="AO221" s="144"/>
      <c r="AP221" s="144"/>
      <c r="AQ221" s="144"/>
      <c r="AR221" s="144"/>
      <c r="AS221" s="144"/>
      <c r="AT221" s="144"/>
      <c r="AU221" s="144"/>
      <c r="AV221" s="144"/>
      <c r="AW221" s="144"/>
      <c r="AX221" s="144"/>
      <c r="AY221" s="144"/>
      <c r="BA221" s="58"/>
    </row>
    <row r="222" spans="1:96" ht="13.5" thickBot="1">
      <c r="A222" s="2136"/>
      <c r="B222" s="2136"/>
      <c r="C222" s="2136"/>
      <c r="D222" s="2136"/>
      <c r="E222" s="2136"/>
      <c r="F222" s="2136"/>
      <c r="G222" s="2136"/>
      <c r="H222" s="2136"/>
      <c r="I222" s="2136"/>
      <c r="J222" s="2136"/>
      <c r="K222" s="2136"/>
      <c r="L222" s="2136"/>
      <c r="M222" s="2136"/>
      <c r="N222" s="2136"/>
      <c r="O222" s="2136"/>
      <c r="P222" s="2136"/>
      <c r="Q222" s="2136"/>
      <c r="R222" s="2136"/>
      <c r="S222" s="2136"/>
      <c r="T222" s="2136"/>
      <c r="U222" s="2136"/>
      <c r="V222" s="2136"/>
      <c r="W222" s="2136"/>
      <c r="X222" s="2136"/>
      <c r="Y222" s="2136"/>
      <c r="Z222" s="2136"/>
      <c r="AA222" s="2136"/>
      <c r="AB222" s="2136"/>
      <c r="AC222" s="2136"/>
      <c r="AD222" s="2136"/>
      <c r="AE222" s="2136"/>
      <c r="AF222" s="2136"/>
      <c r="AG222" s="2136"/>
      <c r="AH222" s="2136"/>
      <c r="AI222" s="2136"/>
      <c r="AJ222" s="2136"/>
      <c r="AK222" s="2136"/>
      <c r="AL222" s="213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2638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75" t="s">
        <v>571</v>
      </c>
      <c r="AJ225" s="1875"/>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75" t="s">
        <v>618</v>
      </c>
      <c r="AJ226" s="1875"/>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75" t="s">
        <v>618</v>
      </c>
      <c r="AJ227" s="1875"/>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75" t="s">
        <v>618</v>
      </c>
      <c r="AJ228" s="1875"/>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2639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313" t="str">
        <f>H16</f>
        <v>Orange 702, L.P.</v>
      </c>
      <c r="N231" s="2313"/>
      <c r="O231" s="2313"/>
      <c r="P231" s="2313"/>
      <c r="Q231" s="2313"/>
      <c r="R231" s="2313"/>
      <c r="S231" s="2313"/>
      <c r="T231" s="2313"/>
      <c r="U231" s="2313"/>
      <c r="V231" s="2313"/>
      <c r="W231" s="2313"/>
      <c r="X231" s="2313"/>
      <c r="Y231" s="2313"/>
      <c r="Z231" s="2313"/>
      <c r="AA231" s="2313"/>
      <c r="AB231" s="2313"/>
      <c r="AC231" s="2313"/>
      <c r="AD231" s="2313"/>
      <c r="AE231" s="2313"/>
      <c r="AF231" s="2313"/>
      <c r="AG231" s="2313"/>
      <c r="AH231" s="2313"/>
      <c r="AI231" s="2313"/>
      <c r="AJ231" s="2313"/>
      <c r="AK231" s="2313"/>
      <c r="BA231" s="58"/>
      <c r="BB231" s="381"/>
      <c r="BG231" s="384"/>
      <c r="BQ231" s="61"/>
    </row>
    <row r="232" spans="1:69" ht="12.75">
      <c r="D232" s="57" t="s">
        <v>90</v>
      </c>
      <c r="E232" s="57"/>
      <c r="F232" s="57"/>
      <c r="G232" s="57"/>
      <c r="H232" s="57"/>
      <c r="I232" s="57"/>
      <c r="J232" s="57"/>
      <c r="K232" s="7"/>
      <c r="M232" s="2144" t="s">
        <v>2491</v>
      </c>
      <c r="N232" s="2144"/>
      <c r="O232" s="2144"/>
      <c r="P232" s="2144"/>
      <c r="Q232" s="2144"/>
      <c r="R232" s="2144"/>
      <c r="S232" s="2144"/>
      <c r="T232" s="2144"/>
      <c r="U232" s="2144"/>
      <c r="V232" s="2144"/>
      <c r="W232" s="2144"/>
      <c r="X232" s="2144"/>
      <c r="Y232" s="2144"/>
      <c r="Z232" s="2144"/>
      <c r="AA232" s="2144"/>
      <c r="AB232" s="2144"/>
      <c r="AC232" s="2144"/>
      <c r="AD232" s="2144"/>
      <c r="AE232" s="2144"/>
      <c r="AZ232" s="7"/>
      <c r="BA232" s="58"/>
      <c r="BB232" s="334" t="s">
        <v>564</v>
      </c>
      <c r="BG232" s="386">
        <f>IF(AND(AND($M$248="nonprofit",$M$256="nonprofit",$M$264="for profit")),2,0)</f>
        <v>0</v>
      </c>
      <c r="BQ232" s="61"/>
    </row>
    <row r="233" spans="1:69" ht="12.75">
      <c r="D233" s="57" t="s">
        <v>607</v>
      </c>
      <c r="E233" s="57"/>
      <c r="M233" s="2144" t="s">
        <v>2504</v>
      </c>
      <c r="N233" s="2144"/>
      <c r="O233" s="2144"/>
      <c r="P233" s="2144"/>
      <c r="Q233" s="2144"/>
      <c r="R233" s="2144"/>
      <c r="S233" s="2144"/>
      <c r="T233" s="2144"/>
      <c r="V233" s="59" t="s">
        <v>91</v>
      </c>
      <c r="W233" s="1925" t="s">
        <v>2505</v>
      </c>
      <c r="X233" s="1925"/>
      <c r="Y233" s="57" t="s">
        <v>610</v>
      </c>
      <c r="AC233" s="2144">
        <v>95661</v>
      </c>
      <c r="AD233" s="2144"/>
      <c r="AE233" s="2144"/>
      <c r="BB233" s="334" t="s">
        <v>564</v>
      </c>
      <c r="BG233" s="386">
        <f>IF(AND(AND($M$248="nonprofit",$M$256="for profit",$M$264="nonprofit")),2,0)</f>
        <v>0</v>
      </c>
    </row>
    <row r="234" spans="1:69" ht="12.75">
      <c r="D234" s="60" t="s">
        <v>92</v>
      </c>
      <c r="E234" s="7"/>
      <c r="F234" s="7"/>
      <c r="G234" s="7"/>
      <c r="H234" s="7"/>
      <c r="I234" s="7"/>
      <c r="J234" s="7"/>
      <c r="K234" s="29"/>
      <c r="M234" s="2144" t="s">
        <v>2493</v>
      </c>
      <c r="N234" s="2144"/>
      <c r="O234" s="2144"/>
      <c r="P234" s="2144"/>
      <c r="Q234" s="2144"/>
      <c r="R234" s="2144"/>
      <c r="S234" s="2144"/>
      <c r="T234" s="2144"/>
      <c r="U234" s="2144"/>
      <c r="V234" s="2144"/>
      <c r="W234" s="2144"/>
      <c r="X234" s="2144"/>
      <c r="Y234" s="2144"/>
      <c r="Z234" s="2144"/>
      <c r="AA234" s="2144"/>
      <c r="AB234" s="2144"/>
      <c r="AC234" s="2144"/>
      <c r="AD234" s="2144"/>
      <c r="AE234" s="2144"/>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58">
        <v>9168653981</v>
      </c>
      <c r="N235" s="2158"/>
      <c r="O235" s="2158"/>
      <c r="P235" s="2158"/>
      <c r="Q235" s="2158"/>
      <c r="R235" s="2158"/>
      <c r="S235" s="7" t="s">
        <v>212</v>
      </c>
      <c r="T235" s="7"/>
      <c r="U235" s="1876"/>
      <c r="V235" s="1876"/>
      <c r="W235" s="1876"/>
      <c r="X235" s="7" t="s">
        <v>94</v>
      </c>
      <c r="Z235" s="2146"/>
      <c r="AA235" s="2146"/>
      <c r="AB235" s="2146"/>
      <c r="AC235" s="2146"/>
      <c r="AD235" s="2146"/>
      <c r="AE235" s="2146"/>
      <c r="BB235" s="382"/>
      <c r="BG235" s="383"/>
    </row>
    <row r="236" spans="1:69" ht="12.75">
      <c r="D236" s="60" t="s">
        <v>95</v>
      </c>
      <c r="E236" s="7"/>
      <c r="F236" s="7"/>
      <c r="M236" s="2210" t="s">
        <v>2506</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1877" t="s">
        <v>554</v>
      </c>
      <c r="N237" s="1877"/>
      <c r="O237" s="1877"/>
      <c r="P237" s="1877"/>
      <c r="Q237" s="1877"/>
      <c r="R237" s="1877"/>
      <c r="S237" s="1877"/>
      <c r="T237" s="1877"/>
      <c r="U237" s="384" t="s">
        <v>958</v>
      </c>
      <c r="V237" s="325"/>
      <c r="W237" s="325"/>
      <c r="X237" s="325"/>
      <c r="Y237" s="325"/>
      <c r="Z237" s="325"/>
      <c r="AA237" s="2320" t="s">
        <v>2508</v>
      </c>
      <c r="AB237" s="2321"/>
      <c r="AC237" s="2321"/>
      <c r="AD237" s="2321"/>
      <c r="AE237" s="2321"/>
      <c r="AF237" s="2321"/>
      <c r="AG237" s="2321"/>
      <c r="AH237" s="2321"/>
      <c r="AI237" s="2321"/>
      <c r="AJ237" s="2321"/>
      <c r="AK237" s="2321"/>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1903"/>
      <c r="N238" s="1903"/>
      <c r="O238" s="1903"/>
      <c r="P238" s="1903"/>
      <c r="Q238" s="1903"/>
      <c r="R238" s="1903"/>
      <c r="S238" s="1903"/>
      <c r="T238" s="1903"/>
      <c r="U238" s="1903"/>
      <c r="V238" s="1903"/>
      <c r="W238" s="1903"/>
      <c r="X238" s="1903"/>
      <c r="Y238" s="1903"/>
      <c r="Z238" s="1903"/>
      <c r="AA238" s="1903"/>
      <c r="AB238" s="1903"/>
      <c r="AC238" s="1903"/>
      <c r="AD238" s="1903"/>
      <c r="AE238" s="19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616</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ustomHeight="1">
      <c r="A242" s="29"/>
      <c r="B242" s="7"/>
      <c r="C242" s="136" t="s">
        <v>499</v>
      </c>
      <c r="D242" s="57" t="s">
        <v>558</v>
      </c>
      <c r="E242" s="57"/>
      <c r="F242" s="57"/>
      <c r="G242" s="57"/>
      <c r="H242" s="57"/>
      <c r="I242" s="57"/>
      <c r="J242" s="57"/>
      <c r="K242" s="57"/>
      <c r="L242" s="7"/>
      <c r="M242" s="2297" t="s">
        <v>2530</v>
      </c>
      <c r="N242" s="2297"/>
      <c r="O242" s="2297"/>
      <c r="P242" s="2297"/>
      <c r="Q242" s="2297"/>
      <c r="R242" s="2297"/>
      <c r="S242" s="2297"/>
      <c r="T242" s="2297"/>
      <c r="U242" s="2297"/>
      <c r="V242" s="2297"/>
      <c r="W242" s="2297"/>
      <c r="X242" s="2297"/>
      <c r="Y242" s="2297"/>
      <c r="Z242" s="2297"/>
      <c r="AA242" s="2297"/>
      <c r="AB242" s="2297"/>
      <c r="AC242" s="2297"/>
      <c r="AD242" s="2297"/>
      <c r="AE242" s="2297"/>
      <c r="AF242" s="2297" t="s">
        <v>2507</v>
      </c>
      <c r="AG242" s="2297"/>
      <c r="AH242" s="2297"/>
      <c r="AI242" s="2297"/>
      <c r="AJ242" s="2297"/>
      <c r="AK242" s="2297"/>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44" t="s">
        <v>2491</v>
      </c>
      <c r="N243" s="2144"/>
      <c r="O243" s="2144"/>
      <c r="P243" s="2144"/>
      <c r="Q243" s="2144"/>
      <c r="R243" s="2144"/>
      <c r="S243" s="2144"/>
      <c r="T243" s="2144"/>
      <c r="U243" s="2144"/>
      <c r="V243" s="2144"/>
      <c r="W243" s="2144"/>
      <c r="X243" s="2144"/>
      <c r="Y243" s="2144"/>
      <c r="Z243" s="2144"/>
      <c r="AA243" s="2144"/>
      <c r="AB243" s="2144"/>
      <c r="AC243" s="2144"/>
      <c r="AD243" s="2144"/>
      <c r="AE243" s="2144"/>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144" t="s">
        <v>2504</v>
      </c>
      <c r="N244" s="2144"/>
      <c r="O244" s="2144"/>
      <c r="P244" s="2144"/>
      <c r="Q244" s="2144"/>
      <c r="R244" s="2144"/>
      <c r="S244" s="2144"/>
      <c r="T244" s="2144"/>
      <c r="V244" s="59" t="s">
        <v>91</v>
      </c>
      <c r="W244" s="1925" t="s">
        <v>2505</v>
      </c>
      <c r="X244" s="1925"/>
      <c r="Y244" s="57" t="s">
        <v>610</v>
      </c>
      <c r="AC244" s="2144">
        <v>95661</v>
      </c>
      <c r="AD244" s="2144"/>
      <c r="AE244" s="2144"/>
      <c r="AF244" s="58" t="s">
        <v>1344</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144" t="s">
        <v>2493</v>
      </c>
      <c r="N245" s="2144"/>
      <c r="O245" s="2144"/>
      <c r="P245" s="2144"/>
      <c r="Q245" s="2144"/>
      <c r="R245" s="2144"/>
      <c r="S245" s="2144"/>
      <c r="T245" s="2144"/>
      <c r="U245" s="2144"/>
      <c r="V245" s="2144"/>
      <c r="W245" s="2144"/>
      <c r="X245" s="2144"/>
      <c r="Y245" s="2144"/>
      <c r="Z245" s="2144"/>
      <c r="AA245" s="2144"/>
      <c r="AB245" s="2144"/>
      <c r="AC245" s="2144"/>
      <c r="AD245" s="2144"/>
      <c r="AE245" s="2144"/>
      <c r="AH245" s="2304">
        <v>0.09</v>
      </c>
      <c r="AI245" s="2304"/>
      <c r="AJ245" s="2304"/>
      <c r="AK245" s="2304"/>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158">
        <v>9168653981</v>
      </c>
      <c r="N246" s="2158"/>
      <c r="O246" s="2158"/>
      <c r="P246" s="2158"/>
      <c r="Q246" s="2158"/>
      <c r="R246" s="2158"/>
      <c r="S246" s="7" t="s">
        <v>212</v>
      </c>
      <c r="T246" s="7"/>
      <c r="U246" s="1876"/>
      <c r="V246" s="1876"/>
      <c r="W246" s="1876"/>
      <c r="X246" s="7" t="s">
        <v>94</v>
      </c>
      <c r="Z246" s="2146"/>
      <c r="AA246" s="2146"/>
      <c r="AB246" s="2146"/>
      <c r="AC246" s="2146"/>
      <c r="AD246" s="2146"/>
      <c r="AE246" s="2146"/>
      <c r="BB246" s="7" t="s">
        <v>178</v>
      </c>
      <c r="BG246" s="12">
        <v>3</v>
      </c>
      <c r="BH246" s="12" t="s">
        <v>562</v>
      </c>
      <c r="BN246" s="387"/>
      <c r="BO246" s="39"/>
    </row>
    <row r="247" spans="1:72" ht="12.75">
      <c r="A247" s="29"/>
      <c r="B247" s="7"/>
      <c r="C247" s="7"/>
      <c r="D247" s="60" t="s">
        <v>95</v>
      </c>
      <c r="E247" s="7"/>
      <c r="F247" s="7"/>
      <c r="M247" s="2210" t="s">
        <v>2506</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1877" t="s">
        <v>562</v>
      </c>
      <c r="N248" s="1877"/>
      <c r="O248" s="1877"/>
      <c r="P248" s="1877"/>
      <c r="Q248" s="1877"/>
      <c r="R248" s="1877"/>
      <c r="S248" s="1877"/>
      <c r="T248" s="1877"/>
      <c r="U248" s="384" t="s">
        <v>958</v>
      </c>
      <c r="V248" s="325"/>
      <c r="W248" s="325"/>
      <c r="X248" s="325"/>
      <c r="Y248" s="325"/>
      <c r="Z248" s="325"/>
      <c r="AA248" s="2294" t="s">
        <v>2508</v>
      </c>
      <c r="AB248" s="2294"/>
      <c r="AC248" s="2294"/>
      <c r="AD248" s="2294"/>
      <c r="AE248" s="2294"/>
      <c r="AF248" s="2294"/>
      <c r="AG248" s="2294"/>
      <c r="AH248" s="2294"/>
      <c r="AI248" s="2294"/>
      <c r="AJ248" s="2294"/>
      <c r="AK248" s="229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97" t="s">
        <v>2509</v>
      </c>
      <c r="N250" s="2297"/>
      <c r="O250" s="2297"/>
      <c r="P250" s="2297"/>
      <c r="Q250" s="2297"/>
      <c r="R250" s="2297"/>
      <c r="S250" s="2297"/>
      <c r="T250" s="2297"/>
      <c r="U250" s="2297"/>
      <c r="V250" s="2297"/>
      <c r="W250" s="2297"/>
      <c r="X250" s="2297"/>
      <c r="Y250" s="2297"/>
      <c r="Z250" s="2297"/>
      <c r="AA250" s="2297"/>
      <c r="AB250" s="2297"/>
      <c r="AC250" s="2297"/>
      <c r="AD250" s="2297"/>
      <c r="AE250" s="2297"/>
      <c r="AF250" s="2292" t="s">
        <v>2532</v>
      </c>
      <c r="AG250" s="2292"/>
      <c r="AH250" s="2292"/>
      <c r="AI250" s="2292"/>
      <c r="AJ250" s="2292"/>
      <c r="AK250" s="2292"/>
      <c r="BN250" s="61"/>
    </row>
    <row r="251" spans="1:72" ht="12.75">
      <c r="A251" s="29"/>
      <c r="B251" s="7"/>
      <c r="C251" s="7"/>
      <c r="D251" s="57" t="s">
        <v>90</v>
      </c>
      <c r="E251" s="57"/>
      <c r="F251" s="57"/>
      <c r="G251" s="57"/>
      <c r="H251" s="57"/>
      <c r="I251" s="57"/>
      <c r="J251" s="57"/>
      <c r="K251" s="57"/>
      <c r="L251" s="7"/>
      <c r="M251" s="2144" t="s">
        <v>2510</v>
      </c>
      <c r="N251" s="2144"/>
      <c r="O251" s="2144"/>
      <c r="P251" s="2144"/>
      <c r="Q251" s="2144"/>
      <c r="R251" s="2144"/>
      <c r="S251" s="2144"/>
      <c r="T251" s="2144"/>
      <c r="U251" s="2144"/>
      <c r="V251" s="2144"/>
      <c r="W251" s="2144"/>
      <c r="X251" s="2144"/>
      <c r="Y251" s="2144"/>
      <c r="Z251" s="2144"/>
      <c r="AA251" s="2144"/>
      <c r="AB251" s="2144"/>
      <c r="AC251" s="2144"/>
      <c r="AD251" s="2144"/>
      <c r="AE251" s="2144"/>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144" t="s">
        <v>2511</v>
      </c>
      <c r="N252" s="2144"/>
      <c r="O252" s="2144"/>
      <c r="P252" s="2144"/>
      <c r="Q252" s="2144"/>
      <c r="R252" s="2144"/>
      <c r="S252" s="2144"/>
      <c r="T252" s="2144"/>
      <c r="V252" s="59" t="s">
        <v>91</v>
      </c>
      <c r="W252" s="1925" t="s">
        <v>2505</v>
      </c>
      <c r="X252" s="1925"/>
      <c r="Y252" s="57" t="s">
        <v>610</v>
      </c>
      <c r="AC252" s="2144">
        <v>92780</v>
      </c>
      <c r="AD252" s="2144"/>
      <c r="AE252" s="2144"/>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144" t="s">
        <v>2512</v>
      </c>
      <c r="N253" s="2144"/>
      <c r="O253" s="2144"/>
      <c r="P253" s="2144"/>
      <c r="Q253" s="2144"/>
      <c r="R253" s="2144"/>
      <c r="S253" s="2144"/>
      <c r="T253" s="2144"/>
      <c r="U253" s="2144"/>
      <c r="V253" s="2144"/>
      <c r="W253" s="2144"/>
      <c r="X253" s="2144"/>
      <c r="Y253" s="2144"/>
      <c r="Z253" s="2144"/>
      <c r="AA253" s="2144"/>
      <c r="AB253" s="2144"/>
      <c r="AC253" s="2144"/>
      <c r="AD253" s="2144"/>
      <c r="AE253" s="2144"/>
      <c r="AF253" s="711"/>
      <c r="AG253" s="711"/>
      <c r="AH253" s="2304">
        <v>0.01</v>
      </c>
      <c r="AI253" s="2304"/>
      <c r="AJ253" s="2304"/>
      <c r="AK253" s="23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8">
        <v>7146251654</v>
      </c>
      <c r="N254" s="2158"/>
      <c r="O254" s="2158"/>
      <c r="P254" s="2158"/>
      <c r="Q254" s="2158"/>
      <c r="R254" s="2158"/>
      <c r="S254" s="7" t="s">
        <v>212</v>
      </c>
      <c r="T254" s="7"/>
      <c r="U254" s="1876"/>
      <c r="V254" s="1876"/>
      <c r="W254" s="1876"/>
      <c r="X254" s="7" t="s">
        <v>94</v>
      </c>
      <c r="Z254" s="2146"/>
      <c r="AA254" s="2146"/>
      <c r="AB254" s="2146"/>
      <c r="AC254" s="2146"/>
      <c r="AD254" s="2146"/>
      <c r="AE254" s="2146"/>
    </row>
    <row r="255" spans="1:72" ht="12.75">
      <c r="A255" s="29"/>
      <c r="B255" s="7"/>
      <c r="C255" s="7"/>
      <c r="D255" s="60" t="s">
        <v>95</v>
      </c>
      <c r="E255" s="7"/>
      <c r="F255" s="7"/>
      <c r="M255" s="2210" t="s">
        <v>2513</v>
      </c>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1877" t="s">
        <v>560</v>
      </c>
      <c r="N256" s="1877"/>
      <c r="O256" s="1877"/>
      <c r="P256" s="1877"/>
      <c r="Q256" s="1877"/>
      <c r="R256" s="1877"/>
      <c r="S256" s="1877"/>
      <c r="T256" s="1877"/>
      <c r="U256" s="384" t="s">
        <v>958</v>
      </c>
      <c r="V256" s="325"/>
      <c r="W256" s="325"/>
      <c r="X256" s="325"/>
      <c r="Y256" s="325"/>
      <c r="Z256" s="325"/>
      <c r="AA256" s="2321"/>
      <c r="AB256" s="2321"/>
      <c r="AC256" s="2321"/>
      <c r="AD256" s="2321"/>
      <c r="AE256" s="2321"/>
      <c r="AF256" s="2321"/>
      <c r="AG256" s="2321"/>
      <c r="AH256" s="2321"/>
      <c r="AI256" s="2321"/>
      <c r="AJ256" s="2321"/>
      <c r="AK256" s="23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558</v>
      </c>
      <c r="E258" s="57"/>
      <c r="F258" s="57"/>
      <c r="G258" s="57"/>
      <c r="H258" s="57"/>
      <c r="I258" s="57"/>
      <c r="J258" s="57"/>
      <c r="K258" s="57"/>
      <c r="L258" s="7"/>
      <c r="M258" s="2292"/>
      <c r="N258" s="2292"/>
      <c r="O258" s="2292"/>
      <c r="P258" s="2292"/>
      <c r="Q258" s="2292"/>
      <c r="R258" s="2292"/>
      <c r="S258" s="2292"/>
      <c r="T258" s="2292"/>
      <c r="U258" s="2292"/>
      <c r="V258" s="2292"/>
      <c r="W258" s="2292"/>
      <c r="X258" s="2292"/>
      <c r="Y258" s="2292"/>
      <c r="Z258" s="2292"/>
      <c r="AA258" s="2292"/>
      <c r="AB258" s="2292"/>
      <c r="AC258" s="2292"/>
      <c r="AD258" s="2292"/>
      <c r="AE258" s="2292"/>
      <c r="AF258" s="2292" t="s">
        <v>313</v>
      </c>
      <c r="AG258" s="2292"/>
      <c r="AH258" s="2292"/>
      <c r="AI258" s="2292"/>
      <c r="AJ258" s="2292"/>
      <c r="AK258" s="229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2"/>
      <c r="N259" s="2192"/>
      <c r="O259" s="2192"/>
      <c r="P259" s="2192"/>
      <c r="Q259" s="2192"/>
      <c r="R259" s="2192"/>
      <c r="S259" s="2192"/>
      <c r="T259" s="2192"/>
      <c r="U259" s="2192"/>
      <c r="V259" s="2192"/>
      <c r="W259" s="2192"/>
      <c r="X259" s="2192"/>
      <c r="Y259" s="2192"/>
      <c r="Z259" s="2192"/>
      <c r="AA259" s="2192"/>
      <c r="AB259" s="2192"/>
      <c r="AC259" s="2192"/>
      <c r="AD259" s="2192"/>
      <c r="AE259" s="2192"/>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192"/>
      <c r="N260" s="2192"/>
      <c r="O260" s="2192"/>
      <c r="P260" s="2192"/>
      <c r="Q260" s="2192"/>
      <c r="R260" s="2192"/>
      <c r="S260" s="2192"/>
      <c r="T260" s="2192"/>
      <c r="V260" s="59" t="s">
        <v>91</v>
      </c>
      <c r="W260" s="1876"/>
      <c r="X260" s="1876"/>
      <c r="Y260" s="57" t="s">
        <v>610</v>
      </c>
      <c r="AC260" s="2192"/>
      <c r="AD260" s="2192"/>
      <c r="AE260" s="2192"/>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2"/>
      <c r="N261" s="2192"/>
      <c r="O261" s="2192"/>
      <c r="P261" s="2192"/>
      <c r="Q261" s="2192"/>
      <c r="R261" s="2192"/>
      <c r="S261" s="2192"/>
      <c r="T261" s="2192"/>
      <c r="U261" s="2192"/>
      <c r="V261" s="2192"/>
      <c r="W261" s="2192"/>
      <c r="X261" s="2192"/>
      <c r="Y261" s="2192"/>
      <c r="Z261" s="2192"/>
      <c r="AA261" s="2192"/>
      <c r="AB261" s="2192"/>
      <c r="AC261" s="2192"/>
      <c r="AD261" s="2192"/>
      <c r="AE261" s="2192"/>
      <c r="AF261" s="711"/>
      <c r="AG261" s="711"/>
      <c r="AH261" s="2304"/>
      <c r="AI261" s="2304"/>
      <c r="AJ261" s="2304"/>
      <c r="AK261" s="23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46"/>
      <c r="N262" s="2146"/>
      <c r="O262" s="2146"/>
      <c r="P262" s="2146"/>
      <c r="Q262" s="2146"/>
      <c r="R262" s="2146"/>
      <c r="S262" s="7" t="s">
        <v>212</v>
      </c>
      <c r="T262" s="7"/>
      <c r="U262" s="1876"/>
      <c r="V262" s="1876"/>
      <c r="W262" s="1876"/>
      <c r="X262" s="7" t="s">
        <v>94</v>
      </c>
      <c r="Z262" s="2146"/>
      <c r="AA262" s="2146"/>
      <c r="AB262" s="2146"/>
      <c r="AC262" s="2146"/>
      <c r="AD262" s="2146"/>
      <c r="AE262" s="214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325"/>
      <c r="AB263" s="2325"/>
      <c r="AC263" s="2325"/>
      <c r="AD263" s="2325"/>
      <c r="AE263" s="23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1877" t="s">
        <v>313</v>
      </c>
      <c r="N264" s="1877"/>
      <c r="O264" s="1877"/>
      <c r="P264" s="1877"/>
      <c r="Q264" s="1877"/>
      <c r="R264" s="1877"/>
      <c r="S264" s="1877"/>
      <c r="T264" s="1877"/>
      <c r="U264" s="384" t="s">
        <v>958</v>
      </c>
      <c r="V264" s="325"/>
      <c r="W264" s="325"/>
      <c r="X264" s="325"/>
      <c r="Y264" s="325"/>
      <c r="Z264" s="325"/>
      <c r="AA264" s="2311"/>
      <c r="AB264" s="2311"/>
      <c r="AC264" s="2311"/>
      <c r="AD264" s="2311"/>
      <c r="AE264" s="2311"/>
      <c r="AF264" s="2311"/>
      <c r="AG264" s="2311"/>
      <c r="AH264" s="2311"/>
      <c r="AI264" s="2311"/>
      <c r="AJ264" s="2311"/>
      <c r="AK264" s="231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95" t="str">
        <f>BO245</f>
        <v>Joint Venture</v>
      </c>
      <c r="U266" s="2295"/>
      <c r="V266" s="2295"/>
      <c r="W266" s="2295"/>
      <c r="X266" s="2295"/>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192" t="s">
        <v>286</v>
      </c>
      <c r="E269" s="2192"/>
      <c r="F269" s="2192"/>
      <c r="G269" s="2192"/>
      <c r="H269" s="2192"/>
      <c r="J269" s="12" t="s">
        <v>285</v>
      </c>
      <c r="X269" s="2168"/>
      <c r="Y269" s="2168"/>
      <c r="Z269" s="2168"/>
      <c r="AA269" s="2168"/>
      <c r="AB269" s="2168"/>
      <c r="AC269" s="216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97" t="s">
        <v>2508</v>
      </c>
      <c r="M273" s="2297"/>
      <c r="N273" s="2297"/>
      <c r="O273" s="2297"/>
      <c r="P273" s="2297"/>
      <c r="Q273" s="2297"/>
      <c r="R273" s="2297"/>
      <c r="S273" s="2297"/>
      <c r="T273" s="2297"/>
      <c r="U273" s="2297"/>
      <c r="V273" s="2297"/>
      <c r="W273" s="2297"/>
      <c r="X273" s="2297"/>
      <c r="Y273" s="2297"/>
      <c r="Z273" s="2297"/>
      <c r="AA273" s="2297"/>
      <c r="AB273" s="2297"/>
      <c r="AC273" s="2297"/>
      <c r="AD273" s="2297"/>
      <c r="AE273" s="2297"/>
      <c r="AF273" s="2297"/>
      <c r="AG273" s="2297"/>
      <c r="AH273" s="2297"/>
      <c r="AI273" s="2297"/>
      <c r="AJ273" s="229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44" t="s">
        <v>2491</v>
      </c>
      <c r="M274" s="2144"/>
      <c r="N274" s="2144"/>
      <c r="O274" s="2144"/>
      <c r="P274" s="2144"/>
      <c r="Q274" s="2144"/>
      <c r="R274" s="2144"/>
      <c r="S274" s="2144"/>
      <c r="T274" s="2144"/>
      <c r="U274" s="2144"/>
      <c r="V274" s="2144"/>
      <c r="W274" s="2144"/>
      <c r="X274" s="2144"/>
      <c r="Y274" s="2144"/>
      <c r="Z274" s="2144"/>
      <c r="AA274" s="2144"/>
      <c r="AB274" s="2144"/>
      <c r="AC274" s="2144"/>
      <c r="AD274" s="2144"/>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144" t="s">
        <v>2514</v>
      </c>
      <c r="M275" s="2144"/>
      <c r="N275" s="2144"/>
      <c r="O275" s="2144"/>
      <c r="P275" s="2144"/>
      <c r="Q275" s="2144"/>
      <c r="R275" s="2144"/>
      <c r="S275" s="2144"/>
      <c r="U275" s="59" t="s">
        <v>91</v>
      </c>
      <c r="V275" s="1925" t="s">
        <v>2505</v>
      </c>
      <c r="W275" s="1925"/>
      <c r="X275" s="57" t="s">
        <v>610</v>
      </c>
      <c r="AB275" s="2144">
        <v>95661</v>
      </c>
      <c r="AC275" s="2144"/>
      <c r="AD275" s="214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44" t="s">
        <v>2493</v>
      </c>
      <c r="M276" s="2144"/>
      <c r="N276" s="2144"/>
      <c r="O276" s="2144"/>
      <c r="P276" s="2144"/>
      <c r="Q276" s="2144"/>
      <c r="R276" s="2144"/>
      <c r="S276" s="2144"/>
      <c r="T276" s="2144"/>
      <c r="U276" s="2144"/>
      <c r="V276" s="2144"/>
      <c r="W276" s="2144"/>
      <c r="X276" s="2144"/>
      <c r="Y276" s="2144"/>
      <c r="Z276" s="2144"/>
      <c r="AA276" s="2144"/>
      <c r="AB276" s="2144"/>
      <c r="AC276" s="2144"/>
      <c r="AD276" s="214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8">
        <v>9168653981</v>
      </c>
      <c r="M277" s="2158"/>
      <c r="N277" s="2158"/>
      <c r="O277" s="2158"/>
      <c r="P277" s="2158"/>
      <c r="Q277" s="2158"/>
      <c r="R277" s="7" t="s">
        <v>212</v>
      </c>
      <c r="S277" s="7"/>
      <c r="T277" s="1876"/>
      <c r="U277" s="1876"/>
      <c r="V277" s="1876"/>
      <c r="W277" s="7" t="s">
        <v>94</v>
      </c>
      <c r="Y277" s="2146"/>
      <c r="Z277" s="2146"/>
      <c r="AA277" s="2146"/>
      <c r="AB277" s="2146"/>
      <c r="AC277" s="2146"/>
      <c r="AD277" s="2146"/>
      <c r="BN277" s="61"/>
    </row>
    <row r="278" spans="1:66" ht="12.75">
      <c r="D278" s="60" t="s">
        <v>95</v>
      </c>
      <c r="E278" s="7"/>
      <c r="F278" s="7"/>
      <c r="L278" s="2210" t="s">
        <v>2506</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75">
      <c r="D279" s="58" t="s">
        <v>650</v>
      </c>
      <c r="E279" s="58"/>
      <c r="F279" s="58"/>
      <c r="G279" s="58"/>
      <c r="H279" s="58"/>
      <c r="I279" s="58"/>
      <c r="L279" s="1925" t="s">
        <v>2515</v>
      </c>
      <c r="M279" s="1925"/>
      <c r="N279" s="1925"/>
      <c r="O279" s="1925"/>
      <c r="P279" s="1925"/>
      <c r="Q279" s="1925"/>
      <c r="R279" s="1925"/>
      <c r="S279" s="1925"/>
      <c r="T279" s="1925"/>
      <c r="U279" s="1925"/>
      <c r="V279" s="1925"/>
      <c r="W279" s="1925"/>
      <c r="X279" s="1925"/>
      <c r="Y279" s="1925"/>
      <c r="Z279" s="1925"/>
      <c r="AA279" s="1925"/>
      <c r="AB279" s="1925"/>
      <c r="AC279" s="1925"/>
      <c r="AD279" s="1925"/>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35" t="s">
        <v>567</v>
      </c>
      <c r="B281" s="2135"/>
      <c r="C281" s="2135"/>
      <c r="D281" s="2135"/>
      <c r="E281" s="2135"/>
      <c r="F281" s="2135"/>
      <c r="G281" s="2135"/>
      <c r="H281" s="2135"/>
      <c r="I281" s="2135"/>
      <c r="J281" s="2135"/>
      <c r="K281" s="2135"/>
      <c r="L281" s="2135"/>
      <c r="M281" s="2135"/>
      <c r="N281" s="2135"/>
      <c r="O281" s="2135"/>
      <c r="P281" s="2135"/>
      <c r="Q281" s="2135"/>
      <c r="R281" s="2135"/>
      <c r="S281" s="2135"/>
      <c r="T281" s="2135"/>
      <c r="U281" s="2135"/>
      <c r="V281" s="2135"/>
      <c r="W281" s="2135"/>
      <c r="X281" s="2135"/>
      <c r="Y281" s="2135"/>
      <c r="Z281" s="2135"/>
      <c r="AA281" s="2135"/>
      <c r="AB281" s="2135"/>
      <c r="AC281" s="2135"/>
      <c r="AD281" s="2135"/>
      <c r="AE281" s="2135"/>
      <c r="AF281" s="2135"/>
      <c r="AG281" s="2135"/>
      <c r="AH281" s="2135"/>
      <c r="AI281" s="2135"/>
      <c r="AJ281" s="2135"/>
      <c r="AK281" s="2135"/>
      <c r="AL281" s="2135"/>
      <c r="AM281" s="144"/>
      <c r="AN281" s="144"/>
      <c r="AO281" s="144"/>
      <c r="AP281" s="144"/>
      <c r="AQ281" s="144"/>
      <c r="AR281" s="144"/>
      <c r="AS281" s="144"/>
      <c r="AT281" s="144"/>
      <c r="AU281" s="144"/>
      <c r="AV281" s="144"/>
      <c r="AW281" s="144"/>
      <c r="AX281" s="144"/>
      <c r="AY281" s="144"/>
      <c r="BN281" s="61"/>
    </row>
    <row r="282" spans="1:66" ht="13.5" thickBot="1">
      <c r="A282" s="2136"/>
      <c r="B282" s="2136"/>
      <c r="C282" s="2136"/>
      <c r="D282" s="2136"/>
      <c r="E282" s="2136"/>
      <c r="F282" s="2136"/>
      <c r="G282" s="2136"/>
      <c r="H282" s="2136"/>
      <c r="I282" s="2136"/>
      <c r="J282" s="2136"/>
      <c r="K282" s="2136"/>
      <c r="L282" s="2136"/>
      <c r="M282" s="2136"/>
      <c r="N282" s="2136"/>
      <c r="O282" s="2136"/>
      <c r="P282" s="2136"/>
      <c r="Q282" s="2136"/>
      <c r="R282" s="2136"/>
      <c r="S282" s="2136"/>
      <c r="T282" s="2136"/>
      <c r="U282" s="2136"/>
      <c r="V282" s="2136"/>
      <c r="W282" s="2136"/>
      <c r="X282" s="2136"/>
      <c r="Y282" s="2136"/>
      <c r="Z282" s="2136"/>
      <c r="AA282" s="2136"/>
      <c r="AB282" s="2136"/>
      <c r="AC282" s="2136"/>
      <c r="AD282" s="2136"/>
      <c r="AE282" s="2136"/>
      <c r="AF282" s="2136"/>
      <c r="AG282" s="2136"/>
      <c r="AH282" s="2136"/>
      <c r="AI282" s="2136"/>
      <c r="AJ282" s="2136"/>
      <c r="AK282" s="2136"/>
      <c r="AL282" s="213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144" t="s">
        <v>2490</v>
      </c>
      <c r="I286" s="1903"/>
      <c r="J286" s="1903"/>
      <c r="K286" s="1903"/>
      <c r="L286" s="1903"/>
      <c r="M286" s="1903"/>
      <c r="N286" s="1903"/>
      <c r="O286" s="1903"/>
      <c r="P286" s="1903"/>
      <c r="Q286" s="1903"/>
      <c r="R286" s="1903"/>
      <c r="T286" s="58" t="s">
        <v>593</v>
      </c>
      <c r="V286" s="58"/>
      <c r="W286" s="58"/>
      <c r="X286" s="58"/>
      <c r="Y286" s="58"/>
      <c r="AA286" s="1903" t="s">
        <v>2516</v>
      </c>
      <c r="AB286" s="1903"/>
      <c r="AC286" s="1903"/>
      <c r="AD286" s="1903"/>
      <c r="AE286" s="1903"/>
      <c r="AF286" s="1903"/>
      <c r="AG286" s="1903"/>
      <c r="AH286" s="1903"/>
      <c r="AI286" s="1903"/>
      <c r="AJ286" s="1903"/>
      <c r="AK286" s="1903"/>
      <c r="BN286" s="61"/>
    </row>
    <row r="287" spans="1:66" ht="12.75">
      <c r="B287" s="58" t="s">
        <v>497</v>
      </c>
      <c r="C287" s="58"/>
      <c r="D287" s="58"/>
      <c r="E287" s="58"/>
      <c r="F287" s="58"/>
      <c r="H287" s="1877" t="s">
        <v>2491</v>
      </c>
      <c r="I287" s="1877"/>
      <c r="J287" s="1877"/>
      <c r="K287" s="1877"/>
      <c r="L287" s="1877"/>
      <c r="M287" s="1877"/>
      <c r="N287" s="1877"/>
      <c r="O287" s="1877"/>
      <c r="P287" s="1877"/>
      <c r="Q287" s="1877"/>
      <c r="R287" s="1877"/>
      <c r="T287" s="58" t="s">
        <v>497</v>
      </c>
      <c r="V287" s="58"/>
      <c r="W287" s="58"/>
      <c r="X287" s="58"/>
      <c r="Y287" s="58"/>
      <c r="AA287" s="1877" t="s">
        <v>2517</v>
      </c>
      <c r="AB287" s="1877"/>
      <c r="AC287" s="1877"/>
      <c r="AD287" s="1877"/>
      <c r="AE287" s="1877"/>
      <c r="AF287" s="1877"/>
      <c r="AG287" s="1877"/>
      <c r="AH287" s="1877"/>
      <c r="AI287" s="1877"/>
      <c r="AJ287" s="1877"/>
      <c r="AK287" s="1877"/>
      <c r="BN287" s="61"/>
    </row>
    <row r="288" spans="1:66" ht="12.75">
      <c r="B288" s="58" t="s">
        <v>498</v>
      </c>
      <c r="C288" s="58"/>
      <c r="D288" s="58"/>
      <c r="E288" s="58"/>
      <c r="F288" s="58"/>
      <c r="H288" s="1925" t="s">
        <v>2492</v>
      </c>
      <c r="I288" s="1877"/>
      <c r="J288" s="1877"/>
      <c r="K288" s="1877"/>
      <c r="L288" s="1877"/>
      <c r="M288" s="1877"/>
      <c r="N288" s="1877"/>
      <c r="O288" s="1877"/>
      <c r="P288" s="1877"/>
      <c r="Q288" s="1877"/>
      <c r="R288" s="1877"/>
      <c r="T288" s="58" t="s">
        <v>79</v>
      </c>
      <c r="V288" s="58"/>
      <c r="W288" s="58"/>
      <c r="X288" s="58"/>
      <c r="Y288" s="58"/>
      <c r="AA288" s="1877" t="s">
        <v>2518</v>
      </c>
      <c r="AB288" s="1877"/>
      <c r="AC288" s="1877"/>
      <c r="AD288" s="1877"/>
      <c r="AE288" s="1877"/>
      <c r="AF288" s="1877"/>
      <c r="AG288" s="1877"/>
      <c r="AH288" s="1877"/>
      <c r="AI288" s="1877"/>
      <c r="AJ288" s="1877"/>
      <c r="AK288" s="1877"/>
      <c r="BN288" s="61"/>
    </row>
    <row r="289" spans="2:66" ht="12.75" customHeight="1">
      <c r="B289" s="58" t="s">
        <v>92</v>
      </c>
      <c r="C289" s="58"/>
      <c r="D289" s="58"/>
      <c r="E289" s="58"/>
      <c r="F289" s="58"/>
      <c r="H289" s="1925" t="s">
        <v>2493</v>
      </c>
      <c r="I289" s="1877"/>
      <c r="J289" s="1877"/>
      <c r="K289" s="1877"/>
      <c r="L289" s="1877"/>
      <c r="M289" s="1877"/>
      <c r="N289" s="1877"/>
      <c r="O289" s="1877"/>
      <c r="P289" s="1877"/>
      <c r="Q289" s="1877"/>
      <c r="R289" s="1877"/>
      <c r="T289" s="58" t="s">
        <v>92</v>
      </c>
      <c r="V289" s="58"/>
      <c r="W289" s="58"/>
      <c r="X289" s="58"/>
      <c r="Y289" s="58"/>
      <c r="AA289" s="1877" t="s">
        <v>2531</v>
      </c>
      <c r="AB289" s="1877"/>
      <c r="AC289" s="1877"/>
      <c r="AD289" s="1877"/>
      <c r="AE289" s="1877"/>
      <c r="AF289" s="1877"/>
      <c r="AG289" s="1877"/>
      <c r="AH289" s="1877"/>
      <c r="AI289" s="1877"/>
      <c r="AJ289" s="1877"/>
      <c r="AK289" s="1877"/>
      <c r="BN289" s="61"/>
    </row>
    <row r="290" spans="2:66" ht="12.75" customHeight="1">
      <c r="B290" s="58" t="s">
        <v>93</v>
      </c>
      <c r="C290" s="58"/>
      <c r="D290" s="58"/>
      <c r="E290" s="58"/>
      <c r="F290" s="58"/>
      <c r="G290" s="58"/>
      <c r="H290" s="2211">
        <v>9168653981</v>
      </c>
      <c r="I290" s="2211"/>
      <c r="J290" s="2211"/>
      <c r="K290" s="2211"/>
      <c r="L290" s="2211"/>
      <c r="M290" s="2211"/>
      <c r="N290" s="7" t="s">
        <v>212</v>
      </c>
      <c r="O290" s="7"/>
      <c r="P290" s="2192"/>
      <c r="Q290" s="2192"/>
      <c r="R290" s="2192"/>
      <c r="S290" s="58"/>
      <c r="T290" s="58" t="s">
        <v>93</v>
      </c>
      <c r="V290" s="58"/>
      <c r="W290" s="58"/>
      <c r="X290" s="58"/>
      <c r="Y290" s="58"/>
      <c r="AA290" s="2211" t="s">
        <v>2519</v>
      </c>
      <c r="AB290" s="2211"/>
      <c r="AC290" s="2211"/>
      <c r="AD290" s="2211"/>
      <c r="AE290" s="2211"/>
      <c r="AF290" s="2211"/>
      <c r="AG290" s="7" t="s">
        <v>212</v>
      </c>
      <c r="AH290" s="7"/>
      <c r="AI290" s="2192"/>
      <c r="AJ290" s="2192"/>
      <c r="AK290" s="2192"/>
      <c r="BN290" s="61"/>
    </row>
    <row r="291" spans="2:66" ht="12.75" customHeight="1">
      <c r="B291" s="58" t="s">
        <v>94</v>
      </c>
      <c r="C291" s="58"/>
      <c r="D291" s="58"/>
      <c r="E291" s="58"/>
      <c r="F291" s="58"/>
      <c r="G291" s="58"/>
      <c r="H291" s="2158">
        <v>9167735866</v>
      </c>
      <c r="I291" s="2158"/>
      <c r="J291" s="2158"/>
      <c r="K291" s="2158"/>
      <c r="L291" s="2158"/>
      <c r="M291" s="2158"/>
      <c r="N291" s="60"/>
      <c r="O291" s="60"/>
      <c r="P291" s="62"/>
      <c r="Q291" s="62"/>
      <c r="R291" s="62"/>
      <c r="S291" s="58"/>
      <c r="T291" s="58" t="s">
        <v>94</v>
      </c>
      <c r="V291" s="58"/>
      <c r="W291" s="58"/>
      <c r="X291" s="58"/>
      <c r="Y291" s="58"/>
      <c r="AA291" s="2158" t="s">
        <v>2529</v>
      </c>
      <c r="AB291" s="2146"/>
      <c r="AC291" s="2146"/>
      <c r="AD291" s="2146"/>
      <c r="AE291" s="2146"/>
      <c r="AF291" s="2146"/>
      <c r="AG291" s="60"/>
      <c r="AH291" s="60"/>
      <c r="AI291" s="62"/>
      <c r="AJ291" s="62"/>
      <c r="AK291" s="62"/>
      <c r="BN291" s="61"/>
    </row>
    <row r="292" spans="2:66" ht="12.75" customHeight="1">
      <c r="B292" s="58" t="s">
        <v>80</v>
      </c>
      <c r="C292" s="58"/>
      <c r="D292" s="58"/>
      <c r="E292" s="58"/>
      <c r="F292" s="58"/>
      <c r="G292" s="58"/>
      <c r="H292" s="1925" t="s">
        <v>2506</v>
      </c>
      <c r="I292" s="1877"/>
      <c r="J292" s="1877"/>
      <c r="K292" s="1877"/>
      <c r="L292" s="1877"/>
      <c r="M292" s="1877"/>
      <c r="N292" s="1903"/>
      <c r="O292" s="1903"/>
      <c r="P292" s="1903"/>
      <c r="Q292" s="1903"/>
      <c r="R292" s="1903"/>
      <c r="S292" s="58"/>
      <c r="T292" s="58" t="s">
        <v>80</v>
      </c>
      <c r="V292" s="58"/>
      <c r="W292" s="58"/>
      <c r="X292" s="58"/>
      <c r="Y292" s="58"/>
      <c r="AA292" s="1877" t="s">
        <v>2520</v>
      </c>
      <c r="AB292" s="1877"/>
      <c r="AC292" s="1877"/>
      <c r="AD292" s="1877"/>
      <c r="AE292" s="1877"/>
      <c r="AF292" s="1877"/>
      <c r="AG292" s="1903"/>
      <c r="AH292" s="1903"/>
      <c r="AI292" s="1903"/>
      <c r="AJ292" s="1903"/>
      <c r="AK292" s="19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144" t="s">
        <v>2521</v>
      </c>
      <c r="I294" s="1903"/>
      <c r="J294" s="1903"/>
      <c r="K294" s="1903"/>
      <c r="L294" s="1903"/>
      <c r="M294" s="1903"/>
      <c r="N294" s="1903"/>
      <c r="O294" s="1903"/>
      <c r="P294" s="1903"/>
      <c r="Q294" s="1903"/>
      <c r="R294" s="1903"/>
      <c r="T294" s="58" t="s">
        <v>371</v>
      </c>
      <c r="V294" s="58"/>
      <c r="W294" s="58"/>
      <c r="X294" s="58"/>
      <c r="Y294" s="58"/>
      <c r="AA294" s="1903" t="s">
        <v>2526</v>
      </c>
      <c r="AB294" s="1903"/>
      <c r="AC294" s="1903"/>
      <c r="AD294" s="1903"/>
      <c r="AE294" s="1903"/>
      <c r="AF294" s="1903"/>
      <c r="AG294" s="1903"/>
      <c r="AH294" s="1903"/>
      <c r="AI294" s="1903"/>
      <c r="AJ294" s="1903"/>
      <c r="AK294" s="1903"/>
      <c r="BN294" s="61"/>
    </row>
    <row r="295" spans="2:66" ht="12.75">
      <c r="B295" s="58" t="s">
        <v>497</v>
      </c>
      <c r="C295" s="58"/>
      <c r="D295" s="58"/>
      <c r="E295" s="58"/>
      <c r="F295" s="58"/>
      <c r="H295" s="1925" t="s">
        <v>2522</v>
      </c>
      <c r="I295" s="1877"/>
      <c r="J295" s="1877"/>
      <c r="K295" s="1877"/>
      <c r="L295" s="1877"/>
      <c r="M295" s="1877"/>
      <c r="N295" s="1877"/>
      <c r="O295" s="1877"/>
      <c r="P295" s="1877"/>
      <c r="Q295" s="1877"/>
      <c r="R295" s="1877"/>
      <c r="T295" s="58" t="s">
        <v>497</v>
      </c>
      <c r="V295" s="58"/>
      <c r="W295" s="58"/>
      <c r="X295" s="58"/>
      <c r="Y295" s="58"/>
      <c r="AA295" s="1877" t="s">
        <v>2491</v>
      </c>
      <c r="AB295" s="1877"/>
      <c r="AC295" s="1877"/>
      <c r="AD295" s="1877"/>
      <c r="AE295" s="1877"/>
      <c r="AF295" s="1877"/>
      <c r="AG295" s="1877"/>
      <c r="AH295" s="1877"/>
      <c r="AI295" s="1877"/>
      <c r="AJ295" s="1877"/>
      <c r="AK295" s="1877"/>
      <c r="BN295" s="61"/>
    </row>
    <row r="296" spans="2:66" ht="12.75">
      <c r="B296" s="58" t="s">
        <v>498</v>
      </c>
      <c r="C296" s="58"/>
      <c r="D296" s="58"/>
      <c r="E296" s="58"/>
      <c r="F296" s="58"/>
      <c r="H296" s="1877" t="s">
        <v>2523</v>
      </c>
      <c r="I296" s="1877"/>
      <c r="J296" s="1877"/>
      <c r="K296" s="1877"/>
      <c r="L296" s="1877"/>
      <c r="M296" s="1877"/>
      <c r="N296" s="1877"/>
      <c r="O296" s="1877"/>
      <c r="P296" s="1877"/>
      <c r="Q296" s="1877"/>
      <c r="R296" s="1877"/>
      <c r="T296" s="58" t="s">
        <v>79</v>
      </c>
      <c r="V296" s="58"/>
      <c r="W296" s="58"/>
      <c r="X296" s="58"/>
      <c r="Y296" s="58"/>
      <c r="AA296" s="1877" t="s">
        <v>2492</v>
      </c>
      <c r="AB296" s="1877"/>
      <c r="AC296" s="1877"/>
      <c r="AD296" s="1877"/>
      <c r="AE296" s="1877"/>
      <c r="AF296" s="1877"/>
      <c r="AG296" s="1877"/>
      <c r="AH296" s="1877"/>
      <c r="AI296" s="1877"/>
      <c r="AJ296" s="1877"/>
      <c r="AK296" s="1877"/>
      <c r="BN296" s="61"/>
    </row>
    <row r="297" spans="2:66" ht="12.75">
      <c r="B297" s="58" t="s">
        <v>92</v>
      </c>
      <c r="C297" s="58"/>
      <c r="D297" s="58"/>
      <c r="E297" s="58"/>
      <c r="F297" s="58"/>
      <c r="H297" s="1877" t="s">
        <v>2524</v>
      </c>
      <c r="I297" s="1877"/>
      <c r="J297" s="1877"/>
      <c r="K297" s="1877"/>
      <c r="L297" s="1877"/>
      <c r="M297" s="1877"/>
      <c r="N297" s="1877"/>
      <c r="O297" s="1877"/>
      <c r="P297" s="1877"/>
      <c r="Q297" s="1877"/>
      <c r="R297" s="1877"/>
      <c r="T297" s="58" t="s">
        <v>92</v>
      </c>
      <c r="V297" s="58"/>
      <c r="W297" s="58"/>
      <c r="X297" s="58"/>
      <c r="Y297" s="58"/>
      <c r="AA297" s="1925" t="s">
        <v>2527</v>
      </c>
      <c r="AB297" s="1877"/>
      <c r="AC297" s="1877"/>
      <c r="AD297" s="1877"/>
      <c r="AE297" s="1877"/>
      <c r="AF297" s="1877"/>
      <c r="AG297" s="1877"/>
      <c r="AH297" s="1877"/>
      <c r="AI297" s="1877"/>
      <c r="AJ297" s="1877"/>
      <c r="AK297" s="1877"/>
      <c r="BN297" s="61"/>
    </row>
    <row r="298" spans="2:66" ht="12.75">
      <c r="B298" s="58" t="s">
        <v>93</v>
      </c>
      <c r="C298" s="58"/>
      <c r="D298" s="58"/>
      <c r="E298" s="58"/>
      <c r="F298" s="58"/>
      <c r="G298" s="58"/>
      <c r="H298" s="2211">
        <v>2132398048</v>
      </c>
      <c r="I298" s="2211"/>
      <c r="J298" s="2211"/>
      <c r="K298" s="2211"/>
      <c r="L298" s="2211"/>
      <c r="M298" s="2211"/>
      <c r="N298" s="7" t="s">
        <v>212</v>
      </c>
      <c r="O298" s="7"/>
      <c r="P298" s="2192"/>
      <c r="Q298" s="2192"/>
      <c r="R298" s="2192"/>
      <c r="S298" s="58"/>
      <c r="T298" s="58" t="s">
        <v>93</v>
      </c>
      <c r="V298" s="58"/>
      <c r="W298" s="58"/>
      <c r="X298" s="58"/>
      <c r="Y298" s="58"/>
      <c r="AA298" s="2211">
        <v>9167243856</v>
      </c>
      <c r="AB298" s="2211"/>
      <c r="AC298" s="2211"/>
      <c r="AD298" s="2211"/>
      <c r="AE298" s="2211"/>
      <c r="AF298" s="2211"/>
      <c r="AG298" s="7" t="s">
        <v>212</v>
      </c>
      <c r="AH298" s="7"/>
      <c r="AI298" s="2192"/>
      <c r="AJ298" s="2192"/>
      <c r="AK298" s="2192"/>
      <c r="BN298" s="61"/>
    </row>
    <row r="299" spans="2:66" ht="12.75" customHeight="1">
      <c r="B299" s="58" t="s">
        <v>94</v>
      </c>
      <c r="C299" s="58"/>
      <c r="D299" s="58"/>
      <c r="E299" s="58"/>
      <c r="F299" s="58"/>
      <c r="G299" s="58"/>
      <c r="H299" s="2158">
        <v>2132390410</v>
      </c>
      <c r="I299" s="2158"/>
      <c r="J299" s="2158"/>
      <c r="K299" s="2158"/>
      <c r="L299" s="2158"/>
      <c r="M299" s="2158"/>
      <c r="N299" s="60"/>
      <c r="O299" s="60"/>
      <c r="P299" s="62"/>
      <c r="Q299" s="62"/>
      <c r="R299" s="62"/>
      <c r="S299" s="58"/>
      <c r="T299" s="58" t="s">
        <v>94</v>
      </c>
      <c r="V299" s="58"/>
      <c r="W299" s="58"/>
      <c r="X299" s="58"/>
      <c r="Y299" s="58"/>
      <c r="AA299" s="2158">
        <v>9167731931</v>
      </c>
      <c r="AB299" s="2158"/>
      <c r="AC299" s="2158"/>
      <c r="AD299" s="2158"/>
      <c r="AE299" s="2158"/>
      <c r="AF299" s="2158"/>
      <c r="AG299" s="60"/>
      <c r="AH299" s="60"/>
      <c r="AI299" s="62"/>
      <c r="AJ299" s="62"/>
      <c r="AK299" s="62"/>
      <c r="BN299" s="61"/>
    </row>
    <row r="300" spans="2:66" ht="12.75" customHeight="1">
      <c r="B300" s="58" t="s">
        <v>80</v>
      </c>
      <c r="C300" s="58"/>
      <c r="D300" s="58"/>
      <c r="E300" s="58"/>
      <c r="F300" s="58"/>
      <c r="G300" s="58"/>
      <c r="H300" s="1877" t="s">
        <v>2525</v>
      </c>
      <c r="I300" s="1877"/>
      <c r="J300" s="1877"/>
      <c r="K300" s="1877"/>
      <c r="L300" s="1877"/>
      <c r="M300" s="1877"/>
      <c r="N300" s="1903"/>
      <c r="O300" s="1903"/>
      <c r="P300" s="1903"/>
      <c r="Q300" s="1903"/>
      <c r="R300" s="1903"/>
      <c r="S300" s="58"/>
      <c r="T300" s="58" t="s">
        <v>80</v>
      </c>
      <c r="V300" s="58"/>
      <c r="W300" s="58"/>
      <c r="X300" s="58"/>
      <c r="Y300" s="58"/>
      <c r="AA300" s="1925" t="s">
        <v>2528</v>
      </c>
      <c r="AB300" s="1877"/>
      <c r="AC300" s="1877"/>
      <c r="AD300" s="1877"/>
      <c r="AE300" s="1877"/>
      <c r="AF300" s="1877"/>
      <c r="AG300" s="1903"/>
      <c r="AH300" s="1903"/>
      <c r="AI300" s="1903"/>
      <c r="AJ300" s="1903"/>
      <c r="AK300" s="1903"/>
      <c r="BN300" s="61"/>
    </row>
    <row r="301" spans="2:66" ht="12.75" customHeight="1">
      <c r="BN301" s="61"/>
    </row>
    <row r="302" spans="2:66" ht="12.75" customHeight="1">
      <c r="B302" s="58" t="s">
        <v>81</v>
      </c>
      <c r="C302" s="58"/>
      <c r="D302" s="58"/>
      <c r="E302" s="58"/>
      <c r="F302" s="58"/>
      <c r="H302" s="1903" t="s">
        <v>2529</v>
      </c>
      <c r="I302" s="1903"/>
      <c r="J302" s="1903"/>
      <c r="K302" s="1903"/>
      <c r="L302" s="1903"/>
      <c r="M302" s="1903"/>
      <c r="N302" s="1903"/>
      <c r="O302" s="1903"/>
      <c r="P302" s="1903"/>
      <c r="Q302" s="1903"/>
      <c r="R302" s="1903"/>
      <c r="T302" s="7" t="s">
        <v>926</v>
      </c>
      <c r="V302" s="58"/>
      <c r="W302" s="58"/>
      <c r="X302" s="58"/>
      <c r="Y302" s="58"/>
      <c r="AA302" s="1903" t="s">
        <v>2529</v>
      </c>
      <c r="AB302" s="1903"/>
      <c r="AC302" s="1903"/>
      <c r="AD302" s="1903"/>
      <c r="AE302" s="1903"/>
      <c r="AF302" s="1903"/>
      <c r="AG302" s="1903"/>
      <c r="AH302" s="1903"/>
      <c r="AI302" s="1903"/>
      <c r="AJ302" s="1903"/>
      <c r="AK302" s="1903"/>
      <c r="BN302" s="61"/>
    </row>
    <row r="303" spans="2:66" ht="12.75">
      <c r="B303" s="58" t="s">
        <v>497</v>
      </c>
      <c r="C303" s="58"/>
      <c r="D303" s="58"/>
      <c r="E303" s="58"/>
      <c r="F303" s="58"/>
      <c r="H303" s="1877"/>
      <c r="I303" s="1877"/>
      <c r="J303" s="1877"/>
      <c r="K303" s="1877"/>
      <c r="L303" s="1877"/>
      <c r="M303" s="1877"/>
      <c r="N303" s="1877"/>
      <c r="O303" s="1877"/>
      <c r="P303" s="1877"/>
      <c r="Q303" s="1877"/>
      <c r="R303" s="1877"/>
      <c r="T303" s="58" t="s">
        <v>497</v>
      </c>
      <c r="V303" s="58"/>
      <c r="W303" s="58"/>
      <c r="X303" s="58"/>
      <c r="Y303" s="58"/>
      <c r="AA303" s="1877"/>
      <c r="AB303" s="1877"/>
      <c r="AC303" s="1877"/>
      <c r="AD303" s="1877"/>
      <c r="AE303" s="1877"/>
      <c r="AF303" s="1877"/>
      <c r="AG303" s="1877"/>
      <c r="AH303" s="1877"/>
      <c r="AI303" s="1877"/>
      <c r="AJ303" s="1877"/>
      <c r="AK303" s="1877"/>
      <c r="BN303" s="61"/>
    </row>
    <row r="304" spans="2:66" ht="12.75">
      <c r="B304" s="58" t="s">
        <v>498</v>
      </c>
      <c r="C304" s="58"/>
      <c r="D304" s="58"/>
      <c r="E304" s="58"/>
      <c r="F304" s="58"/>
      <c r="H304" s="1877"/>
      <c r="I304" s="1877"/>
      <c r="J304" s="1877"/>
      <c r="K304" s="1877"/>
      <c r="L304" s="1877"/>
      <c r="M304" s="1877"/>
      <c r="N304" s="1877"/>
      <c r="O304" s="1877"/>
      <c r="P304" s="1877"/>
      <c r="Q304" s="1877"/>
      <c r="R304" s="1877"/>
      <c r="T304" s="58" t="s">
        <v>79</v>
      </c>
      <c r="V304" s="58"/>
      <c r="W304" s="58"/>
      <c r="X304" s="58"/>
      <c r="Y304" s="58"/>
      <c r="AA304" s="1877"/>
      <c r="AB304" s="1877"/>
      <c r="AC304" s="1877"/>
      <c r="AD304" s="1877"/>
      <c r="AE304" s="1877"/>
      <c r="AF304" s="1877"/>
      <c r="AG304" s="1877"/>
      <c r="AH304" s="1877"/>
      <c r="AI304" s="1877"/>
      <c r="AJ304" s="1877"/>
      <c r="AK304" s="1877"/>
      <c r="BN304" s="61"/>
    </row>
    <row r="305" spans="2:66" ht="12.75">
      <c r="B305" s="58" t="s">
        <v>92</v>
      </c>
      <c r="C305" s="58"/>
      <c r="D305" s="58"/>
      <c r="E305" s="58"/>
      <c r="F305" s="58"/>
      <c r="H305" s="1877"/>
      <c r="I305" s="1877"/>
      <c r="J305" s="1877"/>
      <c r="K305" s="1877"/>
      <c r="L305" s="1877"/>
      <c r="M305" s="1877"/>
      <c r="N305" s="1877"/>
      <c r="O305" s="1877"/>
      <c r="P305" s="1877"/>
      <c r="Q305" s="1877"/>
      <c r="R305" s="1877"/>
      <c r="T305" s="58" t="s">
        <v>92</v>
      </c>
      <c r="V305" s="58"/>
      <c r="W305" s="58"/>
      <c r="X305" s="58"/>
      <c r="Y305" s="58"/>
      <c r="AA305" s="1877"/>
      <c r="AB305" s="1877"/>
      <c r="AC305" s="1877"/>
      <c r="AD305" s="1877"/>
      <c r="AE305" s="1877"/>
      <c r="AF305" s="1877"/>
      <c r="AG305" s="1877"/>
      <c r="AH305" s="1877"/>
      <c r="AI305" s="1877"/>
      <c r="AJ305" s="1877"/>
      <c r="AK305" s="1877"/>
      <c r="BN305" s="61"/>
    </row>
    <row r="306" spans="2:66" ht="12.75">
      <c r="B306" s="58" t="s">
        <v>93</v>
      </c>
      <c r="C306" s="58"/>
      <c r="D306" s="58"/>
      <c r="E306" s="58"/>
      <c r="F306" s="58"/>
      <c r="G306" s="58"/>
      <c r="H306" s="2193"/>
      <c r="I306" s="2193"/>
      <c r="J306" s="2193"/>
      <c r="K306" s="2193"/>
      <c r="L306" s="2193"/>
      <c r="M306" s="2193"/>
      <c r="N306" s="7" t="s">
        <v>212</v>
      </c>
      <c r="O306" s="7"/>
      <c r="P306" s="2192"/>
      <c r="Q306" s="2192"/>
      <c r="R306" s="2192"/>
      <c r="S306" s="58"/>
      <c r="T306" s="58" t="s">
        <v>93</v>
      </c>
      <c r="V306" s="58"/>
      <c r="W306" s="58"/>
      <c r="X306" s="58"/>
      <c r="Y306" s="58"/>
      <c r="AA306" s="2193"/>
      <c r="AB306" s="2193"/>
      <c r="AC306" s="2193"/>
      <c r="AD306" s="2193"/>
      <c r="AE306" s="2193"/>
      <c r="AF306" s="2193"/>
      <c r="AG306" s="7" t="s">
        <v>212</v>
      </c>
      <c r="AH306" s="7"/>
      <c r="AI306" s="2192"/>
      <c r="AJ306" s="2192"/>
      <c r="AK306" s="2192"/>
      <c r="BN306" s="61"/>
    </row>
    <row r="307" spans="2:66" ht="12.75">
      <c r="B307" s="58" t="s">
        <v>94</v>
      </c>
      <c r="C307" s="58"/>
      <c r="D307" s="58"/>
      <c r="E307" s="58"/>
      <c r="F307" s="58"/>
      <c r="G307" s="58"/>
      <c r="H307" s="2146"/>
      <c r="I307" s="2146"/>
      <c r="J307" s="2146"/>
      <c r="K307" s="2146"/>
      <c r="L307" s="2146"/>
      <c r="M307" s="2146"/>
      <c r="N307" s="60"/>
      <c r="O307" s="60"/>
      <c r="P307" s="62"/>
      <c r="Q307" s="62"/>
      <c r="R307" s="62"/>
      <c r="S307" s="58"/>
      <c r="T307" s="58" t="s">
        <v>94</v>
      </c>
      <c r="V307" s="58"/>
      <c r="W307" s="58"/>
      <c r="X307" s="58"/>
      <c r="Y307" s="58"/>
      <c r="AA307" s="2146"/>
      <c r="AB307" s="2146"/>
      <c r="AC307" s="2146"/>
      <c r="AD307" s="2146"/>
      <c r="AE307" s="2146"/>
      <c r="AF307" s="2146"/>
      <c r="AG307" s="60"/>
      <c r="AH307" s="60"/>
      <c r="AI307" s="62"/>
      <c r="AJ307" s="62"/>
      <c r="AK307" s="62"/>
      <c r="BN307" s="61"/>
    </row>
    <row r="308" spans="2:66" ht="12.75">
      <c r="B308" s="58" t="s">
        <v>80</v>
      </c>
      <c r="C308" s="58"/>
      <c r="D308" s="58"/>
      <c r="E308" s="58"/>
      <c r="F308" s="58"/>
      <c r="G308" s="58"/>
      <c r="H308" s="1877"/>
      <c r="I308" s="1877"/>
      <c r="J308" s="1877"/>
      <c r="K308" s="1877"/>
      <c r="L308" s="1877"/>
      <c r="M308" s="1877"/>
      <c r="N308" s="1903"/>
      <c r="O308" s="1903"/>
      <c r="P308" s="1903"/>
      <c r="Q308" s="1903"/>
      <c r="R308" s="1903"/>
      <c r="S308" s="58"/>
      <c r="T308" s="58" t="s">
        <v>80</v>
      </c>
      <c r="V308" s="58"/>
      <c r="W308" s="58"/>
      <c r="X308" s="58"/>
      <c r="Y308" s="58"/>
      <c r="AA308" s="1877"/>
      <c r="AB308" s="1877"/>
      <c r="AC308" s="1877"/>
      <c r="AD308" s="1877"/>
      <c r="AE308" s="1877"/>
      <c r="AF308" s="1877"/>
      <c r="AG308" s="1903"/>
      <c r="AH308" s="1903"/>
      <c r="AI308" s="1903"/>
      <c r="AJ308" s="1903"/>
      <c r="AK308" s="19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144" t="s">
        <v>2533</v>
      </c>
      <c r="I310" s="1903"/>
      <c r="J310" s="1903"/>
      <c r="K310" s="1903"/>
      <c r="L310" s="1903"/>
      <c r="M310" s="1903"/>
      <c r="N310" s="1903"/>
      <c r="O310" s="1903"/>
      <c r="P310" s="1903"/>
      <c r="Q310" s="1903"/>
      <c r="R310" s="1903"/>
      <c r="S310" s="58"/>
      <c r="T310" s="58" t="s">
        <v>372</v>
      </c>
      <c r="V310" s="58"/>
      <c r="W310" s="58"/>
      <c r="X310" s="58"/>
      <c r="Y310" s="58"/>
      <c r="AA310" s="2144" t="s">
        <v>2538</v>
      </c>
      <c r="AB310" s="1903"/>
      <c r="AC310" s="1903"/>
      <c r="AD310" s="1903"/>
      <c r="AE310" s="1903"/>
      <c r="AF310" s="1903"/>
      <c r="AG310" s="1903"/>
      <c r="AH310" s="1903"/>
      <c r="AI310" s="1903"/>
      <c r="AJ310" s="1903"/>
      <c r="AK310" s="1903"/>
      <c r="BN310" s="61"/>
    </row>
    <row r="311" spans="2:66" ht="12.75">
      <c r="B311" s="58" t="s">
        <v>497</v>
      </c>
      <c r="C311" s="58"/>
      <c r="D311" s="58"/>
      <c r="E311" s="58"/>
      <c r="F311" s="58"/>
      <c r="H311" s="1925" t="s">
        <v>2534</v>
      </c>
      <c r="I311" s="1877"/>
      <c r="J311" s="1877"/>
      <c r="K311" s="1877"/>
      <c r="L311" s="1877"/>
      <c r="M311" s="1877"/>
      <c r="N311" s="1877"/>
      <c r="O311" s="1877"/>
      <c r="P311" s="1877"/>
      <c r="Q311" s="1877"/>
      <c r="R311" s="1877"/>
      <c r="S311" s="58"/>
      <c r="T311" s="58" t="s">
        <v>497</v>
      </c>
      <c r="V311" s="58"/>
      <c r="W311" s="58"/>
      <c r="X311" s="58"/>
      <c r="Y311" s="58"/>
      <c r="AA311" s="1877" t="s">
        <v>2539</v>
      </c>
      <c r="AB311" s="1877"/>
      <c r="AC311" s="1877"/>
      <c r="AD311" s="1877"/>
      <c r="AE311" s="1877"/>
      <c r="AF311" s="1877"/>
      <c r="AG311" s="1877"/>
      <c r="AH311" s="1877"/>
      <c r="AI311" s="1877"/>
      <c r="AJ311" s="1877"/>
      <c r="AK311" s="1877"/>
      <c r="BN311" s="61"/>
    </row>
    <row r="312" spans="2:66" ht="12.75" customHeight="1">
      <c r="B312" s="58" t="s">
        <v>498</v>
      </c>
      <c r="C312" s="58"/>
      <c r="D312" s="58"/>
      <c r="E312" s="58"/>
      <c r="F312" s="58"/>
      <c r="H312" s="1925" t="s">
        <v>2535</v>
      </c>
      <c r="I312" s="1877"/>
      <c r="J312" s="1877"/>
      <c r="K312" s="1877"/>
      <c r="L312" s="1877"/>
      <c r="M312" s="1877"/>
      <c r="N312" s="1877"/>
      <c r="O312" s="1877"/>
      <c r="P312" s="1877"/>
      <c r="Q312" s="1877"/>
      <c r="R312" s="1877"/>
      <c r="S312" s="58"/>
      <c r="T312" s="58" t="s">
        <v>79</v>
      </c>
      <c r="V312" s="58"/>
      <c r="W312" s="58"/>
      <c r="X312" s="58"/>
      <c r="Y312" s="58"/>
      <c r="AA312" s="1877" t="s">
        <v>2540</v>
      </c>
      <c r="AB312" s="1877"/>
      <c r="AC312" s="1877"/>
      <c r="AD312" s="1877"/>
      <c r="AE312" s="1877"/>
      <c r="AF312" s="1877"/>
      <c r="AG312" s="1877"/>
      <c r="AH312" s="1877"/>
      <c r="AI312" s="1877"/>
      <c r="AJ312" s="1877"/>
      <c r="AK312" s="1877"/>
      <c r="BN312" s="61"/>
    </row>
    <row r="313" spans="2:66" ht="12.75">
      <c r="B313" s="58" t="s">
        <v>92</v>
      </c>
      <c r="C313" s="58"/>
      <c r="D313" s="58"/>
      <c r="E313" s="58"/>
      <c r="F313" s="58"/>
      <c r="H313" s="1925" t="s">
        <v>2536</v>
      </c>
      <c r="I313" s="1877"/>
      <c r="J313" s="1877"/>
      <c r="K313" s="1877"/>
      <c r="L313" s="1877"/>
      <c r="M313" s="1877"/>
      <c r="N313" s="1877"/>
      <c r="O313" s="1877"/>
      <c r="P313" s="1877"/>
      <c r="Q313" s="1877"/>
      <c r="R313" s="1877"/>
      <c r="S313" s="58"/>
      <c r="T313" s="58" t="s">
        <v>92</v>
      </c>
      <c r="V313" s="58"/>
      <c r="W313" s="58"/>
      <c r="X313" s="58"/>
      <c r="Y313" s="58"/>
      <c r="AA313" s="1877" t="s">
        <v>2541</v>
      </c>
      <c r="AB313" s="1877"/>
      <c r="AC313" s="1877"/>
      <c r="AD313" s="1877"/>
      <c r="AE313" s="1877"/>
      <c r="AF313" s="1877"/>
      <c r="AG313" s="1877"/>
      <c r="AH313" s="1877"/>
      <c r="AI313" s="1877"/>
      <c r="AJ313" s="1877"/>
      <c r="AK313" s="1877"/>
      <c r="BN313" s="61"/>
    </row>
    <row r="314" spans="2:66" ht="12.75">
      <c r="B314" s="58" t="s">
        <v>93</v>
      </c>
      <c r="C314" s="58"/>
      <c r="D314" s="58"/>
      <c r="E314" s="58"/>
      <c r="F314" s="58"/>
      <c r="G314" s="58"/>
      <c r="H314" s="2193">
        <v>4153568025</v>
      </c>
      <c r="I314" s="2193"/>
      <c r="J314" s="2193"/>
      <c r="K314" s="2193"/>
      <c r="L314" s="2193"/>
      <c r="M314" s="2193"/>
      <c r="N314" s="7" t="s">
        <v>212</v>
      </c>
      <c r="O314" s="7"/>
      <c r="P314" s="2192"/>
      <c r="Q314" s="2192"/>
      <c r="R314" s="2192"/>
      <c r="S314" s="58"/>
      <c r="T314" s="58" t="s">
        <v>93</v>
      </c>
      <c r="V314" s="58"/>
      <c r="W314" s="58"/>
      <c r="X314" s="58"/>
      <c r="Y314" s="58"/>
      <c r="AA314" s="2211">
        <v>9494392626</v>
      </c>
      <c r="AB314" s="2211"/>
      <c r="AC314" s="2211"/>
      <c r="AD314" s="2211"/>
      <c r="AE314" s="2211"/>
      <c r="AF314" s="2211"/>
      <c r="AG314" s="7" t="s">
        <v>212</v>
      </c>
      <c r="AH314" s="7"/>
      <c r="AI314" s="2192"/>
      <c r="AJ314" s="2192"/>
      <c r="AK314" s="2192"/>
      <c r="BN314" s="61"/>
    </row>
    <row r="315" spans="2:66" ht="12.75">
      <c r="B315" s="58" t="s">
        <v>94</v>
      </c>
      <c r="C315" s="58"/>
      <c r="D315" s="58"/>
      <c r="E315" s="58"/>
      <c r="F315" s="58"/>
      <c r="G315" s="58"/>
      <c r="H315" s="2158" t="s">
        <v>618</v>
      </c>
      <c r="I315" s="2146"/>
      <c r="J315" s="2146"/>
      <c r="K315" s="2146"/>
      <c r="L315" s="2146"/>
      <c r="M315" s="2146"/>
      <c r="N315" s="60"/>
      <c r="O315" s="60"/>
      <c r="P315" s="62"/>
      <c r="Q315" s="62"/>
      <c r="R315" s="62"/>
      <c r="S315" s="58"/>
      <c r="T315" s="58" t="s">
        <v>94</v>
      </c>
      <c r="V315" s="58"/>
      <c r="W315" s="58"/>
      <c r="X315" s="58"/>
      <c r="Y315" s="58"/>
      <c r="AA315" s="2158" t="s">
        <v>618</v>
      </c>
      <c r="AB315" s="2158"/>
      <c r="AC315" s="2158"/>
      <c r="AD315" s="2158"/>
      <c r="AE315" s="2158"/>
      <c r="AF315" s="2158"/>
      <c r="AG315" s="60"/>
      <c r="AH315" s="60"/>
      <c r="AI315" s="62"/>
      <c r="AJ315" s="62"/>
      <c r="AK315" s="62"/>
      <c r="BN315" s="61"/>
    </row>
    <row r="316" spans="2:66" ht="12.75">
      <c r="B316" s="58" t="s">
        <v>80</v>
      </c>
      <c r="C316" s="58"/>
      <c r="D316" s="58"/>
      <c r="E316" s="58"/>
      <c r="F316" s="58"/>
      <c r="G316" s="58"/>
      <c r="H316" s="1877" t="s">
        <v>2537</v>
      </c>
      <c r="I316" s="1877"/>
      <c r="J316" s="1877"/>
      <c r="K316" s="1877"/>
      <c r="L316" s="1877"/>
      <c r="M316" s="1877"/>
      <c r="N316" s="1903"/>
      <c r="O316" s="1903"/>
      <c r="P316" s="1903"/>
      <c r="Q316" s="1903"/>
      <c r="R316" s="1903"/>
      <c r="S316" s="58"/>
      <c r="T316" s="58" t="s">
        <v>80</v>
      </c>
      <c r="V316" s="58"/>
      <c r="W316" s="58"/>
      <c r="X316" s="58"/>
      <c r="Y316" s="58"/>
      <c r="AA316" s="1877" t="s">
        <v>2542</v>
      </c>
      <c r="AB316" s="1877"/>
      <c r="AC316" s="1877"/>
      <c r="AD316" s="1877"/>
      <c r="AE316" s="1877"/>
      <c r="AF316" s="1877"/>
      <c r="AG316" s="1903"/>
      <c r="AH316" s="1903"/>
      <c r="AI316" s="1903"/>
      <c r="AJ316" s="1903"/>
      <c r="AK316" s="1903"/>
      <c r="BN316" s="61"/>
    </row>
    <row r="317" spans="2:66" ht="12.75">
      <c r="BN317" s="61"/>
    </row>
    <row r="318" spans="2:66" ht="12.75">
      <c r="B318" s="7" t="s">
        <v>960</v>
      </c>
      <c r="C318" s="58"/>
      <c r="D318" s="58"/>
      <c r="E318" s="58"/>
      <c r="F318" s="58"/>
      <c r="H318" s="1903" t="s">
        <v>2529</v>
      </c>
      <c r="I318" s="1903"/>
      <c r="J318" s="1903"/>
      <c r="K318" s="1903"/>
      <c r="L318" s="1903"/>
      <c r="M318" s="1903"/>
      <c r="N318" s="1903"/>
      <c r="O318" s="1903"/>
      <c r="P318" s="1903"/>
      <c r="Q318" s="1903"/>
      <c r="R318" s="1903"/>
      <c r="T318" s="58" t="s">
        <v>373</v>
      </c>
      <c r="V318" s="58"/>
      <c r="W318" s="58"/>
      <c r="X318" s="58"/>
      <c r="Y318" s="58"/>
      <c r="AA318" s="1903" t="s">
        <v>2543</v>
      </c>
      <c r="AB318" s="1903"/>
      <c r="AC318" s="1903"/>
      <c r="AD318" s="1903"/>
      <c r="AE318" s="1903"/>
      <c r="AF318" s="1903"/>
      <c r="AG318" s="1903"/>
      <c r="AH318" s="1903"/>
      <c r="AI318" s="1903"/>
      <c r="AJ318" s="1903"/>
      <c r="AK318" s="1903"/>
      <c r="BN318" s="61"/>
    </row>
    <row r="319" spans="2:66" ht="12.75">
      <c r="B319" s="58" t="s">
        <v>497</v>
      </c>
      <c r="C319" s="58"/>
      <c r="D319" s="58"/>
      <c r="E319" s="58"/>
      <c r="F319" s="58"/>
      <c r="H319" s="1877"/>
      <c r="I319" s="1877"/>
      <c r="J319" s="1877"/>
      <c r="K319" s="1877"/>
      <c r="L319" s="1877"/>
      <c r="M319" s="1877"/>
      <c r="N319" s="1877"/>
      <c r="O319" s="1877"/>
      <c r="P319" s="1877"/>
      <c r="Q319" s="1877"/>
      <c r="R319" s="1877"/>
      <c r="T319" s="58" t="s">
        <v>497</v>
      </c>
      <c r="V319" s="58"/>
      <c r="W319" s="58"/>
      <c r="X319" s="58"/>
      <c r="Y319" s="58"/>
      <c r="AA319" s="1877" t="s">
        <v>2544</v>
      </c>
      <c r="AB319" s="1877"/>
      <c r="AC319" s="1877"/>
      <c r="AD319" s="1877"/>
      <c r="AE319" s="1877"/>
      <c r="AF319" s="1877"/>
      <c r="AG319" s="1877"/>
      <c r="AH319" s="1877"/>
      <c r="AI319" s="1877"/>
      <c r="AJ319" s="1877"/>
      <c r="AK319" s="1877"/>
      <c r="BN319" s="61"/>
    </row>
    <row r="320" spans="2:66" ht="12.75">
      <c r="B320" s="58" t="s">
        <v>498</v>
      </c>
      <c r="C320" s="58"/>
      <c r="D320" s="58"/>
      <c r="E320" s="58"/>
      <c r="F320" s="58"/>
      <c r="H320" s="1877"/>
      <c r="I320" s="1877"/>
      <c r="J320" s="1877"/>
      <c r="K320" s="1877"/>
      <c r="L320" s="1877"/>
      <c r="M320" s="1877"/>
      <c r="N320" s="1877"/>
      <c r="O320" s="1877"/>
      <c r="P320" s="1877"/>
      <c r="Q320" s="1877"/>
      <c r="R320" s="1877"/>
      <c r="T320" s="58" t="s">
        <v>79</v>
      </c>
      <c r="V320" s="58"/>
      <c r="W320" s="58"/>
      <c r="X320" s="58"/>
      <c r="Y320" s="58"/>
      <c r="AA320" s="1877" t="s">
        <v>2545</v>
      </c>
      <c r="AB320" s="1877"/>
      <c r="AC320" s="1877"/>
      <c r="AD320" s="1877"/>
      <c r="AE320" s="1877"/>
      <c r="AF320" s="1877"/>
      <c r="AG320" s="1877"/>
      <c r="AH320" s="1877"/>
      <c r="AI320" s="1877"/>
      <c r="AJ320" s="1877"/>
      <c r="AK320" s="1877"/>
      <c r="BN320" s="61"/>
    </row>
    <row r="321" spans="1:66" ht="12.75" customHeight="1">
      <c r="A321" s="39"/>
      <c r="B321" s="58" t="s">
        <v>92</v>
      </c>
      <c r="C321" s="58"/>
      <c r="D321" s="58"/>
      <c r="E321" s="58"/>
      <c r="F321" s="58"/>
      <c r="H321" s="1877"/>
      <c r="I321" s="1877"/>
      <c r="J321" s="1877"/>
      <c r="K321" s="1877"/>
      <c r="L321" s="1877"/>
      <c r="M321" s="1877"/>
      <c r="N321" s="1877"/>
      <c r="O321" s="1877"/>
      <c r="P321" s="1877"/>
      <c r="Q321" s="1877"/>
      <c r="R321" s="1877"/>
      <c r="T321" s="58" t="s">
        <v>92</v>
      </c>
      <c r="V321" s="58"/>
      <c r="W321" s="58"/>
      <c r="X321" s="58"/>
      <c r="Y321" s="58"/>
      <c r="AA321" s="1925" t="s">
        <v>2546</v>
      </c>
      <c r="AB321" s="1877"/>
      <c r="AC321" s="1877"/>
      <c r="AD321" s="1877"/>
      <c r="AE321" s="1877"/>
      <c r="AF321" s="1877"/>
      <c r="AG321" s="1877"/>
      <c r="AH321" s="1877"/>
      <c r="AI321" s="1877"/>
      <c r="AJ321" s="1877"/>
      <c r="AK321" s="1877"/>
      <c r="AL321" s="39"/>
      <c r="BN321" s="61"/>
    </row>
    <row r="322" spans="1:66" ht="12.75">
      <c r="A322" s="39"/>
      <c r="B322" s="58" t="s">
        <v>93</v>
      </c>
      <c r="C322" s="58"/>
      <c r="D322" s="58"/>
      <c r="E322" s="58"/>
      <c r="F322" s="58"/>
      <c r="G322" s="58"/>
      <c r="H322" s="2193"/>
      <c r="I322" s="2193"/>
      <c r="J322" s="2193"/>
      <c r="K322" s="2193"/>
      <c r="L322" s="2193"/>
      <c r="M322" s="2193"/>
      <c r="N322" s="7" t="s">
        <v>212</v>
      </c>
      <c r="O322" s="7"/>
      <c r="P322" s="2192"/>
      <c r="Q322" s="2192"/>
      <c r="R322" s="2192"/>
      <c r="S322" s="58"/>
      <c r="T322" s="58" t="s">
        <v>93</v>
      </c>
      <c r="V322" s="58"/>
      <c r="W322" s="58"/>
      <c r="X322" s="58"/>
      <c r="Y322" s="58"/>
      <c r="AA322" s="2211">
        <v>4022020771</v>
      </c>
      <c r="AB322" s="2211"/>
      <c r="AC322" s="2211"/>
      <c r="AD322" s="2211"/>
      <c r="AE322" s="2211"/>
      <c r="AF322" s="2211"/>
      <c r="AG322" s="7" t="s">
        <v>212</v>
      </c>
      <c r="AH322" s="7"/>
      <c r="AI322" s="2192"/>
      <c r="AJ322" s="2192"/>
      <c r="AK322" s="2192"/>
      <c r="AL322" s="39"/>
      <c r="BN322" s="61"/>
    </row>
    <row r="323" spans="1:66" ht="12.75" customHeight="1">
      <c r="A323" s="39"/>
      <c r="B323" s="58" t="s">
        <v>94</v>
      </c>
      <c r="C323" s="58"/>
      <c r="D323" s="58"/>
      <c r="E323" s="58"/>
      <c r="F323" s="58"/>
      <c r="G323" s="58"/>
      <c r="H323" s="2146"/>
      <c r="I323" s="2146"/>
      <c r="J323" s="2146"/>
      <c r="K323" s="2146"/>
      <c r="L323" s="2146"/>
      <c r="M323" s="2146"/>
      <c r="N323" s="60"/>
      <c r="O323" s="60"/>
      <c r="P323" s="62"/>
      <c r="Q323" s="62"/>
      <c r="R323" s="62"/>
      <c r="S323" s="58"/>
      <c r="T323" s="58" t="s">
        <v>94</v>
      </c>
      <c r="V323" s="58"/>
      <c r="W323" s="58"/>
      <c r="X323" s="58"/>
      <c r="Y323" s="58"/>
      <c r="AA323" s="2158" t="s">
        <v>618</v>
      </c>
      <c r="AB323" s="2158"/>
      <c r="AC323" s="2158"/>
      <c r="AD323" s="2158"/>
      <c r="AE323" s="2158"/>
      <c r="AF323" s="2158"/>
      <c r="AG323" s="60"/>
      <c r="AH323" s="60"/>
      <c r="AI323" s="62"/>
      <c r="AJ323" s="62"/>
      <c r="AK323" s="62"/>
      <c r="AL323" s="39"/>
    </row>
    <row r="324" spans="1:66" ht="12.75">
      <c r="A324" s="39"/>
      <c r="B324" s="58" t="s">
        <v>80</v>
      </c>
      <c r="C324" s="58"/>
      <c r="D324" s="58"/>
      <c r="E324" s="58"/>
      <c r="F324" s="58"/>
      <c r="G324" s="58"/>
      <c r="H324" s="1877"/>
      <c r="I324" s="1877"/>
      <c r="J324" s="1877"/>
      <c r="K324" s="1877"/>
      <c r="L324" s="1877"/>
      <c r="M324" s="1877"/>
      <c r="N324" s="1903"/>
      <c r="O324" s="1903"/>
      <c r="P324" s="1903"/>
      <c r="Q324" s="1903"/>
      <c r="R324" s="1903"/>
      <c r="S324" s="58"/>
      <c r="T324" s="58" t="s">
        <v>80</v>
      </c>
      <c r="V324" s="58"/>
      <c r="W324" s="58"/>
      <c r="X324" s="58"/>
      <c r="Y324" s="58"/>
      <c r="AA324" s="1877" t="s">
        <v>2547</v>
      </c>
      <c r="AB324" s="1877"/>
      <c r="AC324" s="1877"/>
      <c r="AD324" s="1877"/>
      <c r="AE324" s="1877"/>
      <c r="AF324" s="1877"/>
      <c r="AG324" s="1903"/>
      <c r="AH324" s="1903"/>
      <c r="AI324" s="1903"/>
      <c r="AJ324" s="1903"/>
      <c r="AK324" s="19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1903" t="s">
        <v>2529</v>
      </c>
      <c r="I326" s="1903"/>
      <c r="J326" s="1903"/>
      <c r="K326" s="1903"/>
      <c r="L326" s="1903"/>
      <c r="M326" s="1903"/>
      <c r="N326" s="1903"/>
      <c r="O326" s="1903"/>
      <c r="P326" s="1903"/>
      <c r="Q326" s="1903"/>
      <c r="R326" s="1903"/>
      <c r="T326" s="58" t="s">
        <v>375</v>
      </c>
      <c r="V326" s="58"/>
      <c r="W326" s="58"/>
      <c r="X326" s="58"/>
      <c r="Y326" s="58"/>
      <c r="AA326" s="1903" t="s">
        <v>2529</v>
      </c>
      <c r="AB326" s="1903"/>
      <c r="AC326" s="1903"/>
      <c r="AD326" s="1903"/>
      <c r="AE326" s="1903"/>
      <c r="AF326" s="1903"/>
      <c r="AG326" s="1903"/>
      <c r="AH326" s="1903"/>
      <c r="AI326" s="1903"/>
      <c r="AJ326" s="1903"/>
      <c r="AK326" s="1903"/>
      <c r="AL326" s="39"/>
    </row>
    <row r="327" spans="1:66" ht="12.75">
      <c r="A327" s="39"/>
      <c r="B327" s="58" t="s">
        <v>497</v>
      </c>
      <c r="C327" s="58"/>
      <c r="D327" s="58"/>
      <c r="E327" s="58"/>
      <c r="F327" s="58"/>
      <c r="H327" s="1877"/>
      <c r="I327" s="1877"/>
      <c r="J327" s="1877"/>
      <c r="K327" s="1877"/>
      <c r="L327" s="1877"/>
      <c r="M327" s="1877"/>
      <c r="N327" s="1877"/>
      <c r="O327" s="1877"/>
      <c r="P327" s="1877"/>
      <c r="Q327" s="1877"/>
      <c r="R327" s="1877"/>
      <c r="T327" s="58" t="s">
        <v>497</v>
      </c>
      <c r="V327" s="58"/>
      <c r="W327" s="58"/>
      <c r="X327" s="58"/>
      <c r="Y327" s="58"/>
      <c r="AA327" s="1877"/>
      <c r="AB327" s="1877"/>
      <c r="AC327" s="1877"/>
      <c r="AD327" s="1877"/>
      <c r="AE327" s="1877"/>
      <c r="AF327" s="1877"/>
      <c r="AG327" s="1877"/>
      <c r="AH327" s="1877"/>
      <c r="AI327" s="1877"/>
      <c r="AJ327" s="1877"/>
      <c r="AK327" s="1877"/>
      <c r="AL327" s="39"/>
    </row>
    <row r="328" spans="1:66" ht="12.75">
      <c r="A328" s="39"/>
      <c r="B328" s="58" t="s">
        <v>498</v>
      </c>
      <c r="C328" s="58"/>
      <c r="D328" s="58"/>
      <c r="E328" s="58"/>
      <c r="F328" s="58"/>
      <c r="H328" s="1877"/>
      <c r="I328" s="1877"/>
      <c r="J328" s="1877"/>
      <c r="K328" s="1877"/>
      <c r="L328" s="1877"/>
      <c r="M328" s="1877"/>
      <c r="N328" s="1877"/>
      <c r="O328" s="1877"/>
      <c r="P328" s="1877"/>
      <c r="Q328" s="1877"/>
      <c r="R328" s="1877"/>
      <c r="T328" s="58" t="s">
        <v>79</v>
      </c>
      <c r="V328" s="58"/>
      <c r="W328" s="58"/>
      <c r="X328" s="58"/>
      <c r="Y328" s="58"/>
      <c r="AA328" s="1877"/>
      <c r="AB328" s="1877"/>
      <c r="AC328" s="1877"/>
      <c r="AD328" s="1877"/>
      <c r="AE328" s="1877"/>
      <c r="AF328" s="1877"/>
      <c r="AG328" s="1877"/>
      <c r="AH328" s="1877"/>
      <c r="AI328" s="1877"/>
      <c r="AJ328" s="1877"/>
      <c r="AK328" s="1877"/>
      <c r="AL328" s="39"/>
    </row>
    <row r="329" spans="1:66" ht="12.75">
      <c r="A329" s="39"/>
      <c r="B329" s="58" t="s">
        <v>92</v>
      </c>
      <c r="C329" s="58"/>
      <c r="D329" s="58"/>
      <c r="E329" s="58"/>
      <c r="F329" s="58"/>
      <c r="H329" s="1877"/>
      <c r="I329" s="1877"/>
      <c r="J329" s="1877"/>
      <c r="K329" s="1877"/>
      <c r="L329" s="1877"/>
      <c r="M329" s="1877"/>
      <c r="N329" s="1877"/>
      <c r="O329" s="1877"/>
      <c r="P329" s="1877"/>
      <c r="Q329" s="1877"/>
      <c r="R329" s="1877"/>
      <c r="T329" s="58" t="s">
        <v>92</v>
      </c>
      <c r="V329" s="58"/>
      <c r="W329" s="58"/>
      <c r="X329" s="58"/>
      <c r="Y329" s="58"/>
      <c r="AA329" s="1877"/>
      <c r="AB329" s="1877"/>
      <c r="AC329" s="1877"/>
      <c r="AD329" s="1877"/>
      <c r="AE329" s="1877"/>
      <c r="AF329" s="1877"/>
      <c r="AG329" s="1877"/>
      <c r="AH329" s="1877"/>
      <c r="AI329" s="1877"/>
      <c r="AJ329" s="1877"/>
      <c r="AK329" s="1877"/>
      <c r="AL329" s="39"/>
    </row>
    <row r="330" spans="1:66" ht="12.75" customHeight="1">
      <c r="A330" s="39"/>
      <c r="B330" s="58" t="s">
        <v>93</v>
      </c>
      <c r="C330" s="58"/>
      <c r="D330" s="58"/>
      <c r="E330" s="58"/>
      <c r="F330" s="58"/>
      <c r="G330" s="58"/>
      <c r="H330" s="2193"/>
      <c r="I330" s="2193"/>
      <c r="J330" s="2193"/>
      <c r="K330" s="2193"/>
      <c r="L330" s="2193"/>
      <c r="M330" s="2193"/>
      <c r="N330" s="7" t="s">
        <v>212</v>
      </c>
      <c r="O330" s="7"/>
      <c r="P330" s="2192"/>
      <c r="Q330" s="2192"/>
      <c r="R330" s="2192"/>
      <c r="S330" s="58"/>
      <c r="T330" s="58" t="s">
        <v>93</v>
      </c>
      <c r="V330" s="58"/>
      <c r="W330" s="58"/>
      <c r="X330" s="58"/>
      <c r="Y330" s="58"/>
      <c r="AA330" s="2193"/>
      <c r="AB330" s="2193"/>
      <c r="AC330" s="2193"/>
      <c r="AD330" s="2193"/>
      <c r="AE330" s="2193"/>
      <c r="AF330" s="2193"/>
      <c r="AG330" s="7" t="s">
        <v>212</v>
      </c>
      <c r="AH330" s="7"/>
      <c r="AI330" s="2192"/>
      <c r="AJ330" s="2192"/>
      <c r="AK330" s="2192"/>
      <c r="AL330" s="39"/>
    </row>
    <row r="331" spans="1:66" ht="12.75">
      <c r="A331" s="39"/>
      <c r="B331" s="58" t="s">
        <v>94</v>
      </c>
      <c r="C331" s="58"/>
      <c r="D331" s="58"/>
      <c r="E331" s="58"/>
      <c r="F331" s="58"/>
      <c r="G331" s="58"/>
      <c r="H331" s="2146"/>
      <c r="I331" s="2146"/>
      <c r="J331" s="2146"/>
      <c r="K331" s="2146"/>
      <c r="L331" s="2146"/>
      <c r="M331" s="2146"/>
      <c r="N331" s="60"/>
      <c r="O331" s="60"/>
      <c r="P331" s="62"/>
      <c r="Q331" s="62"/>
      <c r="R331" s="62"/>
      <c r="S331" s="58"/>
      <c r="T331" s="58" t="s">
        <v>94</v>
      </c>
      <c r="V331" s="58"/>
      <c r="W331" s="58"/>
      <c r="X331" s="58"/>
      <c r="Y331" s="58"/>
      <c r="AA331" s="2146"/>
      <c r="AB331" s="2146"/>
      <c r="AC331" s="2146"/>
      <c r="AD331" s="2146"/>
      <c r="AE331" s="2146"/>
      <c r="AF331" s="2146"/>
      <c r="AG331" s="60"/>
      <c r="AH331" s="60"/>
      <c r="AI331" s="62"/>
      <c r="AJ331" s="62"/>
      <c r="AK331" s="62"/>
      <c r="AL331" s="39"/>
    </row>
    <row r="332" spans="1:66" ht="12.75">
      <c r="A332" s="39"/>
      <c r="B332" s="58" t="s">
        <v>80</v>
      </c>
      <c r="C332" s="58"/>
      <c r="D332" s="58"/>
      <c r="E332" s="58"/>
      <c r="F332" s="58"/>
      <c r="G332" s="58"/>
      <c r="H332" s="1877"/>
      <c r="I332" s="1877"/>
      <c r="J332" s="1877"/>
      <c r="K332" s="1877"/>
      <c r="L332" s="1877"/>
      <c r="M332" s="1877"/>
      <c r="N332" s="1903"/>
      <c r="O332" s="1903"/>
      <c r="P332" s="1903"/>
      <c r="Q332" s="1903"/>
      <c r="R332" s="1903"/>
      <c r="S332" s="58"/>
      <c r="T332" s="58" t="s">
        <v>80</v>
      </c>
      <c r="V332" s="58"/>
      <c r="W332" s="58"/>
      <c r="X332" s="58"/>
      <c r="Y332" s="58"/>
      <c r="AA332" s="1877"/>
      <c r="AB332" s="1877"/>
      <c r="AC332" s="1877"/>
      <c r="AD332" s="1877"/>
      <c r="AE332" s="1877"/>
      <c r="AF332" s="1877"/>
      <c r="AG332" s="1903"/>
      <c r="AH332" s="1903"/>
      <c r="AI332" s="1903"/>
      <c r="AJ332" s="1903"/>
      <c r="AK332" s="19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1903" t="s">
        <v>2548</v>
      </c>
      <c r="I334" s="1903"/>
      <c r="J334" s="1903"/>
      <c r="K334" s="1903"/>
      <c r="L334" s="1903"/>
      <c r="M334" s="1903"/>
      <c r="N334" s="1903"/>
      <c r="O334" s="1903"/>
      <c r="P334" s="1903"/>
      <c r="Q334" s="1903"/>
      <c r="R334" s="1903"/>
      <c r="T334" s="402" t="s">
        <v>935</v>
      </c>
      <c r="V334" s="58"/>
      <c r="W334" s="58"/>
      <c r="X334" s="58"/>
      <c r="Y334" s="58"/>
      <c r="AA334" s="1903" t="s">
        <v>2553</v>
      </c>
      <c r="AB334" s="1903"/>
      <c r="AC334" s="1903"/>
      <c r="AD334" s="1903"/>
      <c r="AE334" s="1903"/>
      <c r="AF334" s="1903"/>
      <c r="AG334" s="1903"/>
      <c r="AH334" s="1903"/>
      <c r="AI334" s="1903"/>
      <c r="AJ334" s="1903"/>
      <c r="AK334" s="1903"/>
      <c r="AL334" s="39"/>
    </row>
    <row r="335" spans="1:66" ht="12.75" customHeight="1">
      <c r="B335" s="58" t="s">
        <v>497</v>
      </c>
      <c r="C335" s="240"/>
      <c r="D335" s="240"/>
      <c r="E335" s="240"/>
      <c r="F335" s="240"/>
      <c r="G335" s="3"/>
      <c r="H335" s="1877" t="s">
        <v>2549</v>
      </c>
      <c r="I335" s="1877"/>
      <c r="J335" s="1877"/>
      <c r="K335" s="1877"/>
      <c r="L335" s="1877"/>
      <c r="M335" s="1877"/>
      <c r="N335" s="1877"/>
      <c r="O335" s="1877"/>
      <c r="P335" s="1877"/>
      <c r="Q335" s="1877"/>
      <c r="R335" s="1877"/>
      <c r="T335" s="58" t="s">
        <v>497</v>
      </c>
      <c r="V335" s="58"/>
      <c r="W335" s="58"/>
      <c r="X335" s="58"/>
      <c r="Y335" s="58"/>
      <c r="AA335" s="1877" t="s">
        <v>2491</v>
      </c>
      <c r="AB335" s="1877"/>
      <c r="AC335" s="1877"/>
      <c r="AD335" s="1877"/>
      <c r="AE335" s="1877"/>
      <c r="AF335" s="1877"/>
      <c r="AG335" s="1877"/>
      <c r="AH335" s="1877"/>
      <c r="AI335" s="1877"/>
      <c r="AJ335" s="1877"/>
      <c r="AK335" s="1877"/>
      <c r="AL335" s="39"/>
    </row>
    <row r="336" spans="1:66" ht="12.75" customHeight="1">
      <c r="B336" s="58" t="s">
        <v>79</v>
      </c>
      <c r="C336" s="240"/>
      <c r="D336" s="240"/>
      <c r="E336" s="240"/>
      <c r="F336" s="240"/>
      <c r="G336" s="3"/>
      <c r="H336" s="1877" t="s">
        <v>2550</v>
      </c>
      <c r="I336" s="1877"/>
      <c r="J336" s="1877"/>
      <c r="K336" s="1877"/>
      <c r="L336" s="1877"/>
      <c r="M336" s="1877"/>
      <c r="N336" s="1877"/>
      <c r="O336" s="1877"/>
      <c r="P336" s="1877"/>
      <c r="Q336" s="1877"/>
      <c r="R336" s="1877"/>
      <c r="T336" s="58" t="s">
        <v>79</v>
      </c>
      <c r="V336" s="58"/>
      <c r="W336" s="58"/>
      <c r="X336" s="58"/>
      <c r="Y336" s="58"/>
      <c r="AA336" s="1877" t="s">
        <v>2492</v>
      </c>
      <c r="AB336" s="1877"/>
      <c r="AC336" s="1877"/>
      <c r="AD336" s="1877"/>
      <c r="AE336" s="1877"/>
      <c r="AF336" s="1877"/>
      <c r="AG336" s="1877"/>
      <c r="AH336" s="1877"/>
      <c r="AI336" s="1877"/>
      <c r="AJ336" s="1877"/>
      <c r="AK336" s="1877"/>
      <c r="AL336" s="39"/>
    </row>
    <row r="337" spans="1:66" ht="12.75" customHeight="1">
      <c r="A337" s="39"/>
      <c r="B337" s="58" t="s">
        <v>92</v>
      </c>
      <c r="C337" s="240"/>
      <c r="D337" s="240"/>
      <c r="E337" s="240"/>
      <c r="F337" s="240"/>
      <c r="G337" s="240"/>
      <c r="H337" s="1877" t="s">
        <v>2551</v>
      </c>
      <c r="I337" s="1877"/>
      <c r="J337" s="1877"/>
      <c r="K337" s="1877"/>
      <c r="L337" s="1877"/>
      <c r="M337" s="1877"/>
      <c r="N337" s="1877"/>
      <c r="O337" s="1877"/>
      <c r="P337" s="1877"/>
      <c r="Q337" s="1877"/>
      <c r="R337" s="1877"/>
      <c r="T337" s="58" t="s">
        <v>92</v>
      </c>
      <c r="V337" s="58"/>
      <c r="W337" s="58"/>
      <c r="X337" s="58"/>
      <c r="Y337" s="58"/>
      <c r="AA337" s="1877" t="s">
        <v>2554</v>
      </c>
      <c r="AB337" s="1877"/>
      <c r="AC337" s="1877"/>
      <c r="AD337" s="1877"/>
      <c r="AE337" s="1877"/>
      <c r="AF337" s="1877"/>
      <c r="AG337" s="1877"/>
      <c r="AH337" s="1877"/>
      <c r="AI337" s="1877"/>
      <c r="AJ337" s="1877"/>
      <c r="AK337" s="1877"/>
      <c r="AL337" s="39"/>
    </row>
    <row r="338" spans="1:66" ht="12.75" customHeight="1">
      <c r="A338" s="39"/>
      <c r="B338" s="58" t="s">
        <v>93</v>
      </c>
      <c r="C338" s="240"/>
      <c r="D338" s="240"/>
      <c r="E338" s="240"/>
      <c r="F338" s="240"/>
      <c r="G338" s="240"/>
      <c r="H338" s="2211">
        <v>7609301333</v>
      </c>
      <c r="I338" s="2211"/>
      <c r="J338" s="2211"/>
      <c r="K338" s="2211"/>
      <c r="L338" s="2211"/>
      <c r="M338" s="2211"/>
      <c r="N338" s="7" t="s">
        <v>212</v>
      </c>
      <c r="O338" s="7"/>
      <c r="P338" s="2192"/>
      <c r="Q338" s="2192"/>
      <c r="R338" s="2192"/>
      <c r="S338" s="58"/>
      <c r="T338" s="58" t="s">
        <v>93</v>
      </c>
      <c r="V338" s="58"/>
      <c r="W338" s="58"/>
      <c r="X338" s="58"/>
      <c r="Y338" s="58"/>
      <c r="AA338" s="2211">
        <v>9167243939</v>
      </c>
      <c r="AB338" s="2211"/>
      <c r="AC338" s="2211"/>
      <c r="AD338" s="2211"/>
      <c r="AE338" s="2211"/>
      <c r="AF338" s="2211"/>
      <c r="AG338" s="7" t="s">
        <v>212</v>
      </c>
      <c r="AH338" s="7"/>
      <c r="AI338" s="2192"/>
      <c r="AJ338" s="2192"/>
      <c r="AK338" s="2192"/>
      <c r="AL338" s="39"/>
    </row>
    <row r="339" spans="1:66" ht="12.75">
      <c r="A339" s="39"/>
      <c r="B339" s="58" t="s">
        <v>94</v>
      </c>
      <c r="C339" s="240"/>
      <c r="D339" s="240"/>
      <c r="E339" s="240"/>
      <c r="F339" s="240"/>
      <c r="G339" s="240"/>
      <c r="H339" s="2158">
        <v>7606833390</v>
      </c>
      <c r="I339" s="2158"/>
      <c r="J339" s="2158"/>
      <c r="K339" s="2158"/>
      <c r="L339" s="2158"/>
      <c r="M339" s="2158"/>
      <c r="N339" s="60"/>
      <c r="O339" s="60"/>
      <c r="P339" s="62"/>
      <c r="Q339" s="62"/>
      <c r="R339" s="62"/>
      <c r="S339" s="58"/>
      <c r="T339" s="58" t="s">
        <v>94</v>
      </c>
      <c r="V339" s="58"/>
      <c r="W339" s="58"/>
      <c r="X339" s="58"/>
      <c r="Y339" s="58"/>
      <c r="AA339" s="2158">
        <v>9167735866</v>
      </c>
      <c r="AB339" s="2158"/>
      <c r="AC339" s="2158"/>
      <c r="AD339" s="2158"/>
      <c r="AE339" s="2158"/>
      <c r="AF339" s="2158"/>
      <c r="AG339" s="60"/>
      <c r="AH339" s="60"/>
      <c r="AI339" s="62"/>
      <c r="AJ339" s="62"/>
      <c r="AK339" s="62"/>
      <c r="AL339" s="39"/>
    </row>
    <row r="340" spans="1:66" ht="12.75">
      <c r="A340" s="39"/>
      <c r="B340" s="58" t="s">
        <v>80</v>
      </c>
      <c r="C340" s="237"/>
      <c r="D340" s="237"/>
      <c r="E340" s="237"/>
      <c r="F340" s="237"/>
      <c r="G340" s="237"/>
      <c r="H340" s="1877" t="s">
        <v>2552</v>
      </c>
      <c r="I340" s="1877"/>
      <c r="J340" s="1877"/>
      <c r="K340" s="1877"/>
      <c r="L340" s="1877"/>
      <c r="M340" s="1877"/>
      <c r="N340" s="1903"/>
      <c r="O340" s="1903"/>
      <c r="P340" s="1903"/>
      <c r="Q340" s="1903"/>
      <c r="R340" s="1903"/>
      <c r="S340" s="58"/>
      <c r="T340" s="58" t="s">
        <v>80</v>
      </c>
      <c r="V340" s="58"/>
      <c r="W340" s="58"/>
      <c r="X340" s="58"/>
      <c r="Y340" s="58"/>
      <c r="AA340" s="1877" t="s">
        <v>2555</v>
      </c>
      <c r="AB340" s="1877"/>
      <c r="AC340" s="1877"/>
      <c r="AD340" s="1877"/>
      <c r="AE340" s="1877"/>
      <c r="AF340" s="1877"/>
      <c r="AG340" s="1903"/>
      <c r="AH340" s="1903"/>
      <c r="AI340" s="1903"/>
      <c r="AJ340" s="1903"/>
      <c r="AK340" s="19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1903" t="s">
        <v>2529</v>
      </c>
      <c r="Q342" s="1903"/>
      <c r="R342" s="1903"/>
      <c r="S342" s="1903"/>
      <c r="T342" s="1903"/>
      <c r="U342" s="1903"/>
      <c r="V342" s="1903"/>
      <c r="W342" s="1903"/>
      <c r="X342" s="1903"/>
      <c r="Y342" s="1903"/>
      <c r="Z342" s="1903"/>
      <c r="AA342" s="1903"/>
      <c r="AB342" s="1903"/>
      <c r="AC342" s="1903"/>
      <c r="AD342" s="1903"/>
      <c r="AE342" s="1903"/>
      <c r="AF342" s="88"/>
      <c r="AG342" s="88"/>
      <c r="AH342" s="88"/>
      <c r="AI342" s="88"/>
      <c r="AJ342" s="88"/>
      <c r="AK342" s="88"/>
      <c r="AL342" s="39"/>
      <c r="BN342" s="12" t="s">
        <v>618</v>
      </c>
    </row>
    <row r="343" spans="1:66" ht="12.75">
      <c r="A343" s="3"/>
      <c r="B343" s="60"/>
      <c r="C343" s="60"/>
      <c r="D343" s="60"/>
      <c r="E343" s="60"/>
      <c r="F343" s="60"/>
      <c r="G343" s="3"/>
      <c r="H343" s="88"/>
      <c r="I343" s="7" t="s">
        <v>497</v>
      </c>
      <c r="P343" s="1877"/>
      <c r="Q343" s="1877"/>
      <c r="R343" s="1877"/>
      <c r="S343" s="1877"/>
      <c r="T343" s="1877"/>
      <c r="U343" s="1877"/>
      <c r="V343" s="1877"/>
      <c r="W343" s="1877"/>
      <c r="X343" s="1877"/>
      <c r="Y343" s="1877"/>
      <c r="Z343" s="1877"/>
      <c r="AA343" s="1877"/>
      <c r="AB343" s="1877"/>
      <c r="AC343" s="1877"/>
      <c r="AD343" s="1877"/>
      <c r="AE343" s="1877"/>
      <c r="AF343" s="88"/>
      <c r="AG343" s="88"/>
      <c r="AH343" s="88"/>
      <c r="AI343" s="88"/>
      <c r="AJ343" s="88"/>
      <c r="AK343" s="88"/>
      <c r="AL343" s="39"/>
      <c r="BN343" s="12" t="s">
        <v>696</v>
      </c>
    </row>
    <row r="344" spans="1:66" ht="12.75">
      <c r="A344" s="3"/>
      <c r="B344" s="60"/>
      <c r="C344" s="60"/>
      <c r="D344" s="60"/>
      <c r="E344" s="60"/>
      <c r="F344" s="60"/>
      <c r="G344" s="3"/>
      <c r="H344" s="88"/>
      <c r="I344" s="7" t="s">
        <v>79</v>
      </c>
      <c r="P344" s="1877"/>
      <c r="Q344" s="1877"/>
      <c r="R344" s="1877"/>
      <c r="S344" s="1877"/>
      <c r="T344" s="1877"/>
      <c r="U344" s="1877"/>
      <c r="V344" s="1877"/>
      <c r="W344" s="1877"/>
      <c r="X344" s="1877"/>
      <c r="Y344" s="1877"/>
      <c r="Z344" s="1877"/>
      <c r="AA344" s="1877"/>
      <c r="AB344" s="1877"/>
      <c r="AC344" s="1877"/>
      <c r="AD344" s="1877"/>
      <c r="AE344" s="1877"/>
      <c r="AF344" s="88"/>
      <c r="AG344" s="88"/>
      <c r="AH344" s="88"/>
      <c r="AI344" s="88"/>
      <c r="AJ344" s="88"/>
      <c r="AK344" s="88"/>
      <c r="AL344" s="39"/>
      <c r="BN344" s="12" t="s">
        <v>571</v>
      </c>
    </row>
    <row r="345" spans="1:66" ht="12.75">
      <c r="A345" s="3"/>
      <c r="B345" s="60"/>
      <c r="C345" s="60"/>
      <c r="D345" s="60"/>
      <c r="E345" s="60"/>
      <c r="F345" s="60"/>
      <c r="G345" s="60"/>
      <c r="H345" s="88"/>
      <c r="I345" s="7" t="s">
        <v>92</v>
      </c>
      <c r="P345" s="1877"/>
      <c r="Q345" s="1877"/>
      <c r="R345" s="1877"/>
      <c r="S345" s="1877"/>
      <c r="T345" s="1877"/>
      <c r="U345" s="1877"/>
      <c r="V345" s="1877"/>
      <c r="W345" s="1877"/>
      <c r="X345" s="1877"/>
      <c r="Y345" s="1877"/>
      <c r="Z345" s="1877"/>
      <c r="AA345" s="1877"/>
      <c r="AB345" s="1877"/>
      <c r="AC345" s="1877"/>
      <c r="AD345" s="1877"/>
      <c r="AE345" s="1877"/>
      <c r="AF345" s="88"/>
      <c r="AG345" s="88"/>
      <c r="AH345" s="88"/>
      <c r="AI345" s="88"/>
      <c r="AJ345" s="88"/>
      <c r="AK345" s="88"/>
      <c r="AL345" s="39"/>
    </row>
    <row r="346" spans="1:66" ht="12.75">
      <c r="A346" s="3"/>
      <c r="B346" s="60"/>
      <c r="C346" s="60"/>
      <c r="D346" s="60"/>
      <c r="E346" s="60"/>
      <c r="F346" s="60"/>
      <c r="G346" s="60"/>
      <c r="H346" s="462"/>
      <c r="I346" s="7" t="s">
        <v>93</v>
      </c>
      <c r="P346" s="2146"/>
      <c r="Q346" s="2146"/>
      <c r="R346" s="2146"/>
      <c r="S346" s="2146"/>
      <c r="T346" s="2146"/>
      <c r="U346" s="2146"/>
      <c r="V346" s="2146"/>
      <c r="W346" s="2146"/>
      <c r="X346" s="2146"/>
      <c r="Y346" s="2146"/>
      <c r="Z346" s="2146"/>
      <c r="AA346" s="7" t="s">
        <v>212</v>
      </c>
      <c r="AB346" s="7"/>
      <c r="AC346" s="1876"/>
      <c r="AD346" s="1876"/>
      <c r="AE346" s="1876"/>
      <c r="AF346" s="462"/>
      <c r="AG346" s="60"/>
      <c r="AH346" s="60"/>
      <c r="AI346" s="403"/>
      <c r="AJ346" s="403"/>
      <c r="AK346" s="403"/>
      <c r="AL346" s="39"/>
    </row>
    <row r="347" spans="1:66" ht="12.75" customHeight="1">
      <c r="A347" s="3"/>
      <c r="B347" s="60"/>
      <c r="C347" s="60"/>
      <c r="D347" s="60"/>
      <c r="E347" s="60"/>
      <c r="F347" s="60"/>
      <c r="G347" s="60"/>
      <c r="H347" s="462"/>
      <c r="I347" s="7" t="s">
        <v>94</v>
      </c>
      <c r="P347" s="2146"/>
      <c r="Q347" s="2146"/>
      <c r="R347" s="2146"/>
      <c r="S347" s="2146"/>
      <c r="T347" s="2146"/>
      <c r="U347" s="2146"/>
      <c r="V347" s="2146"/>
      <c r="W347" s="2146"/>
      <c r="X347" s="2146"/>
      <c r="Y347" s="2146"/>
      <c r="Z347" s="2146"/>
      <c r="AF347" s="462"/>
      <c r="AG347" s="60"/>
      <c r="AH347" s="60"/>
      <c r="AI347" s="62"/>
      <c r="AJ347" s="62"/>
      <c r="AK347" s="62"/>
      <c r="AL347" s="39"/>
    </row>
    <row r="348" spans="1:66" ht="12.75">
      <c r="A348" s="3"/>
      <c r="B348" s="60"/>
      <c r="C348" s="403"/>
      <c r="D348" s="403"/>
      <c r="E348" s="403"/>
      <c r="F348" s="403"/>
      <c r="G348" s="403"/>
      <c r="H348" s="88"/>
      <c r="I348" s="7" t="s">
        <v>80</v>
      </c>
      <c r="P348" s="1903"/>
      <c r="Q348" s="1903"/>
      <c r="R348" s="1903"/>
      <c r="S348" s="1903"/>
      <c r="T348" s="1903"/>
      <c r="U348" s="1903"/>
      <c r="V348" s="1903"/>
      <c r="W348" s="1903"/>
      <c r="X348" s="1903"/>
      <c r="Y348" s="1903"/>
      <c r="Z348" s="1903"/>
      <c r="AA348" s="1903"/>
      <c r="AB348" s="1903"/>
      <c r="AC348" s="1903"/>
      <c r="AD348" s="1903"/>
      <c r="AE348" s="19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5" t="s">
        <v>568</v>
      </c>
      <c r="B350" s="2135"/>
      <c r="C350" s="2135"/>
      <c r="D350" s="2135"/>
      <c r="E350" s="2135"/>
      <c r="F350" s="2135"/>
      <c r="G350" s="2135"/>
      <c r="H350" s="2135"/>
      <c r="I350" s="2135"/>
      <c r="J350" s="2135"/>
      <c r="K350" s="2135"/>
      <c r="L350" s="2135"/>
      <c r="M350" s="2135"/>
      <c r="N350" s="2135"/>
      <c r="O350" s="2135"/>
      <c r="P350" s="2135"/>
      <c r="Q350" s="2135"/>
      <c r="R350" s="2135"/>
      <c r="S350" s="2135"/>
      <c r="T350" s="2135"/>
      <c r="U350" s="2135"/>
      <c r="V350" s="2135"/>
      <c r="W350" s="2135"/>
      <c r="X350" s="2135"/>
      <c r="Y350" s="2135"/>
      <c r="Z350" s="2135"/>
      <c r="AA350" s="2135"/>
      <c r="AB350" s="2135"/>
      <c r="AC350" s="2135"/>
      <c r="AD350" s="2135"/>
      <c r="AE350" s="2135"/>
      <c r="AF350" s="2135"/>
      <c r="AG350" s="2135"/>
      <c r="AH350" s="2135"/>
      <c r="AI350" s="2135"/>
      <c r="AJ350" s="2135"/>
      <c r="AK350" s="2135"/>
      <c r="AL350" s="2135"/>
      <c r="AM350" s="144"/>
      <c r="AN350" s="144"/>
      <c r="AO350" s="144"/>
      <c r="AP350" s="144"/>
      <c r="AQ350" s="144"/>
      <c r="AR350" s="144"/>
      <c r="AS350" s="144"/>
      <c r="AT350" s="144"/>
      <c r="AU350" s="144"/>
      <c r="AV350" s="144"/>
      <c r="AW350" s="144"/>
      <c r="AX350" s="144"/>
      <c r="AY350" s="144"/>
    </row>
    <row r="351" spans="1:66" ht="13.5" thickBot="1">
      <c r="A351" s="2136"/>
      <c r="B351" s="2136"/>
      <c r="C351" s="2136"/>
      <c r="D351" s="2136"/>
      <c r="E351" s="2136"/>
      <c r="F351" s="2136"/>
      <c r="G351" s="2136"/>
      <c r="H351" s="2136"/>
      <c r="I351" s="2136"/>
      <c r="J351" s="2136"/>
      <c r="K351" s="2136"/>
      <c r="L351" s="2136"/>
      <c r="M351" s="2136"/>
      <c r="N351" s="2136"/>
      <c r="O351" s="2136"/>
      <c r="P351" s="2136"/>
      <c r="Q351" s="2136"/>
      <c r="R351" s="2136"/>
      <c r="S351" s="2136"/>
      <c r="T351" s="2136"/>
      <c r="U351" s="2136"/>
      <c r="V351" s="2136"/>
      <c r="W351" s="2136"/>
      <c r="X351" s="2136"/>
      <c r="Y351" s="2136"/>
      <c r="Z351" s="2136"/>
      <c r="AA351" s="2136"/>
      <c r="AB351" s="2136"/>
      <c r="AC351" s="2136"/>
      <c r="AD351" s="2136"/>
      <c r="AE351" s="2136"/>
      <c r="AF351" s="2136"/>
      <c r="AG351" s="2136"/>
      <c r="AH351" s="2136"/>
      <c r="AI351" s="2136"/>
      <c r="AJ351" s="2136"/>
      <c r="AK351" s="2136"/>
      <c r="AL351" s="213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1875" t="s">
        <v>571</v>
      </c>
      <c r="N354" s="1875"/>
      <c r="P354" s="12" t="s">
        <v>1863</v>
      </c>
      <c r="AJ354" s="1875" t="s">
        <v>571</v>
      </c>
      <c r="AK354" s="1875"/>
    </row>
    <row r="355" spans="1:37" ht="12.75" customHeight="1">
      <c r="D355" s="58" t="s">
        <v>1852</v>
      </c>
      <c r="M355" s="1875" t="s">
        <v>618</v>
      </c>
      <c r="N355" s="1875"/>
      <c r="P355" s="58" t="s">
        <v>2039</v>
      </c>
      <c r="AJ355" s="1914">
        <v>0</v>
      </c>
      <c r="AK355" s="1914"/>
    </row>
    <row r="356" spans="1:37" ht="12.75" customHeight="1">
      <c r="D356" s="12" t="s">
        <v>735</v>
      </c>
      <c r="M356" s="1875" t="s">
        <v>618</v>
      </c>
      <c r="N356" s="1875"/>
      <c r="P356" s="711" t="s">
        <v>1862</v>
      </c>
      <c r="AJ356" s="1875" t="s">
        <v>618</v>
      </c>
      <c r="AK356" s="1875"/>
    </row>
    <row r="357" spans="1:37" ht="12.75" customHeight="1">
      <c r="D357" s="12" t="s">
        <v>736</v>
      </c>
      <c r="M357" s="1875" t="s">
        <v>618</v>
      </c>
      <c r="N357" s="1875"/>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875" t="s">
        <v>618</v>
      </c>
      <c r="O362" s="1875"/>
      <c r="P362" s="69"/>
      <c r="Q362" s="69"/>
      <c r="R362" s="69"/>
      <c r="S362" s="69"/>
      <c r="T362" s="69"/>
      <c r="U362" s="69"/>
      <c r="V362" s="69"/>
      <c r="W362" s="69"/>
      <c r="X362" s="69"/>
      <c r="Y362" s="70"/>
      <c r="Z362" s="70"/>
      <c r="AC362" s="69"/>
      <c r="AD362" s="69"/>
      <c r="AE362" s="69"/>
    </row>
    <row r="363" spans="1:37" ht="12.75" customHeight="1">
      <c r="E363" s="12" t="s">
        <v>378</v>
      </c>
      <c r="Y363" s="1875" t="s">
        <v>618</v>
      </c>
      <c r="Z363" s="1875"/>
    </row>
    <row r="364" spans="1:37" ht="12.75" customHeight="1">
      <c r="D364" s="7" t="s">
        <v>1037</v>
      </c>
      <c r="Q364" s="1903"/>
      <c r="R364" s="1903"/>
      <c r="S364" s="1903"/>
      <c r="T364" s="1903"/>
      <c r="U364" s="1903"/>
      <c r="V364" s="1903"/>
      <c r="W364" s="1903"/>
      <c r="X364" s="1903"/>
      <c r="Y364" s="1903"/>
      <c r="Z364" s="1903"/>
      <c r="AA364" s="1903"/>
      <c r="AB364" s="1903"/>
      <c r="AC364" s="1903"/>
      <c r="AD364" s="1903"/>
      <c r="AE364" s="1903"/>
      <c r="AF364" s="1903"/>
      <c r="AG364" s="19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875" t="s">
        <v>618</v>
      </c>
      <c r="K366" s="1875"/>
      <c r="L366" s="69"/>
      <c r="M366" s="69"/>
      <c r="N366" s="69"/>
      <c r="O366" s="69"/>
      <c r="P366" s="69"/>
      <c r="Q366" s="69"/>
      <c r="R366" s="69"/>
      <c r="S366" s="69"/>
      <c r="T366" s="69"/>
      <c r="U366" s="69"/>
      <c r="V366" s="69"/>
      <c r="W366" s="69"/>
      <c r="X366" s="69"/>
      <c r="Y366" s="69"/>
      <c r="Z366" s="69"/>
      <c r="AC366" s="69"/>
      <c r="AD366" s="69"/>
      <c r="AE366" s="69"/>
    </row>
    <row r="367" spans="1:37" ht="12.75" customHeight="1">
      <c r="E367" s="2209" t="s">
        <v>737</v>
      </c>
      <c r="F367" s="2209"/>
      <c r="G367" s="2209"/>
      <c r="H367" s="2209"/>
      <c r="I367" s="2209"/>
      <c r="J367" s="2209"/>
      <c r="K367" s="2209"/>
      <c r="L367" s="2209"/>
      <c r="M367" s="2209"/>
      <c r="N367" s="2209"/>
      <c r="O367" s="2209"/>
      <c r="P367" s="2209"/>
      <c r="Q367" s="2209"/>
      <c r="R367" s="2209"/>
      <c r="S367" s="2209"/>
      <c r="T367" s="2209"/>
      <c r="U367" s="2209"/>
      <c r="V367" s="2209"/>
      <c r="W367" s="2209"/>
      <c r="X367" s="2209"/>
      <c r="Y367" s="2209"/>
      <c r="Z367" s="2209"/>
      <c r="AA367" s="2209"/>
      <c r="AB367" s="2209"/>
      <c r="AC367" s="2209"/>
      <c r="AD367" s="2209"/>
      <c r="AE367" s="2209"/>
      <c r="AF367" s="2209"/>
      <c r="AG367" s="2209"/>
      <c r="AH367" s="2209"/>
    </row>
    <row r="368" spans="1:37" ht="12.75" customHeight="1">
      <c r="E368" s="2209"/>
      <c r="F368" s="2209"/>
      <c r="G368" s="2209"/>
      <c r="H368" s="2209"/>
      <c r="I368" s="2209"/>
      <c r="J368" s="2209"/>
      <c r="K368" s="2209"/>
      <c r="L368" s="2209"/>
      <c r="M368" s="2209"/>
      <c r="N368" s="2209"/>
      <c r="O368" s="2209"/>
      <c r="P368" s="2209"/>
      <c r="Q368" s="2209"/>
      <c r="R368" s="2209"/>
      <c r="S368" s="2209"/>
      <c r="T368" s="2209"/>
      <c r="U368" s="2209"/>
      <c r="V368" s="2209"/>
      <c r="W368" s="2209"/>
      <c r="X368" s="2209"/>
      <c r="Y368" s="2209"/>
      <c r="Z368" s="2209"/>
      <c r="AA368" s="2209"/>
      <c r="AB368" s="2209"/>
      <c r="AC368" s="2209"/>
      <c r="AD368" s="2209"/>
      <c r="AE368" s="2209"/>
      <c r="AF368" s="2209"/>
      <c r="AG368" s="2209"/>
      <c r="AH368" s="2209"/>
    </row>
    <row r="369" spans="1:36" ht="12.75" customHeight="1">
      <c r="E369" s="7" t="s">
        <v>473</v>
      </c>
      <c r="F369" s="7"/>
      <c r="G369" s="7"/>
      <c r="H369" s="7"/>
      <c r="I369" s="7"/>
      <c r="J369" s="7"/>
      <c r="K369" s="7"/>
      <c r="L369" s="7"/>
      <c r="N369" s="2207"/>
      <c r="O369" s="2207"/>
      <c r="P369" s="2207"/>
      <c r="Q369" s="2207"/>
      <c r="R369" s="7"/>
      <c r="U369" s="7" t="s">
        <v>474</v>
      </c>
      <c r="V369" s="7"/>
      <c r="W369" s="7"/>
      <c r="X369" s="7"/>
      <c r="Y369" s="7"/>
      <c r="Z369" s="7"/>
      <c r="AA369" s="7"/>
      <c r="AB369" s="7"/>
      <c r="AC369" s="2207"/>
      <c r="AD369" s="2207"/>
      <c r="AE369" s="2207"/>
      <c r="AF369" s="2207"/>
    </row>
    <row r="370" spans="1:36" ht="12.75" customHeight="1">
      <c r="E370" s="7" t="s">
        <v>475</v>
      </c>
      <c r="F370" s="7"/>
      <c r="G370" s="7"/>
      <c r="H370" s="7"/>
      <c r="I370" s="7"/>
      <c r="J370" s="7"/>
      <c r="K370" s="7"/>
      <c r="L370" s="7"/>
      <c r="N370" s="2207"/>
      <c r="O370" s="2207"/>
      <c r="P370" s="2207"/>
      <c r="Q370" s="2207"/>
      <c r="R370" s="7"/>
      <c r="U370" s="7" t="s">
        <v>0</v>
      </c>
      <c r="V370" s="7"/>
      <c r="W370" s="7"/>
      <c r="X370" s="7"/>
      <c r="Y370" s="7"/>
      <c r="Z370" s="7"/>
      <c r="AA370" s="7"/>
      <c r="AB370" s="7"/>
      <c r="AC370" s="2207"/>
      <c r="AD370" s="2207"/>
      <c r="AE370" s="2207"/>
      <c r="AF370" s="2207"/>
    </row>
    <row r="371" spans="1:36" ht="12.75" customHeight="1">
      <c r="E371" s="7" t="s">
        <v>1</v>
      </c>
      <c r="F371" s="7"/>
      <c r="G371" s="7"/>
      <c r="H371" s="7"/>
      <c r="I371" s="7"/>
      <c r="J371" s="7"/>
      <c r="K371" s="7"/>
      <c r="L371" s="7"/>
      <c r="N371" s="2207"/>
      <c r="O371" s="2207"/>
      <c r="P371" s="2207"/>
      <c r="Q371" s="2207"/>
      <c r="R371" s="7"/>
      <c r="V371" s="7"/>
      <c r="W371" s="7"/>
      <c r="X371" s="7"/>
      <c r="Y371" s="7"/>
      <c r="Z371" s="7"/>
      <c r="AA371" s="7"/>
      <c r="AB371" s="7"/>
    </row>
    <row r="372" spans="1:36" ht="12.75" customHeight="1">
      <c r="E372" s="7" t="s">
        <v>2</v>
      </c>
      <c r="F372" s="7"/>
      <c r="G372" s="7"/>
      <c r="H372" s="7"/>
      <c r="I372" s="7"/>
      <c r="J372" s="7"/>
      <c r="K372" s="7"/>
      <c r="L372" s="7"/>
      <c r="N372" s="2404"/>
      <c r="O372" s="2404"/>
      <c r="P372" s="2404"/>
      <c r="Q372" s="2404"/>
      <c r="R372" s="2404"/>
      <c r="S372" s="2404"/>
      <c r="T372" s="2404"/>
      <c r="U372" s="2404"/>
      <c r="V372" s="2404"/>
      <c r="W372" s="2404"/>
      <c r="X372" s="2404"/>
      <c r="Y372" s="2404"/>
      <c r="Z372" s="2404"/>
      <c r="AA372" s="2404"/>
      <c r="AB372" s="2404"/>
      <c r="AC372" s="2404"/>
      <c r="AD372" s="2404"/>
      <c r="AE372" s="2404"/>
      <c r="AF372" s="2404"/>
    </row>
    <row r="373" spans="1:36" ht="12.75" customHeight="1">
      <c r="E373" s="7"/>
      <c r="F373" s="7"/>
      <c r="G373" s="7"/>
      <c r="H373" s="7"/>
      <c r="I373" s="7"/>
      <c r="J373" s="7"/>
      <c r="K373" s="7"/>
      <c r="L373" s="7"/>
      <c r="N373" s="2405"/>
      <c r="O373" s="2405"/>
      <c r="P373" s="2405"/>
      <c r="Q373" s="2405"/>
      <c r="R373" s="2405"/>
      <c r="S373" s="2405"/>
      <c r="T373" s="2405"/>
      <c r="U373" s="2405"/>
      <c r="V373" s="2405"/>
      <c r="W373" s="2405"/>
      <c r="X373" s="2405"/>
      <c r="Y373" s="2405"/>
      <c r="Z373" s="2405"/>
      <c r="AA373" s="2405"/>
      <c r="AB373" s="2405"/>
      <c r="AC373" s="2405"/>
      <c r="AD373" s="2405"/>
      <c r="AE373" s="2405"/>
      <c r="AF373" s="2405"/>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2640</v>
      </c>
      <c r="F376" s="7"/>
      <c r="G376" s="7"/>
      <c r="H376" s="7"/>
      <c r="I376" s="7"/>
      <c r="J376" s="7"/>
      <c r="K376" s="7"/>
      <c r="L376" s="7"/>
      <c r="N376" s="25" t="s">
        <v>2634</v>
      </c>
      <c r="P376" s="25"/>
      <c r="Q376" s="25" t="s">
        <v>311</v>
      </c>
      <c r="S376" s="2205"/>
      <c r="T376" s="2205"/>
      <c r="U376" s="4" t="s">
        <v>312</v>
      </c>
      <c r="V376" s="2205"/>
      <c r="W376" s="2205"/>
      <c r="Y376" s="25" t="s">
        <v>2634</v>
      </c>
      <c r="AA376" s="25"/>
      <c r="AB376" s="25" t="s">
        <v>311</v>
      </c>
      <c r="AD376" s="2205"/>
      <c r="AE376" s="2205"/>
      <c r="AF376" s="4" t="s">
        <v>312</v>
      </c>
      <c r="AG376" s="2205"/>
      <c r="AH376" s="2205"/>
    </row>
    <row r="377" spans="1:36" ht="12.75" customHeight="1">
      <c r="E377" s="7" t="s">
        <v>1063</v>
      </c>
      <c r="F377" s="7"/>
      <c r="G377" s="7"/>
      <c r="H377" s="7"/>
      <c r="I377" s="7"/>
      <c r="J377" s="7"/>
      <c r="K377" s="7"/>
      <c r="L377" s="7"/>
      <c r="N377" s="2205"/>
      <c r="O377" s="2205"/>
      <c r="P377" s="2205"/>
    </row>
    <row r="378" spans="1:36" ht="12.75" customHeight="1">
      <c r="E378" s="379" t="s">
        <v>2641</v>
      </c>
      <c r="F378" s="7"/>
      <c r="G378" s="7"/>
      <c r="H378" s="7"/>
      <c r="I378" s="7"/>
      <c r="J378" s="7"/>
      <c r="K378" s="7"/>
      <c r="L378" s="7"/>
      <c r="AG378" s="2197" t="s">
        <v>618</v>
      </c>
      <c r="AH378" s="2197"/>
    </row>
    <row r="379" spans="1:36" ht="12.75" customHeight="1">
      <c r="E379" s="7"/>
      <c r="F379" s="7"/>
      <c r="G379" s="7" t="s">
        <v>2642</v>
      </c>
      <c r="H379" s="7"/>
      <c r="I379" s="7"/>
      <c r="J379" s="7"/>
      <c r="K379" s="7"/>
      <c r="L379" s="7"/>
      <c r="AG379" s="2197" t="s">
        <v>618</v>
      </c>
      <c r="AH379" s="2197"/>
    </row>
    <row r="380" spans="1:36" ht="12.75" customHeight="1">
      <c r="E380" s="7"/>
      <c r="F380" s="7"/>
      <c r="G380" s="502" t="s">
        <v>1064</v>
      </c>
      <c r="H380" s="7"/>
      <c r="I380" s="7"/>
      <c r="J380" s="7"/>
      <c r="K380" s="7"/>
      <c r="L380" s="7"/>
      <c r="V380" s="1875" t="s">
        <v>618</v>
      </c>
      <c r="W380" s="1875"/>
      <c r="Y380" s="35" t="s">
        <v>1039</v>
      </c>
    </row>
    <row r="381" spans="1:36" ht="12.75" customHeight="1">
      <c r="E381" s="7" t="s">
        <v>1040</v>
      </c>
      <c r="F381" s="7"/>
      <c r="G381" s="7"/>
      <c r="H381" s="7"/>
      <c r="I381" s="7"/>
      <c r="J381" s="7"/>
      <c r="K381" s="7"/>
      <c r="L381" s="7"/>
      <c r="V381" s="1875" t="s">
        <v>618</v>
      </c>
      <c r="W381" s="1875"/>
      <c r="Y381" s="7" t="s">
        <v>1041</v>
      </c>
    </row>
    <row r="382" spans="1:36" ht="12.75" customHeight="1"/>
    <row r="383" spans="1:36" ht="12.75" customHeight="1">
      <c r="A383" s="50" t="s">
        <v>82</v>
      </c>
      <c r="B383" s="50"/>
    </row>
    <row r="384" spans="1:36" ht="12.75" customHeight="1">
      <c r="D384" s="12" t="s">
        <v>445</v>
      </c>
      <c r="J384" s="1903"/>
      <c r="K384" s="1903"/>
      <c r="L384" s="1903"/>
      <c r="M384" s="1903"/>
      <c r="N384" s="1903"/>
      <c r="O384" s="1903"/>
      <c r="P384" s="1903"/>
      <c r="Q384" s="1903"/>
      <c r="R384" s="1903"/>
      <c r="S384" s="1903"/>
      <c r="T384" s="1903"/>
      <c r="U384" s="1903"/>
      <c r="V384" s="14" t="s">
        <v>88</v>
      </c>
      <c r="W384" s="14"/>
      <c r="X384" s="14"/>
      <c r="Y384" s="14"/>
      <c r="Z384" s="14"/>
      <c r="AA384" s="14"/>
      <c r="AB384" s="14"/>
      <c r="AC384" s="1903"/>
      <c r="AD384" s="1903"/>
      <c r="AE384" s="1903"/>
      <c r="AF384" s="1903"/>
      <c r="AG384" s="1903"/>
      <c r="AH384" s="1903"/>
      <c r="AI384" s="1903"/>
      <c r="AJ384" s="1903"/>
    </row>
    <row r="385" spans="1:96" ht="12.75" customHeight="1">
      <c r="A385" s="711"/>
      <c r="B385" s="711"/>
      <c r="C385" s="711"/>
      <c r="D385" s="58" t="s">
        <v>1346</v>
      </c>
      <c r="E385" s="711"/>
      <c r="F385" s="711"/>
      <c r="G385" s="711"/>
      <c r="H385" s="711"/>
      <c r="I385" s="711"/>
      <c r="J385" s="1877"/>
      <c r="K385" s="1877"/>
      <c r="L385" s="1877"/>
      <c r="M385" s="1877"/>
      <c r="N385" s="1877"/>
      <c r="O385" s="1877"/>
      <c r="P385" s="1877"/>
      <c r="Q385" s="1877"/>
      <c r="R385" s="1877"/>
      <c r="S385" s="1877"/>
      <c r="T385" s="1877"/>
      <c r="U385" s="1877"/>
      <c r="V385" s="58" t="s">
        <v>1346</v>
      </c>
      <c r="W385" s="14"/>
      <c r="X385" s="14"/>
      <c r="Y385" s="14"/>
      <c r="Z385" s="14"/>
      <c r="AA385" s="14"/>
      <c r="AB385" s="14"/>
      <c r="AC385" s="1903"/>
      <c r="AD385" s="1903"/>
      <c r="AE385" s="1903"/>
      <c r="AF385" s="1903"/>
      <c r="AG385" s="1903"/>
      <c r="AH385" s="1903"/>
      <c r="AI385" s="1903"/>
      <c r="AJ385" s="1903"/>
      <c r="AK385" s="711"/>
      <c r="AL385" s="711"/>
    </row>
    <row r="386" spans="1:96" ht="12.75" customHeight="1">
      <c r="A386" s="711"/>
      <c r="B386" s="711"/>
      <c r="C386" s="711"/>
      <c r="D386" s="58" t="s">
        <v>460</v>
      </c>
      <c r="E386" s="711"/>
      <c r="F386" s="711"/>
      <c r="G386" s="711"/>
      <c r="H386" s="711"/>
      <c r="I386" s="711"/>
      <c r="J386" s="1877"/>
      <c r="K386" s="1877"/>
      <c r="L386" s="1877"/>
      <c r="M386" s="1877"/>
      <c r="N386" s="1877"/>
      <c r="O386" s="1877"/>
      <c r="P386" s="1877"/>
      <c r="Q386" s="1877"/>
      <c r="R386" s="1877"/>
      <c r="S386" s="1877"/>
      <c r="T386" s="1877"/>
      <c r="U386" s="1877"/>
      <c r="V386" s="58" t="s">
        <v>460</v>
      </c>
      <c r="W386" s="14"/>
      <c r="X386" s="14"/>
      <c r="Y386" s="14"/>
      <c r="Z386" s="14"/>
      <c r="AA386" s="14"/>
      <c r="AB386" s="14"/>
      <c r="AC386" s="1903"/>
      <c r="AD386" s="1903"/>
      <c r="AE386" s="1903"/>
      <c r="AF386" s="1903"/>
      <c r="AG386" s="1903"/>
      <c r="AH386" s="1903"/>
      <c r="AI386" s="1903"/>
      <c r="AJ386" s="1903"/>
      <c r="AK386" s="711"/>
      <c r="AL386" s="711"/>
    </row>
    <row r="387" spans="1:96" ht="12.75" customHeight="1">
      <c r="A387" s="711"/>
      <c r="B387" s="711"/>
      <c r="C387" s="711"/>
      <c r="D387" s="474" t="s">
        <v>1342</v>
      </c>
      <c r="E387" s="711"/>
      <c r="F387" s="711"/>
      <c r="G387" s="711"/>
      <c r="H387" s="711"/>
      <c r="I387" s="88"/>
      <c r="J387" s="2032"/>
      <c r="K387" s="2032"/>
      <c r="L387" s="2032"/>
      <c r="M387" s="2032"/>
      <c r="N387" s="2032"/>
      <c r="O387" s="2032"/>
      <c r="P387" s="2032"/>
      <c r="Q387" s="2032"/>
      <c r="R387" s="2032"/>
      <c r="S387" s="2032"/>
      <c r="T387" s="2032"/>
      <c r="U387" s="2032"/>
      <c r="V387" s="1903"/>
      <c r="W387" s="1903"/>
      <c r="X387" s="1903"/>
      <c r="Y387" s="1903"/>
      <c r="Z387" s="1903"/>
      <c r="AA387" s="1903"/>
      <c r="AB387" s="1903"/>
      <c r="AC387" s="1903"/>
      <c r="AD387" s="1903"/>
      <c r="AE387" s="1903"/>
      <c r="AF387" s="1903"/>
      <c r="AG387" s="1903"/>
      <c r="AH387" s="1903"/>
      <c r="AI387" s="1903"/>
      <c r="AJ387" s="1903"/>
      <c r="AK387" s="711"/>
      <c r="AL387" s="711"/>
    </row>
    <row r="388" spans="1:96" ht="12.75" customHeight="1">
      <c r="D388" s="12" t="s">
        <v>4</v>
      </c>
      <c r="Q388" s="2202"/>
      <c r="R388" s="2202"/>
      <c r="S388" s="2202"/>
      <c r="T388" s="2202"/>
      <c r="U388" s="2202"/>
      <c r="V388" s="12" t="s">
        <v>315</v>
      </c>
      <c r="AI388" s="1875" t="s">
        <v>696</v>
      </c>
      <c r="AJ388" s="1875"/>
    </row>
    <row r="389" spans="1:96" ht="12.75" customHeight="1">
      <c r="D389" s="12" t="s">
        <v>5</v>
      </c>
      <c r="Q389" s="2060"/>
      <c r="R389" s="2208"/>
      <c r="S389" s="2208"/>
      <c r="T389" s="2208"/>
      <c r="U389" s="2208"/>
      <c r="W389" s="33" t="s">
        <v>78</v>
      </c>
      <c r="AG389" s="2203"/>
      <c r="AH389" s="2203"/>
      <c r="AI389" s="2203"/>
      <c r="AJ389" s="2203"/>
    </row>
    <row r="390" spans="1:96" ht="12.75" customHeight="1">
      <c r="D390" s="12" t="s">
        <v>444</v>
      </c>
      <c r="Q390" s="2204"/>
      <c r="R390" s="2204"/>
      <c r="S390" s="2204"/>
      <c r="T390" s="2204"/>
      <c r="U390" s="2204"/>
      <c r="V390" s="58" t="s">
        <v>1345</v>
      </c>
      <c r="AG390" s="2418"/>
      <c r="AH390" s="2418"/>
      <c r="AI390" s="2418"/>
      <c r="AJ390" s="2418"/>
    </row>
    <row r="391" spans="1:96" ht="12.75" customHeight="1">
      <c r="D391" s="12" t="s">
        <v>93</v>
      </c>
      <c r="I391" s="2193"/>
      <c r="J391" s="2193"/>
      <c r="K391" s="2193"/>
      <c r="L391" s="2193"/>
      <c r="M391" s="2193"/>
      <c r="N391" s="2193"/>
      <c r="Q391" s="57" t="s">
        <v>212</v>
      </c>
      <c r="S391" s="2354"/>
      <c r="T391" s="2354"/>
      <c r="U391" s="2354"/>
      <c r="V391" s="12" t="s">
        <v>77</v>
      </c>
      <c r="AI391" s="1875" t="s">
        <v>696</v>
      </c>
      <c r="AJ391" s="1875"/>
    </row>
    <row r="392" spans="1:96" ht="12.75" customHeight="1">
      <c r="D392" s="12" t="s">
        <v>316</v>
      </c>
      <c r="Q392" s="2044"/>
      <c r="R392" s="2044"/>
      <c r="S392" s="2044"/>
      <c r="T392" s="2044"/>
      <c r="U392" s="2044"/>
      <c r="V392" s="12" t="s">
        <v>317</v>
      </c>
      <c r="AG392" s="2203"/>
      <c r="AH392" s="2203"/>
      <c r="AI392" s="2203"/>
      <c r="AJ392" s="2203"/>
    </row>
    <row r="393" spans="1:96" ht="12.75" customHeight="1">
      <c r="D393" s="12" t="s">
        <v>318</v>
      </c>
      <c r="Q393" s="2344"/>
      <c r="R393" s="2344"/>
      <c r="S393" s="2344"/>
      <c r="T393" s="2344"/>
      <c r="U393" s="2344"/>
      <c r="V393" s="711" t="s">
        <v>1326</v>
      </c>
      <c r="AG393" s="2203"/>
      <c r="AH393" s="2203"/>
      <c r="AI393" s="2203"/>
      <c r="AJ393" s="2203"/>
    </row>
    <row r="394" spans="1:96" ht="12.75">
      <c r="D394" s="711" t="s">
        <v>1325</v>
      </c>
      <c r="V394" s="711"/>
      <c r="AG394" s="2203"/>
      <c r="AH394" s="2203"/>
      <c r="AI394" s="2203"/>
      <c r="AJ394" s="2203"/>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1880</v>
      </c>
      <c r="AG396" s="740"/>
      <c r="AH396" s="740"/>
      <c r="AI396" s="1875" t="s">
        <v>696</v>
      </c>
      <c r="AJ396" s="1875"/>
      <c r="AM396" s="39"/>
      <c r="AN396" s="39"/>
      <c r="AO396" s="39"/>
      <c r="AP396" s="39"/>
      <c r="AQ396" s="39"/>
      <c r="AR396" s="39"/>
      <c r="AS396" s="39"/>
      <c r="AT396" s="39"/>
      <c r="AU396" s="39"/>
      <c r="AV396" s="39"/>
      <c r="AW396" s="39"/>
      <c r="AX396" s="39"/>
      <c r="AY396" s="39"/>
      <c r="CR396" s="25"/>
    </row>
    <row r="397" spans="1:96" s="711" customFormat="1" ht="12.75">
      <c r="D397" s="58" t="s">
        <v>1882</v>
      </c>
      <c r="T397" s="2351"/>
      <c r="U397" s="2351"/>
      <c r="V397" s="2351"/>
      <c r="W397" s="2351"/>
      <c r="X397" s="2351"/>
      <c r="Y397" s="2351"/>
      <c r="Z397" s="2351"/>
      <c r="AA397" s="2351"/>
      <c r="AB397" s="2351"/>
      <c r="AC397" s="2351"/>
      <c r="AD397" s="2351"/>
      <c r="AE397" s="2351"/>
      <c r="AF397" s="2351"/>
      <c r="AG397" s="2351"/>
      <c r="AH397" s="2351"/>
      <c r="AI397" s="2351"/>
      <c r="AJ397" s="2351"/>
      <c r="AM397" s="39"/>
      <c r="AN397" s="39"/>
      <c r="AO397" s="39"/>
      <c r="AP397" s="39"/>
      <c r="AQ397" s="39"/>
      <c r="AR397" s="39"/>
      <c r="AS397" s="39"/>
      <c r="AT397" s="39"/>
      <c r="AU397" s="39"/>
      <c r="AV397" s="39"/>
      <c r="AW397" s="39"/>
      <c r="AX397" s="39"/>
      <c r="AY397" s="39"/>
      <c r="CR397" s="25"/>
    </row>
    <row r="398" spans="1:96" s="711" customFormat="1" ht="12.75">
      <c r="D398" s="58" t="s">
        <v>1881</v>
      </c>
      <c r="T398" s="2351"/>
      <c r="U398" s="2351"/>
      <c r="V398" s="2351"/>
      <c r="W398" s="2351"/>
      <c r="X398" s="2351"/>
      <c r="Y398" s="2351"/>
      <c r="Z398" s="2351"/>
      <c r="AA398" s="2351"/>
      <c r="AB398" s="2351"/>
      <c r="AC398" s="2351"/>
      <c r="AD398" s="2351"/>
      <c r="AE398" s="2351"/>
      <c r="AF398" s="2351"/>
      <c r="AG398" s="2351"/>
      <c r="AH398" s="2351"/>
      <c r="AI398" s="2351"/>
      <c r="AJ398" s="2351"/>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1874</v>
      </c>
      <c r="E400" s="711"/>
      <c r="F400" s="711"/>
      <c r="G400" s="711"/>
      <c r="H400" s="711"/>
      <c r="I400" s="711"/>
      <c r="J400" s="711"/>
      <c r="K400" s="711"/>
      <c r="L400" s="711"/>
      <c r="M400" s="711"/>
      <c r="N400" s="711"/>
      <c r="O400" s="711"/>
      <c r="P400" s="711"/>
      <c r="Q400" s="711"/>
      <c r="R400" s="711"/>
      <c r="S400" s="2351" t="s">
        <v>571</v>
      </c>
      <c r="T400" s="2351"/>
      <c r="U400" s="2351"/>
      <c r="V400" s="474" t="s">
        <v>1875</v>
      </c>
      <c r="W400" s="711"/>
      <c r="X400" s="711"/>
      <c r="Y400" s="711"/>
      <c r="Z400" s="711"/>
      <c r="AA400" s="711"/>
      <c r="AB400" s="39"/>
      <c r="AC400" s="39"/>
      <c r="AD400" s="39"/>
      <c r="AE400" s="39"/>
      <c r="AF400" s="39"/>
      <c r="AG400" s="2333">
        <v>99</v>
      </c>
      <c r="AH400" s="2333"/>
      <c r="AI400" s="2333"/>
      <c r="AJ400" s="2333"/>
      <c r="AK400" s="39"/>
      <c r="AL400" s="711"/>
    </row>
    <row r="401" spans="1:96" s="711" customFormat="1" ht="12.75">
      <c r="D401" s="58" t="s">
        <v>1872</v>
      </c>
      <c r="S401" s="2351" t="s">
        <v>571</v>
      </c>
      <c r="T401" s="2351"/>
      <c r="U401" s="2351"/>
      <c r="V401" s="474" t="s">
        <v>1877</v>
      </c>
      <c r="AB401" s="39"/>
      <c r="AC401" s="39"/>
      <c r="AD401" s="39"/>
      <c r="AE401" s="2334">
        <v>575820</v>
      </c>
      <c r="AF401" s="2334"/>
      <c r="AG401" s="2334"/>
      <c r="AH401" s="2334"/>
      <c r="AI401" s="2334"/>
      <c r="AJ401" s="2334"/>
      <c r="AK401" s="39"/>
      <c r="AM401" s="39"/>
      <c r="AN401" s="39"/>
      <c r="AO401" s="39"/>
      <c r="AP401" s="39"/>
      <c r="AQ401" s="39"/>
      <c r="AR401" s="39"/>
      <c r="AS401" s="39"/>
      <c r="AT401" s="39"/>
      <c r="AU401" s="39"/>
      <c r="AV401" s="39"/>
      <c r="AW401" s="39"/>
      <c r="AX401" s="39"/>
      <c r="AY401" s="39"/>
      <c r="CR401" s="25"/>
    </row>
    <row r="402" spans="1:96" s="711" customFormat="1" ht="12.75">
      <c r="D402" s="58" t="s">
        <v>1873</v>
      </c>
      <c r="K402" s="2335"/>
      <c r="L402" s="2335"/>
      <c r="M402" s="2335"/>
      <c r="N402" s="2335"/>
      <c r="O402" s="2335"/>
      <c r="P402" s="2335"/>
      <c r="Q402" s="2335"/>
      <c r="R402" s="2335"/>
      <c r="S402" s="2335"/>
      <c r="T402" s="2335"/>
      <c r="U402" s="2335"/>
      <c r="V402" s="2335"/>
      <c r="W402" s="2335"/>
      <c r="X402" s="2335"/>
      <c r="Y402" s="2335"/>
      <c r="Z402" s="2335"/>
      <c r="AA402" s="2335"/>
      <c r="AB402" s="2335"/>
      <c r="AC402" s="2335"/>
      <c r="AD402" s="2335"/>
      <c r="AE402" s="2335"/>
      <c r="AF402" s="2335"/>
      <c r="AG402" s="2335"/>
      <c r="AH402" s="2335"/>
      <c r="AI402" s="2335"/>
      <c r="AJ402" s="2335"/>
      <c r="AK402" s="39"/>
      <c r="AM402" s="39"/>
      <c r="AN402" s="39"/>
      <c r="AO402" s="39"/>
      <c r="AP402" s="39"/>
      <c r="AQ402" s="39"/>
      <c r="AR402" s="39"/>
      <c r="AS402" s="39"/>
      <c r="AT402" s="39"/>
      <c r="AU402" s="39"/>
      <c r="AV402" s="39"/>
      <c r="AW402" s="39"/>
      <c r="AX402" s="39"/>
      <c r="AY402" s="39"/>
      <c r="CR402" s="25"/>
    </row>
    <row r="403" spans="1:96" s="711" customFormat="1" ht="12.75">
      <c r="D403" s="58" t="s">
        <v>1876</v>
      </c>
      <c r="K403" s="2335" t="s">
        <v>2693</v>
      </c>
      <c r="L403" s="2335"/>
      <c r="M403" s="2335"/>
      <c r="N403" s="2335"/>
      <c r="O403" s="2335"/>
      <c r="P403" s="2335"/>
      <c r="Q403" s="2335"/>
      <c r="R403" s="2335"/>
      <c r="S403" s="2335"/>
      <c r="T403" s="2335"/>
      <c r="U403" s="2335"/>
      <c r="V403" s="2335"/>
      <c r="W403" s="2335"/>
      <c r="X403" s="2335"/>
      <c r="Y403" s="2335"/>
      <c r="Z403" s="2335"/>
      <c r="AA403" s="2335"/>
      <c r="AB403" s="2335"/>
      <c r="AC403" s="2335"/>
      <c r="AD403" s="2335"/>
      <c r="AE403" s="2335"/>
      <c r="AF403" s="2335"/>
      <c r="AG403" s="2335"/>
      <c r="AH403" s="2335"/>
      <c r="AI403" s="2335"/>
      <c r="AJ403" s="2335"/>
      <c r="AK403" s="39"/>
      <c r="AM403" s="39"/>
      <c r="AN403" s="39"/>
      <c r="AO403" s="39"/>
      <c r="AP403" s="39"/>
      <c r="AQ403" s="39"/>
      <c r="AR403" s="39"/>
      <c r="AS403" s="39"/>
      <c r="AT403" s="39"/>
      <c r="AU403" s="39"/>
      <c r="AV403" s="39"/>
      <c r="AW403" s="39"/>
      <c r="AX403" s="39"/>
      <c r="AY403" s="39"/>
      <c r="CR403" s="25"/>
    </row>
    <row r="404" spans="1:96" s="711" customFormat="1" ht="12.75" customHeight="1">
      <c r="D404" s="181" t="s">
        <v>1879</v>
      </c>
      <c r="E404" s="942"/>
      <c r="F404" s="942"/>
      <c r="G404" s="942"/>
      <c r="H404" s="942"/>
      <c r="I404" s="942"/>
      <c r="J404" s="942"/>
      <c r="K404" s="942"/>
      <c r="L404" s="942"/>
      <c r="M404" s="942"/>
      <c r="N404" s="942"/>
      <c r="O404" s="942"/>
      <c r="P404" s="942"/>
      <c r="Q404" s="942"/>
      <c r="R404" s="942"/>
      <c r="S404" s="2339" t="s">
        <v>2556</v>
      </c>
      <c r="T404" s="2339"/>
      <c r="U404" s="2339"/>
      <c r="V404" s="2339"/>
      <c r="W404" s="2339"/>
      <c r="X404" s="2339"/>
      <c r="Y404" s="2339"/>
      <c r="Z404" s="2339"/>
      <c r="AA404" s="2339"/>
      <c r="AB404" s="2339"/>
      <c r="AC404" s="2339"/>
      <c r="AD404" s="2339"/>
      <c r="AE404" s="2339"/>
      <c r="AF404" s="2339"/>
      <c r="AG404" s="2339"/>
      <c r="AH404" s="2339"/>
      <c r="AI404" s="2339"/>
      <c r="AJ404" s="2339"/>
      <c r="AK404" s="39"/>
      <c r="AL404" s="39"/>
      <c r="AM404" s="39"/>
      <c r="AN404" s="39"/>
      <c r="AO404" s="39"/>
      <c r="AP404" s="39"/>
      <c r="AQ404" s="39"/>
      <c r="AR404" s="39"/>
      <c r="AS404" s="39"/>
      <c r="AT404" s="39"/>
      <c r="AU404" s="39"/>
      <c r="AV404" s="39"/>
      <c r="AW404" s="39"/>
      <c r="AX404" s="39"/>
      <c r="AY404" s="39"/>
      <c r="CR404" s="25"/>
    </row>
    <row r="405" spans="1:96" s="711" customFormat="1" ht="12.75">
      <c r="D405" s="2337" t="s">
        <v>1878</v>
      </c>
      <c r="E405" s="2337"/>
      <c r="F405" s="2337"/>
      <c r="G405" s="2337"/>
      <c r="H405" s="2337"/>
      <c r="I405" s="2337"/>
      <c r="J405" s="2337"/>
      <c r="K405" s="2337"/>
      <c r="L405" s="2337"/>
      <c r="M405" s="2337"/>
      <c r="N405" s="2337"/>
      <c r="O405" s="2337"/>
      <c r="P405" s="2337"/>
      <c r="Q405" s="2337"/>
      <c r="R405" s="2337"/>
      <c r="S405" s="2337"/>
      <c r="T405" s="2337"/>
      <c r="U405" s="2337"/>
      <c r="V405" s="2337"/>
      <c r="W405" s="2337"/>
      <c r="X405" s="2337"/>
      <c r="Y405" s="2337"/>
      <c r="Z405" s="2337"/>
      <c r="AA405" s="2337"/>
      <c r="AB405" s="2337"/>
      <c r="AC405" s="2337"/>
      <c r="AD405" s="2337"/>
      <c r="AE405" s="2337"/>
      <c r="AF405" s="2337"/>
      <c r="AG405" s="2337"/>
      <c r="AH405" s="2337"/>
      <c r="AI405" s="2337"/>
      <c r="AJ405" s="2337"/>
      <c r="AK405" s="39"/>
      <c r="AL405" s="39"/>
      <c r="AM405" s="39"/>
      <c r="AN405" s="39"/>
      <c r="AO405" s="39"/>
      <c r="AP405" s="39"/>
      <c r="AQ405" s="39"/>
      <c r="AR405" s="39"/>
      <c r="AS405" s="39"/>
      <c r="AT405" s="39"/>
      <c r="AU405" s="39"/>
      <c r="AV405" s="39"/>
      <c r="AW405" s="39"/>
      <c r="AX405" s="39"/>
      <c r="AY405" s="39"/>
      <c r="CR405" s="25"/>
    </row>
    <row r="406" spans="1:96" s="711" customFormat="1" ht="12.75">
      <c r="D406" s="2337"/>
      <c r="E406" s="2337"/>
      <c r="F406" s="2337"/>
      <c r="G406" s="2337"/>
      <c r="H406" s="2337"/>
      <c r="I406" s="2337"/>
      <c r="J406" s="2337"/>
      <c r="K406" s="2337"/>
      <c r="L406" s="2337"/>
      <c r="M406" s="2337"/>
      <c r="N406" s="2337"/>
      <c r="O406" s="2337"/>
      <c r="P406" s="2337"/>
      <c r="Q406" s="2337"/>
      <c r="R406" s="2337"/>
      <c r="S406" s="2337"/>
      <c r="T406" s="2337"/>
      <c r="U406" s="2337"/>
      <c r="V406" s="2337"/>
      <c r="W406" s="2337"/>
      <c r="X406" s="2337"/>
      <c r="Y406" s="2337"/>
      <c r="Z406" s="2337"/>
      <c r="AA406" s="2337"/>
      <c r="AB406" s="2337"/>
      <c r="AC406" s="2337"/>
      <c r="AD406" s="2337"/>
      <c r="AE406" s="2337"/>
      <c r="AF406" s="2337"/>
      <c r="AG406" s="2337"/>
      <c r="AH406" s="2337"/>
      <c r="AI406" s="2337"/>
      <c r="AJ406" s="2337"/>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1370</v>
      </c>
      <c r="I409" s="2144" t="s">
        <v>2557</v>
      </c>
      <c r="J409" s="2144"/>
      <c r="K409" s="2144"/>
      <c r="L409" s="2144"/>
      <c r="M409" s="2144"/>
      <c r="N409" s="2144"/>
      <c r="O409" s="2144"/>
      <c r="P409" s="2144"/>
      <c r="Q409" s="2144"/>
      <c r="R409" s="2144"/>
      <c r="S409" s="2144"/>
      <c r="T409" s="2144"/>
      <c r="U409" s="2144"/>
      <c r="V409" s="2144"/>
      <c r="W409" s="2144"/>
      <c r="X409" s="2144"/>
      <c r="Y409" s="2144"/>
      <c r="Z409" s="2144"/>
      <c r="AA409" s="2144"/>
      <c r="AB409" s="2144"/>
      <c r="AC409" s="2144"/>
      <c r="AD409" s="2144"/>
      <c r="AE409" s="2144"/>
    </row>
    <row r="410" spans="1:96" ht="12.75" customHeight="1">
      <c r="C410" s="25"/>
      <c r="D410" s="25"/>
      <c r="E410" s="12" t="s">
        <v>111</v>
      </c>
      <c r="F410" s="25"/>
      <c r="G410" s="25"/>
      <c r="H410" s="25"/>
      <c r="I410" s="25"/>
      <c r="J410" s="25"/>
      <c r="K410" s="25"/>
      <c r="L410" s="25"/>
      <c r="M410" s="25"/>
      <c r="N410" s="25"/>
      <c r="O410" s="25"/>
      <c r="P410" s="711"/>
      <c r="Q410" s="711"/>
      <c r="R410" s="1875" t="s">
        <v>571</v>
      </c>
      <c r="S410" s="1875"/>
      <c r="T410" s="12" t="s">
        <v>596</v>
      </c>
      <c r="U410" s="711"/>
      <c r="V410" s="711"/>
      <c r="W410" s="711"/>
      <c r="X410" s="711"/>
      <c r="Y410" s="711"/>
      <c r="Z410" s="711"/>
      <c r="AA410" s="711"/>
      <c r="AB410" s="711"/>
      <c r="AC410" s="711"/>
      <c r="AD410" s="2207">
        <v>4</v>
      </c>
      <c r="AE410" s="2207"/>
      <c r="AF410" s="711"/>
    </row>
    <row r="411" spans="1:96" ht="12.75">
      <c r="C411" s="25"/>
      <c r="E411" s="12" t="s">
        <v>112</v>
      </c>
      <c r="F411" s="711"/>
      <c r="G411" s="711"/>
      <c r="H411" s="711"/>
      <c r="I411" s="711"/>
      <c r="J411" s="711"/>
      <c r="K411" s="711"/>
      <c r="L411" s="711"/>
      <c r="M411" s="711"/>
      <c r="N411" s="25"/>
      <c r="O411" s="25"/>
      <c r="P411" s="711"/>
      <c r="Q411" s="711"/>
      <c r="R411" s="1875" t="s">
        <v>618</v>
      </c>
      <c r="S411" s="1875"/>
      <c r="T411" s="12" t="s">
        <v>596</v>
      </c>
      <c r="U411" s="711"/>
      <c r="V411" s="711"/>
      <c r="W411" s="711"/>
      <c r="X411" s="711"/>
      <c r="Y411" s="711"/>
      <c r="Z411" s="711"/>
      <c r="AA411" s="711"/>
      <c r="AB411" s="711"/>
      <c r="AC411" s="711"/>
      <c r="AD411" s="2207">
        <v>0</v>
      </c>
      <c r="AE411" s="2207"/>
      <c r="AF411" s="711"/>
    </row>
    <row r="412" spans="1:96" ht="12.75" customHeight="1">
      <c r="C412" s="25"/>
      <c r="E412" s="12" t="s">
        <v>113</v>
      </c>
      <c r="F412" s="711"/>
      <c r="G412" s="711"/>
      <c r="H412" s="711"/>
      <c r="I412" s="711"/>
      <c r="J412" s="711"/>
      <c r="K412" s="711"/>
      <c r="L412" s="711"/>
      <c r="M412" s="711"/>
      <c r="N412" s="25"/>
      <c r="O412" s="25"/>
      <c r="P412" s="711"/>
      <c r="Q412" s="711"/>
      <c r="R412" s="711"/>
      <c r="S412" s="1875" t="s">
        <v>618</v>
      </c>
      <c r="T412" s="1875"/>
      <c r="U412" s="711"/>
      <c r="V412" s="711"/>
      <c r="W412" s="711"/>
      <c r="X412" s="711"/>
      <c r="Y412" s="711"/>
      <c r="Z412" s="711"/>
      <c r="AA412" s="711"/>
      <c r="AB412" s="711"/>
      <c r="AC412" s="711"/>
      <c r="AD412" s="711"/>
      <c r="AE412" s="711"/>
      <c r="AF412" s="711"/>
    </row>
    <row r="413" spans="1:96" ht="12.75" customHeight="1">
      <c r="E413" s="12" t="s">
        <v>175</v>
      </c>
      <c r="F413" s="711"/>
      <c r="G413" s="711"/>
      <c r="H413" s="2342" t="s">
        <v>2558</v>
      </c>
      <c r="I413" s="2342"/>
      <c r="J413" s="2342"/>
      <c r="K413" s="2342"/>
      <c r="L413" s="2342"/>
      <c r="M413" s="2342"/>
      <c r="N413" s="2342"/>
      <c r="O413" s="2342"/>
      <c r="P413" s="2342"/>
      <c r="Q413" s="2342"/>
      <c r="R413" s="2342"/>
      <c r="S413" s="2342"/>
      <c r="T413" s="2342"/>
      <c r="U413" s="2342"/>
      <c r="V413" s="2342"/>
      <c r="W413" s="2342"/>
      <c r="X413" s="2342"/>
      <c r="Y413" s="2342"/>
      <c r="Z413" s="2342"/>
      <c r="AA413" s="2342"/>
      <c r="AB413" s="2342"/>
      <c r="AC413" s="2342"/>
      <c r="AD413" s="2342"/>
      <c r="AE413" s="2342"/>
      <c r="AF413" s="711"/>
    </row>
    <row r="414" spans="1:96" ht="12.75" customHeight="1">
      <c r="E414" s="25"/>
      <c r="F414" s="711"/>
      <c r="G414" s="711"/>
      <c r="H414" s="2343"/>
      <c r="I414" s="2343"/>
      <c r="J414" s="2343"/>
      <c r="K414" s="2343"/>
      <c r="L414" s="2343"/>
      <c r="M414" s="2343"/>
      <c r="N414" s="2343"/>
      <c r="O414" s="2343"/>
      <c r="P414" s="2343"/>
      <c r="Q414" s="2343"/>
      <c r="R414" s="2343"/>
      <c r="S414" s="2343"/>
      <c r="T414" s="2343"/>
      <c r="U414" s="2343"/>
      <c r="V414" s="2343"/>
      <c r="W414" s="2343"/>
      <c r="X414" s="2343"/>
      <c r="Y414" s="2343"/>
      <c r="Z414" s="2343"/>
      <c r="AA414" s="2343"/>
      <c r="AB414" s="2343"/>
      <c r="AC414" s="2343"/>
      <c r="AD414" s="2343"/>
      <c r="AE414" s="2343"/>
      <c r="AF414" s="711"/>
    </row>
    <row r="415" spans="1:96" ht="12.75" customHeight="1"/>
    <row r="416" spans="1:96" ht="12.75" customHeight="1">
      <c r="A416" s="50" t="s">
        <v>617</v>
      </c>
      <c r="B416" s="50"/>
      <c r="C416" s="50"/>
      <c r="D416" s="50" t="s">
        <v>119</v>
      </c>
      <c r="AF416" s="50" t="s">
        <v>1016</v>
      </c>
    </row>
    <row r="417" spans="1:96" ht="12.75" customHeight="1">
      <c r="E417" s="2205"/>
      <c r="F417" s="2205"/>
      <c r="G417" s="2205"/>
      <c r="H417" s="23" t="s">
        <v>120</v>
      </c>
      <c r="I417" s="2205"/>
      <c r="J417" s="2205"/>
      <c r="K417" s="2205"/>
      <c r="L417" s="12" t="s">
        <v>121</v>
      </c>
      <c r="N417" s="141" t="s">
        <v>602</v>
      </c>
      <c r="P417" s="2285">
        <v>3.85</v>
      </c>
      <c r="Q417" s="2285"/>
      <c r="R417" s="2285"/>
      <c r="S417" s="12" t="s">
        <v>122</v>
      </c>
      <c r="W417" s="2406">
        <f>IF(E417&gt;0,(E417*I417),(P417*43560))</f>
        <v>167706</v>
      </c>
      <c r="X417" s="2406"/>
      <c r="Y417" s="2406"/>
      <c r="Z417" s="12" t="s">
        <v>123</v>
      </c>
      <c r="AF417" s="2332">
        <f>IF(P417&gt;0,(AG436/P417),(AG436/(W417/43560)))</f>
        <v>43.116883116883116</v>
      </c>
      <c r="AG417" s="2332"/>
      <c r="AH417" s="2332"/>
      <c r="AM417" s="239"/>
    </row>
    <row r="418" spans="1:96" ht="12.75">
      <c r="E418" s="12" t="s">
        <v>54</v>
      </c>
    </row>
    <row r="419" spans="1:96" ht="12.75" customHeight="1">
      <c r="E419" s="2352"/>
      <c r="F419" s="2352"/>
      <c r="G419" s="2352"/>
      <c r="H419" s="2352"/>
      <c r="I419" s="2352"/>
      <c r="J419" s="2352"/>
      <c r="K419" s="2352"/>
      <c r="L419" s="2352"/>
      <c r="M419" s="2352"/>
      <c r="N419" s="2352"/>
      <c r="O419" s="2352"/>
      <c r="P419" s="2352"/>
      <c r="Q419" s="2352"/>
      <c r="R419" s="2352"/>
      <c r="S419" s="2352"/>
      <c r="T419" s="2352"/>
      <c r="U419" s="2352"/>
      <c r="V419" s="2352"/>
      <c r="W419" s="2352"/>
      <c r="X419" s="2352"/>
      <c r="Y419" s="2352"/>
      <c r="Z419" s="2352"/>
      <c r="AA419" s="2352"/>
      <c r="AB419" s="2352"/>
      <c r="AC419" s="2352"/>
      <c r="AD419" s="2352"/>
      <c r="AE419" s="2352"/>
      <c r="AF419" s="2352"/>
      <c r="AG419" s="2352"/>
      <c r="AH419" s="2352"/>
      <c r="AI419" s="2352"/>
      <c r="AJ419" s="2352"/>
    </row>
    <row r="420" spans="1:96" s="39" customFormat="1" ht="12.75" customHeight="1">
      <c r="E420" s="254" t="s">
        <v>2056</v>
      </c>
      <c r="F420" s="1096"/>
      <c r="G420" s="1096"/>
      <c r="H420" s="1096"/>
      <c r="I420" s="2198"/>
      <c r="J420" s="2198"/>
      <c r="K420" s="2198"/>
      <c r="L420" s="1096"/>
      <c r="M420" s="254"/>
      <c r="N420" s="1096"/>
      <c r="O420" s="1096"/>
      <c r="P420" s="2156" t="e">
        <f>(CS637+CS645+CS661)/I420</f>
        <v>#DIV/0!</v>
      </c>
      <c r="Q420" s="2156"/>
      <c r="R420" s="2156"/>
      <c r="S420" s="254" t="s">
        <v>2057</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1875">
        <v>3</v>
      </c>
      <c r="Q423" s="1875"/>
      <c r="S423" s="12" t="s">
        <v>195</v>
      </c>
      <c r="AE423" s="1875">
        <v>3</v>
      </c>
      <c r="AF423" s="1875"/>
    </row>
    <row r="424" spans="1:96" ht="12.75">
      <c r="E424" s="12" t="s">
        <v>196</v>
      </c>
      <c r="P424" s="1875">
        <v>0</v>
      </c>
      <c r="Q424" s="1875"/>
      <c r="S424" s="12" t="s">
        <v>136</v>
      </c>
      <c r="AE424" s="1875" t="s">
        <v>618</v>
      </c>
      <c r="AF424" s="1875"/>
    </row>
    <row r="425" spans="1:96" ht="12.75">
      <c r="F425" s="67" t="s">
        <v>137</v>
      </c>
    </row>
    <row r="426" spans="1:96" ht="12.75">
      <c r="F426" s="2314"/>
      <c r="G426" s="2314"/>
      <c r="H426" s="2314"/>
      <c r="I426" s="2314"/>
      <c r="J426" s="2314"/>
      <c r="K426" s="2314"/>
      <c r="L426" s="2314"/>
      <c r="M426" s="2314"/>
      <c r="N426" s="2314"/>
      <c r="O426" s="2314"/>
      <c r="P426" s="2314"/>
      <c r="Q426" s="2314"/>
      <c r="R426" s="2314"/>
      <c r="S426" s="2314"/>
      <c r="T426" s="2314"/>
      <c r="U426" s="2314"/>
      <c r="V426" s="2314"/>
      <c r="W426" s="2314"/>
      <c r="X426" s="2314"/>
      <c r="Y426" s="2314"/>
      <c r="Z426" s="2314"/>
      <c r="AA426" s="2314"/>
      <c r="AB426" s="2314"/>
      <c r="AC426" s="2314"/>
      <c r="AD426" s="2314"/>
      <c r="AE426" s="2314"/>
      <c r="AF426" s="2314"/>
      <c r="AG426" s="2314"/>
      <c r="AH426" s="2314"/>
    </row>
    <row r="427" spans="1:96" ht="12.75" customHeight="1">
      <c r="F427" s="2315"/>
      <c r="G427" s="2315"/>
      <c r="H427" s="2315"/>
      <c r="I427" s="2315"/>
      <c r="J427" s="2315"/>
      <c r="K427" s="2315"/>
      <c r="L427" s="2315"/>
      <c r="M427" s="2315"/>
      <c r="N427" s="2315"/>
      <c r="O427" s="2315"/>
      <c r="P427" s="2315"/>
      <c r="Q427" s="2315"/>
      <c r="R427" s="2315"/>
      <c r="S427" s="2315"/>
      <c r="T427" s="2315"/>
      <c r="U427" s="2315"/>
      <c r="V427" s="2315"/>
      <c r="W427" s="2315"/>
      <c r="X427" s="2315"/>
      <c r="Y427" s="2315"/>
      <c r="Z427" s="2315"/>
      <c r="AA427" s="2315"/>
      <c r="AB427" s="2315"/>
      <c r="AC427" s="2315"/>
      <c r="AD427" s="2315"/>
      <c r="AE427" s="2315"/>
      <c r="AF427" s="2315"/>
      <c r="AG427" s="2315"/>
      <c r="AH427" s="2315"/>
    </row>
    <row r="428" spans="1:96" ht="12.75" customHeight="1">
      <c r="E428" s="12" t="s">
        <v>635</v>
      </c>
      <c r="N428" s="39"/>
      <c r="O428" s="39"/>
      <c r="P428" s="235"/>
      <c r="Q428" s="1875" t="s">
        <v>571</v>
      </c>
      <c r="R428" s="1875"/>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1875" t="s">
        <v>618</v>
      </c>
      <c r="AG429" s="2403"/>
    </row>
    <row r="430" spans="1:96" ht="12.75" customHeight="1">
      <c r="S430" s="25"/>
      <c r="T430" s="25"/>
    </row>
    <row r="431" spans="1:96" ht="12.75" customHeight="1">
      <c r="A431" s="50"/>
      <c r="B431" s="50"/>
      <c r="C431" s="50"/>
      <c r="E431" s="7" t="s">
        <v>314</v>
      </c>
      <c r="Z431" s="1875" t="s">
        <v>696</v>
      </c>
      <c r="AA431" s="18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1875" t="s">
        <v>618</v>
      </c>
      <c r="AA433" s="1875"/>
    </row>
    <row r="434" spans="1:110" ht="12.75" customHeight="1"/>
    <row r="435" spans="1:110" ht="12.75" customHeight="1">
      <c r="A435" s="50" t="s">
        <v>493</v>
      </c>
      <c r="B435" s="50"/>
      <c r="C435" s="50"/>
      <c r="D435" s="50" t="s">
        <v>807</v>
      </c>
      <c r="AF435" s="80"/>
    </row>
    <row r="436" spans="1:110" ht="12.75" customHeight="1">
      <c r="D436" s="2086" t="s">
        <v>46</v>
      </c>
      <c r="E436" s="2087"/>
      <c r="F436" s="2087"/>
      <c r="G436" s="2087"/>
      <c r="H436" s="2087"/>
      <c r="I436" s="2087"/>
      <c r="J436" s="2087"/>
      <c r="K436" s="2087"/>
      <c r="L436" s="2087"/>
      <c r="M436" s="2087"/>
      <c r="N436" s="2087"/>
      <c r="O436" s="2087"/>
      <c r="P436" s="2087"/>
      <c r="Q436" s="2087"/>
      <c r="R436" s="2087"/>
      <c r="S436" s="2087"/>
      <c r="T436" s="2087"/>
      <c r="U436" s="2087"/>
      <c r="V436" s="2087"/>
      <c r="W436" s="2087"/>
      <c r="X436" s="2087"/>
      <c r="Y436" s="2087"/>
      <c r="Z436" s="2087"/>
      <c r="AA436" s="2087"/>
      <c r="AB436" s="2087"/>
      <c r="AC436" s="2087"/>
      <c r="AD436" s="2087"/>
      <c r="AE436" s="2087"/>
      <c r="AF436" s="2378"/>
      <c r="AG436" s="2340">
        <v>166</v>
      </c>
      <c r="AH436" s="2340"/>
      <c r="AI436" s="2340"/>
      <c r="AJ436" s="2340"/>
    </row>
    <row r="437" spans="1:110" ht="12.75" customHeight="1">
      <c r="D437" s="2289" t="s">
        <v>1394</v>
      </c>
      <c r="E437" s="2290"/>
      <c r="F437" s="2290"/>
      <c r="G437" s="2290"/>
      <c r="H437" s="2290"/>
      <c r="I437" s="2290"/>
      <c r="J437" s="2290"/>
      <c r="K437" s="2290"/>
      <c r="L437" s="2290"/>
      <c r="M437" s="2290"/>
      <c r="N437" s="2290"/>
      <c r="O437" s="2290"/>
      <c r="P437" s="2290"/>
      <c r="Q437" s="2290"/>
      <c r="R437" s="2290"/>
      <c r="S437" s="2290"/>
      <c r="T437" s="2290"/>
      <c r="U437" s="2290"/>
      <c r="V437" s="2290"/>
      <c r="W437" s="2290"/>
      <c r="X437" s="2290"/>
      <c r="Y437" s="2290"/>
      <c r="Z437" s="2290"/>
      <c r="AA437" s="2290"/>
      <c r="AB437" s="2290"/>
      <c r="AC437" s="2290"/>
      <c r="AD437" s="2290"/>
      <c r="AE437" s="2290"/>
      <c r="AF437" s="2291"/>
      <c r="AG437" s="2410">
        <v>164</v>
      </c>
      <c r="AH437" s="2129"/>
      <c r="AI437" s="2129"/>
      <c r="AJ437" s="2129"/>
    </row>
    <row r="438" spans="1:110" ht="12.75" customHeight="1">
      <c r="D438" s="2289" t="s">
        <v>1113</v>
      </c>
      <c r="E438" s="2290"/>
      <c r="F438" s="2290"/>
      <c r="G438" s="2290"/>
      <c r="H438" s="2290"/>
      <c r="I438" s="2290"/>
      <c r="J438" s="2290"/>
      <c r="K438" s="2290"/>
      <c r="L438" s="2290"/>
      <c r="M438" s="2290"/>
      <c r="N438" s="2290"/>
      <c r="O438" s="2290"/>
      <c r="P438" s="2290"/>
      <c r="Q438" s="2290"/>
      <c r="R438" s="2290"/>
      <c r="S438" s="2290"/>
      <c r="T438" s="2290"/>
      <c r="U438" s="2290"/>
      <c r="V438" s="2290"/>
      <c r="W438" s="2290"/>
      <c r="X438" s="2290"/>
      <c r="Y438" s="2290"/>
      <c r="Z438" s="2290"/>
      <c r="AA438" s="2290"/>
      <c r="AB438" s="2290"/>
      <c r="AC438" s="2290"/>
      <c r="AD438" s="2290"/>
      <c r="AE438" s="2290"/>
      <c r="AF438" s="2291"/>
      <c r="AG438" s="2340">
        <v>164</v>
      </c>
      <c r="AH438" s="2340"/>
      <c r="AI438" s="2340"/>
      <c r="AJ438" s="2340"/>
    </row>
    <row r="439" spans="1:110" ht="12.75" customHeight="1">
      <c r="D439" s="2289" t="s">
        <v>1114</v>
      </c>
      <c r="E439" s="2290"/>
      <c r="F439" s="2290"/>
      <c r="G439" s="2290"/>
      <c r="H439" s="2290"/>
      <c r="I439" s="2290"/>
      <c r="J439" s="2290"/>
      <c r="K439" s="2290"/>
      <c r="L439" s="2290"/>
      <c r="M439" s="2290"/>
      <c r="N439" s="2290"/>
      <c r="O439" s="2290"/>
      <c r="P439" s="2290"/>
      <c r="Q439" s="2290"/>
      <c r="R439" s="2290"/>
      <c r="S439" s="2290"/>
      <c r="T439" s="2290"/>
      <c r="U439" s="2290"/>
      <c r="V439" s="2290"/>
      <c r="W439" s="2290"/>
      <c r="X439" s="2290"/>
      <c r="Y439" s="2290"/>
      <c r="Z439" s="2290"/>
      <c r="AA439" s="2290"/>
      <c r="AB439" s="2290"/>
      <c r="AC439" s="2290"/>
      <c r="AD439" s="2290"/>
      <c r="AE439" s="2290"/>
      <c r="AF439" s="2291"/>
      <c r="AG439" s="2340">
        <v>164</v>
      </c>
      <c r="AH439" s="2340"/>
      <c r="AI439" s="2340"/>
      <c r="AJ439" s="2340"/>
    </row>
    <row r="440" spans="1:110" ht="12.75" customHeight="1">
      <c r="D440" s="2289" t="s">
        <v>1116</v>
      </c>
      <c r="E440" s="2290"/>
      <c r="F440" s="2290"/>
      <c r="G440" s="2290"/>
      <c r="H440" s="2290"/>
      <c r="I440" s="2290"/>
      <c r="J440" s="2290"/>
      <c r="K440" s="2290"/>
      <c r="L440" s="2290"/>
      <c r="M440" s="2290"/>
      <c r="N440" s="2290"/>
      <c r="O440" s="2290"/>
      <c r="P440" s="2290"/>
      <c r="Q440" s="2290"/>
      <c r="R440" s="2290"/>
      <c r="S440" s="2290"/>
      <c r="T440" s="2290"/>
      <c r="U440" s="2290"/>
      <c r="V440" s="2290"/>
      <c r="W440" s="2290"/>
      <c r="X440" s="2290"/>
      <c r="Y440" s="2290"/>
      <c r="Z440" s="2290"/>
      <c r="AA440" s="2290"/>
      <c r="AB440" s="2290"/>
      <c r="AC440" s="2290"/>
      <c r="AD440" s="2290"/>
      <c r="AE440" s="2290"/>
      <c r="AF440" s="2291"/>
      <c r="AG440" s="2341">
        <f>IF(ISERROR(AG439/AG438),"",AG439/AG438)</f>
        <v>1</v>
      </c>
      <c r="AH440" s="2341"/>
      <c r="AI440" s="2341"/>
      <c r="AJ440" s="2341"/>
    </row>
    <row r="441" spans="1:110" ht="12.75" customHeight="1">
      <c r="D441" s="2289" t="s">
        <v>1115</v>
      </c>
      <c r="E441" s="2290"/>
      <c r="F441" s="2290"/>
      <c r="G441" s="2290"/>
      <c r="H441" s="2290"/>
      <c r="I441" s="2290"/>
      <c r="J441" s="2290"/>
      <c r="K441" s="2290"/>
      <c r="L441" s="2290"/>
      <c r="M441" s="2290"/>
      <c r="N441" s="2290"/>
      <c r="O441" s="2290"/>
      <c r="P441" s="2290"/>
      <c r="Q441" s="2290"/>
      <c r="R441" s="2290"/>
      <c r="S441" s="2290"/>
      <c r="T441" s="2290"/>
      <c r="U441" s="2290"/>
      <c r="V441" s="2290"/>
      <c r="W441" s="2290"/>
      <c r="X441" s="2290"/>
      <c r="Y441" s="2290"/>
      <c r="Z441" s="2290"/>
      <c r="AA441" s="2290"/>
      <c r="AB441" s="2290"/>
      <c r="AC441" s="2290"/>
      <c r="AD441" s="2290"/>
      <c r="AE441" s="2290"/>
      <c r="AF441" s="2291"/>
      <c r="AG441" s="2336">
        <v>97263</v>
      </c>
      <c r="AH441" s="2336"/>
      <c r="AI441" s="2336"/>
      <c r="AJ441" s="2336"/>
    </row>
    <row r="442" spans="1:110" ht="12.75" customHeight="1">
      <c r="D442" s="2289" t="s">
        <v>1117</v>
      </c>
      <c r="E442" s="2290"/>
      <c r="F442" s="2290"/>
      <c r="G442" s="2290"/>
      <c r="H442" s="2290"/>
      <c r="I442" s="2290"/>
      <c r="J442" s="2290"/>
      <c r="K442" s="2290"/>
      <c r="L442" s="2290"/>
      <c r="M442" s="2290"/>
      <c r="N442" s="2290"/>
      <c r="O442" s="2290"/>
      <c r="P442" s="2290"/>
      <c r="Q442" s="2290"/>
      <c r="R442" s="2290"/>
      <c r="S442" s="2290"/>
      <c r="T442" s="2290"/>
      <c r="U442" s="2290"/>
      <c r="V442" s="2290"/>
      <c r="W442" s="2290"/>
      <c r="X442" s="2290"/>
      <c r="Y442" s="2290"/>
      <c r="Z442" s="2290"/>
      <c r="AA442" s="2290"/>
      <c r="AB442" s="2290"/>
      <c r="AC442" s="2290"/>
      <c r="AD442" s="2290"/>
      <c r="AE442" s="2290"/>
      <c r="AF442" s="2291"/>
      <c r="AG442" s="2336">
        <v>97263</v>
      </c>
      <c r="AH442" s="2336"/>
      <c r="AI442" s="2336"/>
      <c r="AJ442" s="2336"/>
    </row>
    <row r="443" spans="1:110" ht="12.75" customHeight="1">
      <c r="D443" s="2289" t="s">
        <v>1118</v>
      </c>
      <c r="E443" s="2290"/>
      <c r="F443" s="2290"/>
      <c r="G443" s="2290"/>
      <c r="H443" s="2290"/>
      <c r="I443" s="2290"/>
      <c r="J443" s="2290"/>
      <c r="K443" s="2290"/>
      <c r="L443" s="2290"/>
      <c r="M443" s="2290"/>
      <c r="N443" s="2290"/>
      <c r="O443" s="2290"/>
      <c r="P443" s="2290"/>
      <c r="Q443" s="2290"/>
      <c r="R443" s="2290"/>
      <c r="S443" s="2290"/>
      <c r="T443" s="2290"/>
      <c r="U443" s="2290"/>
      <c r="V443" s="2290"/>
      <c r="W443" s="2290"/>
      <c r="X443" s="2290"/>
      <c r="Y443" s="2290"/>
      <c r="Z443" s="2290"/>
      <c r="AA443" s="2290"/>
      <c r="AB443" s="2290"/>
      <c r="AC443" s="2290"/>
      <c r="AD443" s="2290"/>
      <c r="AE443" s="2290"/>
      <c r="AF443" s="2291"/>
      <c r="AG443" s="2341">
        <f>IF(ISERROR(AG442/AG441),"",AG442/AG441)</f>
        <v>1</v>
      </c>
      <c r="AH443" s="2341"/>
      <c r="AI443" s="2341"/>
      <c r="AJ443" s="2341"/>
    </row>
    <row r="444" spans="1:110" ht="12.75" customHeight="1">
      <c r="D444" s="2289" t="s">
        <v>1119</v>
      </c>
      <c r="E444" s="2290"/>
      <c r="F444" s="2290"/>
      <c r="G444" s="2290"/>
      <c r="H444" s="2290"/>
      <c r="I444" s="2290"/>
      <c r="J444" s="2290"/>
      <c r="K444" s="2290"/>
      <c r="L444" s="2290"/>
      <c r="M444" s="2290"/>
      <c r="N444" s="2290"/>
      <c r="O444" s="2290"/>
      <c r="P444" s="2290"/>
      <c r="Q444" s="2290"/>
      <c r="R444" s="2290"/>
      <c r="S444" s="2290"/>
      <c r="T444" s="2290"/>
      <c r="U444" s="2290"/>
      <c r="V444" s="2290"/>
      <c r="W444" s="2290"/>
      <c r="X444" s="2290"/>
      <c r="Y444" s="2290"/>
      <c r="Z444" s="2290"/>
      <c r="AA444" s="2290"/>
      <c r="AB444" s="2290"/>
      <c r="AC444" s="2290"/>
      <c r="AD444" s="2290"/>
      <c r="AE444" s="2290"/>
      <c r="AF444" s="2291"/>
      <c r="AG444" s="2341">
        <f>MIN(IF(AG440&gt;AG443,AG443,AG440),1)</f>
        <v>1</v>
      </c>
      <c r="AH444" s="2341"/>
      <c r="AI444" s="2341"/>
      <c r="AJ444" s="2341"/>
    </row>
    <row r="445" spans="1:110" ht="12.75" customHeight="1">
      <c r="D445" s="2289" t="s">
        <v>2643</v>
      </c>
      <c r="E445" s="2087"/>
      <c r="F445" s="2087"/>
      <c r="G445" s="2087"/>
      <c r="H445" s="2087"/>
      <c r="I445" s="2087"/>
      <c r="J445" s="2087"/>
      <c r="K445" s="2087"/>
      <c r="L445" s="2087"/>
      <c r="M445" s="2087"/>
      <c r="N445" s="2087"/>
      <c r="O445" s="2087"/>
      <c r="P445" s="2087"/>
      <c r="Q445" s="2087"/>
      <c r="R445" s="2087"/>
      <c r="S445" s="2087"/>
      <c r="T445" s="2087"/>
      <c r="U445" s="2087"/>
      <c r="V445" s="2087"/>
      <c r="W445" s="2087"/>
      <c r="X445" s="2087"/>
      <c r="Y445" s="2087"/>
      <c r="Z445" s="2087"/>
      <c r="AA445" s="2087"/>
      <c r="AB445" s="2087"/>
      <c r="AC445" s="2087"/>
      <c r="AD445" s="2087"/>
      <c r="AE445" s="2087"/>
      <c r="AF445" s="2378"/>
      <c r="AG445" s="2336">
        <v>4255</v>
      </c>
      <c r="AH445" s="2336"/>
      <c r="AI445" s="2336"/>
      <c r="AJ445" s="2336"/>
    </row>
    <row r="446" spans="1:110" ht="12.75" customHeight="1">
      <c r="D446" s="2086" t="s">
        <v>595</v>
      </c>
      <c r="E446" s="2087"/>
      <c r="F446" s="2087"/>
      <c r="G446" s="2087"/>
      <c r="H446" s="2087"/>
      <c r="I446" s="2087"/>
      <c r="J446" s="2087"/>
      <c r="K446" s="2087"/>
      <c r="L446" s="2087"/>
      <c r="M446" s="2087"/>
      <c r="N446" s="2087"/>
      <c r="O446" s="2087"/>
      <c r="P446" s="2087"/>
      <c r="Q446" s="2087"/>
      <c r="R446" s="2087"/>
      <c r="S446" s="2087"/>
      <c r="T446" s="2087"/>
      <c r="U446" s="2087"/>
      <c r="V446" s="2087"/>
      <c r="W446" s="2087"/>
      <c r="X446" s="2087"/>
      <c r="Y446" s="2087"/>
      <c r="Z446" s="2087"/>
      <c r="AA446" s="2087"/>
      <c r="AB446" s="2087"/>
      <c r="AC446" s="2087"/>
      <c r="AD446" s="2087"/>
      <c r="AE446" s="2087"/>
      <c r="AF446" s="2378"/>
      <c r="AG446" s="2336">
        <v>0</v>
      </c>
      <c r="AH446" s="2336"/>
      <c r="AI446" s="2336"/>
      <c r="AJ446" s="233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 customHeight="1">
      <c r="D447" s="2289" t="s">
        <v>1371</v>
      </c>
      <c r="E447" s="2087"/>
      <c r="F447" s="2087"/>
      <c r="G447" s="2087"/>
      <c r="H447" s="2087"/>
      <c r="I447" s="2087"/>
      <c r="J447" s="2087"/>
      <c r="K447" s="2087"/>
      <c r="L447" s="2087"/>
      <c r="M447" s="2087"/>
      <c r="N447" s="2087"/>
      <c r="O447" s="2087"/>
      <c r="P447" s="2087"/>
      <c r="Q447" s="2087"/>
      <c r="R447" s="2087"/>
      <c r="S447" s="2087"/>
      <c r="T447" s="2087"/>
      <c r="U447" s="2087"/>
      <c r="V447" s="2087"/>
      <c r="W447" s="2087"/>
      <c r="X447" s="2087"/>
      <c r="Y447" s="2087"/>
      <c r="Z447" s="2087"/>
      <c r="AA447" s="2087"/>
      <c r="AB447" s="2087"/>
      <c r="AC447" s="2087"/>
      <c r="AD447" s="2087"/>
      <c r="AE447" s="2087"/>
      <c r="AF447" s="2378"/>
      <c r="AG447" s="2336">
        <v>36160</v>
      </c>
      <c r="AH447" s="2336"/>
      <c r="AI447" s="2336"/>
      <c r="AJ447" s="233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289" t="s">
        <v>1120</v>
      </c>
      <c r="E448" s="2087"/>
      <c r="F448" s="2087"/>
      <c r="G448" s="2087"/>
      <c r="H448" s="2087"/>
      <c r="I448" s="2087"/>
      <c r="J448" s="2087"/>
      <c r="K448" s="2087"/>
      <c r="L448" s="2087"/>
      <c r="M448" s="2087"/>
      <c r="N448" s="2087"/>
      <c r="O448" s="2087"/>
      <c r="P448" s="2087"/>
      <c r="Q448" s="2087"/>
      <c r="R448" s="2087"/>
      <c r="S448" s="2087"/>
      <c r="T448" s="2087"/>
      <c r="U448" s="2087"/>
      <c r="V448" s="2087"/>
      <c r="W448" s="2087"/>
      <c r="X448" s="2087"/>
      <c r="Y448" s="2087"/>
      <c r="Z448" s="2087"/>
      <c r="AA448" s="2087"/>
      <c r="AB448" s="2087"/>
      <c r="AC448" s="2087"/>
      <c r="AD448" s="2087"/>
      <c r="AE448" s="2087"/>
      <c r="AF448" s="2378"/>
      <c r="AG448" s="2336">
        <v>0</v>
      </c>
      <c r="AH448" s="2336"/>
      <c r="AI448" s="2336"/>
      <c r="AJ448" s="233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346" t="s">
        <v>1121</v>
      </c>
      <c r="E449" s="2347"/>
      <c r="F449" s="2347"/>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2348"/>
      <c r="AG449" s="2402">
        <f>AG441+AG445+AG447+AG448</f>
        <v>137678</v>
      </c>
      <c r="AH449" s="2402"/>
      <c r="AI449" s="2402"/>
      <c r="AJ449" s="24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349" t="s">
        <v>1372</v>
      </c>
      <c r="E450" s="2349"/>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2349"/>
      <c r="AG450" s="2349"/>
      <c r="AH450" s="2349"/>
      <c r="AI450" s="2349"/>
      <c r="AJ450" s="234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350"/>
      <c r="E451" s="2350"/>
      <c r="F451" s="2350"/>
      <c r="G451" s="2350"/>
      <c r="H451" s="2350"/>
      <c r="I451" s="2350"/>
      <c r="J451" s="2350"/>
      <c r="K451" s="2350"/>
      <c r="L451" s="2350"/>
      <c r="M451" s="2350"/>
      <c r="N451" s="2350"/>
      <c r="O451" s="2350"/>
      <c r="P451" s="2350"/>
      <c r="Q451" s="2350"/>
      <c r="R451" s="2350"/>
      <c r="S451" s="2350"/>
      <c r="T451" s="2350"/>
      <c r="U451" s="2350"/>
      <c r="V451" s="2350"/>
      <c r="W451" s="2350"/>
      <c r="X451" s="2350"/>
      <c r="Y451" s="2350"/>
      <c r="Z451" s="2350"/>
      <c r="AA451" s="2350"/>
      <c r="AB451" s="2350"/>
      <c r="AC451" s="2350"/>
      <c r="AD451" s="2350"/>
      <c r="AE451" s="2350"/>
      <c r="AF451" s="2350"/>
      <c r="AG451" s="2350"/>
      <c r="AH451" s="2350"/>
      <c r="AI451" s="2350"/>
      <c r="AJ451" s="235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38">
        <f>'Sources and Uses Budget'!B105/Application!AG436</f>
        <v>377526.98192771082</v>
      </c>
      <c r="AD453" s="2338"/>
      <c r="AE453" s="2338"/>
      <c r="AF453" s="233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38">
        <f>'Sources and Uses Budget'!C105/Application!AG436</f>
        <v>377526.98192771082</v>
      </c>
      <c r="AD454" s="2338"/>
      <c r="AE454" s="2338"/>
      <c r="AF454" s="233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38">
        <f>('Sources and Uses Budget'!$S$107+'Sources and Uses Budget'!$T$107)/Application!AG436</f>
        <v>338685.97590361448</v>
      </c>
      <c r="AD455" s="2338"/>
      <c r="AE455" s="2338"/>
      <c r="AF455" s="233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2212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2213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2214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26" t="s">
        <v>721</v>
      </c>
      <c r="E464" s="2327"/>
      <c r="F464" s="2327"/>
      <c r="G464" s="2327"/>
      <c r="H464" s="2327"/>
      <c r="I464" s="2327"/>
      <c r="J464" s="2327"/>
      <c r="K464" s="2327"/>
      <c r="L464" s="2327"/>
      <c r="M464" s="2327"/>
      <c r="N464" s="2327"/>
      <c r="O464" s="2327"/>
      <c r="P464" s="2327"/>
      <c r="Q464" s="2327"/>
      <c r="R464" s="2327"/>
      <c r="S464" s="2327"/>
      <c r="T464" s="2327"/>
      <c r="U464" s="2327"/>
      <c r="V464" s="2328"/>
      <c r="W464" s="2194">
        <v>0</v>
      </c>
      <c r="X464" s="2195"/>
      <c r="Y464" s="21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26" t="s">
        <v>722</v>
      </c>
      <c r="E465" s="2327"/>
      <c r="F465" s="2327"/>
      <c r="G465" s="2327"/>
      <c r="H465" s="2327"/>
      <c r="I465" s="2327"/>
      <c r="J465" s="2327"/>
      <c r="K465" s="2327"/>
      <c r="L465" s="2327"/>
      <c r="M465" s="2327"/>
      <c r="N465" s="2327"/>
      <c r="O465" s="2327"/>
      <c r="P465" s="2327"/>
      <c r="Q465" s="2327"/>
      <c r="R465" s="2327"/>
      <c r="S465" s="2327"/>
      <c r="T465" s="2327"/>
      <c r="U465" s="2327"/>
      <c r="V465" s="2328"/>
      <c r="W465" s="2194">
        <v>0</v>
      </c>
      <c r="X465" s="2195"/>
      <c r="Y465" s="21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26" t="s">
        <v>723</v>
      </c>
      <c r="E466" s="2327"/>
      <c r="F466" s="2327"/>
      <c r="G466" s="2327"/>
      <c r="H466" s="2327"/>
      <c r="I466" s="2327"/>
      <c r="J466" s="2327"/>
      <c r="K466" s="2327"/>
      <c r="L466" s="2327"/>
      <c r="M466" s="2327"/>
      <c r="N466" s="2327"/>
      <c r="O466" s="2327"/>
      <c r="P466" s="2327"/>
      <c r="Q466" s="2327"/>
      <c r="R466" s="2327"/>
      <c r="S466" s="2327"/>
      <c r="T466" s="2327"/>
      <c r="U466" s="2327"/>
      <c r="V466" s="2328"/>
      <c r="W466" s="2194">
        <v>0</v>
      </c>
      <c r="X466" s="2195"/>
      <c r="Y466" s="21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26" t="s">
        <v>724</v>
      </c>
      <c r="E467" s="2327"/>
      <c r="F467" s="2327"/>
      <c r="G467" s="2327"/>
      <c r="H467" s="2327"/>
      <c r="I467" s="2327"/>
      <c r="J467" s="2327"/>
      <c r="K467" s="2327"/>
      <c r="L467" s="2327"/>
      <c r="M467" s="2327"/>
      <c r="N467" s="2327"/>
      <c r="O467" s="2327"/>
      <c r="P467" s="2327"/>
      <c r="Q467" s="2327"/>
      <c r="R467" s="2327"/>
      <c r="S467" s="2327"/>
      <c r="T467" s="2327"/>
      <c r="U467" s="2327"/>
      <c r="V467" s="2328"/>
      <c r="W467" s="2194">
        <v>0</v>
      </c>
      <c r="X467" s="2195"/>
      <c r="Y467" s="21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26" t="s">
        <v>929</v>
      </c>
      <c r="E468" s="2327"/>
      <c r="F468" s="2327"/>
      <c r="G468" s="2327"/>
      <c r="H468" s="2327"/>
      <c r="I468" s="2327"/>
      <c r="J468" s="2327"/>
      <c r="K468" s="2327"/>
      <c r="L468" s="2327"/>
      <c r="M468" s="2327"/>
      <c r="N468" s="2327"/>
      <c r="O468" s="2327"/>
      <c r="P468" s="2327"/>
      <c r="Q468" s="2327"/>
      <c r="R468" s="2327"/>
      <c r="S468" s="2327"/>
      <c r="T468" s="2327"/>
      <c r="U468" s="2327"/>
      <c r="V468" s="2328"/>
      <c r="W468" s="2194">
        <v>0</v>
      </c>
      <c r="X468" s="2195"/>
      <c r="Y468" s="21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26" t="s">
        <v>725</v>
      </c>
      <c r="E469" s="2327"/>
      <c r="F469" s="2327"/>
      <c r="G469" s="2327"/>
      <c r="H469" s="2327"/>
      <c r="I469" s="2327"/>
      <c r="J469" s="2327"/>
      <c r="K469" s="2327"/>
      <c r="L469" s="2327"/>
      <c r="M469" s="2327"/>
      <c r="N469" s="2327"/>
      <c r="O469" s="2327"/>
      <c r="P469" s="2327"/>
      <c r="Q469" s="2327"/>
      <c r="R469" s="2327"/>
      <c r="S469" s="2327"/>
      <c r="T469" s="2327"/>
      <c r="U469" s="2327"/>
      <c r="V469" s="2328"/>
      <c r="W469" s="2194">
        <v>0</v>
      </c>
      <c r="X469" s="2195"/>
      <c r="Y469" s="21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26" t="s">
        <v>1089</v>
      </c>
      <c r="E470" s="2327"/>
      <c r="F470" s="2327"/>
      <c r="G470" s="2327"/>
      <c r="H470" s="2327"/>
      <c r="I470" s="2327"/>
      <c r="J470" s="2327"/>
      <c r="K470" s="2327"/>
      <c r="L470" s="2327"/>
      <c r="M470" s="2327"/>
      <c r="N470" s="2327"/>
      <c r="O470" s="2327"/>
      <c r="P470" s="2327"/>
      <c r="Q470" s="2327"/>
      <c r="R470" s="2327"/>
      <c r="S470" s="2327"/>
      <c r="T470" s="2327"/>
      <c r="U470" s="2327"/>
      <c r="V470" s="2328"/>
      <c r="W470" s="2194">
        <v>0</v>
      </c>
      <c r="X470" s="2195"/>
      <c r="Y470" s="21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401" t="s">
        <v>1867</v>
      </c>
      <c r="E471" s="2327"/>
      <c r="F471" s="2327"/>
      <c r="G471" s="2327"/>
      <c r="H471" s="2327"/>
      <c r="I471" s="2327"/>
      <c r="J471" s="2327"/>
      <c r="K471" s="2327"/>
      <c r="L471" s="2327"/>
      <c r="M471" s="2327"/>
      <c r="N471" s="2327"/>
      <c r="O471" s="2327"/>
      <c r="P471" s="2327"/>
      <c r="Q471" s="2327"/>
      <c r="R471" s="2327"/>
      <c r="S471" s="2327"/>
      <c r="T471" s="2327"/>
      <c r="U471" s="2327"/>
      <c r="V471" s="2328"/>
      <c r="W471" s="2194">
        <v>0</v>
      </c>
      <c r="X471" s="2195"/>
      <c r="Y471" s="21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398"/>
      <c r="H472" s="2399"/>
      <c r="I472" s="2399"/>
      <c r="J472" s="2399"/>
      <c r="K472" s="2399"/>
      <c r="L472" s="2399"/>
      <c r="M472" s="2399"/>
      <c r="N472" s="2399"/>
      <c r="O472" s="2399"/>
      <c r="P472" s="2399"/>
      <c r="Q472" s="2399"/>
      <c r="R472" s="2399"/>
      <c r="S472" s="2399"/>
      <c r="T472" s="2399"/>
      <c r="U472" s="2399"/>
      <c r="V472" s="2400"/>
      <c r="W472" s="2194">
        <v>0</v>
      </c>
      <c r="X472" s="2195"/>
      <c r="Y472" s="21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5" t="s">
        <v>853</v>
      </c>
      <c r="B478" s="2135"/>
      <c r="C478" s="2135"/>
      <c r="D478" s="2135"/>
      <c r="E478" s="2135"/>
      <c r="F478" s="2135"/>
      <c r="G478" s="2135"/>
      <c r="H478" s="2135"/>
      <c r="I478" s="2135"/>
      <c r="J478" s="2135"/>
      <c r="K478" s="2135"/>
      <c r="L478" s="2135"/>
      <c r="M478" s="2135"/>
      <c r="N478" s="2135"/>
      <c r="O478" s="2135"/>
      <c r="P478" s="2135"/>
      <c r="Q478" s="2135"/>
      <c r="R478" s="2135"/>
      <c r="S478" s="2135"/>
      <c r="T478" s="2135"/>
      <c r="U478" s="2135"/>
      <c r="V478" s="2135"/>
      <c r="W478" s="2135"/>
      <c r="X478" s="2135"/>
      <c r="Y478" s="2135"/>
      <c r="Z478" s="2135"/>
      <c r="AA478" s="2135"/>
      <c r="AB478" s="2135"/>
      <c r="AC478" s="2135"/>
      <c r="AD478" s="2135"/>
      <c r="AE478" s="2135"/>
      <c r="AF478" s="2135"/>
      <c r="AG478" s="2135"/>
      <c r="AH478" s="2135"/>
      <c r="AI478" s="2135"/>
      <c r="AJ478" s="2135"/>
      <c r="AK478" s="2135"/>
      <c r="AL478" s="213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6"/>
      <c r="B479" s="2136"/>
      <c r="C479" s="2136"/>
      <c r="D479" s="2136"/>
      <c r="E479" s="2136"/>
      <c r="F479" s="2136"/>
      <c r="G479" s="2136"/>
      <c r="H479" s="2136"/>
      <c r="I479" s="2136"/>
      <c r="J479" s="2136"/>
      <c r="K479" s="2136"/>
      <c r="L479" s="2136"/>
      <c r="M479" s="2136"/>
      <c r="N479" s="2136"/>
      <c r="O479" s="2136"/>
      <c r="P479" s="2136"/>
      <c r="Q479" s="2136"/>
      <c r="R479" s="2136"/>
      <c r="S479" s="2136"/>
      <c r="T479" s="2136"/>
      <c r="U479" s="2136"/>
      <c r="V479" s="2136"/>
      <c r="W479" s="2136"/>
      <c r="X479" s="2136"/>
      <c r="Y479" s="2136"/>
      <c r="Z479" s="2136"/>
      <c r="AA479" s="2136"/>
      <c r="AB479" s="2136"/>
      <c r="AC479" s="2136"/>
      <c r="AD479" s="2136"/>
      <c r="AE479" s="2136"/>
      <c r="AF479" s="2136"/>
      <c r="AG479" s="2136"/>
      <c r="AH479" s="2136"/>
      <c r="AI479" s="2136"/>
      <c r="AJ479" s="2136"/>
      <c r="AK479" s="2136"/>
      <c r="AL479" s="213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287" t="s">
        <v>854</v>
      </c>
      <c r="U483" s="2288"/>
      <c r="V483" s="2288"/>
      <c r="W483" s="2288"/>
      <c r="X483" s="2288"/>
      <c r="Y483" s="2288"/>
      <c r="Z483" s="2288"/>
      <c r="AA483" s="2288"/>
      <c r="AB483" s="2288"/>
      <c r="AC483" s="2288"/>
      <c r="AD483" s="2288"/>
      <c r="AE483" s="2288"/>
      <c r="AF483" s="2288"/>
      <c r="AG483" s="2288"/>
      <c r="AH483" s="23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353" t="s">
        <v>36</v>
      </c>
      <c r="U484" s="2353"/>
      <c r="V484" s="2353"/>
      <c r="W484" s="2353"/>
      <c r="X484" s="2353"/>
      <c r="Y484" s="2353" t="s">
        <v>37</v>
      </c>
      <c r="Z484" s="2353"/>
      <c r="AA484" s="2353"/>
      <c r="AB484" s="2353"/>
      <c r="AC484" s="2353"/>
      <c r="AD484" s="2353" t="s">
        <v>345</v>
      </c>
      <c r="AE484" s="2353"/>
      <c r="AF484" s="2353"/>
      <c r="AG484" s="2353"/>
      <c r="AH484" s="235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353"/>
      <c r="U485" s="2353"/>
      <c r="V485" s="2353"/>
      <c r="W485" s="2353"/>
      <c r="X485" s="2353"/>
      <c r="Y485" s="2353"/>
      <c r="Z485" s="2353"/>
      <c r="AA485" s="2353"/>
      <c r="AB485" s="2353"/>
      <c r="AC485" s="2353"/>
      <c r="AD485" s="2353"/>
      <c r="AE485" s="2353"/>
      <c r="AF485" s="2353"/>
      <c r="AG485" s="2353"/>
      <c r="AH485" s="235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286">
        <v>0</v>
      </c>
      <c r="U486" s="2286"/>
      <c r="V486" s="2286"/>
      <c r="W486" s="2286"/>
      <c r="X486" s="2286"/>
      <c r="Y486" s="2286">
        <v>0</v>
      </c>
      <c r="Z486" s="2286"/>
      <c r="AA486" s="2286"/>
      <c r="AB486" s="2286"/>
      <c r="AC486" s="2286"/>
      <c r="AD486" s="2286">
        <v>0</v>
      </c>
      <c r="AE486" s="2286"/>
      <c r="AF486" s="2286"/>
      <c r="AG486" s="2286"/>
      <c r="AH486" s="228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286">
        <v>0</v>
      </c>
      <c r="U487" s="2286"/>
      <c r="V487" s="2286"/>
      <c r="W487" s="2286"/>
      <c r="X487" s="2286"/>
      <c r="Y487" s="2286">
        <v>0</v>
      </c>
      <c r="Z487" s="2286"/>
      <c r="AA487" s="2286"/>
      <c r="AB487" s="2286"/>
      <c r="AC487" s="2286"/>
      <c r="AD487" s="2286">
        <v>0</v>
      </c>
      <c r="AE487" s="2286"/>
      <c r="AF487" s="2286"/>
      <c r="AG487" s="2286"/>
      <c r="AH487" s="228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286">
        <v>0</v>
      </c>
      <c r="U488" s="2286"/>
      <c r="V488" s="2286"/>
      <c r="W488" s="2286"/>
      <c r="X488" s="2286"/>
      <c r="Y488" s="2286">
        <v>0</v>
      </c>
      <c r="Z488" s="2286"/>
      <c r="AA488" s="2286"/>
      <c r="AB488" s="2286"/>
      <c r="AC488" s="2286"/>
      <c r="AD488" s="2286">
        <v>0</v>
      </c>
      <c r="AE488" s="2286"/>
      <c r="AF488" s="2286"/>
      <c r="AG488" s="2286"/>
      <c r="AH488" s="228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286">
        <v>0</v>
      </c>
      <c r="U489" s="2286"/>
      <c r="V489" s="2286"/>
      <c r="W489" s="2286"/>
      <c r="X489" s="2286"/>
      <c r="Y489" s="2286">
        <v>0</v>
      </c>
      <c r="Z489" s="2286"/>
      <c r="AA489" s="2286"/>
      <c r="AB489" s="2286"/>
      <c r="AC489" s="2286"/>
      <c r="AD489" s="2286">
        <v>0</v>
      </c>
      <c r="AE489" s="2286"/>
      <c r="AF489" s="2286"/>
      <c r="AG489" s="2286"/>
      <c r="AH489" s="228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286">
        <v>0</v>
      </c>
      <c r="U490" s="2286"/>
      <c r="V490" s="2286"/>
      <c r="W490" s="2286"/>
      <c r="X490" s="2286"/>
      <c r="Y490" s="2286">
        <v>0</v>
      </c>
      <c r="Z490" s="2286"/>
      <c r="AA490" s="2286"/>
      <c r="AB490" s="2286"/>
      <c r="AC490" s="2286"/>
      <c r="AD490" s="2286">
        <v>0</v>
      </c>
      <c r="AE490" s="2286"/>
      <c r="AF490" s="2286"/>
      <c r="AG490" s="2286"/>
      <c r="AH490" s="228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286">
        <v>0</v>
      </c>
      <c r="U491" s="2286"/>
      <c r="V491" s="2286"/>
      <c r="W491" s="2286"/>
      <c r="X491" s="2286"/>
      <c r="Y491" s="2286">
        <v>0</v>
      </c>
      <c r="Z491" s="2286"/>
      <c r="AA491" s="2286"/>
      <c r="AB491" s="2286"/>
      <c r="AC491" s="2286"/>
      <c r="AD491" s="2286">
        <v>0</v>
      </c>
      <c r="AE491" s="2286"/>
      <c r="AF491" s="2286"/>
      <c r="AG491" s="2286"/>
      <c r="AH491" s="228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286">
        <v>44314</v>
      </c>
      <c r="U492" s="2286"/>
      <c r="V492" s="2286"/>
      <c r="W492" s="2286"/>
      <c r="X492" s="2286"/>
      <c r="Y492" s="2286">
        <v>0</v>
      </c>
      <c r="Z492" s="2286"/>
      <c r="AA492" s="2286"/>
      <c r="AB492" s="2286"/>
      <c r="AC492" s="2286"/>
      <c r="AD492" s="2286">
        <v>44627</v>
      </c>
      <c r="AE492" s="2286"/>
      <c r="AF492" s="2286"/>
      <c r="AG492" s="2286"/>
      <c r="AH492" s="228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286">
        <v>0</v>
      </c>
      <c r="U493" s="2286"/>
      <c r="V493" s="2286"/>
      <c r="W493" s="2286"/>
      <c r="X493" s="2286"/>
      <c r="Y493" s="2286">
        <v>0</v>
      </c>
      <c r="Z493" s="2286"/>
      <c r="AA493" s="2286"/>
      <c r="AB493" s="2286"/>
      <c r="AC493" s="2286"/>
      <c r="AD493" s="2286">
        <v>0</v>
      </c>
      <c r="AE493" s="2286"/>
      <c r="AF493" s="2286"/>
      <c r="AG493" s="2286"/>
      <c r="AH493" s="228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286">
        <v>0</v>
      </c>
      <c r="U494" s="2286"/>
      <c r="V494" s="2286"/>
      <c r="W494" s="2286"/>
      <c r="X494" s="2286"/>
      <c r="Y494" s="2286">
        <v>0</v>
      </c>
      <c r="Z494" s="2286"/>
      <c r="AA494" s="2286"/>
      <c r="AB494" s="2286"/>
      <c r="AC494" s="2286"/>
      <c r="AD494" s="2286">
        <v>0</v>
      </c>
      <c r="AE494" s="2286"/>
      <c r="AF494" s="2286"/>
      <c r="AG494" s="2286"/>
      <c r="AH494" s="228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286">
        <v>0</v>
      </c>
      <c r="U495" s="2286"/>
      <c r="V495" s="2286"/>
      <c r="W495" s="2286"/>
      <c r="X495" s="2286"/>
      <c r="Y495" s="2286">
        <v>0</v>
      </c>
      <c r="Z495" s="2286"/>
      <c r="AA495" s="2286"/>
      <c r="AB495" s="2286"/>
      <c r="AC495" s="2286"/>
      <c r="AD495" s="2286">
        <v>0</v>
      </c>
      <c r="AE495" s="2286"/>
      <c r="AF495" s="2286"/>
      <c r="AG495" s="2286"/>
      <c r="AH495" s="228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379" t="s">
        <v>410</v>
      </c>
      <c r="R497" s="2380"/>
      <c r="S497" s="2380"/>
      <c r="T497" s="2380"/>
      <c r="U497" s="2380"/>
      <c r="V497" s="2380"/>
      <c r="W497" s="2380"/>
      <c r="X497" s="2380"/>
      <c r="Y497" s="2380"/>
      <c r="Z497" s="2380"/>
      <c r="AA497" s="2380"/>
      <c r="AB497" s="2380"/>
      <c r="AC497" s="2380"/>
      <c r="AD497" s="2380"/>
      <c r="AE497" s="2380"/>
      <c r="AF497" s="2380"/>
      <c r="AG497" s="2380"/>
      <c r="AH497" s="2380"/>
      <c r="AI497" s="2380"/>
      <c r="AJ497" s="2380"/>
      <c r="AK497" s="23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331" t="s">
        <v>2559</v>
      </c>
      <c r="R498" s="1877"/>
      <c r="S498" s="1877"/>
      <c r="T498" s="1877"/>
      <c r="U498" s="1877"/>
      <c r="V498" s="1877"/>
      <c r="W498" s="1877"/>
      <c r="X498" s="1877"/>
      <c r="Y498" s="1877"/>
      <c r="Z498" s="1877"/>
      <c r="AA498" s="1877"/>
      <c r="AB498" s="1877"/>
      <c r="AC498" s="1877"/>
      <c r="AD498" s="1877"/>
      <c r="AE498" s="1877"/>
      <c r="AF498" s="1877"/>
      <c r="AG498" s="1877"/>
      <c r="AH498" s="1877"/>
      <c r="AI498" s="1877"/>
      <c r="AJ498" s="1877"/>
      <c r="AK498" s="222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331" t="s">
        <v>2560</v>
      </c>
      <c r="R499" s="1877"/>
      <c r="S499" s="1877"/>
      <c r="T499" s="1877"/>
      <c r="U499" s="1877"/>
      <c r="V499" s="1877"/>
      <c r="W499" s="1877"/>
      <c r="X499" s="1877"/>
      <c r="Y499" s="1877"/>
      <c r="Z499" s="1877"/>
      <c r="AA499" s="1877"/>
      <c r="AB499" s="1877"/>
      <c r="AC499" s="1877"/>
      <c r="AD499" s="1877"/>
      <c r="AE499" s="1877"/>
      <c r="AF499" s="1877"/>
      <c r="AG499" s="1877"/>
      <c r="AH499" s="1877"/>
      <c r="AI499" s="1877"/>
      <c r="AJ499" s="1877"/>
      <c r="AK499" s="222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331" t="s">
        <v>2561</v>
      </c>
      <c r="R500" s="1877"/>
      <c r="S500" s="1877"/>
      <c r="T500" s="1877"/>
      <c r="U500" s="1877"/>
      <c r="V500" s="1877"/>
      <c r="W500" s="1877"/>
      <c r="X500" s="1877"/>
      <c r="Y500" s="1877"/>
      <c r="Z500" s="1877"/>
      <c r="AA500" s="1877"/>
      <c r="AB500" s="1877"/>
      <c r="AC500" s="1877"/>
      <c r="AD500" s="1877"/>
      <c r="AE500" s="1877"/>
      <c r="AF500" s="1877"/>
      <c r="AG500" s="1877"/>
      <c r="AH500" s="1877"/>
      <c r="AI500" s="1877"/>
      <c r="AJ500" s="1877"/>
      <c r="AK500" s="222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385" t="s">
        <v>414</v>
      </c>
      <c r="C501" s="2386"/>
      <c r="D501" s="2386"/>
      <c r="E501" s="2386"/>
      <c r="F501" s="2386"/>
      <c r="G501" s="2386"/>
      <c r="H501" s="2386"/>
      <c r="I501" s="2386"/>
      <c r="J501" s="2386"/>
      <c r="K501" s="2386"/>
      <c r="L501" s="2386"/>
      <c r="M501" s="2386"/>
      <c r="N501" s="2386"/>
      <c r="O501" s="2386"/>
      <c r="P501" s="2387"/>
      <c r="Q501" s="2391" t="s">
        <v>696</v>
      </c>
      <c r="R501" s="2392"/>
      <c r="S501" s="2138" t="s">
        <v>171</v>
      </c>
      <c r="T501" s="2139"/>
      <c r="U501" s="2139"/>
      <c r="V501" s="2139"/>
      <c r="W501" s="2139"/>
      <c r="X501" s="2139"/>
      <c r="Y501" s="2139"/>
      <c r="Z501" s="2139"/>
      <c r="AA501" s="2139"/>
      <c r="AB501" s="2139"/>
      <c r="AC501" s="2139"/>
      <c r="AD501" s="2139"/>
      <c r="AE501" s="2139"/>
      <c r="AF501" s="2139"/>
      <c r="AG501" s="2139"/>
      <c r="AH501" s="2139"/>
      <c r="AI501" s="2139"/>
      <c r="AJ501" s="2139"/>
      <c r="AK501" s="214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388"/>
      <c r="C502" s="2389"/>
      <c r="D502" s="2389"/>
      <c r="E502" s="2389"/>
      <c r="F502" s="2389"/>
      <c r="G502" s="2389"/>
      <c r="H502" s="2389"/>
      <c r="I502" s="2389"/>
      <c r="J502" s="2389"/>
      <c r="K502" s="2389"/>
      <c r="L502" s="2389"/>
      <c r="M502" s="2389"/>
      <c r="N502" s="2389"/>
      <c r="O502" s="2389"/>
      <c r="P502" s="2390"/>
      <c r="Q502" s="2393"/>
      <c r="R502" s="2394"/>
      <c r="S502" s="2141"/>
      <c r="T502" s="2142"/>
      <c r="U502" s="2142"/>
      <c r="V502" s="2142"/>
      <c r="W502" s="2142"/>
      <c r="X502" s="2142"/>
      <c r="Y502" s="2142"/>
      <c r="Z502" s="2142"/>
      <c r="AA502" s="2142"/>
      <c r="AB502" s="2142"/>
      <c r="AC502" s="2142"/>
      <c r="AD502" s="2142"/>
      <c r="AE502" s="2142"/>
      <c r="AF502" s="2142"/>
      <c r="AG502" s="2142"/>
      <c r="AH502" s="2142"/>
      <c r="AI502" s="2142"/>
      <c r="AJ502" s="2142"/>
      <c r="AK502" s="214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946" t="s">
        <v>1886</v>
      </c>
      <c r="C503" s="928"/>
      <c r="D503" s="928"/>
      <c r="E503" s="928"/>
      <c r="F503" s="928"/>
      <c r="G503" s="928"/>
      <c r="H503" s="928"/>
      <c r="I503" s="928"/>
      <c r="J503" s="928"/>
      <c r="K503" s="928"/>
      <c r="L503" s="928"/>
      <c r="M503" s="928"/>
      <c r="N503" s="928"/>
      <c r="O503" s="928"/>
      <c r="P503" s="928"/>
      <c r="Q503" s="2407" t="s">
        <v>696</v>
      </c>
      <c r="R503" s="2408"/>
      <c r="S503" s="2408"/>
      <c r="T503" s="2408"/>
      <c r="U503" s="2408"/>
      <c r="V503" s="2408"/>
      <c r="W503" s="2408"/>
      <c r="X503" s="2408"/>
      <c r="Y503" s="2408"/>
      <c r="Z503" s="2408"/>
      <c r="AA503" s="2408"/>
      <c r="AB503" s="2408"/>
      <c r="AC503" s="2408"/>
      <c r="AD503" s="2408"/>
      <c r="AE503" s="2408"/>
      <c r="AF503" s="2408"/>
      <c r="AG503" s="2408"/>
      <c r="AH503" s="2408"/>
      <c r="AI503" s="2408"/>
      <c r="AJ503" s="2408"/>
      <c r="AK503" s="240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331" t="s">
        <v>2562</v>
      </c>
      <c r="R504" s="1877"/>
      <c r="S504" s="1877"/>
      <c r="T504" s="1877"/>
      <c r="U504" s="1877"/>
      <c r="V504" s="1877"/>
      <c r="W504" s="1877"/>
      <c r="X504" s="1877"/>
      <c r="Y504" s="1877"/>
      <c r="Z504" s="1877"/>
      <c r="AA504" s="1877"/>
      <c r="AB504" s="1877"/>
      <c r="AC504" s="1877"/>
      <c r="AD504" s="1877"/>
      <c r="AE504" s="1877"/>
      <c r="AF504" s="1877"/>
      <c r="AG504" s="1877"/>
      <c r="AH504" s="1877"/>
      <c r="AI504" s="1877"/>
      <c r="AJ504" s="1877"/>
      <c r="AK504" s="222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331" t="s">
        <v>2563</v>
      </c>
      <c r="R505" s="1877"/>
      <c r="S505" s="1877"/>
      <c r="T505" s="1877"/>
      <c r="U505" s="1877"/>
      <c r="V505" s="1877"/>
      <c r="W505" s="1877"/>
      <c r="X505" s="1877"/>
      <c r="Y505" s="1877"/>
      <c r="Z505" s="1877"/>
      <c r="AA505" s="1877"/>
      <c r="AB505" s="1877"/>
      <c r="AC505" s="1877"/>
      <c r="AD505" s="1877"/>
      <c r="AE505" s="1877"/>
      <c r="AF505" s="1877"/>
      <c r="AG505" s="1877"/>
      <c r="AH505" s="1877"/>
      <c r="AI505" s="1877"/>
      <c r="AJ505" s="1877"/>
      <c r="AK505" s="222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1883</v>
      </c>
      <c r="C506" s="77"/>
      <c r="D506" s="77"/>
      <c r="E506" s="77"/>
      <c r="F506" s="77"/>
      <c r="G506" s="77"/>
      <c r="H506" s="77"/>
      <c r="I506" s="77"/>
      <c r="J506" s="77"/>
      <c r="K506" s="77"/>
      <c r="L506" s="77"/>
      <c r="M506" s="77"/>
      <c r="N506" s="77"/>
      <c r="O506" s="77"/>
      <c r="P506" s="77"/>
      <c r="Q506" s="2228">
        <v>172</v>
      </c>
      <c r="R506" s="1877"/>
      <c r="S506" s="1877"/>
      <c r="T506" s="1877"/>
      <c r="U506" s="1877"/>
      <c r="V506" s="1877"/>
      <c r="W506" s="1877"/>
      <c r="X506" s="1877"/>
      <c r="Y506" s="1877"/>
      <c r="Z506" s="1877"/>
      <c r="AA506" s="1877"/>
      <c r="AB506" s="1877"/>
      <c r="AC506" s="1877"/>
      <c r="AD506" s="1877"/>
      <c r="AE506" s="1877"/>
      <c r="AF506" s="1877"/>
      <c r="AG506" s="1877"/>
      <c r="AH506" s="1877"/>
      <c r="AI506" s="1877"/>
      <c r="AJ506" s="1877"/>
      <c r="AK506" s="222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1884</v>
      </c>
      <c r="C507" s="77"/>
      <c r="D507" s="77"/>
      <c r="E507" s="77"/>
      <c r="F507" s="77"/>
      <c r="G507" s="77"/>
      <c r="H507" s="77"/>
      <c r="I507" s="77"/>
      <c r="J507" s="77"/>
      <c r="K507" s="77"/>
      <c r="L507" s="77"/>
      <c r="M507" s="1913"/>
      <c r="N507" s="1914"/>
      <c r="O507" s="1914"/>
      <c r="P507" s="1915"/>
      <c r="Q507" s="944" t="s">
        <v>1885</v>
      </c>
      <c r="R507" s="945"/>
      <c r="S507" s="945"/>
      <c r="T507" s="945"/>
      <c r="U507" s="945"/>
      <c r="V507" s="945"/>
      <c r="W507" s="945"/>
      <c r="X507" s="945"/>
      <c r="Y507" s="945"/>
      <c r="Z507" s="945"/>
      <c r="AA507" s="945"/>
      <c r="AB507" s="945"/>
      <c r="AC507" s="945"/>
      <c r="AD507" s="945"/>
      <c r="AE507" s="945"/>
      <c r="AF507" s="945"/>
      <c r="AG507" s="945"/>
      <c r="AH507" s="1913">
        <v>172</v>
      </c>
      <c r="AI507" s="1914"/>
      <c r="AJ507" s="1914"/>
      <c r="AK507" s="19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79" t="s">
        <v>418</v>
      </c>
      <c r="AD511" s="2380"/>
      <c r="AE511" s="2380"/>
      <c r="AF511" s="2380"/>
      <c r="AG511" s="2380"/>
      <c r="AH511" s="2380"/>
      <c r="AI511" s="2380"/>
      <c r="AJ511" s="2380"/>
      <c r="AK511" s="23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287" t="s">
        <v>419</v>
      </c>
      <c r="AD512" s="2288"/>
      <c r="AE512" s="2288"/>
      <c r="AF512" s="2288"/>
      <c r="AG512" s="82" t="s">
        <v>420</v>
      </c>
      <c r="AH512" s="2288" t="s">
        <v>421</v>
      </c>
      <c r="AI512" s="2288"/>
      <c r="AJ512" s="2288"/>
      <c r="AK512" s="23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55" t="s">
        <v>422</v>
      </c>
      <c r="C513" s="2356"/>
      <c r="D513" s="2356"/>
      <c r="E513" s="2356"/>
      <c r="F513" s="2356"/>
      <c r="G513" s="2356"/>
      <c r="H513" s="2357"/>
      <c r="I513" s="72" t="s">
        <v>423</v>
      </c>
      <c r="J513" s="72"/>
      <c r="K513" s="72"/>
      <c r="L513" s="72"/>
      <c r="M513" s="72"/>
      <c r="N513" s="72"/>
      <c r="O513" s="72"/>
      <c r="P513" s="72"/>
      <c r="Q513" s="72"/>
      <c r="R513" s="72"/>
      <c r="S513" s="72"/>
      <c r="T513" s="72"/>
      <c r="U513" s="72"/>
      <c r="V513" s="72"/>
      <c r="W513" s="72"/>
      <c r="X513" s="25"/>
      <c r="Y513" s="25"/>
      <c r="AC513" s="2345">
        <v>3</v>
      </c>
      <c r="AD513" s="2207"/>
      <c r="AE513" s="2207"/>
      <c r="AF513" s="2207"/>
      <c r="AG513" s="75" t="s">
        <v>420</v>
      </c>
      <c r="AH513" s="2032">
        <v>2022</v>
      </c>
      <c r="AI513" s="2032"/>
      <c r="AJ513" s="2032"/>
      <c r="AK513" s="20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58"/>
      <c r="C514" s="2359"/>
      <c r="D514" s="2359"/>
      <c r="E514" s="2359"/>
      <c r="F514" s="2359"/>
      <c r="G514" s="2359"/>
      <c r="H514" s="2360"/>
      <c r="I514" s="80" t="s">
        <v>424</v>
      </c>
      <c r="J514" s="80"/>
      <c r="K514" s="80"/>
      <c r="L514" s="80"/>
      <c r="M514" s="80"/>
      <c r="N514" s="80"/>
      <c r="O514" s="80"/>
      <c r="P514" s="80"/>
      <c r="Q514" s="80"/>
      <c r="R514" s="80"/>
      <c r="S514" s="80"/>
      <c r="T514" s="80"/>
      <c r="U514" s="80"/>
      <c r="V514" s="80"/>
      <c r="W514" s="80"/>
      <c r="X514" s="80"/>
      <c r="Y514" s="80"/>
      <c r="Z514" s="80"/>
      <c r="AA514" s="80"/>
      <c r="AB514" s="80"/>
      <c r="AC514" s="2345">
        <v>9</v>
      </c>
      <c r="AD514" s="2207"/>
      <c r="AE514" s="2207"/>
      <c r="AF514" s="2207"/>
      <c r="AG514" s="65" t="s">
        <v>420</v>
      </c>
      <c r="AH514" s="2032">
        <v>2022</v>
      </c>
      <c r="AI514" s="2032"/>
      <c r="AJ514" s="2032"/>
      <c r="AK514" s="20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55" t="s">
        <v>425</v>
      </c>
      <c r="C515" s="2356"/>
      <c r="D515" s="2356"/>
      <c r="E515" s="2356"/>
      <c r="F515" s="2356"/>
      <c r="G515" s="2356"/>
      <c r="H515" s="2357"/>
      <c r="I515" s="72" t="s">
        <v>426</v>
      </c>
      <c r="J515" s="72"/>
      <c r="K515" s="72"/>
      <c r="L515" s="72"/>
      <c r="M515" s="72"/>
      <c r="N515" s="72"/>
      <c r="O515" s="72"/>
      <c r="P515" s="72"/>
      <c r="Q515" s="72"/>
      <c r="R515" s="72"/>
      <c r="S515" s="72"/>
      <c r="T515" s="72"/>
      <c r="U515" s="72"/>
      <c r="V515" s="72"/>
      <c r="W515" s="72"/>
      <c r="X515" s="25"/>
      <c r="Y515" s="25"/>
      <c r="AC515" s="2345" t="s">
        <v>618</v>
      </c>
      <c r="AD515" s="2207"/>
      <c r="AE515" s="2207"/>
      <c r="AF515" s="2207"/>
      <c r="AG515" s="75" t="s">
        <v>420</v>
      </c>
      <c r="AH515" s="2032"/>
      <c r="AI515" s="2032"/>
      <c r="AJ515" s="2032"/>
      <c r="AK515" s="20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58"/>
      <c r="C516" s="2359"/>
      <c r="D516" s="2359"/>
      <c r="E516" s="2359"/>
      <c r="F516" s="2359"/>
      <c r="G516" s="2359"/>
      <c r="H516" s="2360"/>
      <c r="I516" s="25" t="s">
        <v>427</v>
      </c>
      <c r="J516" s="25"/>
      <c r="K516" s="25"/>
      <c r="L516" s="25"/>
      <c r="M516" s="25"/>
      <c r="N516" s="25"/>
      <c r="O516" s="25"/>
      <c r="P516" s="25"/>
      <c r="Q516" s="25"/>
      <c r="R516" s="25"/>
      <c r="S516" s="25"/>
      <c r="T516" s="25"/>
      <c r="U516" s="25"/>
      <c r="V516" s="25"/>
      <c r="W516" s="25"/>
      <c r="X516" s="25"/>
      <c r="Y516" s="25"/>
      <c r="AC516" s="2345" t="s">
        <v>618</v>
      </c>
      <c r="AD516" s="2207"/>
      <c r="AE516" s="2207"/>
      <c r="AF516" s="2207"/>
      <c r="AG516" s="75" t="s">
        <v>420</v>
      </c>
      <c r="AH516" s="2032"/>
      <c r="AI516" s="2032"/>
      <c r="AJ516" s="2032"/>
      <c r="AK516" s="20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58"/>
      <c r="C517" s="2359"/>
      <c r="D517" s="2359"/>
      <c r="E517" s="2359"/>
      <c r="F517" s="2359"/>
      <c r="G517" s="2359"/>
      <c r="H517" s="2360"/>
      <c r="I517" s="25" t="s">
        <v>428</v>
      </c>
      <c r="J517" s="25"/>
      <c r="K517" s="25"/>
      <c r="L517" s="25"/>
      <c r="M517" s="25"/>
      <c r="N517" s="25"/>
      <c r="O517" s="25"/>
      <c r="P517" s="25"/>
      <c r="Q517" s="25"/>
      <c r="R517" s="25"/>
      <c r="S517" s="25"/>
      <c r="T517" s="25"/>
      <c r="U517" s="25"/>
      <c r="V517" s="25"/>
      <c r="W517" s="25"/>
      <c r="X517" s="25"/>
      <c r="Y517" s="25"/>
      <c r="AC517" s="2345">
        <v>3</v>
      </c>
      <c r="AD517" s="2207"/>
      <c r="AE517" s="2207"/>
      <c r="AF517" s="2207"/>
      <c r="AG517" s="75" t="s">
        <v>420</v>
      </c>
      <c r="AH517" s="2032">
        <v>2022</v>
      </c>
      <c r="AI517" s="2032"/>
      <c r="AJ517" s="2032"/>
      <c r="AK517" s="20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58"/>
      <c r="C518" s="2359"/>
      <c r="D518" s="2359"/>
      <c r="E518" s="2359"/>
      <c r="F518" s="2359"/>
      <c r="G518" s="2359"/>
      <c r="H518" s="2360"/>
      <c r="I518" s="25" t="s">
        <v>429</v>
      </c>
      <c r="J518" s="25"/>
      <c r="K518" s="25"/>
      <c r="L518" s="25"/>
      <c r="M518" s="25"/>
      <c r="N518" s="25"/>
      <c r="O518" s="25"/>
      <c r="P518" s="25"/>
      <c r="Q518" s="25"/>
      <c r="R518" s="25"/>
      <c r="S518" s="25"/>
      <c r="T518" s="25"/>
      <c r="U518" s="25"/>
      <c r="V518" s="25"/>
      <c r="W518" s="25"/>
      <c r="X518" s="25"/>
      <c r="Y518" s="25"/>
      <c r="AC518" s="2345" t="s">
        <v>618</v>
      </c>
      <c r="AD518" s="2207"/>
      <c r="AE518" s="2207"/>
      <c r="AF518" s="2207"/>
      <c r="AG518" s="75" t="s">
        <v>420</v>
      </c>
      <c r="AH518" s="2032"/>
      <c r="AI518" s="2032"/>
      <c r="AJ518" s="2032"/>
      <c r="AK518" s="20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58"/>
      <c r="C519" s="2359"/>
      <c r="D519" s="2359"/>
      <c r="E519" s="2359"/>
      <c r="F519" s="2359"/>
      <c r="G519" s="2359"/>
      <c r="H519" s="2360"/>
      <c r="I519" s="177" t="s">
        <v>430</v>
      </c>
      <c r="J519" s="25"/>
      <c r="K519" s="25"/>
      <c r="L519" s="25"/>
      <c r="M519" s="25"/>
      <c r="N519" s="25"/>
      <c r="O519" s="25"/>
      <c r="P519" s="25"/>
      <c r="Q519" s="25"/>
      <c r="R519" s="25"/>
      <c r="S519" s="25"/>
      <c r="T519" s="25"/>
      <c r="U519" s="25"/>
      <c r="V519" s="25"/>
      <c r="W519" s="25"/>
      <c r="X519" s="25"/>
      <c r="Y519" s="25"/>
      <c r="AC519" s="1857" t="s">
        <v>618</v>
      </c>
      <c r="AD519" s="1858"/>
      <c r="AE519" s="1858"/>
      <c r="AF519" s="1858"/>
      <c r="AG519" s="75" t="s">
        <v>420</v>
      </c>
      <c r="AH519" s="2032"/>
      <c r="AI519" s="2032"/>
      <c r="AJ519" s="2032"/>
      <c r="AK519" s="20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58"/>
      <c r="C520" s="2359"/>
      <c r="D520" s="2359"/>
      <c r="E520" s="2359"/>
      <c r="F520" s="2359"/>
      <c r="G520" s="2359"/>
      <c r="H520" s="2360"/>
      <c r="I520" s="947" t="s">
        <v>175</v>
      </c>
      <c r="J520" s="80"/>
      <c r="K520" s="80"/>
      <c r="L520" s="2395" t="s">
        <v>340</v>
      </c>
      <c r="M520" s="2351"/>
      <c r="N520" s="2351"/>
      <c r="O520" s="2351"/>
      <c r="P520" s="2351"/>
      <c r="Q520" s="2351"/>
      <c r="R520" s="2351"/>
      <c r="S520" s="2351"/>
      <c r="T520" s="2351"/>
      <c r="U520" s="2351"/>
      <c r="V520" s="2351"/>
      <c r="W520" s="2351"/>
      <c r="X520" s="2351"/>
      <c r="Y520" s="2351"/>
      <c r="Z520" s="2351"/>
      <c r="AA520" s="2351"/>
      <c r="AB520" s="2396"/>
      <c r="AC520" s="2345" t="s">
        <v>618</v>
      </c>
      <c r="AD520" s="2207"/>
      <c r="AE520" s="2207"/>
      <c r="AF520" s="2207"/>
      <c r="AG520" s="932" t="s">
        <v>420</v>
      </c>
      <c r="AH520" s="2032"/>
      <c r="AI520" s="2032"/>
      <c r="AJ520" s="2032"/>
      <c r="AK520" s="20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1890</v>
      </c>
      <c r="J521" s="25"/>
      <c r="K521" s="25"/>
      <c r="L521" s="25"/>
      <c r="M521" s="25"/>
      <c r="N521" s="25"/>
      <c r="O521" s="25"/>
      <c r="P521" s="25"/>
      <c r="Q521" s="25"/>
      <c r="R521" s="25"/>
      <c r="S521" s="25"/>
      <c r="T521" s="25"/>
      <c r="U521" s="25"/>
      <c r="V521" s="25"/>
      <c r="W521" s="25"/>
      <c r="X521" s="25"/>
      <c r="Y521" s="25"/>
      <c r="AC521" s="2340" t="s">
        <v>696</v>
      </c>
      <c r="AD521" s="2340"/>
      <c r="AE521" s="2340"/>
      <c r="AF521" s="2340"/>
      <c r="AG521" s="1091"/>
      <c r="AH521" s="2411"/>
      <c r="AI521" s="2411"/>
      <c r="AJ521" s="2411"/>
      <c r="AK521" s="241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923"/>
      <c r="C522" s="924"/>
      <c r="D522" s="924"/>
      <c r="E522" s="924"/>
      <c r="F522" s="924"/>
      <c r="G522" s="924"/>
      <c r="H522" s="925"/>
      <c r="I522" s="679" t="s">
        <v>1887</v>
      </c>
      <c r="J522" s="25"/>
      <c r="K522" s="25"/>
      <c r="L522" s="25"/>
      <c r="M522" s="25"/>
      <c r="N522" s="25"/>
      <c r="O522" s="25"/>
      <c r="P522" s="25"/>
      <c r="Q522" s="25"/>
      <c r="R522" s="25"/>
      <c r="S522" s="25"/>
      <c r="T522" s="25"/>
      <c r="U522" s="25"/>
      <c r="V522" s="25"/>
      <c r="W522" s="25"/>
      <c r="X522" s="25"/>
      <c r="Y522" s="25"/>
      <c r="AC522" s="1857"/>
      <c r="AD522" s="1858"/>
      <c r="AE522" s="1858"/>
      <c r="AF522" s="1859"/>
      <c r="AG522" s="1091"/>
      <c r="AH522" s="2411"/>
      <c r="AI522" s="2411"/>
      <c r="AJ522" s="2411"/>
      <c r="AK522" s="241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923"/>
      <c r="C523" s="924"/>
      <c r="D523" s="924"/>
      <c r="E523" s="924"/>
      <c r="F523" s="924"/>
      <c r="G523" s="924"/>
      <c r="H523" s="925"/>
      <c r="I523" s="679" t="s">
        <v>1888</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923"/>
      <c r="C524" s="924"/>
      <c r="D524" s="924"/>
      <c r="E524" s="924"/>
      <c r="F524" s="924"/>
      <c r="G524" s="924"/>
      <c r="H524" s="925"/>
      <c r="I524" s="948" t="s">
        <v>1889</v>
      </c>
      <c r="J524" s="80"/>
      <c r="K524" s="80"/>
      <c r="L524" s="80"/>
      <c r="M524" s="80"/>
      <c r="N524" s="80"/>
      <c r="O524" s="80"/>
      <c r="P524" s="80"/>
      <c r="Q524" s="80"/>
      <c r="R524" s="80"/>
      <c r="S524" s="80"/>
      <c r="T524" s="80"/>
      <c r="U524" s="80"/>
      <c r="V524" s="80"/>
      <c r="W524" s="80"/>
      <c r="X524" s="80"/>
      <c r="Y524" s="80"/>
      <c r="Z524" s="80"/>
      <c r="AA524" s="80"/>
      <c r="AB524" s="80"/>
      <c r="AC524" s="2413"/>
      <c r="AD524" s="2414"/>
      <c r="AE524" s="2414"/>
      <c r="AF524" s="2415"/>
      <c r="AG524" s="1092"/>
      <c r="AH524" s="2416"/>
      <c r="AI524" s="2416"/>
      <c r="AJ524" s="2416"/>
      <c r="AK524" s="241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2382" t="s">
        <v>419</v>
      </c>
      <c r="AD525" s="2383"/>
      <c r="AE525" s="2383"/>
      <c r="AF525" s="2383"/>
      <c r="AG525" s="1092" t="s">
        <v>420</v>
      </c>
      <c r="AH525" s="2383" t="s">
        <v>421</v>
      </c>
      <c r="AI525" s="2383"/>
      <c r="AJ525" s="2383"/>
      <c r="AK525" s="238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55" t="s">
        <v>431</v>
      </c>
      <c r="C526" s="2356"/>
      <c r="D526" s="2356"/>
      <c r="E526" s="2356"/>
      <c r="F526" s="2356"/>
      <c r="G526" s="2356"/>
      <c r="H526" s="2357"/>
      <c r="I526" s="72" t="s">
        <v>432</v>
      </c>
      <c r="J526" s="72"/>
      <c r="K526" s="72"/>
      <c r="L526" s="72"/>
      <c r="M526" s="72"/>
      <c r="N526" s="72"/>
      <c r="O526" s="72"/>
      <c r="P526" s="72"/>
      <c r="Q526" s="72"/>
      <c r="R526" s="72"/>
      <c r="S526" s="72"/>
      <c r="T526" s="72"/>
      <c r="U526" s="72"/>
      <c r="V526" s="72"/>
      <c r="W526" s="72"/>
      <c r="X526" s="25"/>
      <c r="Y526" s="25"/>
      <c r="AC526" s="2345">
        <v>7</v>
      </c>
      <c r="AD526" s="2207"/>
      <c r="AE526" s="2207"/>
      <c r="AF526" s="2207"/>
      <c r="AG526" s="75" t="s">
        <v>420</v>
      </c>
      <c r="AH526" s="2032">
        <v>2022</v>
      </c>
      <c r="AI526" s="2032"/>
      <c r="AJ526" s="2032"/>
      <c r="AK526" s="20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58"/>
      <c r="C527" s="2359"/>
      <c r="D527" s="2359"/>
      <c r="E527" s="2359"/>
      <c r="F527" s="2359"/>
      <c r="G527" s="2359"/>
      <c r="H527" s="2360"/>
      <c r="I527" s="25" t="s">
        <v>433</v>
      </c>
      <c r="J527" s="25"/>
      <c r="K527" s="25"/>
      <c r="L527" s="25"/>
      <c r="M527" s="25"/>
      <c r="N527" s="25"/>
      <c r="O527" s="25"/>
      <c r="P527" s="25"/>
      <c r="Q527" s="25"/>
      <c r="R527" s="25"/>
      <c r="S527" s="25"/>
      <c r="T527" s="25"/>
      <c r="U527" s="25"/>
      <c r="V527" s="25"/>
      <c r="W527" s="25"/>
      <c r="X527" s="25"/>
      <c r="Y527" s="25"/>
      <c r="AC527" s="2345">
        <v>7</v>
      </c>
      <c r="AD527" s="2207"/>
      <c r="AE527" s="2207"/>
      <c r="AF527" s="2207"/>
      <c r="AG527" s="75" t="s">
        <v>420</v>
      </c>
      <c r="AH527" s="2032">
        <v>2022</v>
      </c>
      <c r="AI527" s="2032"/>
      <c r="AJ527" s="2032"/>
      <c r="AK527" s="20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58"/>
      <c r="C528" s="2359"/>
      <c r="D528" s="2359"/>
      <c r="E528" s="2359"/>
      <c r="F528" s="2359"/>
      <c r="G528" s="2359"/>
      <c r="H528" s="2360"/>
      <c r="I528" s="80" t="s">
        <v>434</v>
      </c>
      <c r="J528" s="80"/>
      <c r="K528" s="80"/>
      <c r="L528" s="80"/>
      <c r="M528" s="80"/>
      <c r="N528" s="80"/>
      <c r="O528" s="80"/>
      <c r="P528" s="80"/>
      <c r="Q528" s="80"/>
      <c r="R528" s="80"/>
      <c r="S528" s="80"/>
      <c r="T528" s="80"/>
      <c r="U528" s="80"/>
      <c r="V528" s="80"/>
      <c r="W528" s="80"/>
      <c r="X528" s="80"/>
      <c r="Y528" s="80"/>
      <c r="Z528" s="80"/>
      <c r="AA528" s="80"/>
      <c r="AB528" s="80"/>
      <c r="AC528" s="2345">
        <v>5</v>
      </c>
      <c r="AD528" s="2207"/>
      <c r="AE528" s="2207"/>
      <c r="AF528" s="2207"/>
      <c r="AG528" s="65" t="s">
        <v>420</v>
      </c>
      <c r="AH528" s="2032">
        <v>2023</v>
      </c>
      <c r="AI528" s="2032"/>
      <c r="AJ528" s="2032"/>
      <c r="AK528" s="20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55" t="s">
        <v>435</v>
      </c>
      <c r="C529" s="2356"/>
      <c r="D529" s="2356"/>
      <c r="E529" s="2356"/>
      <c r="F529" s="2356"/>
      <c r="G529" s="2356"/>
      <c r="H529" s="2357"/>
      <c r="I529" s="72" t="s">
        <v>432</v>
      </c>
      <c r="J529" s="72"/>
      <c r="K529" s="72"/>
      <c r="L529" s="72"/>
      <c r="M529" s="72"/>
      <c r="N529" s="72"/>
      <c r="O529" s="72"/>
      <c r="P529" s="72"/>
      <c r="Q529" s="72"/>
      <c r="R529" s="72"/>
      <c r="S529" s="72"/>
      <c r="T529" s="72"/>
      <c r="U529" s="72"/>
      <c r="V529" s="72"/>
      <c r="W529" s="72"/>
      <c r="X529" s="72"/>
      <c r="Y529" s="72"/>
      <c r="Z529" s="72"/>
      <c r="AA529" s="72"/>
      <c r="AB529" s="72"/>
      <c r="AC529" s="1857">
        <v>7</v>
      </c>
      <c r="AD529" s="1858"/>
      <c r="AE529" s="1858"/>
      <c r="AF529" s="1858"/>
      <c r="AG529" s="196" t="s">
        <v>420</v>
      </c>
      <c r="AH529" s="2032">
        <v>2022</v>
      </c>
      <c r="AI529" s="2032"/>
      <c r="AJ529" s="2032"/>
      <c r="AK529" s="20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58"/>
      <c r="C530" s="2359"/>
      <c r="D530" s="2359"/>
      <c r="E530" s="2359"/>
      <c r="F530" s="2359"/>
      <c r="G530" s="2359"/>
      <c r="H530" s="2360"/>
      <c r="I530" s="25" t="s">
        <v>433</v>
      </c>
      <c r="J530" s="25"/>
      <c r="K530" s="25"/>
      <c r="L530" s="25"/>
      <c r="M530" s="25"/>
      <c r="N530" s="25"/>
      <c r="O530" s="25"/>
      <c r="P530" s="25"/>
      <c r="Q530" s="25"/>
      <c r="R530" s="25"/>
      <c r="S530" s="25"/>
      <c r="T530" s="25"/>
      <c r="U530" s="25"/>
      <c r="V530" s="25"/>
      <c r="W530" s="25"/>
      <c r="X530" s="25"/>
      <c r="Y530" s="25"/>
      <c r="Z530" s="25"/>
      <c r="AA530" s="25"/>
      <c r="AB530" s="25"/>
      <c r="AC530" s="2345">
        <v>7</v>
      </c>
      <c r="AD530" s="2207"/>
      <c r="AE530" s="2207"/>
      <c r="AF530" s="2207"/>
      <c r="AG530" s="75" t="s">
        <v>420</v>
      </c>
      <c r="AH530" s="2032">
        <v>2022</v>
      </c>
      <c r="AI530" s="2032"/>
      <c r="AJ530" s="2032"/>
      <c r="AK530" s="20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61"/>
      <c r="C531" s="2362"/>
      <c r="D531" s="2362"/>
      <c r="E531" s="2362"/>
      <c r="F531" s="2362"/>
      <c r="G531" s="2362"/>
      <c r="H531" s="2363"/>
      <c r="I531" s="80" t="s">
        <v>434</v>
      </c>
      <c r="J531" s="80"/>
      <c r="K531" s="80"/>
      <c r="L531" s="80"/>
      <c r="M531" s="80"/>
      <c r="N531" s="80"/>
      <c r="O531" s="80"/>
      <c r="P531" s="80"/>
      <c r="Q531" s="80"/>
      <c r="R531" s="80"/>
      <c r="S531" s="80"/>
      <c r="T531" s="80"/>
      <c r="U531" s="80"/>
      <c r="V531" s="80"/>
      <c r="W531" s="80"/>
      <c r="X531" s="80"/>
      <c r="Y531" s="80"/>
      <c r="Z531" s="80"/>
      <c r="AA531" s="80"/>
      <c r="AB531" s="80"/>
      <c r="AC531" s="2345">
        <v>5</v>
      </c>
      <c r="AD531" s="2207"/>
      <c r="AE531" s="2207"/>
      <c r="AF531" s="2207"/>
      <c r="AG531" s="65" t="s">
        <v>420</v>
      </c>
      <c r="AH531" s="2032">
        <v>2023</v>
      </c>
      <c r="AI531" s="2032"/>
      <c r="AJ531" s="2032"/>
      <c r="AK531" s="20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55" t="s">
        <v>436</v>
      </c>
      <c r="C532" s="2356"/>
      <c r="D532" s="2356"/>
      <c r="E532" s="2356"/>
      <c r="F532" s="2356"/>
      <c r="G532" s="2356"/>
      <c r="H532" s="2357"/>
      <c r="I532" s="71" t="s">
        <v>437</v>
      </c>
      <c r="J532" s="72"/>
      <c r="K532" s="72"/>
      <c r="L532" s="72"/>
      <c r="M532" s="72"/>
      <c r="N532" s="72"/>
      <c r="O532" s="1877" t="s">
        <v>340</v>
      </c>
      <c r="P532" s="1877"/>
      <c r="Q532" s="1877"/>
      <c r="R532" s="1877"/>
      <c r="S532" s="1877"/>
      <c r="T532" s="1877"/>
      <c r="U532" s="1877"/>
      <c r="V532" s="1877"/>
      <c r="W532" s="1877"/>
      <c r="X532" s="1877"/>
      <c r="Y532" s="1877"/>
      <c r="Z532" s="1877"/>
      <c r="AA532" s="1877"/>
      <c r="AB532" s="94"/>
      <c r="AC532" s="1857" t="s">
        <v>618</v>
      </c>
      <c r="AD532" s="1858"/>
      <c r="AE532" s="1858"/>
      <c r="AF532" s="1858"/>
      <c r="AG532" s="196" t="s">
        <v>420</v>
      </c>
      <c r="AH532" s="2032"/>
      <c r="AI532" s="2032"/>
      <c r="AJ532" s="2032"/>
      <c r="AK532" s="20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58"/>
      <c r="C533" s="2359"/>
      <c r="D533" s="2359"/>
      <c r="E533" s="2359"/>
      <c r="F533" s="2359"/>
      <c r="G533" s="2359"/>
      <c r="H533" s="2360"/>
      <c r="I533" s="171" t="s">
        <v>438</v>
      </c>
      <c r="J533" s="25"/>
      <c r="K533" s="25"/>
      <c r="L533" s="25"/>
      <c r="M533" s="25"/>
      <c r="N533" s="25"/>
      <c r="O533" s="25"/>
      <c r="P533" s="25"/>
      <c r="Q533" s="25"/>
      <c r="R533" s="25"/>
      <c r="S533" s="25"/>
      <c r="T533" s="25"/>
      <c r="U533" s="25"/>
      <c r="V533" s="25"/>
      <c r="W533" s="25"/>
      <c r="X533" s="25"/>
      <c r="Y533" s="25"/>
      <c r="Z533" s="25"/>
      <c r="AA533" s="25"/>
      <c r="AB533" s="101"/>
      <c r="AC533" s="2345" t="s">
        <v>618</v>
      </c>
      <c r="AD533" s="2207"/>
      <c r="AE533" s="2207"/>
      <c r="AF533" s="2207"/>
      <c r="AG533" s="75" t="s">
        <v>420</v>
      </c>
      <c r="AH533" s="2032"/>
      <c r="AI533" s="2032"/>
      <c r="AJ533" s="2032"/>
      <c r="AK533" s="20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58"/>
      <c r="C534" s="2359"/>
      <c r="D534" s="2359"/>
      <c r="E534" s="2359"/>
      <c r="F534" s="2359"/>
      <c r="G534" s="2359"/>
      <c r="H534" s="2360"/>
      <c r="I534" s="79" t="s">
        <v>439</v>
      </c>
      <c r="J534" s="80"/>
      <c r="K534" s="80"/>
      <c r="L534" s="80"/>
      <c r="M534" s="80"/>
      <c r="N534" s="80"/>
      <c r="O534" s="80"/>
      <c r="P534" s="80"/>
      <c r="Q534" s="80"/>
      <c r="R534" s="80"/>
      <c r="S534" s="80"/>
      <c r="T534" s="80"/>
      <c r="U534" s="80"/>
      <c r="V534" s="80"/>
      <c r="W534" s="80"/>
      <c r="X534" s="80"/>
      <c r="Y534" s="80"/>
      <c r="Z534" s="80"/>
      <c r="AA534" s="80"/>
      <c r="AB534" s="81"/>
      <c r="AC534" s="2345" t="s">
        <v>618</v>
      </c>
      <c r="AD534" s="2207"/>
      <c r="AE534" s="2207"/>
      <c r="AF534" s="2207"/>
      <c r="AG534" s="65" t="s">
        <v>420</v>
      </c>
      <c r="AH534" s="2032"/>
      <c r="AI534" s="2032"/>
      <c r="AJ534" s="2032"/>
      <c r="AK534" s="20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58"/>
      <c r="C535" s="2359"/>
      <c r="D535" s="2359"/>
      <c r="E535" s="2359"/>
      <c r="F535" s="2359"/>
      <c r="G535" s="2359"/>
      <c r="H535" s="2360"/>
      <c r="I535" s="72" t="s">
        <v>440</v>
      </c>
      <c r="J535" s="72"/>
      <c r="K535" s="72"/>
      <c r="L535" s="72"/>
      <c r="M535" s="72"/>
      <c r="N535" s="72"/>
      <c r="O535" s="1903" t="s">
        <v>340</v>
      </c>
      <c r="P535" s="1903"/>
      <c r="Q535" s="1903"/>
      <c r="R535" s="1903"/>
      <c r="S535" s="1903"/>
      <c r="T535" s="1903"/>
      <c r="U535" s="1903"/>
      <c r="V535" s="1903"/>
      <c r="W535" s="1903"/>
      <c r="X535" s="1903"/>
      <c r="Y535" s="1903"/>
      <c r="Z535" s="1903"/>
      <c r="AA535" s="1903"/>
      <c r="AC535" s="2345" t="s">
        <v>618</v>
      </c>
      <c r="AD535" s="2207"/>
      <c r="AE535" s="2207"/>
      <c r="AF535" s="2207"/>
      <c r="AG535" s="75" t="s">
        <v>420</v>
      </c>
      <c r="AH535" s="2032"/>
      <c r="AI535" s="2032"/>
      <c r="AJ535" s="2032"/>
      <c r="AK535" s="20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58"/>
      <c r="C536" s="2359"/>
      <c r="D536" s="2359"/>
      <c r="E536" s="2359"/>
      <c r="F536" s="2359"/>
      <c r="G536" s="2359"/>
      <c r="H536" s="2360"/>
      <c r="I536" s="25" t="s">
        <v>438</v>
      </c>
      <c r="J536" s="25"/>
      <c r="K536" s="25"/>
      <c r="L536" s="25"/>
      <c r="M536" s="25"/>
      <c r="N536" s="25"/>
      <c r="O536" s="25"/>
      <c r="P536" s="25"/>
      <c r="Q536" s="25"/>
      <c r="R536" s="25"/>
      <c r="S536" s="25"/>
      <c r="T536" s="25"/>
      <c r="U536" s="25"/>
      <c r="V536" s="25"/>
      <c r="W536" s="25"/>
      <c r="X536" s="25"/>
      <c r="Y536" s="25"/>
      <c r="AC536" s="2345" t="s">
        <v>618</v>
      </c>
      <c r="AD536" s="2207"/>
      <c r="AE536" s="2207"/>
      <c r="AF536" s="2207"/>
      <c r="AG536" s="75" t="s">
        <v>420</v>
      </c>
      <c r="AH536" s="2032"/>
      <c r="AI536" s="2032"/>
      <c r="AJ536" s="2032"/>
      <c r="AK536" s="20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58"/>
      <c r="C537" s="2359"/>
      <c r="D537" s="2359"/>
      <c r="E537" s="2359"/>
      <c r="F537" s="2359"/>
      <c r="G537" s="2359"/>
      <c r="H537" s="2360"/>
      <c r="I537" s="80" t="s">
        <v>439</v>
      </c>
      <c r="J537" s="80"/>
      <c r="K537" s="80"/>
      <c r="L537" s="80"/>
      <c r="M537" s="80"/>
      <c r="N537" s="80"/>
      <c r="O537" s="80"/>
      <c r="P537" s="80"/>
      <c r="Q537" s="80"/>
      <c r="R537" s="80"/>
      <c r="S537" s="80"/>
      <c r="T537" s="80"/>
      <c r="U537" s="80"/>
      <c r="V537" s="80"/>
      <c r="W537" s="80"/>
      <c r="X537" s="80"/>
      <c r="Y537" s="80"/>
      <c r="Z537" s="80"/>
      <c r="AA537" s="80"/>
      <c r="AB537" s="80"/>
      <c r="AC537" s="2345" t="s">
        <v>618</v>
      </c>
      <c r="AD537" s="2207"/>
      <c r="AE537" s="2207"/>
      <c r="AF537" s="2207"/>
      <c r="AG537" s="65" t="s">
        <v>420</v>
      </c>
      <c r="AH537" s="2032"/>
      <c r="AI537" s="2032"/>
      <c r="AJ537" s="2032"/>
      <c r="AK537" s="20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58"/>
      <c r="C538" s="2359"/>
      <c r="D538" s="2359"/>
      <c r="E538" s="2359"/>
      <c r="F538" s="2359"/>
      <c r="G538" s="2359"/>
      <c r="H538" s="2360"/>
      <c r="I538" s="72" t="s">
        <v>440</v>
      </c>
      <c r="J538" s="72"/>
      <c r="K538" s="72"/>
      <c r="L538" s="72"/>
      <c r="M538" s="72"/>
      <c r="N538" s="72"/>
      <c r="O538" s="1903" t="s">
        <v>340</v>
      </c>
      <c r="P538" s="1903"/>
      <c r="Q538" s="1903"/>
      <c r="R538" s="1903"/>
      <c r="S538" s="1903"/>
      <c r="T538" s="1903"/>
      <c r="U538" s="1903"/>
      <c r="V538" s="1903"/>
      <c r="W538" s="1903"/>
      <c r="X538" s="1903"/>
      <c r="Y538" s="1903"/>
      <c r="Z538" s="1903"/>
      <c r="AA538" s="1903"/>
      <c r="AC538" s="2345" t="s">
        <v>618</v>
      </c>
      <c r="AD538" s="2207"/>
      <c r="AE538" s="2207"/>
      <c r="AF538" s="2207"/>
      <c r="AG538" s="75" t="s">
        <v>420</v>
      </c>
      <c r="AH538" s="2032"/>
      <c r="AI538" s="2032"/>
      <c r="AJ538" s="2032"/>
      <c r="AK538" s="20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58"/>
      <c r="C539" s="2359"/>
      <c r="D539" s="2359"/>
      <c r="E539" s="2359"/>
      <c r="F539" s="2359"/>
      <c r="G539" s="2359"/>
      <c r="H539" s="2360"/>
      <c r="I539" s="25" t="s">
        <v>438</v>
      </c>
      <c r="J539" s="25"/>
      <c r="K539" s="25"/>
      <c r="L539" s="25"/>
      <c r="M539" s="25"/>
      <c r="N539" s="25"/>
      <c r="O539" s="25"/>
      <c r="P539" s="25"/>
      <c r="Q539" s="25"/>
      <c r="R539" s="25"/>
      <c r="S539" s="25"/>
      <c r="T539" s="25"/>
      <c r="U539" s="25"/>
      <c r="V539" s="25"/>
      <c r="W539" s="25"/>
      <c r="X539" s="25"/>
      <c r="Y539" s="25"/>
      <c r="AC539" s="2345" t="s">
        <v>618</v>
      </c>
      <c r="AD539" s="2207"/>
      <c r="AE539" s="2207"/>
      <c r="AF539" s="2207"/>
      <c r="AG539" s="75" t="s">
        <v>420</v>
      </c>
      <c r="AH539" s="2032"/>
      <c r="AI539" s="2032"/>
      <c r="AJ539" s="2032"/>
      <c r="AK539" s="20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58"/>
      <c r="C540" s="2359"/>
      <c r="D540" s="2359"/>
      <c r="E540" s="2359"/>
      <c r="F540" s="2359"/>
      <c r="G540" s="2359"/>
      <c r="H540" s="2360"/>
      <c r="I540" s="80" t="s">
        <v>439</v>
      </c>
      <c r="J540" s="80"/>
      <c r="K540" s="80"/>
      <c r="L540" s="80"/>
      <c r="M540" s="80"/>
      <c r="N540" s="80"/>
      <c r="O540" s="80"/>
      <c r="P540" s="80"/>
      <c r="Q540" s="80"/>
      <c r="R540" s="80"/>
      <c r="S540" s="80"/>
      <c r="T540" s="80"/>
      <c r="U540" s="80"/>
      <c r="V540" s="80"/>
      <c r="W540" s="80"/>
      <c r="X540" s="80"/>
      <c r="Y540" s="80"/>
      <c r="Z540" s="80"/>
      <c r="AA540" s="80"/>
      <c r="AB540" s="80"/>
      <c r="AC540" s="2345" t="s">
        <v>618</v>
      </c>
      <c r="AD540" s="2207"/>
      <c r="AE540" s="2207"/>
      <c r="AF540" s="2207"/>
      <c r="AG540" s="65" t="s">
        <v>420</v>
      </c>
      <c r="AH540" s="2032"/>
      <c r="AI540" s="2032"/>
      <c r="AJ540" s="2032"/>
      <c r="AK540" s="20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58"/>
      <c r="C541" s="2359"/>
      <c r="D541" s="2359"/>
      <c r="E541" s="2359"/>
      <c r="F541" s="2359"/>
      <c r="G541" s="2359"/>
      <c r="H541" s="2360"/>
      <c r="I541" s="72" t="s">
        <v>440</v>
      </c>
      <c r="J541" s="72"/>
      <c r="K541" s="72"/>
      <c r="L541" s="72"/>
      <c r="M541" s="72"/>
      <c r="N541" s="72"/>
      <c r="O541" s="1903" t="s">
        <v>340</v>
      </c>
      <c r="P541" s="1903"/>
      <c r="Q541" s="1903"/>
      <c r="R541" s="1903"/>
      <c r="S541" s="1903"/>
      <c r="T541" s="1903"/>
      <c r="U541" s="1903"/>
      <c r="V541" s="1903"/>
      <c r="W541" s="1903"/>
      <c r="X541" s="1903"/>
      <c r="Y541" s="1903"/>
      <c r="Z541" s="1903"/>
      <c r="AA541" s="1903"/>
      <c r="AC541" s="2345" t="s">
        <v>618</v>
      </c>
      <c r="AD541" s="2207"/>
      <c r="AE541" s="2207"/>
      <c r="AF541" s="2207"/>
      <c r="AG541" s="75" t="s">
        <v>420</v>
      </c>
      <c r="AH541" s="2032"/>
      <c r="AI541" s="2032"/>
      <c r="AJ541" s="2032"/>
      <c r="AK541" s="20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58"/>
      <c r="C542" s="2359"/>
      <c r="D542" s="2359"/>
      <c r="E542" s="2359"/>
      <c r="F542" s="2359"/>
      <c r="G542" s="2359"/>
      <c r="H542" s="2360"/>
      <c r="I542" s="25" t="s">
        <v>438</v>
      </c>
      <c r="J542" s="25"/>
      <c r="K542" s="25"/>
      <c r="L542" s="25"/>
      <c r="M542" s="25"/>
      <c r="N542" s="25"/>
      <c r="O542" s="25"/>
      <c r="P542" s="25"/>
      <c r="Q542" s="25"/>
      <c r="R542" s="25"/>
      <c r="S542" s="25"/>
      <c r="T542" s="25"/>
      <c r="U542" s="25"/>
      <c r="V542" s="25"/>
      <c r="W542" s="25"/>
      <c r="X542" s="25"/>
      <c r="Y542" s="25"/>
      <c r="AC542" s="2345" t="s">
        <v>618</v>
      </c>
      <c r="AD542" s="2207"/>
      <c r="AE542" s="2207"/>
      <c r="AF542" s="2207"/>
      <c r="AG542" s="75" t="s">
        <v>420</v>
      </c>
      <c r="AH542" s="2032"/>
      <c r="AI542" s="2032"/>
      <c r="AJ542" s="2032"/>
      <c r="AK542" s="20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58"/>
      <c r="C543" s="2359"/>
      <c r="D543" s="2359"/>
      <c r="E543" s="2359"/>
      <c r="F543" s="2359"/>
      <c r="G543" s="2359"/>
      <c r="H543" s="2360"/>
      <c r="I543" s="80" t="s">
        <v>439</v>
      </c>
      <c r="J543" s="80"/>
      <c r="K543" s="80"/>
      <c r="L543" s="80"/>
      <c r="M543" s="80"/>
      <c r="N543" s="80"/>
      <c r="O543" s="80"/>
      <c r="P543" s="80"/>
      <c r="Q543" s="80"/>
      <c r="R543" s="80"/>
      <c r="S543" s="80"/>
      <c r="T543" s="80"/>
      <c r="U543" s="80"/>
      <c r="V543" s="80"/>
      <c r="W543" s="80"/>
      <c r="X543" s="80"/>
      <c r="Y543" s="80"/>
      <c r="Z543" s="80"/>
      <c r="AA543" s="80"/>
      <c r="AB543" s="80"/>
      <c r="AC543" s="2345" t="s">
        <v>618</v>
      </c>
      <c r="AD543" s="2207"/>
      <c r="AE543" s="2207"/>
      <c r="AF543" s="2207"/>
      <c r="AG543" s="65" t="s">
        <v>420</v>
      </c>
      <c r="AH543" s="2032"/>
      <c r="AI543" s="2032"/>
      <c r="AJ543" s="2032"/>
      <c r="AK543" s="20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58"/>
      <c r="C544" s="2359"/>
      <c r="D544" s="2359"/>
      <c r="E544" s="2359"/>
      <c r="F544" s="2359"/>
      <c r="G544" s="2359"/>
      <c r="H544" s="2360"/>
      <c r="I544" s="72" t="s">
        <v>440</v>
      </c>
      <c r="J544" s="72"/>
      <c r="K544" s="72"/>
      <c r="L544" s="72"/>
      <c r="M544" s="72"/>
      <c r="N544" s="72"/>
      <c r="O544" s="1903" t="s">
        <v>340</v>
      </c>
      <c r="P544" s="1903"/>
      <c r="Q544" s="1903"/>
      <c r="R544" s="1903"/>
      <c r="S544" s="1903"/>
      <c r="T544" s="1903"/>
      <c r="U544" s="1903"/>
      <c r="V544" s="1903"/>
      <c r="W544" s="1903"/>
      <c r="X544" s="1903"/>
      <c r="Y544" s="1903"/>
      <c r="Z544" s="1903"/>
      <c r="AA544" s="1903"/>
      <c r="AC544" s="2345" t="s">
        <v>618</v>
      </c>
      <c r="AD544" s="2207"/>
      <c r="AE544" s="2207"/>
      <c r="AF544" s="2207"/>
      <c r="AG544" s="75" t="s">
        <v>420</v>
      </c>
      <c r="AH544" s="2032"/>
      <c r="AI544" s="2032"/>
      <c r="AJ544" s="2032"/>
      <c r="AK544" s="20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58"/>
      <c r="C545" s="2359"/>
      <c r="D545" s="2359"/>
      <c r="E545" s="2359"/>
      <c r="F545" s="2359"/>
      <c r="G545" s="2359"/>
      <c r="H545" s="2360"/>
      <c r="I545" s="25" t="s">
        <v>438</v>
      </c>
      <c r="J545" s="25"/>
      <c r="K545" s="25"/>
      <c r="L545" s="25"/>
      <c r="M545" s="25"/>
      <c r="N545" s="25"/>
      <c r="O545" s="25"/>
      <c r="P545" s="25"/>
      <c r="Q545" s="25"/>
      <c r="R545" s="25"/>
      <c r="S545" s="25"/>
      <c r="T545" s="25"/>
      <c r="U545" s="25"/>
      <c r="V545" s="25"/>
      <c r="W545" s="25"/>
      <c r="X545" s="25"/>
      <c r="Y545" s="25"/>
      <c r="AC545" s="2345" t="s">
        <v>618</v>
      </c>
      <c r="AD545" s="2207"/>
      <c r="AE545" s="2207"/>
      <c r="AF545" s="2207"/>
      <c r="AG545" s="65" t="s">
        <v>420</v>
      </c>
      <c r="AH545" s="2032"/>
      <c r="AI545" s="2032"/>
      <c r="AJ545" s="2032"/>
      <c r="AK545" s="20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58"/>
      <c r="C546" s="2359"/>
      <c r="D546" s="2359"/>
      <c r="E546" s="2359"/>
      <c r="F546" s="2359"/>
      <c r="G546" s="2359"/>
      <c r="H546" s="2360"/>
      <c r="I546" s="80" t="s">
        <v>439</v>
      </c>
      <c r="J546" s="80"/>
      <c r="K546" s="80"/>
      <c r="L546" s="80"/>
      <c r="M546" s="80"/>
      <c r="N546" s="80"/>
      <c r="O546" s="80"/>
      <c r="P546" s="80"/>
      <c r="Q546" s="80"/>
      <c r="R546" s="80"/>
      <c r="S546" s="80"/>
      <c r="T546" s="80"/>
      <c r="U546" s="80"/>
      <c r="V546" s="80"/>
      <c r="W546" s="80"/>
      <c r="X546" s="80"/>
      <c r="Y546" s="80"/>
      <c r="Z546" s="80"/>
      <c r="AA546" s="80"/>
      <c r="AB546" s="80"/>
      <c r="AC546" s="2345" t="s">
        <v>618</v>
      </c>
      <c r="AD546" s="2207"/>
      <c r="AE546" s="2207"/>
      <c r="AF546" s="2207"/>
      <c r="AG546" s="75" t="s">
        <v>420</v>
      </c>
      <c r="AH546" s="2032"/>
      <c r="AI546" s="2032"/>
      <c r="AJ546" s="2032"/>
      <c r="AK546" s="20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58"/>
      <c r="C547" s="2359"/>
      <c r="D547" s="2359"/>
      <c r="E547" s="2359"/>
      <c r="F547" s="2359"/>
      <c r="G547" s="2359"/>
      <c r="H547" s="2360"/>
      <c r="I547" s="72" t="s">
        <v>440</v>
      </c>
      <c r="J547" s="72"/>
      <c r="K547" s="72"/>
      <c r="L547" s="72"/>
      <c r="M547" s="72"/>
      <c r="N547" s="72"/>
      <c r="O547" s="1903" t="s">
        <v>340</v>
      </c>
      <c r="P547" s="1903"/>
      <c r="Q547" s="1903"/>
      <c r="R547" s="1903"/>
      <c r="S547" s="1903"/>
      <c r="T547" s="1903"/>
      <c r="U547" s="1903"/>
      <c r="V547" s="1903"/>
      <c r="W547" s="1903"/>
      <c r="X547" s="1903"/>
      <c r="Y547" s="1903"/>
      <c r="Z547" s="1903"/>
      <c r="AA547" s="1903"/>
      <c r="AC547" s="2345" t="s">
        <v>618</v>
      </c>
      <c r="AD547" s="2207"/>
      <c r="AE547" s="2207"/>
      <c r="AF547" s="2207"/>
      <c r="AG547" s="65" t="s">
        <v>420</v>
      </c>
      <c r="AH547" s="2032"/>
      <c r="AI547" s="2032"/>
      <c r="AJ547" s="2032"/>
      <c r="AK547" s="20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58"/>
      <c r="C548" s="2359"/>
      <c r="D548" s="2359"/>
      <c r="E548" s="2359"/>
      <c r="F548" s="2359"/>
      <c r="G548" s="2359"/>
      <c r="H548" s="2360"/>
      <c r="I548" s="25" t="s">
        <v>438</v>
      </c>
      <c r="J548" s="25"/>
      <c r="K548" s="25"/>
      <c r="L548" s="25"/>
      <c r="M548" s="25"/>
      <c r="N548" s="25"/>
      <c r="O548" s="25"/>
      <c r="P548" s="25"/>
      <c r="Q548" s="25"/>
      <c r="R548" s="25"/>
      <c r="S548" s="25"/>
      <c r="T548" s="25"/>
      <c r="U548" s="25"/>
      <c r="V548" s="25"/>
      <c r="W548" s="25"/>
      <c r="X548" s="25"/>
      <c r="Y548" s="25"/>
      <c r="AC548" s="2345" t="s">
        <v>618</v>
      </c>
      <c r="AD548" s="2207"/>
      <c r="AE548" s="2207"/>
      <c r="AF548" s="2207"/>
      <c r="AG548" s="75" t="s">
        <v>420</v>
      </c>
      <c r="AH548" s="2032"/>
      <c r="AI548" s="2032"/>
      <c r="AJ548" s="2032"/>
      <c r="AK548" s="20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58"/>
      <c r="C549" s="2359"/>
      <c r="D549" s="2359"/>
      <c r="E549" s="2359"/>
      <c r="F549" s="2359"/>
      <c r="G549" s="2359"/>
      <c r="H549" s="2360"/>
      <c r="I549" s="80" t="s">
        <v>439</v>
      </c>
      <c r="J549" s="80"/>
      <c r="K549" s="80"/>
      <c r="L549" s="80"/>
      <c r="M549" s="80"/>
      <c r="N549" s="80"/>
      <c r="O549" s="80"/>
      <c r="P549" s="80"/>
      <c r="Q549" s="80"/>
      <c r="R549" s="80"/>
      <c r="S549" s="80"/>
      <c r="T549" s="80"/>
      <c r="U549" s="80"/>
      <c r="V549" s="80"/>
      <c r="W549" s="80"/>
      <c r="X549" s="80"/>
      <c r="Y549" s="80"/>
      <c r="Z549" s="80"/>
      <c r="AA549" s="80"/>
      <c r="AB549" s="80"/>
      <c r="AC549" s="2345" t="s">
        <v>618</v>
      </c>
      <c r="AD549" s="2207"/>
      <c r="AE549" s="2207"/>
      <c r="AF549" s="2207"/>
      <c r="AG549" s="65" t="s">
        <v>420</v>
      </c>
      <c r="AH549" s="2032"/>
      <c r="AI549" s="2032"/>
      <c r="AJ549" s="2032"/>
      <c r="AK549" s="20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58"/>
      <c r="C550" s="2359"/>
      <c r="D550" s="2359"/>
      <c r="E550" s="2359"/>
      <c r="F550" s="2359"/>
      <c r="G550" s="2359"/>
      <c r="H550" s="2360"/>
      <c r="I550" s="72" t="s">
        <v>588</v>
      </c>
      <c r="J550" s="72"/>
      <c r="K550" s="72"/>
      <c r="L550" s="72"/>
      <c r="M550" s="72"/>
      <c r="N550" s="72"/>
      <c r="O550" s="72"/>
      <c r="P550" s="72"/>
      <c r="Q550" s="72"/>
      <c r="R550" s="72"/>
      <c r="S550" s="72"/>
      <c r="T550" s="72"/>
      <c r="U550" s="72"/>
      <c r="V550" s="72"/>
      <c r="W550" s="72"/>
      <c r="X550" s="25"/>
      <c r="Y550" s="25"/>
      <c r="AC550" s="2345">
        <v>5</v>
      </c>
      <c r="AD550" s="2207"/>
      <c r="AE550" s="2207"/>
      <c r="AF550" s="2207"/>
      <c r="AG550" s="65" t="s">
        <v>420</v>
      </c>
      <c r="AH550" s="2032">
        <v>2023</v>
      </c>
      <c r="AI550" s="2032"/>
      <c r="AJ550" s="2032"/>
      <c r="AK550" s="20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58"/>
      <c r="C551" s="2359"/>
      <c r="D551" s="2359"/>
      <c r="E551" s="2359"/>
      <c r="F551" s="2359"/>
      <c r="G551" s="2359"/>
      <c r="H551" s="2360"/>
      <c r="I551" s="25" t="s">
        <v>589</v>
      </c>
      <c r="J551" s="25"/>
      <c r="K551" s="25"/>
      <c r="L551" s="25"/>
      <c r="M551" s="25"/>
      <c r="N551" s="25"/>
      <c r="O551" s="25"/>
      <c r="P551" s="25"/>
      <c r="Q551" s="25"/>
      <c r="R551" s="25"/>
      <c r="S551" s="25"/>
      <c r="T551" s="25"/>
      <c r="U551" s="25"/>
      <c r="V551" s="25"/>
      <c r="W551" s="25"/>
      <c r="X551" s="25"/>
      <c r="Y551" s="25"/>
      <c r="AC551" s="2345">
        <v>5</v>
      </c>
      <c r="AD551" s="2207"/>
      <c r="AE551" s="2207"/>
      <c r="AF551" s="2207"/>
      <c r="AG551" s="75" t="s">
        <v>420</v>
      </c>
      <c r="AH551" s="2032">
        <v>2023</v>
      </c>
      <c r="AI551" s="2032"/>
      <c r="AJ551" s="2032"/>
      <c r="AK551" s="20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58"/>
      <c r="C552" s="2359"/>
      <c r="D552" s="2359"/>
      <c r="E552" s="2359"/>
      <c r="F552" s="2359"/>
      <c r="G552" s="2359"/>
      <c r="H552" s="2360"/>
      <c r="I552" s="25" t="s">
        <v>590</v>
      </c>
      <c r="J552" s="25"/>
      <c r="K552" s="25"/>
      <c r="L552" s="25"/>
      <c r="M552" s="25"/>
      <c r="N552" s="25"/>
      <c r="O552" s="25"/>
      <c r="P552" s="25"/>
      <c r="Q552" s="25"/>
      <c r="R552" s="25"/>
      <c r="S552" s="25"/>
      <c r="T552" s="25"/>
      <c r="U552" s="25"/>
      <c r="V552" s="25"/>
      <c r="W552" s="25"/>
      <c r="X552" s="25"/>
      <c r="Y552" s="25"/>
      <c r="AC552" s="2345">
        <v>2</v>
      </c>
      <c r="AD552" s="2207"/>
      <c r="AE552" s="2207"/>
      <c r="AF552" s="2207"/>
      <c r="AG552" s="65" t="s">
        <v>420</v>
      </c>
      <c r="AH552" s="2032">
        <v>2025</v>
      </c>
      <c r="AI552" s="2032"/>
      <c r="AJ552" s="2032"/>
      <c r="AK552" s="20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58"/>
      <c r="C553" s="2359"/>
      <c r="D553" s="2359"/>
      <c r="E553" s="2359"/>
      <c r="F553" s="2359"/>
      <c r="G553" s="2359"/>
      <c r="H553" s="2360"/>
      <c r="I553" s="25" t="s">
        <v>591</v>
      </c>
      <c r="J553" s="25"/>
      <c r="K553" s="25"/>
      <c r="L553" s="25"/>
      <c r="M553" s="25"/>
      <c r="N553" s="25"/>
      <c r="O553" s="25"/>
      <c r="P553" s="25"/>
      <c r="Q553" s="25"/>
      <c r="R553" s="25"/>
      <c r="S553" s="25"/>
      <c r="T553" s="25"/>
      <c r="U553" s="25"/>
      <c r="V553" s="25"/>
      <c r="W553" s="25"/>
      <c r="X553" s="25"/>
      <c r="Y553" s="25"/>
      <c r="AC553" s="2345">
        <v>5</v>
      </c>
      <c r="AD553" s="2207"/>
      <c r="AE553" s="2207"/>
      <c r="AF553" s="2207"/>
      <c r="AG553" s="65" t="s">
        <v>420</v>
      </c>
      <c r="AH553" s="2032">
        <v>2026</v>
      </c>
      <c r="AI553" s="2032"/>
      <c r="AJ553" s="2032"/>
      <c r="AK553" s="20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61"/>
      <c r="C554" s="2362"/>
      <c r="D554" s="2362"/>
      <c r="E554" s="2362"/>
      <c r="F554" s="2362"/>
      <c r="G554" s="2362"/>
      <c r="H554" s="2363"/>
      <c r="I554" s="80" t="s">
        <v>476</v>
      </c>
      <c r="J554" s="80"/>
      <c r="K554" s="80"/>
      <c r="L554" s="80"/>
      <c r="M554" s="80"/>
      <c r="N554" s="80"/>
      <c r="O554" s="80"/>
      <c r="P554" s="80"/>
      <c r="Q554" s="80"/>
      <c r="R554" s="80"/>
      <c r="S554" s="80"/>
      <c r="T554" s="80"/>
      <c r="U554" s="80"/>
      <c r="V554" s="80"/>
      <c r="W554" s="80"/>
      <c r="X554" s="80"/>
      <c r="Y554" s="80"/>
      <c r="Z554" s="80"/>
      <c r="AA554" s="80"/>
      <c r="AB554" s="80"/>
      <c r="AC554" s="2345">
        <v>8</v>
      </c>
      <c r="AD554" s="2207"/>
      <c r="AE554" s="2207"/>
      <c r="AF554" s="2207"/>
      <c r="AG554" s="65" t="s">
        <v>420</v>
      </c>
      <c r="AH554" s="2032">
        <v>2025</v>
      </c>
      <c r="AI554" s="2032"/>
      <c r="AJ554" s="2032"/>
      <c r="AK554" s="20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05" t="s">
        <v>569</v>
      </c>
      <c r="B556" s="1705"/>
      <c r="C556" s="1705"/>
      <c r="D556" s="1705"/>
      <c r="E556" s="1705"/>
      <c r="F556" s="1705"/>
      <c r="G556" s="1705"/>
      <c r="H556" s="1705"/>
      <c r="I556" s="1705"/>
      <c r="J556" s="1705"/>
      <c r="K556" s="1705"/>
      <c r="L556" s="1705"/>
      <c r="M556" s="1705"/>
      <c r="N556" s="1705"/>
      <c r="O556" s="1705"/>
      <c r="P556" s="1705"/>
      <c r="Q556" s="1705"/>
      <c r="R556" s="1705"/>
      <c r="S556" s="1705"/>
      <c r="T556" s="1705"/>
      <c r="U556" s="1705"/>
      <c r="V556" s="1705"/>
      <c r="W556" s="1705"/>
      <c r="X556" s="1705"/>
      <c r="Y556" s="1705"/>
      <c r="Z556" s="1705"/>
      <c r="AA556" s="1705"/>
      <c r="AB556" s="1705"/>
      <c r="AC556" s="1705"/>
      <c r="AD556" s="1705"/>
      <c r="AE556" s="1705"/>
      <c r="AF556" s="1705"/>
      <c r="AG556" s="1705"/>
      <c r="AH556" s="1705"/>
      <c r="AI556" s="1705"/>
      <c r="AJ556" s="1705"/>
      <c r="AK556" s="1705"/>
      <c r="AL556" s="1705"/>
      <c r="AM556" s="1705"/>
      <c r="AN556" s="1705"/>
      <c r="AO556" s="1705"/>
      <c r="AP556" s="1705"/>
      <c r="AQ556" s="1705"/>
      <c r="AR556" s="1705"/>
      <c r="AS556" s="1705"/>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05"/>
      <c r="B557" s="1705"/>
      <c r="C557" s="1705"/>
      <c r="D557" s="1705"/>
      <c r="E557" s="1705"/>
      <c r="F557" s="1705"/>
      <c r="G557" s="1705"/>
      <c r="H557" s="1705"/>
      <c r="I557" s="1705"/>
      <c r="J557" s="1705"/>
      <c r="K557" s="1705"/>
      <c r="L557" s="1705"/>
      <c r="M557" s="1705"/>
      <c r="N557" s="1705"/>
      <c r="O557" s="1705"/>
      <c r="P557" s="1705"/>
      <c r="Q557" s="1705"/>
      <c r="R557" s="1705"/>
      <c r="S557" s="1705"/>
      <c r="T557" s="1705"/>
      <c r="U557" s="1705"/>
      <c r="V557" s="1705"/>
      <c r="W557" s="1705"/>
      <c r="X557" s="1705"/>
      <c r="Y557" s="1705"/>
      <c r="Z557" s="1705"/>
      <c r="AA557" s="1705"/>
      <c r="AB557" s="1705"/>
      <c r="AC557" s="1705"/>
      <c r="AD557" s="1705"/>
      <c r="AE557" s="1705"/>
      <c r="AF557" s="1705"/>
      <c r="AG557" s="1705"/>
      <c r="AH557" s="1705"/>
      <c r="AI557" s="1705"/>
      <c r="AJ557" s="1705"/>
      <c r="AK557" s="1705"/>
      <c r="AL557" s="1705"/>
      <c r="AM557" s="1705"/>
      <c r="AN557" s="1705"/>
      <c r="AO557" s="1705"/>
      <c r="AP557" s="1705"/>
      <c r="AQ557" s="1705"/>
      <c r="AR557" s="1705"/>
      <c r="AS557" s="1705"/>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64" t="s">
        <v>478</v>
      </c>
      <c r="C563" s="2035"/>
      <c r="D563" s="2035"/>
      <c r="E563" s="2035"/>
      <c r="F563" s="2035"/>
      <c r="G563" s="2035"/>
      <c r="H563" s="2035"/>
      <c r="I563" s="2035"/>
      <c r="J563" s="2035"/>
      <c r="K563" s="2035"/>
      <c r="L563" s="2035"/>
      <c r="M563" s="2035"/>
      <c r="N563" s="2035"/>
      <c r="O563" s="2035"/>
      <c r="P563" s="2199"/>
      <c r="Q563" s="2364" t="s">
        <v>2184</v>
      </c>
      <c r="R563" s="2365"/>
      <c r="S563" s="2366"/>
      <c r="T563" s="2364" t="s">
        <v>2182</v>
      </c>
      <c r="U563" s="2365"/>
      <c r="V563" s="2366"/>
      <c r="W563" s="2364" t="s">
        <v>479</v>
      </c>
      <c r="X563" s="2365"/>
      <c r="Y563" s="2366"/>
      <c r="Z563" s="2364" t="s">
        <v>2183</v>
      </c>
      <c r="AA563" s="2365"/>
      <c r="AB563" s="2365"/>
      <c r="AC563" s="2365"/>
      <c r="AD563" s="2365"/>
      <c r="AE563" s="2364" t="s">
        <v>1992</v>
      </c>
      <c r="AF563" s="2365"/>
      <c r="AG563" s="2365"/>
      <c r="AH563" s="2366"/>
      <c r="AI563" s="2364" t="s">
        <v>1993</v>
      </c>
      <c r="AJ563" s="2365"/>
      <c r="AK563" s="2365"/>
      <c r="AL563" s="2366"/>
      <c r="AM563" s="2364" t="s">
        <v>480</v>
      </c>
      <c r="AN563" s="2365"/>
      <c r="AO563" s="2365"/>
      <c r="AP563" s="2365"/>
      <c r="AQ563" s="2365"/>
      <c r="AR563" s="2365"/>
      <c r="AS563" s="23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25" t="s">
        <v>2564</v>
      </c>
      <c r="D564" s="1925"/>
      <c r="E564" s="1925"/>
      <c r="F564" s="1925"/>
      <c r="G564" s="1925"/>
      <c r="H564" s="1925"/>
      <c r="I564" s="1925"/>
      <c r="J564" s="1925"/>
      <c r="K564" s="1925"/>
      <c r="L564" s="1925"/>
      <c r="M564" s="1925"/>
      <c r="N564" s="1925"/>
      <c r="O564" s="1925"/>
      <c r="P564" s="1926"/>
      <c r="Q564" s="1891">
        <v>36</v>
      </c>
      <c r="R564" s="1891"/>
      <c r="S564" s="1892"/>
      <c r="T564" s="1890"/>
      <c r="U564" s="1891"/>
      <c r="V564" s="1892"/>
      <c r="W564" s="2370">
        <v>6.0499999999999998E-2</v>
      </c>
      <c r="X564" s="2371"/>
      <c r="Y564" s="2372"/>
      <c r="Z564" s="2377" t="s">
        <v>2583</v>
      </c>
      <c r="AA564" s="2377"/>
      <c r="AB564" s="2377"/>
      <c r="AC564" s="2377"/>
      <c r="AD564" s="2377"/>
      <c r="AE564" s="2367">
        <v>1</v>
      </c>
      <c r="AF564" s="2368"/>
      <c r="AG564" s="2368"/>
      <c r="AH564" s="2369"/>
      <c r="AI564" s="2374" t="s">
        <v>2582</v>
      </c>
      <c r="AJ564" s="2375"/>
      <c r="AK564" s="2375"/>
      <c r="AL564" s="2376"/>
      <c r="AM564" s="1882">
        <v>31000000</v>
      </c>
      <c r="AN564" s="1883"/>
      <c r="AO564" s="1883"/>
      <c r="AP564" s="1883"/>
      <c r="AQ564" s="1883"/>
      <c r="AR564" s="1883"/>
      <c r="AS564" s="1884"/>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25" t="s">
        <v>2699</v>
      </c>
      <c r="D565" s="1925"/>
      <c r="E565" s="1925"/>
      <c r="F565" s="1925"/>
      <c r="G565" s="1925"/>
      <c r="H565" s="1925"/>
      <c r="I565" s="1925"/>
      <c r="J565" s="1925"/>
      <c r="K565" s="1925"/>
      <c r="L565" s="1925"/>
      <c r="M565" s="1925"/>
      <c r="N565" s="1925"/>
      <c r="O565" s="1925"/>
      <c r="P565" s="1926"/>
      <c r="Q565" s="1890">
        <v>36</v>
      </c>
      <c r="R565" s="1891"/>
      <c r="S565" s="1892"/>
      <c r="T565" s="1890"/>
      <c r="U565" s="1891"/>
      <c r="V565" s="1892"/>
      <c r="W565" s="2370">
        <v>6.25E-2</v>
      </c>
      <c r="X565" s="2371"/>
      <c r="Y565" s="2372"/>
      <c r="Z565" s="2377" t="s">
        <v>2583</v>
      </c>
      <c r="AA565" s="2377"/>
      <c r="AB565" s="2377"/>
      <c r="AC565" s="2377"/>
      <c r="AD565" s="2377"/>
      <c r="AE565" s="2367">
        <v>1</v>
      </c>
      <c r="AF565" s="2368"/>
      <c r="AG565" s="2368"/>
      <c r="AH565" s="2369"/>
      <c r="AI565" s="2374" t="s">
        <v>2582</v>
      </c>
      <c r="AJ565" s="2375"/>
      <c r="AK565" s="2375"/>
      <c r="AL565" s="2376"/>
      <c r="AM565" s="1882">
        <v>5600000</v>
      </c>
      <c r="AN565" s="1883"/>
      <c r="AO565" s="1883"/>
      <c r="AP565" s="1883"/>
      <c r="AQ565" s="1883"/>
      <c r="AR565" s="1883"/>
      <c r="AS565" s="18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25" t="s">
        <v>2579</v>
      </c>
      <c r="D566" s="1925"/>
      <c r="E566" s="1925"/>
      <c r="F566" s="1925"/>
      <c r="G566" s="1925"/>
      <c r="H566" s="1925"/>
      <c r="I566" s="1925"/>
      <c r="J566" s="1925"/>
      <c r="K566" s="1925"/>
      <c r="L566" s="1925"/>
      <c r="M566" s="1925"/>
      <c r="N566" s="1925"/>
      <c r="O566" s="1925"/>
      <c r="P566" s="1926"/>
      <c r="Q566" s="1890"/>
      <c r="R566" s="1891"/>
      <c r="S566" s="1892"/>
      <c r="T566" s="1890"/>
      <c r="U566" s="1891"/>
      <c r="V566" s="1892"/>
      <c r="W566" s="2370"/>
      <c r="X566" s="2371"/>
      <c r="Y566" s="2372"/>
      <c r="Z566" s="2377" t="s">
        <v>1348</v>
      </c>
      <c r="AA566" s="2377"/>
      <c r="AB566" s="2377"/>
      <c r="AC566" s="2377"/>
      <c r="AD566" s="2377"/>
      <c r="AE566" s="2367"/>
      <c r="AF566" s="2368"/>
      <c r="AG566" s="2368"/>
      <c r="AH566" s="2369"/>
      <c r="AI566" s="2374" t="s">
        <v>696</v>
      </c>
      <c r="AJ566" s="2375"/>
      <c r="AK566" s="2375"/>
      <c r="AL566" s="2376"/>
      <c r="AM566" s="1882">
        <v>7995109</v>
      </c>
      <c r="AN566" s="1883"/>
      <c r="AO566" s="1883"/>
      <c r="AP566" s="1883"/>
      <c r="AQ566" s="1883"/>
      <c r="AR566" s="1883"/>
      <c r="AS566" s="18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1925" t="s">
        <v>2509</v>
      </c>
      <c r="D567" s="1925"/>
      <c r="E567" s="1925"/>
      <c r="F567" s="1925"/>
      <c r="G567" s="1925"/>
      <c r="H567" s="1925"/>
      <c r="I567" s="1925"/>
      <c r="J567" s="1925"/>
      <c r="K567" s="1925"/>
      <c r="L567" s="1925"/>
      <c r="M567" s="1925"/>
      <c r="N567" s="1925"/>
      <c r="O567" s="1925"/>
      <c r="P567" s="1926"/>
      <c r="Q567" s="1890">
        <v>660</v>
      </c>
      <c r="R567" s="1891"/>
      <c r="S567" s="1892"/>
      <c r="T567" s="1890"/>
      <c r="U567" s="1891"/>
      <c r="V567" s="1892"/>
      <c r="W567" s="2370">
        <v>1.4999999999999999E-2</v>
      </c>
      <c r="X567" s="2371"/>
      <c r="Y567" s="2372"/>
      <c r="Z567" s="2377" t="s">
        <v>618</v>
      </c>
      <c r="AA567" s="2377"/>
      <c r="AB567" s="2377"/>
      <c r="AC567" s="2377"/>
      <c r="AD567" s="2377"/>
      <c r="AE567" s="2367"/>
      <c r="AF567" s="2368"/>
      <c r="AG567" s="2368"/>
      <c r="AH567" s="2369"/>
      <c r="AI567" s="2374" t="s">
        <v>696</v>
      </c>
      <c r="AJ567" s="2375"/>
      <c r="AK567" s="2375"/>
      <c r="AL567" s="2376"/>
      <c r="AM567" s="1882">
        <v>2630000</v>
      </c>
      <c r="AN567" s="1883"/>
      <c r="AO567" s="1883"/>
      <c r="AP567" s="1883"/>
      <c r="AQ567" s="1883"/>
      <c r="AR567" s="1883"/>
      <c r="AS567" s="18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1925" t="s">
        <v>2509</v>
      </c>
      <c r="D568" s="1925"/>
      <c r="E568" s="1925"/>
      <c r="F568" s="1925"/>
      <c r="G568" s="1925"/>
      <c r="H568" s="1925"/>
      <c r="I568" s="1925"/>
      <c r="J568" s="1925"/>
      <c r="K568" s="1925"/>
      <c r="L568" s="1925"/>
      <c r="M568" s="1925"/>
      <c r="N568" s="1925"/>
      <c r="O568" s="1925"/>
      <c r="P568" s="1926"/>
      <c r="Q568" s="1890"/>
      <c r="R568" s="1891"/>
      <c r="S568" s="1892"/>
      <c r="T568" s="1890"/>
      <c r="U568" s="1891"/>
      <c r="V568" s="1892"/>
      <c r="W568" s="2370"/>
      <c r="X568" s="2371"/>
      <c r="Y568" s="2372"/>
      <c r="Z568" s="2377" t="s">
        <v>1348</v>
      </c>
      <c r="AA568" s="2377"/>
      <c r="AB568" s="2377"/>
      <c r="AC568" s="2377"/>
      <c r="AD568" s="2377"/>
      <c r="AE568" s="2367"/>
      <c r="AF568" s="2368"/>
      <c r="AG568" s="2368"/>
      <c r="AH568" s="2369"/>
      <c r="AI568" s="2374" t="s">
        <v>696</v>
      </c>
      <c r="AJ568" s="2375"/>
      <c r="AK568" s="2375"/>
      <c r="AL568" s="2376"/>
      <c r="AM568" s="1882">
        <v>5000000</v>
      </c>
      <c r="AN568" s="1883"/>
      <c r="AO568" s="1883"/>
      <c r="AP568" s="1883"/>
      <c r="AQ568" s="1883"/>
      <c r="AR568" s="1883"/>
      <c r="AS568" s="18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1925" t="s">
        <v>2580</v>
      </c>
      <c r="D569" s="1925"/>
      <c r="E569" s="1925"/>
      <c r="F569" s="1925"/>
      <c r="G569" s="1925"/>
      <c r="H569" s="1925"/>
      <c r="I569" s="1925"/>
      <c r="J569" s="1925"/>
      <c r="K569" s="1925"/>
      <c r="L569" s="1925"/>
      <c r="M569" s="1925"/>
      <c r="N569" s="1925"/>
      <c r="O569" s="1925"/>
      <c r="P569" s="1926"/>
      <c r="Q569" s="1890"/>
      <c r="R569" s="1891"/>
      <c r="S569" s="1892"/>
      <c r="T569" s="1890"/>
      <c r="U569" s="1891"/>
      <c r="V569" s="1892"/>
      <c r="W569" s="2370"/>
      <c r="X569" s="2371"/>
      <c r="Y569" s="2372"/>
      <c r="Z569" s="2377" t="s">
        <v>1348</v>
      </c>
      <c r="AA569" s="2377"/>
      <c r="AB569" s="2377"/>
      <c r="AC569" s="2377"/>
      <c r="AD569" s="2377"/>
      <c r="AE569" s="2367"/>
      <c r="AF569" s="2368"/>
      <c r="AG569" s="2368"/>
      <c r="AH569" s="2369"/>
      <c r="AI569" s="2374"/>
      <c r="AJ569" s="2375"/>
      <c r="AK569" s="2375"/>
      <c r="AL569" s="2376"/>
      <c r="AM569" s="1882">
        <v>12634106</v>
      </c>
      <c r="AN569" s="1883"/>
      <c r="AO569" s="1883"/>
      <c r="AP569" s="1883"/>
      <c r="AQ569" s="1883"/>
      <c r="AR569" s="1883"/>
      <c r="AS569" s="18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1925" t="s">
        <v>2581</v>
      </c>
      <c r="D570" s="1925"/>
      <c r="E570" s="1925"/>
      <c r="F570" s="1925"/>
      <c r="G570" s="1925"/>
      <c r="H570" s="1925"/>
      <c r="I570" s="1925"/>
      <c r="J570" s="1925"/>
      <c r="K570" s="1925"/>
      <c r="L570" s="1925"/>
      <c r="M570" s="1925"/>
      <c r="N570" s="1925"/>
      <c r="O570" s="1925"/>
      <c r="P570" s="1926"/>
      <c r="Q570" s="1890"/>
      <c r="R570" s="1891"/>
      <c r="S570" s="1892"/>
      <c r="T570" s="1890"/>
      <c r="U570" s="1891"/>
      <c r="V570" s="1892"/>
      <c r="W570" s="2370"/>
      <c r="X570" s="2371"/>
      <c r="Y570" s="2372"/>
      <c r="Z570" s="2377" t="s">
        <v>1348</v>
      </c>
      <c r="AA570" s="2377"/>
      <c r="AB570" s="2377"/>
      <c r="AC570" s="2377"/>
      <c r="AD570" s="2377"/>
      <c r="AE570" s="2367"/>
      <c r="AF570" s="2368"/>
      <c r="AG570" s="2368"/>
      <c r="AH570" s="2369"/>
      <c r="AI570" s="2374"/>
      <c r="AJ570" s="2375"/>
      <c r="AK570" s="2375"/>
      <c r="AL570" s="2376"/>
      <c r="AM570" s="1882">
        <v>184539</v>
      </c>
      <c r="AN570" s="1883"/>
      <c r="AO570" s="1883"/>
      <c r="AP570" s="1883"/>
      <c r="AQ570" s="1883"/>
      <c r="AR570" s="1883"/>
      <c r="AS570" s="18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1925"/>
      <c r="D571" s="1925"/>
      <c r="E571" s="1925"/>
      <c r="F571" s="1925"/>
      <c r="G571" s="1925"/>
      <c r="H571" s="1925"/>
      <c r="I571" s="1925"/>
      <c r="J571" s="1925"/>
      <c r="K571" s="1925"/>
      <c r="L571" s="1925"/>
      <c r="M571" s="1925"/>
      <c r="N571" s="1925"/>
      <c r="O571" s="1925"/>
      <c r="P571" s="1926"/>
      <c r="Q571" s="1890"/>
      <c r="R571" s="1891"/>
      <c r="S571" s="1892"/>
      <c r="T571" s="1890"/>
      <c r="U571" s="1891"/>
      <c r="V571" s="1892"/>
      <c r="W571" s="2370"/>
      <c r="X571" s="2371"/>
      <c r="Y571" s="2372"/>
      <c r="Z571" s="2377" t="s">
        <v>1348</v>
      </c>
      <c r="AA571" s="2377"/>
      <c r="AB571" s="2377"/>
      <c r="AC571" s="2377"/>
      <c r="AD571" s="2377"/>
      <c r="AE571" s="2367"/>
      <c r="AF571" s="2368"/>
      <c r="AG571" s="2368"/>
      <c r="AH571" s="2369"/>
      <c r="AI571" s="2374"/>
      <c r="AJ571" s="2375"/>
      <c r="AK571" s="2375"/>
      <c r="AL571" s="2376"/>
      <c r="AM571" s="1882"/>
      <c r="AN571" s="1883"/>
      <c r="AO571" s="1883"/>
      <c r="AP571" s="1883"/>
      <c r="AQ571" s="1883"/>
      <c r="AR571" s="1883"/>
      <c r="AS571" s="1884"/>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1925"/>
      <c r="D572" s="1925"/>
      <c r="E572" s="1925"/>
      <c r="F572" s="1925"/>
      <c r="G572" s="1925"/>
      <c r="H572" s="1925"/>
      <c r="I572" s="1925"/>
      <c r="J572" s="1925"/>
      <c r="K572" s="1925"/>
      <c r="L572" s="1925"/>
      <c r="M572" s="1925"/>
      <c r="N572" s="1925"/>
      <c r="O572" s="1925"/>
      <c r="P572" s="1926"/>
      <c r="Q572" s="1890"/>
      <c r="R572" s="1891"/>
      <c r="S572" s="1892"/>
      <c r="T572" s="1890"/>
      <c r="U572" s="1891"/>
      <c r="V572" s="1892"/>
      <c r="W572" s="2370"/>
      <c r="X572" s="2371"/>
      <c r="Y572" s="2372"/>
      <c r="Z572" s="2377" t="s">
        <v>1348</v>
      </c>
      <c r="AA572" s="2377"/>
      <c r="AB572" s="2377"/>
      <c r="AC572" s="2377"/>
      <c r="AD572" s="2377"/>
      <c r="AE572" s="2367"/>
      <c r="AF572" s="2368"/>
      <c r="AG572" s="2368"/>
      <c r="AH572" s="2369"/>
      <c r="AI572" s="2374"/>
      <c r="AJ572" s="2375"/>
      <c r="AK572" s="2375"/>
      <c r="AL572" s="2376"/>
      <c r="AM572" s="1882"/>
      <c r="AN572" s="1883"/>
      <c r="AO572" s="1883"/>
      <c r="AP572" s="1883"/>
      <c r="AQ572" s="1883"/>
      <c r="AR572" s="1883"/>
      <c r="AS572" s="1884"/>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1925"/>
      <c r="D573" s="1925"/>
      <c r="E573" s="1925"/>
      <c r="F573" s="1925"/>
      <c r="G573" s="1925"/>
      <c r="H573" s="1925"/>
      <c r="I573" s="1925"/>
      <c r="J573" s="1925"/>
      <c r="K573" s="1925"/>
      <c r="L573" s="1925"/>
      <c r="M573" s="1925"/>
      <c r="N573" s="1925"/>
      <c r="O573" s="1925"/>
      <c r="P573" s="1926"/>
      <c r="Q573" s="1890"/>
      <c r="R573" s="1891"/>
      <c r="S573" s="1892"/>
      <c r="T573" s="1890"/>
      <c r="U573" s="1891"/>
      <c r="V573" s="1892"/>
      <c r="W573" s="2370"/>
      <c r="X573" s="2371"/>
      <c r="Y573" s="2372"/>
      <c r="Z573" s="2377" t="s">
        <v>1348</v>
      </c>
      <c r="AA573" s="2377"/>
      <c r="AB573" s="2377"/>
      <c r="AC573" s="2377"/>
      <c r="AD573" s="2377"/>
      <c r="AE573" s="2367"/>
      <c r="AF573" s="2368"/>
      <c r="AG573" s="2368"/>
      <c r="AH573" s="2369"/>
      <c r="AI573" s="2374"/>
      <c r="AJ573" s="2375"/>
      <c r="AK573" s="2375"/>
      <c r="AL573" s="2376"/>
      <c r="AM573" s="1882"/>
      <c r="AN573" s="1883"/>
      <c r="AO573" s="1883"/>
      <c r="AP573" s="1883"/>
      <c r="AQ573" s="1883"/>
      <c r="AR573" s="1883"/>
      <c r="AS573" s="18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1925"/>
      <c r="D574" s="1925"/>
      <c r="E574" s="1925"/>
      <c r="F574" s="1925"/>
      <c r="G574" s="1925"/>
      <c r="H574" s="1925"/>
      <c r="I574" s="1925"/>
      <c r="J574" s="1925"/>
      <c r="K574" s="1925"/>
      <c r="L574" s="1925"/>
      <c r="M574" s="1925"/>
      <c r="N574" s="1925"/>
      <c r="O574" s="1925"/>
      <c r="P574" s="1926"/>
      <c r="Q574" s="1890"/>
      <c r="R574" s="1891"/>
      <c r="S574" s="1892"/>
      <c r="T574" s="1890"/>
      <c r="U574" s="1891"/>
      <c r="V574" s="1892"/>
      <c r="W574" s="2370"/>
      <c r="X574" s="2371"/>
      <c r="Y574" s="2372"/>
      <c r="Z574" s="2377" t="s">
        <v>1348</v>
      </c>
      <c r="AA574" s="2377"/>
      <c r="AB574" s="2377"/>
      <c r="AC574" s="2377"/>
      <c r="AD574" s="2377"/>
      <c r="AE574" s="2367"/>
      <c r="AF574" s="2368"/>
      <c r="AG574" s="2368"/>
      <c r="AH574" s="2369"/>
      <c r="AI574" s="2374"/>
      <c r="AJ574" s="2375"/>
      <c r="AK574" s="2375"/>
      <c r="AL574" s="2376"/>
      <c r="AM574" s="1882"/>
      <c r="AN574" s="1883"/>
      <c r="AO574" s="1883"/>
      <c r="AP574" s="1883"/>
      <c r="AQ574" s="1883"/>
      <c r="AR574" s="1883"/>
      <c r="AS574" s="18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1925"/>
      <c r="D575" s="1925"/>
      <c r="E575" s="1925"/>
      <c r="F575" s="1925"/>
      <c r="G575" s="1925"/>
      <c r="H575" s="1925"/>
      <c r="I575" s="1925"/>
      <c r="J575" s="1925"/>
      <c r="K575" s="1925"/>
      <c r="L575" s="1925"/>
      <c r="M575" s="1925"/>
      <c r="N575" s="1925"/>
      <c r="O575" s="1925"/>
      <c r="P575" s="1926"/>
      <c r="Q575" s="1890"/>
      <c r="R575" s="1891"/>
      <c r="S575" s="1892"/>
      <c r="T575" s="1890"/>
      <c r="U575" s="1891"/>
      <c r="V575" s="1892"/>
      <c r="W575" s="2370"/>
      <c r="X575" s="2371"/>
      <c r="Y575" s="2372"/>
      <c r="Z575" s="2377" t="s">
        <v>1348</v>
      </c>
      <c r="AA575" s="2377"/>
      <c r="AB575" s="2377"/>
      <c r="AC575" s="2377"/>
      <c r="AD575" s="2377"/>
      <c r="AE575" s="2367"/>
      <c r="AF575" s="2368"/>
      <c r="AG575" s="2368"/>
      <c r="AH575" s="2369"/>
      <c r="AI575" s="2374"/>
      <c r="AJ575" s="2375"/>
      <c r="AK575" s="2375"/>
      <c r="AL575" s="2376"/>
      <c r="AM575" s="1882"/>
      <c r="AN575" s="1883"/>
      <c r="AO575" s="1883"/>
      <c r="AP575" s="1883"/>
      <c r="AQ575" s="1883"/>
      <c r="AR575" s="1883"/>
      <c r="AS575" s="18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283"/>
      <c r="V576" s="2184"/>
      <c r="W576" s="2184"/>
      <c r="X576" s="2184"/>
      <c r="Y576" s="2184"/>
      <c r="Z576" s="2184"/>
      <c r="AA576" s="2184"/>
      <c r="AB576" s="2184"/>
      <c r="AC576" s="2184"/>
      <c r="AD576" s="2184"/>
      <c r="AE576" s="2184"/>
      <c r="AF576" s="2184"/>
      <c r="AG576" s="2184"/>
      <c r="AH576" s="2184"/>
      <c r="AI576" s="2184"/>
      <c r="AJ576" s="2184"/>
      <c r="AK576" s="2184"/>
      <c r="AL576" s="2185"/>
      <c r="AM576" s="2188">
        <f>SUM(AM564:AS575)</f>
        <v>65043754</v>
      </c>
      <c r="AN576" s="2189"/>
      <c r="AO576" s="2189"/>
      <c r="AP576" s="2189"/>
      <c r="AQ576" s="2189"/>
      <c r="AR576" s="2189"/>
      <c r="AS576" s="219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1867" t="str">
        <f>C564</f>
        <v>Citibank, N.A. - Tax Exempt Bonds</v>
      </c>
      <c r="H578" s="1867"/>
      <c r="I578" s="1867"/>
      <c r="J578" s="1867"/>
      <c r="K578" s="1867"/>
      <c r="L578" s="1867"/>
      <c r="M578" s="1867"/>
      <c r="N578" s="1867"/>
      <c r="O578" s="1867"/>
      <c r="P578" s="1867"/>
      <c r="Q578" s="1867"/>
      <c r="R578" s="1867"/>
      <c r="S578" s="14"/>
      <c r="T578" s="87" t="s">
        <v>118</v>
      </c>
      <c r="U578" s="12" t="s">
        <v>489</v>
      </c>
      <c r="Z578" s="1867" t="str">
        <f>C565</f>
        <v>Citibank, N.A. - Recycled Tax Exempt Bonds</v>
      </c>
      <c r="AA578" s="1867"/>
      <c r="AB578" s="1867"/>
      <c r="AC578" s="1867"/>
      <c r="AD578" s="1867"/>
      <c r="AE578" s="1867"/>
      <c r="AF578" s="1867"/>
      <c r="AG578" s="1867"/>
      <c r="AH578" s="1867"/>
      <c r="AI578" s="1867"/>
      <c r="AJ578" s="1867"/>
      <c r="AK578" s="186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03" t="s">
        <v>2565</v>
      </c>
      <c r="H579" s="1903"/>
      <c r="I579" s="1903"/>
      <c r="J579" s="1903"/>
      <c r="K579" s="1903"/>
      <c r="L579" s="1903"/>
      <c r="M579" s="1903"/>
      <c r="N579" s="1903"/>
      <c r="O579" s="1903"/>
      <c r="P579" s="1903"/>
      <c r="Q579" s="1903"/>
      <c r="R579" s="1903"/>
      <c r="S579" s="14"/>
      <c r="T579" s="35"/>
      <c r="U579" s="12" t="s">
        <v>90</v>
      </c>
      <c r="Z579" s="1903" t="s">
        <v>2565</v>
      </c>
      <c r="AA579" s="1903"/>
      <c r="AB579" s="1903"/>
      <c r="AC579" s="1903"/>
      <c r="AD579" s="1903"/>
      <c r="AE579" s="1903"/>
      <c r="AF579" s="1903"/>
      <c r="AG579" s="1903"/>
      <c r="AH579" s="1903"/>
      <c r="AI579" s="1903"/>
      <c r="AJ579" s="1903"/>
      <c r="AK579" s="1903"/>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144" t="s">
        <v>2566</v>
      </c>
      <c r="H580" s="1903"/>
      <c r="I580" s="1903"/>
      <c r="J580" s="1903"/>
      <c r="K580" s="1903"/>
      <c r="L580" s="1903"/>
      <c r="M580" s="1903"/>
      <c r="N580" s="1903"/>
      <c r="O580" s="1903"/>
      <c r="P580" s="1903"/>
      <c r="Q580" s="1903"/>
      <c r="R580" s="1903"/>
      <c r="S580" s="88"/>
      <c r="T580" s="35"/>
      <c r="U580" s="12" t="s">
        <v>607</v>
      </c>
      <c r="Z580" s="2144" t="s">
        <v>2566</v>
      </c>
      <c r="AA580" s="1903"/>
      <c r="AB580" s="1903"/>
      <c r="AC580" s="1903"/>
      <c r="AD580" s="1903"/>
      <c r="AE580" s="1903"/>
      <c r="AF580" s="1903"/>
      <c r="AG580" s="1903"/>
      <c r="AH580" s="1903"/>
      <c r="AI580" s="1903"/>
      <c r="AJ580" s="1903"/>
      <c r="AK580" s="1903"/>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44" t="s">
        <v>2567</v>
      </c>
      <c r="H581" s="1903"/>
      <c r="I581" s="1903"/>
      <c r="J581" s="1903"/>
      <c r="K581" s="1903"/>
      <c r="L581" s="1903"/>
      <c r="M581" s="1903"/>
      <c r="N581" s="1903"/>
      <c r="O581" s="1903"/>
      <c r="P581" s="1903"/>
      <c r="Q581" s="1903"/>
      <c r="R581" s="1903"/>
      <c r="S581" s="14"/>
      <c r="T581" s="35"/>
      <c r="U581" s="12" t="s">
        <v>17</v>
      </c>
      <c r="Z581" s="2144" t="s">
        <v>2567</v>
      </c>
      <c r="AA581" s="1903"/>
      <c r="AB581" s="1903"/>
      <c r="AC581" s="1903"/>
      <c r="AD581" s="1903"/>
      <c r="AE581" s="1903"/>
      <c r="AF581" s="1903"/>
      <c r="AG581" s="1903"/>
      <c r="AH581" s="1903"/>
      <c r="AI581" s="1903"/>
      <c r="AJ581" s="1903"/>
      <c r="AK581" s="190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58" t="s">
        <v>2568</v>
      </c>
      <c r="H582" s="2158"/>
      <c r="I582" s="2158"/>
      <c r="J582" s="2158"/>
      <c r="K582" s="2158"/>
      <c r="L582" s="2158"/>
      <c r="O582" s="137" t="s">
        <v>212</v>
      </c>
      <c r="P582" s="1876"/>
      <c r="Q582" s="1876"/>
      <c r="R582" s="1876"/>
      <c r="S582" s="16"/>
      <c r="T582" s="35"/>
      <c r="U582" s="12" t="s">
        <v>322</v>
      </c>
      <c r="Z582" s="2158" t="s">
        <v>2568</v>
      </c>
      <c r="AA582" s="2158"/>
      <c r="AB582" s="2158"/>
      <c r="AC582" s="2158"/>
      <c r="AD582" s="2158"/>
      <c r="AE582" s="2158"/>
      <c r="AH582" s="137" t="s">
        <v>212</v>
      </c>
      <c r="AI582" s="1876"/>
      <c r="AJ582" s="1876"/>
      <c r="AK582" s="187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44" t="s">
        <v>2569</v>
      </c>
      <c r="I583" s="1903"/>
      <c r="J583" s="1903"/>
      <c r="K583" s="1903"/>
      <c r="L583" s="1903"/>
      <c r="M583" s="1903"/>
      <c r="N583" s="1903"/>
      <c r="O583" s="1903"/>
      <c r="P583" s="1903"/>
      <c r="Q583" s="1903"/>
      <c r="R583" s="1903"/>
      <c r="S583" s="14"/>
      <c r="T583" s="35"/>
      <c r="U583" s="12" t="s">
        <v>18</v>
      </c>
      <c r="AA583" s="2144" t="s">
        <v>2700</v>
      </c>
      <c r="AB583" s="1903"/>
      <c r="AC583" s="1903"/>
      <c r="AD583" s="1903"/>
      <c r="AE583" s="1903"/>
      <c r="AF583" s="1903"/>
      <c r="AG583" s="1903"/>
      <c r="AH583" s="1903"/>
      <c r="AI583" s="1903"/>
      <c r="AJ583" s="1903"/>
      <c r="AK583" s="19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206"/>
      <c r="N584" s="2206"/>
      <c r="O584" s="2206"/>
      <c r="P584" s="2206"/>
      <c r="Q584" s="2206"/>
      <c r="R584" s="2206"/>
      <c r="S584" s="14"/>
      <c r="T584" s="35"/>
      <c r="U584" s="502" t="s">
        <v>1349</v>
      </c>
      <c r="V584" s="711"/>
      <c r="W584" s="711"/>
      <c r="X584" s="711"/>
      <c r="Y584" s="711"/>
      <c r="Z584" s="711"/>
      <c r="AA584" s="14"/>
      <c r="AB584" s="14"/>
      <c r="AC584" s="14"/>
      <c r="AD584" s="14"/>
      <c r="AE584" s="14"/>
      <c r="AF584" s="2206"/>
      <c r="AG584" s="2206"/>
      <c r="AH584" s="2206"/>
      <c r="AI584" s="2206"/>
      <c r="AJ584" s="2206"/>
      <c r="AK584" s="2206"/>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75" t="s">
        <v>571</v>
      </c>
      <c r="O585" s="1875"/>
      <c r="T585" s="35"/>
      <c r="U585" s="12" t="s">
        <v>20</v>
      </c>
      <c r="AG585" s="1875" t="s">
        <v>571</v>
      </c>
      <c r="AH585" s="18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1867" t="str">
        <f>C566</f>
        <v>Deferred Fees</v>
      </c>
      <c r="H587" s="1867"/>
      <c r="I587" s="1867"/>
      <c r="J587" s="1867"/>
      <c r="K587" s="1867"/>
      <c r="L587" s="1867"/>
      <c r="M587" s="1867"/>
      <c r="N587" s="1867"/>
      <c r="O587" s="1867"/>
      <c r="P587" s="1867"/>
      <c r="Q587" s="1867"/>
      <c r="R587" s="1867"/>
      <c r="T587" s="87" t="s">
        <v>608</v>
      </c>
      <c r="U587" s="12" t="s">
        <v>489</v>
      </c>
      <c r="Z587" s="1867" t="str">
        <f>C567</f>
        <v>Riverside Charitable Corporation</v>
      </c>
      <c r="AA587" s="1867"/>
      <c r="AB587" s="1867"/>
      <c r="AC587" s="1867"/>
      <c r="AD587" s="1867"/>
      <c r="AE587" s="1867"/>
      <c r="AF587" s="1867"/>
      <c r="AG587" s="1867"/>
      <c r="AH587" s="1867"/>
      <c r="AI587" s="1867"/>
      <c r="AJ587" s="1867"/>
      <c r="AK587" s="186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44" t="s">
        <v>2491</v>
      </c>
      <c r="H588" s="1903"/>
      <c r="I588" s="1903"/>
      <c r="J588" s="1903"/>
      <c r="K588" s="1903"/>
      <c r="L588" s="1903"/>
      <c r="M588" s="1903"/>
      <c r="N588" s="1903"/>
      <c r="O588" s="1903"/>
      <c r="P588" s="1903"/>
      <c r="Q588" s="1903"/>
      <c r="R588" s="1903"/>
      <c r="T588" s="35"/>
      <c r="U588" s="12" t="s">
        <v>90</v>
      </c>
      <c r="Z588" s="2144" t="s">
        <v>2585</v>
      </c>
      <c r="AA588" s="1903"/>
      <c r="AB588" s="1903"/>
      <c r="AC588" s="1903"/>
      <c r="AD588" s="1903"/>
      <c r="AE588" s="1903"/>
      <c r="AF588" s="1903"/>
      <c r="AG588" s="1903"/>
      <c r="AH588" s="1903"/>
      <c r="AI588" s="1903"/>
      <c r="AJ588" s="1903"/>
      <c r="AK588" s="19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1925" t="s">
        <v>2514</v>
      </c>
      <c r="H589" s="1877"/>
      <c r="I589" s="1877"/>
      <c r="J589" s="1877"/>
      <c r="K589" s="1877"/>
      <c r="L589" s="1877"/>
      <c r="M589" s="1877"/>
      <c r="N589" s="1877"/>
      <c r="O589" s="1877"/>
      <c r="P589" s="1877"/>
      <c r="Q589" s="1877"/>
      <c r="R589" s="1877"/>
      <c r="T589" s="35"/>
      <c r="U589" s="12" t="s">
        <v>607</v>
      </c>
      <c r="Z589" s="1925" t="s">
        <v>2511</v>
      </c>
      <c r="AA589" s="1877"/>
      <c r="AB589" s="1877"/>
      <c r="AC589" s="1877"/>
      <c r="AD589" s="1877"/>
      <c r="AE589" s="1877"/>
      <c r="AF589" s="1877"/>
      <c r="AG589" s="1877"/>
      <c r="AH589" s="1877"/>
      <c r="AI589" s="1877"/>
      <c r="AJ589" s="1877"/>
      <c r="AK589" s="18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25" t="s">
        <v>2584</v>
      </c>
      <c r="H590" s="1877"/>
      <c r="I590" s="1877"/>
      <c r="J590" s="1877"/>
      <c r="K590" s="1877"/>
      <c r="L590" s="1877"/>
      <c r="M590" s="1877"/>
      <c r="N590" s="1877"/>
      <c r="O590" s="1877"/>
      <c r="P590" s="1877"/>
      <c r="Q590" s="1877"/>
      <c r="R590" s="1877"/>
      <c r="T590" s="35"/>
      <c r="U590" s="12" t="s">
        <v>17</v>
      </c>
      <c r="Z590" s="1925" t="s">
        <v>2512</v>
      </c>
      <c r="AA590" s="1877"/>
      <c r="AB590" s="1877"/>
      <c r="AC590" s="1877"/>
      <c r="AD590" s="1877"/>
      <c r="AE590" s="1877"/>
      <c r="AF590" s="1877"/>
      <c r="AG590" s="1877"/>
      <c r="AH590" s="1877"/>
      <c r="AI590" s="1877"/>
      <c r="AJ590" s="1877"/>
      <c r="AK590" s="18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58">
        <v>9167736060</v>
      </c>
      <c r="H591" s="2158"/>
      <c r="I591" s="2158"/>
      <c r="J591" s="2158"/>
      <c r="K591" s="2158"/>
      <c r="L591" s="2158"/>
      <c r="O591" s="137" t="s">
        <v>212</v>
      </c>
      <c r="P591" s="1876"/>
      <c r="Q591" s="1876"/>
      <c r="R591" s="1876"/>
      <c r="T591" s="35"/>
      <c r="U591" s="12" t="s">
        <v>322</v>
      </c>
      <c r="Z591" s="2158">
        <v>7146281654</v>
      </c>
      <c r="AA591" s="2158"/>
      <c r="AB591" s="2158"/>
      <c r="AC591" s="2158"/>
      <c r="AD591" s="2158"/>
      <c r="AE591" s="2158"/>
      <c r="AH591" s="137" t="s">
        <v>212</v>
      </c>
      <c r="AI591" s="1876"/>
      <c r="AJ591" s="1876"/>
      <c r="AK591" s="187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44" t="s">
        <v>2579</v>
      </c>
      <c r="I592" s="1903"/>
      <c r="J592" s="1903"/>
      <c r="K592" s="1903"/>
      <c r="L592" s="1903"/>
      <c r="M592" s="1903"/>
      <c r="N592" s="1903"/>
      <c r="O592" s="1903"/>
      <c r="P592" s="1903"/>
      <c r="Q592" s="1903"/>
      <c r="R592" s="1903"/>
      <c r="T592" s="35"/>
      <c r="U592" s="12" t="s">
        <v>18</v>
      </c>
      <c r="AA592" s="2144" t="s">
        <v>2586</v>
      </c>
      <c r="AB592" s="1903"/>
      <c r="AC592" s="1903"/>
      <c r="AD592" s="1903"/>
      <c r="AE592" s="1903"/>
      <c r="AF592" s="1903"/>
      <c r="AG592" s="1903"/>
      <c r="AH592" s="1903"/>
      <c r="AI592" s="1903"/>
      <c r="AJ592" s="1903"/>
      <c r="AK592" s="19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75" t="s">
        <v>571</v>
      </c>
      <c r="O593" s="1875"/>
      <c r="T593" s="35"/>
      <c r="U593" s="12" t="s">
        <v>20</v>
      </c>
      <c r="AG593" s="1875" t="s">
        <v>571</v>
      </c>
      <c r="AH593" s="18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1867" t="str">
        <f>C568</f>
        <v>Riverside Charitable Corporation</v>
      </c>
      <c r="H595" s="1867"/>
      <c r="I595" s="1867"/>
      <c r="J595" s="1867"/>
      <c r="K595" s="1867"/>
      <c r="L595" s="1867"/>
      <c r="M595" s="1867"/>
      <c r="N595" s="1867"/>
      <c r="O595" s="1867"/>
      <c r="P595" s="1867"/>
      <c r="Q595" s="1867"/>
      <c r="R595" s="1867"/>
      <c r="T595" s="87" t="s">
        <v>611</v>
      </c>
      <c r="U595" s="12" t="s">
        <v>489</v>
      </c>
      <c r="Z595" s="1867" t="str">
        <f>C569</f>
        <v>WNC - Tax Credit Equity</v>
      </c>
      <c r="AA595" s="1867"/>
      <c r="AB595" s="1867"/>
      <c r="AC595" s="1867"/>
      <c r="AD595" s="1867"/>
      <c r="AE595" s="1867"/>
      <c r="AF595" s="1867"/>
      <c r="AG595" s="1867"/>
      <c r="AH595" s="1867"/>
      <c r="AI595" s="1867"/>
      <c r="AJ595" s="1867"/>
      <c r="AK595" s="186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44" t="s">
        <v>2585</v>
      </c>
      <c r="H596" s="1903"/>
      <c r="I596" s="1903"/>
      <c r="J596" s="1903"/>
      <c r="K596" s="1903"/>
      <c r="L596" s="1903"/>
      <c r="M596" s="1903"/>
      <c r="N596" s="1903"/>
      <c r="O596" s="1903"/>
      <c r="P596" s="1903"/>
      <c r="Q596" s="1903"/>
      <c r="R596" s="1903"/>
      <c r="T596" s="35"/>
      <c r="U596" s="12" t="s">
        <v>90</v>
      </c>
      <c r="Z596" s="1903" t="s">
        <v>2539</v>
      </c>
      <c r="AA596" s="1903"/>
      <c r="AB596" s="1903"/>
      <c r="AC596" s="1903"/>
      <c r="AD596" s="1903"/>
      <c r="AE596" s="1903"/>
      <c r="AF596" s="1903"/>
      <c r="AG596" s="1903"/>
      <c r="AH596" s="1903"/>
      <c r="AI596" s="1903"/>
      <c r="AJ596" s="1903"/>
      <c r="AK596" s="19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1925" t="s">
        <v>2511</v>
      </c>
      <c r="H597" s="1877"/>
      <c r="I597" s="1877"/>
      <c r="J597" s="1877"/>
      <c r="K597" s="1877"/>
      <c r="L597" s="1877"/>
      <c r="M597" s="1877"/>
      <c r="N597" s="1877"/>
      <c r="O597" s="1877"/>
      <c r="P597" s="1877"/>
      <c r="Q597" s="1877"/>
      <c r="R597" s="1877"/>
      <c r="T597" s="35"/>
      <c r="U597" s="12" t="s">
        <v>607</v>
      </c>
      <c r="Z597" s="1877" t="s">
        <v>2588</v>
      </c>
      <c r="AA597" s="1877"/>
      <c r="AB597" s="1877"/>
      <c r="AC597" s="1877"/>
      <c r="AD597" s="1877"/>
      <c r="AE597" s="1877"/>
      <c r="AF597" s="1877"/>
      <c r="AG597" s="1877"/>
      <c r="AH597" s="1877"/>
      <c r="AI597" s="1877"/>
      <c r="AJ597" s="1877"/>
      <c r="AK597" s="18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25" t="s">
        <v>2512</v>
      </c>
      <c r="H598" s="1877"/>
      <c r="I598" s="1877"/>
      <c r="J598" s="1877"/>
      <c r="K598" s="1877"/>
      <c r="L598" s="1877"/>
      <c r="M598" s="1877"/>
      <c r="N598" s="1877"/>
      <c r="O598" s="1877"/>
      <c r="P598" s="1877"/>
      <c r="Q598" s="1877"/>
      <c r="R598" s="1877"/>
      <c r="T598" s="35"/>
      <c r="U598" s="12" t="s">
        <v>17</v>
      </c>
      <c r="Z598" s="1877" t="s">
        <v>2541</v>
      </c>
      <c r="AA598" s="1877"/>
      <c r="AB598" s="1877"/>
      <c r="AC598" s="1877"/>
      <c r="AD598" s="1877"/>
      <c r="AE598" s="1877"/>
      <c r="AF598" s="1877"/>
      <c r="AG598" s="1877"/>
      <c r="AH598" s="1877"/>
      <c r="AI598" s="1877"/>
      <c r="AJ598" s="1877"/>
      <c r="AK598" s="18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58">
        <v>7146281654</v>
      </c>
      <c r="H599" s="2158"/>
      <c r="I599" s="2158"/>
      <c r="J599" s="2158"/>
      <c r="K599" s="2158"/>
      <c r="L599" s="2158"/>
      <c r="O599" s="137" t="s">
        <v>212</v>
      </c>
      <c r="P599" s="1876"/>
      <c r="Q599" s="1876"/>
      <c r="R599" s="1876"/>
      <c r="T599" s="35"/>
      <c r="U599" s="12" t="s">
        <v>322</v>
      </c>
      <c r="Z599" s="2158" t="s">
        <v>2589</v>
      </c>
      <c r="AA599" s="2158"/>
      <c r="AB599" s="2158"/>
      <c r="AC599" s="2158"/>
      <c r="AD599" s="2158"/>
      <c r="AE599" s="2158"/>
      <c r="AH599" s="137" t="s">
        <v>212</v>
      </c>
      <c r="AI599" s="1876"/>
      <c r="AJ599" s="1876"/>
      <c r="AK599" s="187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44" t="s">
        <v>2587</v>
      </c>
      <c r="I600" s="1903"/>
      <c r="J600" s="1903"/>
      <c r="K600" s="1903"/>
      <c r="L600" s="1903"/>
      <c r="M600" s="1903"/>
      <c r="N600" s="1903"/>
      <c r="O600" s="1903"/>
      <c r="P600" s="1903"/>
      <c r="Q600" s="1903"/>
      <c r="R600" s="1903"/>
      <c r="T600" s="35"/>
      <c r="U600" s="12" t="s">
        <v>18</v>
      </c>
      <c r="AA600" s="2144" t="s">
        <v>2590</v>
      </c>
      <c r="AB600" s="1903"/>
      <c r="AC600" s="1903"/>
      <c r="AD600" s="1903"/>
      <c r="AE600" s="1903"/>
      <c r="AF600" s="1903"/>
      <c r="AG600" s="1903"/>
      <c r="AH600" s="1903"/>
      <c r="AI600" s="1903"/>
      <c r="AJ600" s="1903"/>
      <c r="AK600" s="19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875" t="s">
        <v>571</v>
      </c>
      <c r="O601" s="1875"/>
      <c r="T601" s="35"/>
      <c r="U601" s="12" t="s">
        <v>20</v>
      </c>
      <c r="AG601" s="1875" t="s">
        <v>571</v>
      </c>
      <c r="AH601" s="187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1867" t="str">
        <f>C570</f>
        <v>NOI During Construction</v>
      </c>
      <c r="H603" s="1867"/>
      <c r="I603" s="1867"/>
      <c r="J603" s="1867"/>
      <c r="K603" s="1867"/>
      <c r="L603" s="1867"/>
      <c r="M603" s="1867"/>
      <c r="N603" s="1867"/>
      <c r="O603" s="1867"/>
      <c r="P603" s="1867"/>
      <c r="Q603" s="1867"/>
      <c r="R603" s="1867"/>
      <c r="T603" s="87" t="s">
        <v>482</v>
      </c>
      <c r="U603" s="12" t="s">
        <v>489</v>
      </c>
      <c r="Z603" s="1867">
        <f>C571</f>
        <v>0</v>
      </c>
      <c r="AA603" s="1867"/>
      <c r="AB603" s="1867"/>
      <c r="AC603" s="1867"/>
      <c r="AD603" s="1867"/>
      <c r="AE603" s="1867"/>
      <c r="AF603" s="1867"/>
      <c r="AG603" s="1867"/>
      <c r="AH603" s="1867"/>
      <c r="AI603" s="1867"/>
      <c r="AJ603" s="1867"/>
      <c r="AK603" s="186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144" t="s">
        <v>2491</v>
      </c>
      <c r="H604" s="1903"/>
      <c r="I604" s="1903"/>
      <c r="J604" s="1903"/>
      <c r="K604" s="1903"/>
      <c r="L604" s="1903"/>
      <c r="M604" s="1903"/>
      <c r="N604" s="1903"/>
      <c r="O604" s="1903"/>
      <c r="P604" s="1903"/>
      <c r="Q604" s="1903"/>
      <c r="R604" s="1903"/>
      <c r="T604" s="35"/>
      <c r="U604" s="12" t="s">
        <v>90</v>
      </c>
      <c r="Z604" s="1903"/>
      <c r="AA604" s="1903"/>
      <c r="AB604" s="1903"/>
      <c r="AC604" s="1903"/>
      <c r="AD604" s="1903"/>
      <c r="AE604" s="1903"/>
      <c r="AF604" s="1903"/>
      <c r="AG604" s="1903"/>
      <c r="AH604" s="1903"/>
      <c r="AI604" s="1903"/>
      <c r="AJ604" s="1903"/>
      <c r="AK604" s="19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1925" t="s">
        <v>2514</v>
      </c>
      <c r="H605" s="1877"/>
      <c r="I605" s="1877"/>
      <c r="J605" s="1877"/>
      <c r="K605" s="1877"/>
      <c r="L605" s="1877"/>
      <c r="M605" s="1877"/>
      <c r="N605" s="1877"/>
      <c r="O605" s="1877"/>
      <c r="P605" s="1877"/>
      <c r="Q605" s="1877"/>
      <c r="R605" s="1877"/>
      <c r="T605" s="35"/>
      <c r="U605" s="12" t="s">
        <v>607</v>
      </c>
      <c r="Z605" s="1877"/>
      <c r="AA605" s="1877"/>
      <c r="AB605" s="1877"/>
      <c r="AC605" s="1877"/>
      <c r="AD605" s="1877"/>
      <c r="AE605" s="1877"/>
      <c r="AF605" s="1877"/>
      <c r="AG605" s="1877"/>
      <c r="AH605" s="1877"/>
      <c r="AI605" s="1877"/>
      <c r="AJ605" s="1877"/>
      <c r="AK605" s="18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25" t="s">
        <v>2584</v>
      </c>
      <c r="H606" s="1877"/>
      <c r="I606" s="1877"/>
      <c r="J606" s="1877"/>
      <c r="K606" s="1877"/>
      <c r="L606" s="1877"/>
      <c r="M606" s="1877"/>
      <c r="N606" s="1877"/>
      <c r="O606" s="1877"/>
      <c r="P606" s="1877"/>
      <c r="Q606" s="1877"/>
      <c r="R606" s="1877"/>
      <c r="T606" s="35"/>
      <c r="U606" s="12" t="s">
        <v>17</v>
      </c>
      <c r="Z606" s="1877"/>
      <c r="AA606" s="1877"/>
      <c r="AB606" s="1877"/>
      <c r="AC606" s="1877"/>
      <c r="AD606" s="1877"/>
      <c r="AE606" s="1877"/>
      <c r="AF606" s="1877"/>
      <c r="AG606" s="1877"/>
      <c r="AH606" s="1877"/>
      <c r="AI606" s="1877"/>
      <c r="AJ606" s="1877"/>
      <c r="AK606" s="18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58">
        <v>9167736060</v>
      </c>
      <c r="H607" s="2158"/>
      <c r="I607" s="2158"/>
      <c r="J607" s="2158"/>
      <c r="K607" s="2158"/>
      <c r="L607" s="2158"/>
      <c r="M607" s="12"/>
      <c r="N607" s="12"/>
      <c r="O607" s="137" t="s">
        <v>212</v>
      </c>
      <c r="P607" s="1876"/>
      <c r="Q607" s="1876"/>
      <c r="R607" s="1876"/>
      <c r="S607" s="12"/>
      <c r="T607" s="35"/>
      <c r="U607" s="12" t="s">
        <v>322</v>
      </c>
      <c r="V607" s="12"/>
      <c r="W607" s="12"/>
      <c r="X607" s="12"/>
      <c r="Y607" s="12"/>
      <c r="Z607" s="2146"/>
      <c r="AA607" s="2146"/>
      <c r="AB607" s="2146"/>
      <c r="AC607" s="2146"/>
      <c r="AD607" s="2146"/>
      <c r="AE607" s="2146"/>
      <c r="AF607" s="12"/>
      <c r="AG607" s="12"/>
      <c r="AH607" s="137" t="s">
        <v>212</v>
      </c>
      <c r="AI607" s="1876"/>
      <c r="AJ607" s="1876"/>
      <c r="AK607" s="187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144" t="s">
        <v>2591</v>
      </c>
      <c r="I608" s="1903"/>
      <c r="J608" s="1903"/>
      <c r="K608" s="1903"/>
      <c r="L608" s="1903"/>
      <c r="M608" s="1903"/>
      <c r="N608" s="1903"/>
      <c r="O608" s="1903"/>
      <c r="P608" s="1903"/>
      <c r="Q608" s="1903"/>
      <c r="R608" s="1903"/>
      <c r="S608" s="12"/>
      <c r="T608" s="35"/>
      <c r="U608" s="12" t="s">
        <v>18</v>
      </c>
      <c r="V608" s="12"/>
      <c r="W608" s="12"/>
      <c r="X608" s="12"/>
      <c r="Y608" s="12"/>
      <c r="Z608" s="12"/>
      <c r="AA608" s="1903"/>
      <c r="AB608" s="1903"/>
      <c r="AC608" s="1903"/>
      <c r="AD608" s="1903"/>
      <c r="AE608" s="1903"/>
      <c r="AF608" s="1903"/>
      <c r="AG608" s="1903"/>
      <c r="AH608" s="1903"/>
      <c r="AI608" s="1903"/>
      <c r="AJ608" s="1903"/>
      <c r="AK608" s="19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2174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875" t="s">
        <v>571</v>
      </c>
      <c r="O609" s="1875"/>
      <c r="P609" s="12"/>
      <c r="Q609" s="12"/>
      <c r="R609" s="12"/>
      <c r="S609" s="12"/>
      <c r="T609" s="35"/>
      <c r="U609" s="12" t="s">
        <v>20</v>
      </c>
      <c r="V609" s="12"/>
      <c r="W609" s="12"/>
      <c r="X609" s="12"/>
      <c r="Y609" s="12"/>
      <c r="Z609" s="12"/>
      <c r="AA609" s="12"/>
      <c r="AB609" s="12"/>
      <c r="AC609" s="12"/>
      <c r="AD609" s="12"/>
      <c r="AE609" s="12"/>
      <c r="AF609" s="12"/>
      <c r="AG609" s="1875" t="s">
        <v>696</v>
      </c>
      <c r="AH609" s="18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1879"/>
      <c r="BH609" s="1881"/>
      <c r="BI609" s="185" t="s">
        <v>501</v>
      </c>
      <c r="BJ609" s="186"/>
      <c r="BK609" s="1879"/>
      <c r="BL609" s="1881"/>
      <c r="BM609" s="58"/>
      <c r="BN609" s="1971" t="s">
        <v>660</v>
      </c>
      <c r="BO609" s="1972"/>
      <c r="BP609" s="1972"/>
      <c r="BQ609" s="1972"/>
      <c r="BR609" s="1973"/>
      <c r="BS609" s="1927" t="s">
        <v>331</v>
      </c>
      <c r="BT609" s="1927"/>
      <c r="BU609" s="1927"/>
      <c r="BV609" s="1927"/>
      <c r="BW609" s="1927"/>
      <c r="BX609" s="1927" t="s">
        <v>168</v>
      </c>
      <c r="BY609" s="1927"/>
      <c r="BZ609" s="1927"/>
      <c r="CA609" s="1927"/>
      <c r="CB609" s="1927"/>
      <c r="CC609" s="1927" t="s">
        <v>169</v>
      </c>
      <c r="CD609" s="1927"/>
      <c r="CE609" s="1927"/>
      <c r="CF609" s="1927"/>
      <c r="CG609" s="1927"/>
      <c r="CH609" s="1927" t="s">
        <v>486</v>
      </c>
      <c r="CI609" s="1927"/>
      <c r="CJ609" s="1927"/>
      <c r="CK609" s="1927"/>
      <c r="CL609" s="1927"/>
      <c r="CM609" s="1927" t="s">
        <v>31</v>
      </c>
      <c r="CN609" s="1927"/>
      <c r="CO609" s="1927"/>
      <c r="CP609" s="1927"/>
      <c r="CQ609" s="1927"/>
      <c r="CR609" s="1093"/>
      <c r="CS609" s="1927" t="s">
        <v>660</v>
      </c>
      <c r="CT609" s="1927"/>
      <c r="CU609" s="1927"/>
      <c r="CV609" s="1927"/>
      <c r="CW609" s="1927"/>
      <c r="CX609" s="1927" t="s">
        <v>331</v>
      </c>
      <c r="CY609" s="1927"/>
      <c r="CZ609" s="1927"/>
      <c r="DA609" s="1927"/>
      <c r="DB609" s="1927"/>
      <c r="DC609" s="1927" t="s">
        <v>168</v>
      </c>
      <c r="DD609" s="1927"/>
      <c r="DE609" s="1927"/>
      <c r="DF609" s="1927"/>
      <c r="DG609" s="1927"/>
      <c r="DH609" s="1927" t="s">
        <v>169</v>
      </c>
      <c r="DI609" s="1927"/>
      <c r="DJ609" s="1927"/>
      <c r="DK609" s="1927"/>
      <c r="DL609" s="1927"/>
      <c r="DM609" s="1927" t="s">
        <v>486</v>
      </c>
      <c r="DN609" s="1927"/>
      <c r="DO609" s="1927"/>
      <c r="DP609" s="1927"/>
      <c r="DQ609" s="1927"/>
      <c r="DR609" s="1927" t="s">
        <v>31</v>
      </c>
      <c r="DS609" s="1927"/>
      <c r="DT609" s="1927"/>
      <c r="DU609" s="1927"/>
      <c r="DV609" s="1927"/>
      <c r="DX609" s="1927" t="s">
        <v>660</v>
      </c>
      <c r="DY609" s="1927"/>
      <c r="DZ609" s="1927"/>
      <c r="EA609" s="1927"/>
      <c r="EB609" s="1927"/>
      <c r="EC609" s="1927" t="s">
        <v>331</v>
      </c>
      <c r="ED609" s="1927"/>
      <c r="EE609" s="1927"/>
      <c r="EF609" s="1927"/>
      <c r="EG609" s="1927"/>
      <c r="EH609" s="1927" t="s">
        <v>168</v>
      </c>
      <c r="EI609" s="1927"/>
      <c r="EJ609" s="1927"/>
      <c r="EK609" s="1927"/>
      <c r="EL609" s="1927"/>
      <c r="EM609" s="1927" t="s">
        <v>169</v>
      </c>
      <c r="EN609" s="1927"/>
      <c r="EO609" s="1927"/>
      <c r="EP609" s="1927"/>
      <c r="EQ609" s="1927"/>
      <c r="ER609" s="1927" t="s">
        <v>486</v>
      </c>
      <c r="ES609" s="1927"/>
      <c r="ET609" s="1927"/>
      <c r="EU609" s="1927"/>
      <c r="EV609" s="1927"/>
      <c r="EW609" s="1927" t="s">
        <v>31</v>
      </c>
      <c r="EX609" s="1927"/>
      <c r="EY609" s="1927"/>
      <c r="EZ609" s="1927"/>
      <c r="FA609" s="192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1885">
        <f t="shared" ref="BE610:BE634" si="0">IF(AND(AC728&lt;=0.5,AC728&gt;=0.36),1,0)</f>
        <v>0</v>
      </c>
      <c r="BF610" s="1887"/>
      <c r="BG610" s="1879">
        <f t="shared" ref="BG610:BG634" si="1">IF(BE610=1,G728,0)</f>
        <v>0</v>
      </c>
      <c r="BH610" s="1881"/>
      <c r="BI610" s="1885">
        <f t="shared" ref="BI610:BI634" si="2">IF(AND(AC728&lt;=0.35,AC728&gt;0),1,0)</f>
        <v>1</v>
      </c>
      <c r="BJ610" s="1887"/>
      <c r="BK610" s="1879">
        <f t="shared" ref="BK610:BK634" si="3">IF(BI610=1,G728,0)</f>
        <v>11</v>
      </c>
      <c r="BL610" s="1881"/>
      <c r="BM610" s="58"/>
      <c r="BN610" s="1864">
        <f t="shared" ref="BN610:BN634" si="4">IF(B728="SRO/Studio",G728,0)</f>
        <v>0</v>
      </c>
      <c r="BO610" s="1865"/>
      <c r="BP610" s="1865"/>
      <c r="BQ610" s="1865"/>
      <c r="BR610" s="1866"/>
      <c r="BS610" s="1871">
        <f t="shared" ref="BS610:BS634" si="5">IF(B728="1 Bedroom",G728,0)</f>
        <v>11</v>
      </c>
      <c r="BT610" s="1871"/>
      <c r="BU610" s="1871"/>
      <c r="BV610" s="1871"/>
      <c r="BW610" s="1871"/>
      <c r="BX610" s="1871">
        <f t="shared" ref="BX610:BX634" si="6">IF(B728="2 Bedrooms",G728,0)</f>
        <v>0</v>
      </c>
      <c r="BY610" s="1871"/>
      <c r="BZ610" s="1871"/>
      <c r="CA610" s="1871"/>
      <c r="CB610" s="1871"/>
      <c r="CC610" s="1871">
        <f t="shared" ref="CC610:CC634" si="7">IF(B728="3 Bedrooms",G728,0)</f>
        <v>0</v>
      </c>
      <c r="CD610" s="1871"/>
      <c r="CE610" s="1871"/>
      <c r="CF610" s="1871"/>
      <c r="CG610" s="1871"/>
      <c r="CH610" s="1871">
        <f t="shared" ref="CH610:CH634" si="8">IF(B728="4 Bedrooms",G728,0)</f>
        <v>0</v>
      </c>
      <c r="CI610" s="1871"/>
      <c r="CJ610" s="1871"/>
      <c r="CK610" s="1871"/>
      <c r="CL610" s="1871"/>
      <c r="CM610" s="1871">
        <f t="shared" ref="CM610:CM634" si="9">IF(B728="5 Bedrooms",G728,0)</f>
        <v>0</v>
      </c>
      <c r="CN610" s="1871"/>
      <c r="CO610" s="1871"/>
      <c r="CP610" s="1871"/>
      <c r="CQ610" s="1871"/>
      <c r="CR610" s="265"/>
      <c r="CS610" s="1888">
        <f t="shared" ref="CS610:CS634" si="10">IF(AND(B728="SRO/Studio",AC728&lt;=0.3),G728,0)</f>
        <v>0</v>
      </c>
      <c r="CT610" s="1888"/>
      <c r="CU610" s="1888"/>
      <c r="CV610" s="1888"/>
      <c r="CW610" s="1888"/>
      <c r="CX610" s="1888">
        <f t="shared" ref="CX610:CX634" si="11">IF(AND(B728="1 Bedroom",AC728&lt;=0.3),G728,0)</f>
        <v>11</v>
      </c>
      <c r="CY610" s="1888"/>
      <c r="CZ610" s="1888"/>
      <c r="DA610" s="1888"/>
      <c r="DB610" s="1888"/>
      <c r="DC610" s="1888">
        <f t="shared" ref="DC610:DC634" si="12">IF(AND(B728="2 Bedrooms",AC728&lt;=0.3),G728,0)</f>
        <v>0</v>
      </c>
      <c r="DD610" s="1888"/>
      <c r="DE610" s="1888"/>
      <c r="DF610" s="1888"/>
      <c r="DG610" s="1888"/>
      <c r="DH610" s="1888">
        <f t="shared" ref="DH610:DH634" si="13">IF(AND(B728="3 Bedrooms",AC728&lt;=0.3),G728,0)</f>
        <v>0</v>
      </c>
      <c r="DI610" s="1888"/>
      <c r="DJ610" s="1888"/>
      <c r="DK610" s="1888"/>
      <c r="DL610" s="1888"/>
      <c r="DM610" s="1888">
        <f t="shared" ref="DM610:DM634" si="14">IF(AND(B728="4 Bedrooms",AC728&lt;=0.3),G728,0)</f>
        <v>0</v>
      </c>
      <c r="DN610" s="1888"/>
      <c r="DO610" s="1888"/>
      <c r="DP610" s="1888"/>
      <c r="DQ610" s="1888"/>
      <c r="DR610" s="1888">
        <f t="shared" ref="DR610:DR634" si="15">IF(AND(B728="5 Bedrooms",AC728&lt;=0.3),G728,0)</f>
        <v>0</v>
      </c>
      <c r="DS610" s="1888"/>
      <c r="DT610" s="1888"/>
      <c r="DU610" s="1888"/>
      <c r="DV610" s="1888"/>
      <c r="DX610" s="1885" t="str">
        <f t="shared" ref="DX610:DX634" si="16">IF(BN610&gt;0,O728," ")</f>
        <v xml:space="preserve"> </v>
      </c>
      <c r="DY610" s="1886"/>
      <c r="DZ610" s="1886"/>
      <c r="EA610" s="1886"/>
      <c r="EB610" s="1887"/>
      <c r="EC610" s="1885">
        <f t="shared" ref="EC610:EC634" si="17">IF(BS610&gt;0,O728," ")</f>
        <v>710</v>
      </c>
      <c r="ED610" s="1886"/>
      <c r="EE610" s="1886"/>
      <c r="EF610" s="1886"/>
      <c r="EG610" s="1887"/>
      <c r="EH610" s="1885" t="str">
        <f t="shared" ref="EH610:EH634" si="18">IF(BX610&gt;0,O728," ")</f>
        <v xml:space="preserve"> </v>
      </c>
      <c r="EI610" s="1886"/>
      <c r="EJ610" s="1886"/>
      <c r="EK610" s="1886"/>
      <c r="EL610" s="1887"/>
      <c r="EM610" s="1885" t="str">
        <f t="shared" ref="EM610:EM634" si="19">IF(CC610&gt;0,O728," ")</f>
        <v xml:space="preserve"> </v>
      </c>
      <c r="EN610" s="1886"/>
      <c r="EO610" s="1886"/>
      <c r="EP610" s="1886"/>
      <c r="EQ610" s="1887"/>
      <c r="ER610" s="1885" t="str">
        <f t="shared" ref="ER610:ER634" si="20">IF(CH610&gt;0,O728," ")</f>
        <v xml:space="preserve"> </v>
      </c>
      <c r="ES610" s="1886"/>
      <c r="ET610" s="1886"/>
      <c r="EU610" s="1886"/>
      <c r="EV610" s="1887"/>
      <c r="EW610" s="1885" t="str">
        <f t="shared" ref="EW610:EW634" si="21">IF(CM610&gt;0,O728," ")</f>
        <v xml:space="preserve"> </v>
      </c>
      <c r="EX610" s="1886"/>
      <c r="EY610" s="1886"/>
      <c r="EZ610" s="1886"/>
      <c r="FA610" s="1887"/>
    </row>
    <row r="611" spans="1:157" s="7" customFormat="1" ht="12.75">
      <c r="A611" s="87" t="s">
        <v>487</v>
      </c>
      <c r="B611" s="12" t="s">
        <v>489</v>
      </c>
      <c r="C611" s="12"/>
      <c r="D611" s="12"/>
      <c r="E611" s="12"/>
      <c r="F611" s="12"/>
      <c r="G611" s="1867">
        <f>C572</f>
        <v>0</v>
      </c>
      <c r="H611" s="1867"/>
      <c r="I611" s="1867"/>
      <c r="J611" s="1867"/>
      <c r="K611" s="1867"/>
      <c r="L611" s="1867"/>
      <c r="M611" s="1867"/>
      <c r="N611" s="1867"/>
      <c r="O611" s="1867"/>
      <c r="P611" s="1867"/>
      <c r="Q611" s="1867"/>
      <c r="R611" s="1867"/>
      <c r="S611" s="12"/>
      <c r="T611" s="87" t="s">
        <v>673</v>
      </c>
      <c r="U611" s="12" t="s">
        <v>489</v>
      </c>
      <c r="V611" s="12"/>
      <c r="W611" s="12"/>
      <c r="X611" s="12"/>
      <c r="Y611" s="12"/>
      <c r="Z611" s="1867">
        <f>C573</f>
        <v>0</v>
      </c>
      <c r="AA611" s="1867"/>
      <c r="AB611" s="1867"/>
      <c r="AC611" s="1867"/>
      <c r="AD611" s="1867"/>
      <c r="AE611" s="1867"/>
      <c r="AF611" s="1867"/>
      <c r="AG611" s="1867"/>
      <c r="AH611" s="1867"/>
      <c r="AI611" s="1867"/>
      <c r="AJ611" s="1867"/>
      <c r="AK611" s="1867"/>
      <c r="AL611" s="12"/>
      <c r="AM611" s="39"/>
      <c r="AN611" s="39"/>
      <c r="AO611" s="39"/>
      <c r="AP611" s="39"/>
      <c r="AQ611" s="39"/>
      <c r="AR611" s="39"/>
      <c r="AS611" s="39"/>
      <c r="AT611" s="39"/>
      <c r="AU611" s="39"/>
      <c r="AV611" s="39"/>
      <c r="AW611" s="39"/>
      <c r="AX611" s="39"/>
      <c r="AY611" s="39"/>
      <c r="BA611" s="7" t="s">
        <v>168</v>
      </c>
      <c r="BB611" s="58"/>
      <c r="BC611" s="58"/>
      <c r="BD611" s="58"/>
      <c r="BE611" s="1885">
        <f t="shared" si="0"/>
        <v>1</v>
      </c>
      <c r="BF611" s="1887"/>
      <c r="BG611" s="1879">
        <f t="shared" si="1"/>
        <v>22</v>
      </c>
      <c r="BH611" s="1881"/>
      <c r="BI611" s="1885">
        <f t="shared" si="2"/>
        <v>0</v>
      </c>
      <c r="BJ611" s="1887"/>
      <c r="BK611" s="1879">
        <f t="shared" si="3"/>
        <v>0</v>
      </c>
      <c r="BL611" s="1881"/>
      <c r="BM611" s="58"/>
      <c r="BN611" s="1864">
        <f t="shared" si="4"/>
        <v>0</v>
      </c>
      <c r="BO611" s="1865"/>
      <c r="BP611" s="1865"/>
      <c r="BQ611" s="1865"/>
      <c r="BR611" s="1866"/>
      <c r="BS611" s="1871">
        <f t="shared" si="5"/>
        <v>22</v>
      </c>
      <c r="BT611" s="1871"/>
      <c r="BU611" s="1871"/>
      <c r="BV611" s="1871"/>
      <c r="BW611" s="1871"/>
      <c r="BX611" s="1871">
        <f t="shared" si="6"/>
        <v>0</v>
      </c>
      <c r="BY611" s="1871"/>
      <c r="BZ611" s="1871"/>
      <c r="CA611" s="1871"/>
      <c r="CB611" s="1871"/>
      <c r="CC611" s="1871">
        <f t="shared" si="7"/>
        <v>0</v>
      </c>
      <c r="CD611" s="1871"/>
      <c r="CE611" s="1871"/>
      <c r="CF611" s="1871"/>
      <c r="CG611" s="1871"/>
      <c r="CH611" s="1871">
        <f t="shared" si="8"/>
        <v>0</v>
      </c>
      <c r="CI611" s="1871"/>
      <c r="CJ611" s="1871"/>
      <c r="CK611" s="1871"/>
      <c r="CL611" s="1871"/>
      <c r="CM611" s="1871">
        <f t="shared" si="9"/>
        <v>0</v>
      </c>
      <c r="CN611" s="1871"/>
      <c r="CO611" s="1871"/>
      <c r="CP611" s="1871"/>
      <c r="CQ611" s="1871"/>
      <c r="CR611" s="265"/>
      <c r="CS611" s="1888">
        <f t="shared" si="10"/>
        <v>0</v>
      </c>
      <c r="CT611" s="1888"/>
      <c r="CU611" s="1888"/>
      <c r="CV611" s="1888"/>
      <c r="CW611" s="1888"/>
      <c r="CX611" s="1888">
        <f t="shared" si="11"/>
        <v>0</v>
      </c>
      <c r="CY611" s="1888"/>
      <c r="CZ611" s="1888"/>
      <c r="DA611" s="1888"/>
      <c r="DB611" s="1888"/>
      <c r="DC611" s="1888">
        <f t="shared" si="12"/>
        <v>0</v>
      </c>
      <c r="DD611" s="1888"/>
      <c r="DE611" s="1888"/>
      <c r="DF611" s="1888"/>
      <c r="DG611" s="1888"/>
      <c r="DH611" s="1888">
        <f t="shared" si="13"/>
        <v>0</v>
      </c>
      <c r="DI611" s="1888"/>
      <c r="DJ611" s="1888"/>
      <c r="DK611" s="1888"/>
      <c r="DL611" s="1888"/>
      <c r="DM611" s="1888">
        <f t="shared" si="14"/>
        <v>0</v>
      </c>
      <c r="DN611" s="1888"/>
      <c r="DO611" s="1888"/>
      <c r="DP611" s="1888"/>
      <c r="DQ611" s="1888"/>
      <c r="DR611" s="1888">
        <f t="shared" si="15"/>
        <v>0</v>
      </c>
      <c r="DS611" s="1888"/>
      <c r="DT611" s="1888"/>
      <c r="DU611" s="1888"/>
      <c r="DV611" s="1888"/>
      <c r="DX611" s="1885" t="str">
        <f t="shared" si="16"/>
        <v xml:space="preserve"> </v>
      </c>
      <c r="DY611" s="1886"/>
      <c r="DZ611" s="1886"/>
      <c r="EA611" s="1886"/>
      <c r="EB611" s="1887"/>
      <c r="EC611" s="1885">
        <f t="shared" si="17"/>
        <v>1218</v>
      </c>
      <c r="ED611" s="1886"/>
      <c r="EE611" s="1886"/>
      <c r="EF611" s="1886"/>
      <c r="EG611" s="1887"/>
      <c r="EH611" s="1885" t="str">
        <f t="shared" si="18"/>
        <v xml:space="preserve"> </v>
      </c>
      <c r="EI611" s="1886"/>
      <c r="EJ611" s="1886"/>
      <c r="EK611" s="1886"/>
      <c r="EL611" s="1887"/>
      <c r="EM611" s="1885" t="str">
        <f t="shared" si="19"/>
        <v xml:space="preserve"> </v>
      </c>
      <c r="EN611" s="1886"/>
      <c r="EO611" s="1886"/>
      <c r="EP611" s="1886"/>
      <c r="EQ611" s="1887"/>
      <c r="ER611" s="1885" t="str">
        <f t="shared" si="20"/>
        <v xml:space="preserve"> </v>
      </c>
      <c r="ES611" s="1886"/>
      <c r="ET611" s="1886"/>
      <c r="EU611" s="1886"/>
      <c r="EV611" s="1887"/>
      <c r="EW611" s="1885" t="str">
        <f t="shared" si="21"/>
        <v xml:space="preserve"> </v>
      </c>
      <c r="EX611" s="1886"/>
      <c r="EY611" s="1886"/>
      <c r="EZ611" s="1886"/>
      <c r="FA611" s="1887"/>
    </row>
    <row r="612" spans="1:157" ht="12.75">
      <c r="A612" s="35"/>
      <c r="B612" s="12" t="s">
        <v>90</v>
      </c>
      <c r="G612" s="1903"/>
      <c r="H612" s="1903"/>
      <c r="I612" s="1903"/>
      <c r="J612" s="1903"/>
      <c r="K612" s="1903"/>
      <c r="L612" s="1903"/>
      <c r="M612" s="1903"/>
      <c r="N612" s="1903"/>
      <c r="O612" s="1903"/>
      <c r="P612" s="1903"/>
      <c r="Q612" s="1903"/>
      <c r="R612" s="1903"/>
      <c r="T612" s="35"/>
      <c r="U612" s="12" t="s">
        <v>90</v>
      </c>
      <c r="Z612" s="1903"/>
      <c r="AA612" s="1903"/>
      <c r="AB612" s="1903"/>
      <c r="AC612" s="1903"/>
      <c r="AD612" s="1903"/>
      <c r="AE612" s="1903"/>
      <c r="AF612" s="1903"/>
      <c r="AG612" s="1903"/>
      <c r="AH612" s="1903"/>
      <c r="AI612" s="1903"/>
      <c r="AJ612" s="1903"/>
      <c r="AK612" s="1903"/>
      <c r="BA612" s="7" t="s">
        <v>169</v>
      </c>
      <c r="BB612" s="58"/>
      <c r="BC612" s="58"/>
      <c r="BD612" s="58"/>
      <c r="BE612" s="1885">
        <f t="shared" si="0"/>
        <v>0</v>
      </c>
      <c r="BF612" s="1887"/>
      <c r="BG612" s="1879">
        <f t="shared" si="1"/>
        <v>0</v>
      </c>
      <c r="BH612" s="1881"/>
      <c r="BI612" s="1885">
        <f t="shared" si="2"/>
        <v>0</v>
      </c>
      <c r="BJ612" s="1887"/>
      <c r="BK612" s="1879">
        <f t="shared" si="3"/>
        <v>0</v>
      </c>
      <c r="BL612" s="1881"/>
      <c r="BM612" s="58"/>
      <c r="BN612" s="1864">
        <f t="shared" si="4"/>
        <v>0</v>
      </c>
      <c r="BO612" s="1865"/>
      <c r="BP612" s="1865"/>
      <c r="BQ612" s="1865"/>
      <c r="BR612" s="1866"/>
      <c r="BS612" s="1871">
        <f t="shared" si="5"/>
        <v>22</v>
      </c>
      <c r="BT612" s="1871"/>
      <c r="BU612" s="1871"/>
      <c r="BV612" s="1871"/>
      <c r="BW612" s="1871"/>
      <c r="BX612" s="1871">
        <f t="shared" si="6"/>
        <v>0</v>
      </c>
      <c r="BY612" s="1871"/>
      <c r="BZ612" s="1871"/>
      <c r="CA612" s="1871"/>
      <c r="CB612" s="1871"/>
      <c r="CC612" s="1871">
        <f t="shared" si="7"/>
        <v>0</v>
      </c>
      <c r="CD612" s="1871"/>
      <c r="CE612" s="1871"/>
      <c r="CF612" s="1871"/>
      <c r="CG612" s="1871"/>
      <c r="CH612" s="1871">
        <f t="shared" si="8"/>
        <v>0</v>
      </c>
      <c r="CI612" s="1871"/>
      <c r="CJ612" s="1871"/>
      <c r="CK612" s="1871"/>
      <c r="CL612" s="1871"/>
      <c r="CM612" s="1871">
        <f t="shared" si="9"/>
        <v>0</v>
      </c>
      <c r="CN612" s="1871"/>
      <c r="CO612" s="1871"/>
      <c r="CP612" s="1871"/>
      <c r="CQ612" s="1871"/>
      <c r="CR612" s="265"/>
      <c r="CS612" s="1888">
        <f t="shared" si="10"/>
        <v>0</v>
      </c>
      <c r="CT612" s="1888"/>
      <c r="CU612" s="1888"/>
      <c r="CV612" s="1888"/>
      <c r="CW612" s="1888"/>
      <c r="CX612" s="1888">
        <f t="shared" si="11"/>
        <v>0</v>
      </c>
      <c r="CY612" s="1888"/>
      <c r="CZ612" s="1888"/>
      <c r="DA612" s="1888"/>
      <c r="DB612" s="1888"/>
      <c r="DC612" s="1888">
        <f t="shared" si="12"/>
        <v>0</v>
      </c>
      <c r="DD612" s="1888"/>
      <c r="DE612" s="1888"/>
      <c r="DF612" s="1888"/>
      <c r="DG612" s="1888"/>
      <c r="DH612" s="1888">
        <f t="shared" si="13"/>
        <v>0</v>
      </c>
      <c r="DI612" s="1888"/>
      <c r="DJ612" s="1888"/>
      <c r="DK612" s="1888"/>
      <c r="DL612" s="1888"/>
      <c r="DM612" s="1888">
        <f t="shared" si="14"/>
        <v>0</v>
      </c>
      <c r="DN612" s="1888"/>
      <c r="DO612" s="1888"/>
      <c r="DP612" s="1888"/>
      <c r="DQ612" s="1888"/>
      <c r="DR612" s="1888">
        <f t="shared" si="15"/>
        <v>0</v>
      </c>
      <c r="DS612" s="1888"/>
      <c r="DT612" s="1888"/>
      <c r="DU612" s="1888"/>
      <c r="DV612" s="1888"/>
      <c r="DX612" s="1885" t="str">
        <f t="shared" si="16"/>
        <v xml:space="preserve"> </v>
      </c>
      <c r="DY612" s="1886"/>
      <c r="DZ612" s="1886"/>
      <c r="EA612" s="1886"/>
      <c r="EB612" s="1887"/>
      <c r="EC612" s="1885">
        <f t="shared" si="17"/>
        <v>1472</v>
      </c>
      <c r="ED612" s="1886"/>
      <c r="EE612" s="1886"/>
      <c r="EF612" s="1886"/>
      <c r="EG612" s="1887"/>
      <c r="EH612" s="1885" t="str">
        <f t="shared" si="18"/>
        <v xml:space="preserve"> </v>
      </c>
      <c r="EI612" s="1886"/>
      <c r="EJ612" s="1886"/>
      <c r="EK612" s="1886"/>
      <c r="EL612" s="1887"/>
      <c r="EM612" s="1885" t="str">
        <f t="shared" si="19"/>
        <v xml:space="preserve"> </v>
      </c>
      <c r="EN612" s="1886"/>
      <c r="EO612" s="1886"/>
      <c r="EP612" s="1886"/>
      <c r="EQ612" s="1887"/>
      <c r="ER612" s="1885" t="str">
        <f t="shared" si="20"/>
        <v xml:space="preserve"> </v>
      </c>
      <c r="ES612" s="1886"/>
      <c r="ET612" s="1886"/>
      <c r="EU612" s="1886"/>
      <c r="EV612" s="1887"/>
      <c r="EW612" s="1885" t="str">
        <f t="shared" si="21"/>
        <v xml:space="preserve"> </v>
      </c>
      <c r="EX612" s="1886"/>
      <c r="EY612" s="1886"/>
      <c r="EZ612" s="1886"/>
      <c r="FA612" s="1887"/>
    </row>
    <row r="613" spans="1:157" ht="12.75">
      <c r="A613" s="35"/>
      <c r="B613" s="12" t="s">
        <v>607</v>
      </c>
      <c r="G613" s="1903"/>
      <c r="H613" s="1903"/>
      <c r="I613" s="1903"/>
      <c r="J613" s="1903"/>
      <c r="K613" s="1903"/>
      <c r="L613" s="1903"/>
      <c r="M613" s="1903"/>
      <c r="N613" s="1903"/>
      <c r="O613" s="1903"/>
      <c r="P613" s="1903"/>
      <c r="Q613" s="1903"/>
      <c r="R613" s="1903"/>
      <c r="T613" s="35"/>
      <c r="U613" s="12" t="s">
        <v>607</v>
      </c>
      <c r="Z613" s="1877"/>
      <c r="AA613" s="1877"/>
      <c r="AB613" s="1877"/>
      <c r="AC613" s="1877"/>
      <c r="AD613" s="1877"/>
      <c r="AE613" s="1877"/>
      <c r="AF613" s="1877"/>
      <c r="AG613" s="1877"/>
      <c r="AH613" s="1877"/>
      <c r="AI613" s="1877"/>
      <c r="AJ613" s="1877"/>
      <c r="AK613" s="1877"/>
      <c r="BA613" s="7" t="s">
        <v>170</v>
      </c>
      <c r="BB613" s="58"/>
      <c r="BC613" s="58"/>
      <c r="BD613" s="58"/>
      <c r="BE613" s="1885">
        <f t="shared" si="0"/>
        <v>0</v>
      </c>
      <c r="BF613" s="1887"/>
      <c r="BG613" s="1879">
        <f t="shared" si="1"/>
        <v>0</v>
      </c>
      <c r="BH613" s="1881"/>
      <c r="BI613" s="1885">
        <f t="shared" si="2"/>
        <v>0</v>
      </c>
      <c r="BJ613" s="1887"/>
      <c r="BK613" s="1879">
        <f t="shared" si="3"/>
        <v>0</v>
      </c>
      <c r="BL613" s="1881"/>
      <c r="BM613" s="58"/>
      <c r="BN613" s="1864">
        <f t="shared" si="4"/>
        <v>0</v>
      </c>
      <c r="BO613" s="1865"/>
      <c r="BP613" s="1865"/>
      <c r="BQ613" s="1865"/>
      <c r="BR613" s="1866"/>
      <c r="BS613" s="1871">
        <f t="shared" si="5"/>
        <v>56</v>
      </c>
      <c r="BT613" s="1871"/>
      <c r="BU613" s="1871"/>
      <c r="BV613" s="1871"/>
      <c r="BW613" s="1871"/>
      <c r="BX613" s="1871">
        <f t="shared" si="6"/>
        <v>0</v>
      </c>
      <c r="BY613" s="1871"/>
      <c r="BZ613" s="1871"/>
      <c r="CA613" s="1871"/>
      <c r="CB613" s="1871"/>
      <c r="CC613" s="1871">
        <f t="shared" si="7"/>
        <v>0</v>
      </c>
      <c r="CD613" s="1871"/>
      <c r="CE613" s="1871"/>
      <c r="CF613" s="1871"/>
      <c r="CG613" s="1871"/>
      <c r="CH613" s="1871">
        <f t="shared" si="8"/>
        <v>0</v>
      </c>
      <c r="CI613" s="1871"/>
      <c r="CJ613" s="1871"/>
      <c r="CK613" s="1871"/>
      <c r="CL613" s="1871"/>
      <c r="CM613" s="1871">
        <f t="shared" si="9"/>
        <v>0</v>
      </c>
      <c r="CN613" s="1871"/>
      <c r="CO613" s="1871"/>
      <c r="CP613" s="1871"/>
      <c r="CQ613" s="1871"/>
      <c r="CR613" s="265"/>
      <c r="CS613" s="1888">
        <f t="shared" si="10"/>
        <v>0</v>
      </c>
      <c r="CT613" s="1888"/>
      <c r="CU613" s="1888"/>
      <c r="CV613" s="1888"/>
      <c r="CW613" s="1888"/>
      <c r="CX613" s="1888">
        <f t="shared" si="11"/>
        <v>0</v>
      </c>
      <c r="CY613" s="1888"/>
      <c r="CZ613" s="1888"/>
      <c r="DA613" s="1888"/>
      <c r="DB613" s="1888"/>
      <c r="DC613" s="1888">
        <f t="shared" si="12"/>
        <v>0</v>
      </c>
      <c r="DD613" s="1888"/>
      <c r="DE613" s="1888"/>
      <c r="DF613" s="1888"/>
      <c r="DG613" s="1888"/>
      <c r="DH613" s="1888">
        <f t="shared" si="13"/>
        <v>0</v>
      </c>
      <c r="DI613" s="1888"/>
      <c r="DJ613" s="1888"/>
      <c r="DK613" s="1888"/>
      <c r="DL613" s="1888"/>
      <c r="DM613" s="1888">
        <f t="shared" si="14"/>
        <v>0</v>
      </c>
      <c r="DN613" s="1888"/>
      <c r="DO613" s="1888"/>
      <c r="DP613" s="1888"/>
      <c r="DQ613" s="1888"/>
      <c r="DR613" s="1888">
        <f t="shared" si="15"/>
        <v>0</v>
      </c>
      <c r="DS613" s="1888"/>
      <c r="DT613" s="1888"/>
      <c r="DU613" s="1888"/>
      <c r="DV613" s="1888"/>
      <c r="DX613" s="1885" t="str">
        <f t="shared" si="16"/>
        <v xml:space="preserve"> </v>
      </c>
      <c r="DY613" s="1886"/>
      <c r="DZ613" s="1886"/>
      <c r="EA613" s="1886"/>
      <c r="EB613" s="1887"/>
      <c r="EC613" s="1885">
        <f t="shared" si="17"/>
        <v>1726</v>
      </c>
      <c r="ED613" s="1886"/>
      <c r="EE613" s="1886"/>
      <c r="EF613" s="1886"/>
      <c r="EG613" s="1887"/>
      <c r="EH613" s="1885" t="str">
        <f t="shared" si="18"/>
        <v xml:space="preserve"> </v>
      </c>
      <c r="EI613" s="1886"/>
      <c r="EJ613" s="1886"/>
      <c r="EK613" s="1886"/>
      <c r="EL613" s="1887"/>
      <c r="EM613" s="1885" t="str">
        <f t="shared" si="19"/>
        <v xml:space="preserve"> </v>
      </c>
      <c r="EN613" s="1886"/>
      <c r="EO613" s="1886"/>
      <c r="EP613" s="1886"/>
      <c r="EQ613" s="1887"/>
      <c r="ER613" s="1885" t="str">
        <f t="shared" si="20"/>
        <v xml:space="preserve"> </v>
      </c>
      <c r="ES613" s="1886"/>
      <c r="ET613" s="1886"/>
      <c r="EU613" s="1886"/>
      <c r="EV613" s="1887"/>
      <c r="EW613" s="1885" t="str">
        <f t="shared" si="21"/>
        <v xml:space="preserve"> </v>
      </c>
      <c r="EX613" s="1886"/>
      <c r="EY613" s="1886"/>
      <c r="EZ613" s="1886"/>
      <c r="FA613" s="1887"/>
    </row>
    <row r="614" spans="1:157" ht="12.75">
      <c r="A614" s="35"/>
      <c r="B614" s="12" t="s">
        <v>17</v>
      </c>
      <c r="G614" s="1903"/>
      <c r="H614" s="1903"/>
      <c r="I614" s="1903"/>
      <c r="J614" s="1903"/>
      <c r="K614" s="1903"/>
      <c r="L614" s="1903"/>
      <c r="M614" s="1903"/>
      <c r="N614" s="1903"/>
      <c r="O614" s="1903"/>
      <c r="P614" s="1903"/>
      <c r="Q614" s="1903"/>
      <c r="R614" s="1903"/>
      <c r="T614" s="35"/>
      <c r="U614" s="12" t="s">
        <v>17</v>
      </c>
      <c r="Z614" s="1877"/>
      <c r="AA614" s="1877"/>
      <c r="AB614" s="1877"/>
      <c r="AC614" s="1877"/>
      <c r="AD614" s="1877"/>
      <c r="AE614" s="1877"/>
      <c r="AF614" s="1877"/>
      <c r="AG614" s="1877"/>
      <c r="AH614" s="1877"/>
      <c r="AI614" s="1877"/>
      <c r="AJ614" s="1877"/>
      <c r="AK614" s="1877"/>
      <c r="BA614" s="7" t="s">
        <v>31</v>
      </c>
      <c r="BB614" s="58"/>
      <c r="BC614" s="58"/>
      <c r="BD614" s="58"/>
      <c r="BE614" s="1885">
        <f t="shared" si="0"/>
        <v>0</v>
      </c>
      <c r="BF614" s="1887"/>
      <c r="BG614" s="1879">
        <f t="shared" si="1"/>
        <v>0</v>
      </c>
      <c r="BH614" s="1881"/>
      <c r="BI614" s="1885">
        <f t="shared" si="2"/>
        <v>1</v>
      </c>
      <c r="BJ614" s="1887"/>
      <c r="BK614" s="1879">
        <f t="shared" si="3"/>
        <v>6</v>
      </c>
      <c r="BL614" s="1881"/>
      <c r="BM614" s="58"/>
      <c r="BN614" s="1864">
        <f t="shared" si="4"/>
        <v>0</v>
      </c>
      <c r="BO614" s="1865"/>
      <c r="BP614" s="1865"/>
      <c r="BQ614" s="1865"/>
      <c r="BR614" s="1866"/>
      <c r="BS614" s="1871">
        <f t="shared" si="5"/>
        <v>0</v>
      </c>
      <c r="BT614" s="1871"/>
      <c r="BU614" s="1871"/>
      <c r="BV614" s="1871"/>
      <c r="BW614" s="1871"/>
      <c r="BX614" s="1871">
        <f t="shared" si="6"/>
        <v>6</v>
      </c>
      <c r="BY614" s="1871"/>
      <c r="BZ614" s="1871"/>
      <c r="CA614" s="1871"/>
      <c r="CB614" s="1871"/>
      <c r="CC614" s="1871">
        <f t="shared" si="7"/>
        <v>0</v>
      </c>
      <c r="CD614" s="1871"/>
      <c r="CE614" s="1871"/>
      <c r="CF614" s="1871"/>
      <c r="CG614" s="1871"/>
      <c r="CH614" s="1871">
        <f t="shared" si="8"/>
        <v>0</v>
      </c>
      <c r="CI614" s="1871"/>
      <c r="CJ614" s="1871"/>
      <c r="CK614" s="1871"/>
      <c r="CL614" s="1871"/>
      <c r="CM614" s="1871">
        <f t="shared" si="9"/>
        <v>0</v>
      </c>
      <c r="CN614" s="1871"/>
      <c r="CO614" s="1871"/>
      <c r="CP614" s="1871"/>
      <c r="CQ614" s="1871"/>
      <c r="CR614" s="265"/>
      <c r="CS614" s="1888">
        <f t="shared" si="10"/>
        <v>0</v>
      </c>
      <c r="CT614" s="1888"/>
      <c r="CU614" s="1888"/>
      <c r="CV614" s="1888"/>
      <c r="CW614" s="1888"/>
      <c r="CX614" s="1888">
        <f t="shared" si="11"/>
        <v>0</v>
      </c>
      <c r="CY614" s="1888"/>
      <c r="CZ614" s="1888"/>
      <c r="DA614" s="1888"/>
      <c r="DB614" s="1888"/>
      <c r="DC614" s="1888">
        <f t="shared" si="12"/>
        <v>6</v>
      </c>
      <c r="DD614" s="1888"/>
      <c r="DE614" s="1888"/>
      <c r="DF614" s="1888"/>
      <c r="DG614" s="1888"/>
      <c r="DH614" s="1888">
        <f t="shared" si="13"/>
        <v>0</v>
      </c>
      <c r="DI614" s="1888"/>
      <c r="DJ614" s="1888"/>
      <c r="DK614" s="1888"/>
      <c r="DL614" s="1888"/>
      <c r="DM614" s="1888">
        <f t="shared" si="14"/>
        <v>0</v>
      </c>
      <c r="DN614" s="1888"/>
      <c r="DO614" s="1888"/>
      <c r="DP614" s="1888"/>
      <c r="DQ614" s="1888"/>
      <c r="DR614" s="1888">
        <f t="shared" si="15"/>
        <v>0</v>
      </c>
      <c r="DS614" s="1888"/>
      <c r="DT614" s="1888"/>
      <c r="DU614" s="1888"/>
      <c r="DV614" s="1888"/>
      <c r="DX614" s="1885" t="str">
        <f t="shared" si="16"/>
        <v xml:space="preserve"> </v>
      </c>
      <c r="DY614" s="1886"/>
      <c r="DZ614" s="1886"/>
      <c r="EA614" s="1886"/>
      <c r="EB614" s="1887"/>
      <c r="EC614" s="1885" t="str">
        <f t="shared" si="17"/>
        <v xml:space="preserve"> </v>
      </c>
      <c r="ED614" s="1886"/>
      <c r="EE614" s="1886"/>
      <c r="EF614" s="1886"/>
      <c r="EG614" s="1887"/>
      <c r="EH614" s="1885">
        <f t="shared" si="18"/>
        <v>837</v>
      </c>
      <c r="EI614" s="1886"/>
      <c r="EJ614" s="1886"/>
      <c r="EK614" s="1886"/>
      <c r="EL614" s="1887"/>
      <c r="EM614" s="1885" t="str">
        <f t="shared" si="19"/>
        <v xml:space="preserve"> </v>
      </c>
      <c r="EN614" s="1886"/>
      <c r="EO614" s="1886"/>
      <c r="EP614" s="1886"/>
      <c r="EQ614" s="1887"/>
      <c r="ER614" s="1885" t="str">
        <f t="shared" si="20"/>
        <v xml:space="preserve"> </v>
      </c>
      <c r="ES614" s="1886"/>
      <c r="ET614" s="1886"/>
      <c r="EU614" s="1886"/>
      <c r="EV614" s="1887"/>
      <c r="EW614" s="1885" t="str">
        <f t="shared" si="21"/>
        <v xml:space="preserve"> </v>
      </c>
      <c r="EX614" s="1886"/>
      <c r="EY614" s="1886"/>
      <c r="EZ614" s="1886"/>
      <c r="FA614" s="1887"/>
    </row>
    <row r="615" spans="1:157" ht="12.75">
      <c r="A615" s="35"/>
      <c r="B615" s="12" t="s">
        <v>322</v>
      </c>
      <c r="G615" s="2146"/>
      <c r="H615" s="2146"/>
      <c r="I615" s="2146"/>
      <c r="J615" s="2146"/>
      <c r="K615" s="2146"/>
      <c r="L615" s="2146"/>
      <c r="O615" s="137" t="s">
        <v>212</v>
      </c>
      <c r="P615" s="1876"/>
      <c r="Q615" s="1876"/>
      <c r="R615" s="1876"/>
      <c r="T615" s="35"/>
      <c r="U615" s="12" t="s">
        <v>322</v>
      </c>
      <c r="Z615" s="2146"/>
      <c r="AA615" s="2146"/>
      <c r="AB615" s="2146"/>
      <c r="AC615" s="2146"/>
      <c r="AD615" s="2146"/>
      <c r="AE615" s="2146"/>
      <c r="AH615" s="137" t="s">
        <v>212</v>
      </c>
      <c r="AI615" s="1876"/>
      <c r="AJ615" s="1876"/>
      <c r="AK615" s="1876"/>
      <c r="AZ615" s="58"/>
      <c r="BA615" s="58"/>
      <c r="BB615" s="58"/>
      <c r="BC615" s="58"/>
      <c r="BD615" s="58"/>
      <c r="BE615" s="1885">
        <f t="shared" si="0"/>
        <v>1</v>
      </c>
      <c r="BF615" s="1887"/>
      <c r="BG615" s="1879">
        <f t="shared" si="1"/>
        <v>11</v>
      </c>
      <c r="BH615" s="1881"/>
      <c r="BI615" s="1885">
        <f t="shared" si="2"/>
        <v>0</v>
      </c>
      <c r="BJ615" s="1887"/>
      <c r="BK615" s="1879">
        <f t="shared" si="3"/>
        <v>0</v>
      </c>
      <c r="BL615" s="1881"/>
      <c r="BM615" s="58"/>
      <c r="BN615" s="1864">
        <f t="shared" si="4"/>
        <v>0</v>
      </c>
      <c r="BO615" s="1865"/>
      <c r="BP615" s="1865"/>
      <c r="BQ615" s="1865"/>
      <c r="BR615" s="1866"/>
      <c r="BS615" s="1871">
        <f t="shared" si="5"/>
        <v>0</v>
      </c>
      <c r="BT615" s="1871"/>
      <c r="BU615" s="1871"/>
      <c r="BV615" s="1871"/>
      <c r="BW615" s="1871"/>
      <c r="BX615" s="1871">
        <f t="shared" si="6"/>
        <v>11</v>
      </c>
      <c r="BY615" s="1871"/>
      <c r="BZ615" s="1871"/>
      <c r="CA615" s="1871"/>
      <c r="CB615" s="1871"/>
      <c r="CC615" s="1871">
        <f t="shared" si="7"/>
        <v>0</v>
      </c>
      <c r="CD615" s="1871"/>
      <c r="CE615" s="1871"/>
      <c r="CF615" s="1871"/>
      <c r="CG615" s="1871"/>
      <c r="CH615" s="1871">
        <f t="shared" si="8"/>
        <v>0</v>
      </c>
      <c r="CI615" s="1871"/>
      <c r="CJ615" s="1871"/>
      <c r="CK615" s="1871"/>
      <c r="CL615" s="1871"/>
      <c r="CM615" s="1871">
        <f t="shared" si="9"/>
        <v>0</v>
      </c>
      <c r="CN615" s="1871"/>
      <c r="CO615" s="1871"/>
      <c r="CP615" s="1871"/>
      <c r="CQ615" s="1871"/>
      <c r="CR615" s="265"/>
      <c r="CS615" s="1888">
        <f t="shared" si="10"/>
        <v>0</v>
      </c>
      <c r="CT615" s="1888"/>
      <c r="CU615" s="1888"/>
      <c r="CV615" s="1888"/>
      <c r="CW615" s="1888"/>
      <c r="CX615" s="1888">
        <f t="shared" si="11"/>
        <v>0</v>
      </c>
      <c r="CY615" s="1888"/>
      <c r="CZ615" s="1888"/>
      <c r="DA615" s="1888"/>
      <c r="DB615" s="1888"/>
      <c r="DC615" s="1888">
        <f t="shared" si="12"/>
        <v>0</v>
      </c>
      <c r="DD615" s="1888"/>
      <c r="DE615" s="1888"/>
      <c r="DF615" s="1888"/>
      <c r="DG615" s="1888"/>
      <c r="DH615" s="1888">
        <f t="shared" si="13"/>
        <v>0</v>
      </c>
      <c r="DI615" s="1888"/>
      <c r="DJ615" s="1888"/>
      <c r="DK615" s="1888"/>
      <c r="DL615" s="1888"/>
      <c r="DM615" s="1888">
        <f t="shared" si="14"/>
        <v>0</v>
      </c>
      <c r="DN615" s="1888"/>
      <c r="DO615" s="1888"/>
      <c r="DP615" s="1888"/>
      <c r="DQ615" s="1888"/>
      <c r="DR615" s="1888">
        <f t="shared" si="15"/>
        <v>0</v>
      </c>
      <c r="DS615" s="1888"/>
      <c r="DT615" s="1888"/>
      <c r="DU615" s="1888"/>
      <c r="DV615" s="1888"/>
      <c r="DX615" s="1885" t="str">
        <f t="shared" si="16"/>
        <v xml:space="preserve"> </v>
      </c>
      <c r="DY615" s="1886"/>
      <c r="DZ615" s="1886"/>
      <c r="EA615" s="1886"/>
      <c r="EB615" s="1887"/>
      <c r="EC615" s="1885" t="str">
        <f t="shared" si="17"/>
        <v xml:space="preserve"> </v>
      </c>
      <c r="ED615" s="1886"/>
      <c r="EE615" s="1886"/>
      <c r="EF615" s="1886"/>
      <c r="EG615" s="1887"/>
      <c r="EH615" s="1885">
        <f t="shared" si="18"/>
        <v>1447</v>
      </c>
      <c r="EI615" s="1886"/>
      <c r="EJ615" s="1886"/>
      <c r="EK615" s="1886"/>
      <c r="EL615" s="1887"/>
      <c r="EM615" s="1885" t="str">
        <f t="shared" si="19"/>
        <v xml:space="preserve"> </v>
      </c>
      <c r="EN615" s="1886"/>
      <c r="EO615" s="1886"/>
      <c r="EP615" s="1886"/>
      <c r="EQ615" s="1887"/>
      <c r="ER615" s="1885" t="str">
        <f t="shared" si="20"/>
        <v xml:space="preserve"> </v>
      </c>
      <c r="ES615" s="1886"/>
      <c r="ET615" s="1886"/>
      <c r="EU615" s="1886"/>
      <c r="EV615" s="1887"/>
      <c r="EW615" s="1885" t="str">
        <f t="shared" si="21"/>
        <v xml:space="preserve"> </v>
      </c>
      <c r="EX615" s="1886"/>
      <c r="EY615" s="1886"/>
      <c r="EZ615" s="1886"/>
      <c r="FA615" s="1887"/>
    </row>
    <row r="616" spans="1:157" ht="12.75">
      <c r="A616" s="35"/>
      <c r="B616" s="12" t="s">
        <v>18</v>
      </c>
      <c r="H616" s="1903"/>
      <c r="I616" s="1903"/>
      <c r="J616" s="1903"/>
      <c r="K616" s="1903"/>
      <c r="L616" s="1903"/>
      <c r="M616" s="1903"/>
      <c r="N616" s="1903"/>
      <c r="O616" s="1903"/>
      <c r="P616" s="1903"/>
      <c r="Q616" s="1903"/>
      <c r="R616" s="1903"/>
      <c r="T616" s="35"/>
      <c r="U616" s="12" t="s">
        <v>18</v>
      </c>
      <c r="AA616" s="1903"/>
      <c r="AB616" s="1903"/>
      <c r="AC616" s="1903"/>
      <c r="AD616" s="1903"/>
      <c r="AE616" s="1903"/>
      <c r="AF616" s="1903"/>
      <c r="AG616" s="1903"/>
      <c r="AH616" s="1903"/>
      <c r="AI616" s="1903"/>
      <c r="AJ616" s="1903"/>
      <c r="AK616" s="1903"/>
      <c r="AZ616" s="58"/>
      <c r="BA616" s="58"/>
      <c r="BB616" s="58"/>
      <c r="BC616" s="58"/>
      <c r="BD616" s="58"/>
      <c r="BE616" s="1885">
        <f t="shared" si="0"/>
        <v>0</v>
      </c>
      <c r="BF616" s="1887"/>
      <c r="BG616" s="1879">
        <f t="shared" si="1"/>
        <v>0</v>
      </c>
      <c r="BH616" s="1881"/>
      <c r="BI616" s="1885">
        <f t="shared" si="2"/>
        <v>0</v>
      </c>
      <c r="BJ616" s="1887"/>
      <c r="BK616" s="1879">
        <f t="shared" si="3"/>
        <v>0</v>
      </c>
      <c r="BL616" s="1881"/>
      <c r="BM616" s="58"/>
      <c r="BN616" s="1864">
        <f t="shared" si="4"/>
        <v>0</v>
      </c>
      <c r="BO616" s="1865"/>
      <c r="BP616" s="1865"/>
      <c r="BQ616" s="1865"/>
      <c r="BR616" s="1866"/>
      <c r="BS616" s="1871">
        <f t="shared" si="5"/>
        <v>0</v>
      </c>
      <c r="BT616" s="1871"/>
      <c r="BU616" s="1871"/>
      <c r="BV616" s="1871"/>
      <c r="BW616" s="1871"/>
      <c r="BX616" s="1871">
        <f t="shared" si="6"/>
        <v>11</v>
      </c>
      <c r="BY616" s="1871"/>
      <c r="BZ616" s="1871"/>
      <c r="CA616" s="1871"/>
      <c r="CB616" s="1871"/>
      <c r="CC616" s="1871">
        <f t="shared" si="7"/>
        <v>0</v>
      </c>
      <c r="CD616" s="1871"/>
      <c r="CE616" s="1871"/>
      <c r="CF616" s="1871"/>
      <c r="CG616" s="1871"/>
      <c r="CH616" s="1871">
        <f t="shared" si="8"/>
        <v>0</v>
      </c>
      <c r="CI616" s="1871"/>
      <c r="CJ616" s="1871"/>
      <c r="CK616" s="1871"/>
      <c r="CL616" s="1871"/>
      <c r="CM616" s="1871">
        <f t="shared" si="9"/>
        <v>0</v>
      </c>
      <c r="CN616" s="1871"/>
      <c r="CO616" s="1871"/>
      <c r="CP616" s="1871"/>
      <c r="CQ616" s="1871"/>
      <c r="CR616" s="265"/>
      <c r="CS616" s="1888">
        <f t="shared" si="10"/>
        <v>0</v>
      </c>
      <c r="CT616" s="1888"/>
      <c r="CU616" s="1888"/>
      <c r="CV616" s="1888"/>
      <c r="CW616" s="1888"/>
      <c r="CX616" s="1888">
        <f t="shared" si="11"/>
        <v>0</v>
      </c>
      <c r="CY616" s="1888"/>
      <c r="CZ616" s="1888"/>
      <c r="DA616" s="1888"/>
      <c r="DB616" s="1888"/>
      <c r="DC616" s="1888">
        <f t="shared" si="12"/>
        <v>0</v>
      </c>
      <c r="DD616" s="1888"/>
      <c r="DE616" s="1888"/>
      <c r="DF616" s="1888"/>
      <c r="DG616" s="1888"/>
      <c r="DH616" s="1888">
        <f t="shared" si="13"/>
        <v>0</v>
      </c>
      <c r="DI616" s="1888"/>
      <c r="DJ616" s="1888"/>
      <c r="DK616" s="1888"/>
      <c r="DL616" s="1888"/>
      <c r="DM616" s="1888">
        <f t="shared" si="14"/>
        <v>0</v>
      </c>
      <c r="DN616" s="1888"/>
      <c r="DO616" s="1888"/>
      <c r="DP616" s="1888"/>
      <c r="DQ616" s="1888"/>
      <c r="DR616" s="1888">
        <f t="shared" si="15"/>
        <v>0</v>
      </c>
      <c r="DS616" s="1888"/>
      <c r="DT616" s="1888"/>
      <c r="DU616" s="1888"/>
      <c r="DV616" s="1888"/>
      <c r="DX616" s="1885" t="str">
        <f t="shared" si="16"/>
        <v xml:space="preserve"> </v>
      </c>
      <c r="DY616" s="1886"/>
      <c r="DZ616" s="1886"/>
      <c r="EA616" s="1886"/>
      <c r="EB616" s="1887"/>
      <c r="EC616" s="1885" t="str">
        <f t="shared" si="17"/>
        <v xml:space="preserve"> </v>
      </c>
      <c r="ED616" s="1886"/>
      <c r="EE616" s="1886"/>
      <c r="EF616" s="1886"/>
      <c r="EG616" s="1887"/>
      <c r="EH616" s="1885">
        <f t="shared" si="18"/>
        <v>1752</v>
      </c>
      <c r="EI616" s="1886"/>
      <c r="EJ616" s="1886"/>
      <c r="EK616" s="1886"/>
      <c r="EL616" s="1887"/>
      <c r="EM616" s="1885" t="str">
        <f t="shared" si="19"/>
        <v xml:space="preserve"> </v>
      </c>
      <c r="EN616" s="1886"/>
      <c r="EO616" s="1886"/>
      <c r="EP616" s="1886"/>
      <c r="EQ616" s="1887"/>
      <c r="ER616" s="1885" t="str">
        <f t="shared" si="20"/>
        <v xml:space="preserve"> </v>
      </c>
      <c r="ES616" s="1886"/>
      <c r="ET616" s="1886"/>
      <c r="EU616" s="1886"/>
      <c r="EV616" s="1887"/>
      <c r="EW616" s="1885" t="str">
        <f t="shared" si="21"/>
        <v xml:space="preserve"> </v>
      </c>
      <c r="EX616" s="1886"/>
      <c r="EY616" s="1886"/>
      <c r="EZ616" s="1886"/>
      <c r="FA616" s="1887"/>
    </row>
    <row r="617" spans="1:157" ht="12.75">
      <c r="A617" s="35"/>
      <c r="B617" s="12" t="s">
        <v>20</v>
      </c>
      <c r="N617" s="1875" t="s">
        <v>696</v>
      </c>
      <c r="O617" s="1875"/>
      <c r="T617" s="35"/>
      <c r="U617" s="12" t="s">
        <v>20</v>
      </c>
      <c r="AG617" s="1875" t="s">
        <v>696</v>
      </c>
      <c r="AH617" s="1875"/>
      <c r="AZ617" s="58"/>
      <c r="BA617" s="58"/>
      <c r="BB617" s="58"/>
      <c r="BC617" s="58"/>
      <c r="BD617" s="58"/>
      <c r="BE617" s="1885">
        <f t="shared" si="0"/>
        <v>0</v>
      </c>
      <c r="BF617" s="1887"/>
      <c r="BG617" s="1879">
        <f t="shared" si="1"/>
        <v>0</v>
      </c>
      <c r="BH617" s="1881"/>
      <c r="BI617" s="1885">
        <f t="shared" si="2"/>
        <v>0</v>
      </c>
      <c r="BJ617" s="1887"/>
      <c r="BK617" s="1879">
        <f t="shared" si="3"/>
        <v>0</v>
      </c>
      <c r="BL617" s="1881"/>
      <c r="BM617" s="58"/>
      <c r="BN617" s="1864">
        <f t="shared" si="4"/>
        <v>0</v>
      </c>
      <c r="BO617" s="1865"/>
      <c r="BP617" s="1865"/>
      <c r="BQ617" s="1865"/>
      <c r="BR617" s="1866"/>
      <c r="BS617" s="1871">
        <f t="shared" si="5"/>
        <v>0</v>
      </c>
      <c r="BT617" s="1871"/>
      <c r="BU617" s="1871"/>
      <c r="BV617" s="1871"/>
      <c r="BW617" s="1871"/>
      <c r="BX617" s="1871">
        <f t="shared" si="6"/>
        <v>25</v>
      </c>
      <c r="BY617" s="1871"/>
      <c r="BZ617" s="1871"/>
      <c r="CA617" s="1871"/>
      <c r="CB617" s="1871"/>
      <c r="CC617" s="1871">
        <f t="shared" si="7"/>
        <v>0</v>
      </c>
      <c r="CD617" s="1871"/>
      <c r="CE617" s="1871"/>
      <c r="CF617" s="1871"/>
      <c r="CG617" s="1871"/>
      <c r="CH617" s="1871">
        <f t="shared" si="8"/>
        <v>0</v>
      </c>
      <c r="CI617" s="1871"/>
      <c r="CJ617" s="1871"/>
      <c r="CK617" s="1871"/>
      <c r="CL617" s="1871"/>
      <c r="CM617" s="1871">
        <f t="shared" si="9"/>
        <v>0</v>
      </c>
      <c r="CN617" s="1871"/>
      <c r="CO617" s="1871"/>
      <c r="CP617" s="1871"/>
      <c r="CQ617" s="1871"/>
      <c r="CR617" s="265"/>
      <c r="CS617" s="1888">
        <f t="shared" si="10"/>
        <v>0</v>
      </c>
      <c r="CT617" s="1888"/>
      <c r="CU617" s="1888"/>
      <c r="CV617" s="1888"/>
      <c r="CW617" s="1888"/>
      <c r="CX617" s="1888">
        <f t="shared" si="11"/>
        <v>0</v>
      </c>
      <c r="CY617" s="1888"/>
      <c r="CZ617" s="1888"/>
      <c r="DA617" s="1888"/>
      <c r="DB617" s="1888"/>
      <c r="DC617" s="1888">
        <f t="shared" si="12"/>
        <v>0</v>
      </c>
      <c r="DD617" s="1888"/>
      <c r="DE617" s="1888"/>
      <c r="DF617" s="1888"/>
      <c r="DG617" s="1888"/>
      <c r="DH617" s="1888">
        <f t="shared" si="13"/>
        <v>0</v>
      </c>
      <c r="DI617" s="1888"/>
      <c r="DJ617" s="1888"/>
      <c r="DK617" s="1888"/>
      <c r="DL617" s="1888"/>
      <c r="DM617" s="1888">
        <f t="shared" si="14"/>
        <v>0</v>
      </c>
      <c r="DN617" s="1888"/>
      <c r="DO617" s="1888"/>
      <c r="DP617" s="1888"/>
      <c r="DQ617" s="1888"/>
      <c r="DR617" s="1888">
        <f t="shared" si="15"/>
        <v>0</v>
      </c>
      <c r="DS617" s="1888"/>
      <c r="DT617" s="1888"/>
      <c r="DU617" s="1888"/>
      <c r="DV617" s="1888"/>
      <c r="DX617" s="1885" t="str">
        <f t="shared" si="16"/>
        <v xml:space="preserve"> </v>
      </c>
      <c r="DY617" s="1886"/>
      <c r="DZ617" s="1886"/>
      <c r="EA617" s="1886"/>
      <c r="EB617" s="1887"/>
      <c r="EC617" s="1885" t="str">
        <f t="shared" si="17"/>
        <v xml:space="preserve"> </v>
      </c>
      <c r="ED617" s="1886"/>
      <c r="EE617" s="1886"/>
      <c r="EF617" s="1886"/>
      <c r="EG617" s="1887"/>
      <c r="EH617" s="1885">
        <f t="shared" si="18"/>
        <v>2057</v>
      </c>
      <c r="EI617" s="1886"/>
      <c r="EJ617" s="1886"/>
      <c r="EK617" s="1886"/>
      <c r="EL617" s="1887"/>
      <c r="EM617" s="1885" t="str">
        <f t="shared" si="19"/>
        <v xml:space="preserve"> </v>
      </c>
      <c r="EN617" s="1886"/>
      <c r="EO617" s="1886"/>
      <c r="EP617" s="1886"/>
      <c r="EQ617" s="1887"/>
      <c r="ER617" s="1885" t="str">
        <f t="shared" si="20"/>
        <v xml:space="preserve"> </v>
      </c>
      <c r="ES617" s="1886"/>
      <c r="ET617" s="1886"/>
      <c r="EU617" s="1886"/>
      <c r="EV617" s="1887"/>
      <c r="EW617" s="1885" t="str">
        <f t="shared" si="21"/>
        <v xml:space="preserve"> </v>
      </c>
      <c r="EX617" s="1886"/>
      <c r="EY617" s="1886"/>
      <c r="EZ617" s="1886"/>
      <c r="FA617" s="18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85">
        <f t="shared" si="0"/>
        <v>0</v>
      </c>
      <c r="BF618" s="1887"/>
      <c r="BG618" s="1879">
        <f t="shared" si="1"/>
        <v>0</v>
      </c>
      <c r="BH618" s="1881"/>
      <c r="BI618" s="1885">
        <f t="shared" si="2"/>
        <v>0</v>
      </c>
      <c r="BJ618" s="1887"/>
      <c r="BK618" s="1879">
        <f t="shared" si="3"/>
        <v>0</v>
      </c>
      <c r="BL618" s="1881"/>
      <c r="BM618" s="58"/>
      <c r="BN618" s="1864">
        <f t="shared" si="4"/>
        <v>0</v>
      </c>
      <c r="BO618" s="1865"/>
      <c r="BP618" s="1865"/>
      <c r="BQ618" s="1865"/>
      <c r="BR618" s="1866"/>
      <c r="BS618" s="1871">
        <f t="shared" si="5"/>
        <v>0</v>
      </c>
      <c r="BT618" s="1871"/>
      <c r="BU618" s="1871"/>
      <c r="BV618" s="1871"/>
      <c r="BW618" s="1871"/>
      <c r="BX618" s="1871">
        <f t="shared" si="6"/>
        <v>0</v>
      </c>
      <c r="BY618" s="1871"/>
      <c r="BZ618" s="1871"/>
      <c r="CA618" s="1871"/>
      <c r="CB618" s="1871"/>
      <c r="CC618" s="1871">
        <f t="shared" si="7"/>
        <v>0</v>
      </c>
      <c r="CD618" s="1871"/>
      <c r="CE618" s="1871"/>
      <c r="CF618" s="1871"/>
      <c r="CG618" s="1871"/>
      <c r="CH618" s="1871">
        <f t="shared" si="8"/>
        <v>0</v>
      </c>
      <c r="CI618" s="1871"/>
      <c r="CJ618" s="1871"/>
      <c r="CK618" s="1871"/>
      <c r="CL618" s="1871"/>
      <c r="CM618" s="1871">
        <f t="shared" si="9"/>
        <v>0</v>
      </c>
      <c r="CN618" s="1871"/>
      <c r="CO618" s="1871"/>
      <c r="CP618" s="1871"/>
      <c r="CQ618" s="1871"/>
      <c r="CR618" s="265"/>
      <c r="CS618" s="1888">
        <f t="shared" si="10"/>
        <v>0</v>
      </c>
      <c r="CT618" s="1888"/>
      <c r="CU618" s="1888"/>
      <c r="CV618" s="1888"/>
      <c r="CW618" s="1888"/>
      <c r="CX618" s="1888">
        <f t="shared" si="11"/>
        <v>0</v>
      </c>
      <c r="CY618" s="1888"/>
      <c r="CZ618" s="1888"/>
      <c r="DA618" s="1888"/>
      <c r="DB618" s="1888"/>
      <c r="DC618" s="1888">
        <f t="shared" si="12"/>
        <v>0</v>
      </c>
      <c r="DD618" s="1888"/>
      <c r="DE618" s="1888"/>
      <c r="DF618" s="1888"/>
      <c r="DG618" s="1888"/>
      <c r="DH618" s="1888">
        <f t="shared" si="13"/>
        <v>0</v>
      </c>
      <c r="DI618" s="1888"/>
      <c r="DJ618" s="1888"/>
      <c r="DK618" s="1888"/>
      <c r="DL618" s="1888"/>
      <c r="DM618" s="1888">
        <f t="shared" si="14"/>
        <v>0</v>
      </c>
      <c r="DN618" s="1888"/>
      <c r="DO618" s="1888"/>
      <c r="DP618" s="1888"/>
      <c r="DQ618" s="1888"/>
      <c r="DR618" s="1888">
        <f t="shared" si="15"/>
        <v>0</v>
      </c>
      <c r="DS618" s="1888"/>
      <c r="DT618" s="1888"/>
      <c r="DU618" s="1888"/>
      <c r="DV618" s="1888"/>
      <c r="DX618" s="1885" t="str">
        <f t="shared" si="16"/>
        <v xml:space="preserve"> </v>
      </c>
      <c r="DY618" s="1886"/>
      <c r="DZ618" s="1886"/>
      <c r="EA618" s="1886"/>
      <c r="EB618" s="1887"/>
      <c r="EC618" s="1885" t="str">
        <f t="shared" si="17"/>
        <v xml:space="preserve"> </v>
      </c>
      <c r="ED618" s="1886"/>
      <c r="EE618" s="1886"/>
      <c r="EF618" s="1886"/>
      <c r="EG618" s="1887"/>
      <c r="EH618" s="1885" t="str">
        <f t="shared" si="18"/>
        <v xml:space="preserve"> </v>
      </c>
      <c r="EI618" s="1886"/>
      <c r="EJ618" s="1886"/>
      <c r="EK618" s="1886"/>
      <c r="EL618" s="1887"/>
      <c r="EM618" s="1885" t="str">
        <f t="shared" si="19"/>
        <v xml:space="preserve"> </v>
      </c>
      <c r="EN618" s="1886"/>
      <c r="EO618" s="1886"/>
      <c r="EP618" s="1886"/>
      <c r="EQ618" s="1887"/>
      <c r="ER618" s="1885" t="str">
        <f t="shared" si="20"/>
        <v xml:space="preserve"> </v>
      </c>
      <c r="ES618" s="1886"/>
      <c r="ET618" s="1886"/>
      <c r="EU618" s="1886"/>
      <c r="EV618" s="1887"/>
      <c r="EW618" s="1885" t="str">
        <f t="shared" si="21"/>
        <v xml:space="preserve"> </v>
      </c>
      <c r="EX618" s="1886"/>
      <c r="EY618" s="1886"/>
      <c r="EZ618" s="1886"/>
      <c r="FA618" s="1887"/>
    </row>
    <row r="619" spans="1:157" s="7" customFormat="1" ht="12.75">
      <c r="A619" s="87" t="s">
        <v>369</v>
      </c>
      <c r="B619" s="12" t="s">
        <v>489</v>
      </c>
      <c r="C619" s="12"/>
      <c r="D619" s="12"/>
      <c r="E619" s="12"/>
      <c r="F619" s="12"/>
      <c r="G619" s="1867">
        <f>C574</f>
        <v>0</v>
      </c>
      <c r="H619" s="1867"/>
      <c r="I619" s="1867"/>
      <c r="J619" s="1867"/>
      <c r="K619" s="1867"/>
      <c r="L619" s="1867"/>
      <c r="M619" s="1867"/>
      <c r="N619" s="1867"/>
      <c r="O619" s="1867"/>
      <c r="P619" s="1867"/>
      <c r="Q619" s="1867"/>
      <c r="R619" s="1867"/>
      <c r="S619" s="12"/>
      <c r="T619" s="87" t="s">
        <v>370</v>
      </c>
      <c r="U619" s="12" t="s">
        <v>489</v>
      </c>
      <c r="V619" s="12"/>
      <c r="W619" s="12"/>
      <c r="X619" s="12"/>
      <c r="Y619" s="12"/>
      <c r="Z619" s="1867">
        <f>C575</f>
        <v>0</v>
      </c>
      <c r="AA619" s="1867"/>
      <c r="AB619" s="1867"/>
      <c r="AC619" s="1867"/>
      <c r="AD619" s="1867"/>
      <c r="AE619" s="1867"/>
      <c r="AF619" s="1867"/>
      <c r="AG619" s="1867"/>
      <c r="AH619" s="1867"/>
      <c r="AI619" s="1867"/>
      <c r="AJ619" s="1867"/>
      <c r="AK619" s="1867"/>
      <c r="AL619" s="12"/>
      <c r="AM619" s="39"/>
      <c r="AN619" s="39"/>
      <c r="AO619" s="39"/>
      <c r="AP619" s="39"/>
      <c r="AQ619" s="39"/>
      <c r="AR619" s="39"/>
      <c r="AS619" s="39"/>
      <c r="AT619" s="39"/>
      <c r="AU619" s="39"/>
      <c r="AV619" s="39"/>
      <c r="AW619" s="39"/>
      <c r="AX619" s="39"/>
      <c r="AY619" s="39"/>
      <c r="AZ619" s="58"/>
      <c r="BA619" s="58"/>
      <c r="BB619" s="58"/>
      <c r="BC619" s="58"/>
      <c r="BD619" s="58"/>
      <c r="BE619" s="1885">
        <f t="shared" si="0"/>
        <v>0</v>
      </c>
      <c r="BF619" s="1887"/>
      <c r="BG619" s="1879">
        <f t="shared" si="1"/>
        <v>0</v>
      </c>
      <c r="BH619" s="1881"/>
      <c r="BI619" s="1885">
        <f t="shared" si="2"/>
        <v>0</v>
      </c>
      <c r="BJ619" s="1887"/>
      <c r="BK619" s="1879">
        <f t="shared" si="3"/>
        <v>0</v>
      </c>
      <c r="BL619" s="1881"/>
      <c r="BM619" s="58"/>
      <c r="BN619" s="1864">
        <f t="shared" si="4"/>
        <v>0</v>
      </c>
      <c r="BO619" s="1865"/>
      <c r="BP619" s="1865"/>
      <c r="BQ619" s="1865"/>
      <c r="BR619" s="1866"/>
      <c r="BS619" s="1871">
        <f t="shared" si="5"/>
        <v>0</v>
      </c>
      <c r="BT619" s="1871"/>
      <c r="BU619" s="1871"/>
      <c r="BV619" s="1871"/>
      <c r="BW619" s="1871"/>
      <c r="BX619" s="1871">
        <f t="shared" si="6"/>
        <v>0</v>
      </c>
      <c r="BY619" s="1871"/>
      <c r="BZ619" s="1871"/>
      <c r="CA619" s="1871"/>
      <c r="CB619" s="1871"/>
      <c r="CC619" s="1871">
        <f t="shared" si="7"/>
        <v>0</v>
      </c>
      <c r="CD619" s="1871"/>
      <c r="CE619" s="1871"/>
      <c r="CF619" s="1871"/>
      <c r="CG619" s="1871"/>
      <c r="CH619" s="1871">
        <f t="shared" si="8"/>
        <v>0</v>
      </c>
      <c r="CI619" s="1871"/>
      <c r="CJ619" s="1871"/>
      <c r="CK619" s="1871"/>
      <c r="CL619" s="1871"/>
      <c r="CM619" s="1871">
        <f t="shared" si="9"/>
        <v>0</v>
      </c>
      <c r="CN619" s="1871"/>
      <c r="CO619" s="1871"/>
      <c r="CP619" s="1871"/>
      <c r="CQ619" s="1871"/>
      <c r="CR619" s="265"/>
      <c r="CS619" s="1888">
        <f t="shared" si="10"/>
        <v>0</v>
      </c>
      <c r="CT619" s="1888"/>
      <c r="CU619" s="1888"/>
      <c r="CV619" s="1888"/>
      <c r="CW619" s="1888"/>
      <c r="CX619" s="1888">
        <f t="shared" si="11"/>
        <v>0</v>
      </c>
      <c r="CY619" s="1888"/>
      <c r="CZ619" s="1888"/>
      <c r="DA619" s="1888"/>
      <c r="DB619" s="1888"/>
      <c r="DC619" s="1888">
        <f t="shared" si="12"/>
        <v>0</v>
      </c>
      <c r="DD619" s="1888"/>
      <c r="DE619" s="1888"/>
      <c r="DF619" s="1888"/>
      <c r="DG619" s="1888"/>
      <c r="DH619" s="1888">
        <f t="shared" si="13"/>
        <v>0</v>
      </c>
      <c r="DI619" s="1888"/>
      <c r="DJ619" s="1888"/>
      <c r="DK619" s="1888"/>
      <c r="DL619" s="1888"/>
      <c r="DM619" s="1888">
        <f t="shared" si="14"/>
        <v>0</v>
      </c>
      <c r="DN619" s="1888"/>
      <c r="DO619" s="1888"/>
      <c r="DP619" s="1888"/>
      <c r="DQ619" s="1888"/>
      <c r="DR619" s="1888">
        <f t="shared" si="15"/>
        <v>0</v>
      </c>
      <c r="DS619" s="1888"/>
      <c r="DT619" s="1888"/>
      <c r="DU619" s="1888"/>
      <c r="DV619" s="1888"/>
      <c r="DX619" s="1885" t="str">
        <f t="shared" si="16"/>
        <v xml:space="preserve"> </v>
      </c>
      <c r="DY619" s="1886"/>
      <c r="DZ619" s="1886"/>
      <c r="EA619" s="1886"/>
      <c r="EB619" s="1887"/>
      <c r="EC619" s="1885" t="str">
        <f t="shared" si="17"/>
        <v xml:space="preserve"> </v>
      </c>
      <c r="ED619" s="1886"/>
      <c r="EE619" s="1886"/>
      <c r="EF619" s="1886"/>
      <c r="EG619" s="1887"/>
      <c r="EH619" s="1885" t="str">
        <f t="shared" si="18"/>
        <v xml:space="preserve"> </v>
      </c>
      <c r="EI619" s="1886"/>
      <c r="EJ619" s="1886"/>
      <c r="EK619" s="1886"/>
      <c r="EL619" s="1887"/>
      <c r="EM619" s="1885" t="str">
        <f t="shared" si="19"/>
        <v xml:space="preserve"> </v>
      </c>
      <c r="EN619" s="1886"/>
      <c r="EO619" s="1886"/>
      <c r="EP619" s="1886"/>
      <c r="EQ619" s="1887"/>
      <c r="ER619" s="1885" t="str">
        <f t="shared" si="20"/>
        <v xml:space="preserve"> </v>
      </c>
      <c r="ES619" s="1886"/>
      <c r="ET619" s="1886"/>
      <c r="EU619" s="1886"/>
      <c r="EV619" s="1887"/>
      <c r="EW619" s="1885" t="str">
        <f t="shared" si="21"/>
        <v xml:space="preserve"> </v>
      </c>
      <c r="EX619" s="1886"/>
      <c r="EY619" s="1886"/>
      <c r="EZ619" s="1886"/>
      <c r="FA619" s="1887"/>
    </row>
    <row r="620" spans="1:157" s="7" customFormat="1" ht="12.75">
      <c r="A620" s="12"/>
      <c r="B620" s="12" t="s">
        <v>90</v>
      </c>
      <c r="C620" s="12"/>
      <c r="D620" s="12"/>
      <c r="E620" s="12"/>
      <c r="F620" s="12"/>
      <c r="G620" s="1903"/>
      <c r="H620" s="1903"/>
      <c r="I620" s="1903"/>
      <c r="J620" s="1903"/>
      <c r="K620" s="1903"/>
      <c r="L620" s="1903"/>
      <c r="M620" s="1903"/>
      <c r="N620" s="1903"/>
      <c r="O620" s="1903"/>
      <c r="P620" s="1903"/>
      <c r="Q620" s="1903"/>
      <c r="R620" s="1903"/>
      <c r="S620" s="12"/>
      <c r="T620" s="12"/>
      <c r="U620" s="12" t="s">
        <v>90</v>
      </c>
      <c r="V620" s="12"/>
      <c r="W620" s="12"/>
      <c r="X620" s="12"/>
      <c r="Y620" s="12"/>
      <c r="Z620" s="1903"/>
      <c r="AA620" s="1903"/>
      <c r="AB620" s="1903"/>
      <c r="AC620" s="1903"/>
      <c r="AD620" s="1903"/>
      <c r="AE620" s="1903"/>
      <c r="AF620" s="1903"/>
      <c r="AG620" s="1903"/>
      <c r="AH620" s="1903"/>
      <c r="AI620" s="1903"/>
      <c r="AJ620" s="1903"/>
      <c r="AK620" s="1903"/>
      <c r="AL620" s="12"/>
      <c r="AM620" s="39"/>
      <c r="AN620" s="39"/>
      <c r="AO620" s="39"/>
      <c r="AP620" s="39"/>
      <c r="AQ620" s="39"/>
      <c r="AR620" s="39"/>
      <c r="AS620" s="39"/>
      <c r="AT620" s="39"/>
      <c r="AU620" s="39"/>
      <c r="AV620" s="39"/>
      <c r="AW620" s="39"/>
      <c r="AX620" s="39"/>
      <c r="AY620" s="39"/>
      <c r="AZ620" s="58"/>
      <c r="BA620" s="58"/>
      <c r="BB620" s="58"/>
      <c r="BC620" s="58"/>
      <c r="BD620" s="58"/>
      <c r="BE620" s="1885">
        <f t="shared" si="0"/>
        <v>0</v>
      </c>
      <c r="BF620" s="1887"/>
      <c r="BG620" s="1879">
        <f t="shared" si="1"/>
        <v>0</v>
      </c>
      <c r="BH620" s="1881"/>
      <c r="BI620" s="1885">
        <f t="shared" si="2"/>
        <v>0</v>
      </c>
      <c r="BJ620" s="1887"/>
      <c r="BK620" s="1879">
        <f t="shared" si="3"/>
        <v>0</v>
      </c>
      <c r="BL620" s="1881"/>
      <c r="BM620" s="58"/>
      <c r="BN620" s="1864">
        <f t="shared" si="4"/>
        <v>0</v>
      </c>
      <c r="BO620" s="1865"/>
      <c r="BP620" s="1865"/>
      <c r="BQ620" s="1865"/>
      <c r="BR620" s="1866"/>
      <c r="BS620" s="1871">
        <f t="shared" si="5"/>
        <v>0</v>
      </c>
      <c r="BT620" s="1871"/>
      <c r="BU620" s="1871"/>
      <c r="BV620" s="1871"/>
      <c r="BW620" s="1871"/>
      <c r="BX620" s="1871">
        <f t="shared" si="6"/>
        <v>0</v>
      </c>
      <c r="BY620" s="1871"/>
      <c r="BZ620" s="1871"/>
      <c r="CA620" s="1871"/>
      <c r="CB620" s="1871"/>
      <c r="CC620" s="1871">
        <f t="shared" si="7"/>
        <v>0</v>
      </c>
      <c r="CD620" s="1871"/>
      <c r="CE620" s="1871"/>
      <c r="CF620" s="1871"/>
      <c r="CG620" s="1871"/>
      <c r="CH620" s="1871">
        <f t="shared" si="8"/>
        <v>0</v>
      </c>
      <c r="CI620" s="1871"/>
      <c r="CJ620" s="1871"/>
      <c r="CK620" s="1871"/>
      <c r="CL620" s="1871"/>
      <c r="CM620" s="1871">
        <f t="shared" si="9"/>
        <v>0</v>
      </c>
      <c r="CN620" s="1871"/>
      <c r="CO620" s="1871"/>
      <c r="CP620" s="1871"/>
      <c r="CQ620" s="1871"/>
      <c r="CR620" s="265"/>
      <c r="CS620" s="1888">
        <f t="shared" si="10"/>
        <v>0</v>
      </c>
      <c r="CT620" s="1888"/>
      <c r="CU620" s="1888"/>
      <c r="CV620" s="1888"/>
      <c r="CW620" s="1888"/>
      <c r="CX620" s="1888">
        <f t="shared" si="11"/>
        <v>0</v>
      </c>
      <c r="CY620" s="1888"/>
      <c r="CZ620" s="1888"/>
      <c r="DA620" s="1888"/>
      <c r="DB620" s="1888"/>
      <c r="DC620" s="1888">
        <f t="shared" si="12"/>
        <v>0</v>
      </c>
      <c r="DD620" s="1888"/>
      <c r="DE620" s="1888"/>
      <c r="DF620" s="1888"/>
      <c r="DG620" s="1888"/>
      <c r="DH620" s="1888">
        <f t="shared" si="13"/>
        <v>0</v>
      </c>
      <c r="DI620" s="1888"/>
      <c r="DJ620" s="1888"/>
      <c r="DK620" s="1888"/>
      <c r="DL620" s="1888"/>
      <c r="DM620" s="1888">
        <f t="shared" si="14"/>
        <v>0</v>
      </c>
      <c r="DN620" s="1888"/>
      <c r="DO620" s="1888"/>
      <c r="DP620" s="1888"/>
      <c r="DQ620" s="1888"/>
      <c r="DR620" s="1888">
        <f t="shared" si="15"/>
        <v>0</v>
      </c>
      <c r="DS620" s="1888"/>
      <c r="DT620" s="1888"/>
      <c r="DU620" s="1888"/>
      <c r="DV620" s="1888"/>
      <c r="DX620" s="1885" t="str">
        <f t="shared" si="16"/>
        <v xml:space="preserve"> </v>
      </c>
      <c r="DY620" s="1886"/>
      <c r="DZ620" s="1886"/>
      <c r="EA620" s="1886"/>
      <c r="EB620" s="1887"/>
      <c r="EC620" s="1885" t="str">
        <f t="shared" si="17"/>
        <v xml:space="preserve"> </v>
      </c>
      <c r="ED620" s="1886"/>
      <c r="EE620" s="1886"/>
      <c r="EF620" s="1886"/>
      <c r="EG620" s="1887"/>
      <c r="EH620" s="1885" t="str">
        <f t="shared" si="18"/>
        <v xml:space="preserve"> </v>
      </c>
      <c r="EI620" s="1886"/>
      <c r="EJ620" s="1886"/>
      <c r="EK620" s="1886"/>
      <c r="EL620" s="1887"/>
      <c r="EM620" s="1885" t="str">
        <f t="shared" si="19"/>
        <v xml:space="preserve"> </v>
      </c>
      <c r="EN620" s="1886"/>
      <c r="EO620" s="1886"/>
      <c r="EP620" s="1886"/>
      <c r="EQ620" s="1887"/>
      <c r="ER620" s="1885" t="str">
        <f t="shared" si="20"/>
        <v xml:space="preserve"> </v>
      </c>
      <c r="ES620" s="1886"/>
      <c r="ET620" s="1886"/>
      <c r="EU620" s="1886"/>
      <c r="EV620" s="1887"/>
      <c r="EW620" s="1885" t="str">
        <f t="shared" si="21"/>
        <v xml:space="preserve"> </v>
      </c>
      <c r="EX620" s="1886"/>
      <c r="EY620" s="1886"/>
      <c r="EZ620" s="1886"/>
      <c r="FA620" s="1887"/>
    </row>
    <row r="621" spans="1:157" ht="12.75">
      <c r="B621" s="12" t="s">
        <v>607</v>
      </c>
      <c r="G621" s="1903"/>
      <c r="H621" s="1903"/>
      <c r="I621" s="1903"/>
      <c r="J621" s="1903"/>
      <c r="K621" s="1903"/>
      <c r="L621" s="1903"/>
      <c r="M621" s="1903"/>
      <c r="N621" s="1903"/>
      <c r="O621" s="1903"/>
      <c r="P621" s="1903"/>
      <c r="Q621" s="1903"/>
      <c r="R621" s="1903"/>
      <c r="U621" s="12" t="s">
        <v>607</v>
      </c>
      <c r="Z621" s="1877"/>
      <c r="AA621" s="1877"/>
      <c r="AB621" s="1877"/>
      <c r="AC621" s="1877"/>
      <c r="AD621" s="1877"/>
      <c r="AE621" s="1877"/>
      <c r="AF621" s="1877"/>
      <c r="AG621" s="1877"/>
      <c r="AH621" s="1877"/>
      <c r="AI621" s="1877"/>
      <c r="AJ621" s="1877"/>
      <c r="AK621" s="1877"/>
      <c r="AZ621" s="58"/>
      <c r="BA621" s="58"/>
      <c r="BB621" s="58"/>
      <c r="BC621" s="58"/>
      <c r="BD621" s="58"/>
      <c r="BE621" s="1885">
        <f t="shared" si="0"/>
        <v>0</v>
      </c>
      <c r="BF621" s="1887"/>
      <c r="BG621" s="1879">
        <f t="shared" si="1"/>
        <v>0</v>
      </c>
      <c r="BH621" s="1881"/>
      <c r="BI621" s="1885">
        <f t="shared" si="2"/>
        <v>0</v>
      </c>
      <c r="BJ621" s="1887"/>
      <c r="BK621" s="1879">
        <f t="shared" si="3"/>
        <v>0</v>
      </c>
      <c r="BL621" s="1881"/>
      <c r="BM621" s="58"/>
      <c r="BN621" s="1864">
        <f t="shared" si="4"/>
        <v>0</v>
      </c>
      <c r="BO621" s="1865"/>
      <c r="BP621" s="1865"/>
      <c r="BQ621" s="1865"/>
      <c r="BR621" s="1866"/>
      <c r="BS621" s="1871">
        <f t="shared" si="5"/>
        <v>0</v>
      </c>
      <c r="BT621" s="1871"/>
      <c r="BU621" s="1871"/>
      <c r="BV621" s="1871"/>
      <c r="BW621" s="1871"/>
      <c r="BX621" s="1871">
        <f t="shared" si="6"/>
        <v>0</v>
      </c>
      <c r="BY621" s="1871"/>
      <c r="BZ621" s="1871"/>
      <c r="CA621" s="1871"/>
      <c r="CB621" s="1871"/>
      <c r="CC621" s="1871">
        <f t="shared" si="7"/>
        <v>0</v>
      </c>
      <c r="CD621" s="1871"/>
      <c r="CE621" s="1871"/>
      <c r="CF621" s="1871"/>
      <c r="CG621" s="1871"/>
      <c r="CH621" s="1871">
        <f t="shared" si="8"/>
        <v>0</v>
      </c>
      <c r="CI621" s="1871"/>
      <c r="CJ621" s="1871"/>
      <c r="CK621" s="1871"/>
      <c r="CL621" s="1871"/>
      <c r="CM621" s="1871">
        <f t="shared" si="9"/>
        <v>0</v>
      </c>
      <c r="CN621" s="1871"/>
      <c r="CO621" s="1871"/>
      <c r="CP621" s="1871"/>
      <c r="CQ621" s="1871"/>
      <c r="CR621" s="265"/>
      <c r="CS621" s="1888">
        <f t="shared" si="10"/>
        <v>0</v>
      </c>
      <c r="CT621" s="1888"/>
      <c r="CU621" s="1888"/>
      <c r="CV621" s="1888"/>
      <c r="CW621" s="1888"/>
      <c r="CX621" s="1888">
        <f t="shared" si="11"/>
        <v>0</v>
      </c>
      <c r="CY621" s="1888"/>
      <c r="CZ621" s="1888"/>
      <c r="DA621" s="1888"/>
      <c r="DB621" s="1888"/>
      <c r="DC621" s="1888">
        <f t="shared" si="12"/>
        <v>0</v>
      </c>
      <c r="DD621" s="1888"/>
      <c r="DE621" s="1888"/>
      <c r="DF621" s="1888"/>
      <c r="DG621" s="1888"/>
      <c r="DH621" s="1888">
        <f t="shared" si="13"/>
        <v>0</v>
      </c>
      <c r="DI621" s="1888"/>
      <c r="DJ621" s="1888"/>
      <c r="DK621" s="1888"/>
      <c r="DL621" s="1888"/>
      <c r="DM621" s="1888">
        <f t="shared" si="14"/>
        <v>0</v>
      </c>
      <c r="DN621" s="1888"/>
      <c r="DO621" s="1888"/>
      <c r="DP621" s="1888"/>
      <c r="DQ621" s="1888"/>
      <c r="DR621" s="1888">
        <f t="shared" si="15"/>
        <v>0</v>
      </c>
      <c r="DS621" s="1888"/>
      <c r="DT621" s="1888"/>
      <c r="DU621" s="1888"/>
      <c r="DV621" s="1888"/>
      <c r="DX621" s="1885" t="str">
        <f t="shared" si="16"/>
        <v xml:space="preserve"> </v>
      </c>
      <c r="DY621" s="1886"/>
      <c r="DZ621" s="1886"/>
      <c r="EA621" s="1886"/>
      <c r="EB621" s="1887"/>
      <c r="EC621" s="1885" t="str">
        <f t="shared" si="17"/>
        <v xml:space="preserve"> </v>
      </c>
      <c r="ED621" s="1886"/>
      <c r="EE621" s="1886"/>
      <c r="EF621" s="1886"/>
      <c r="EG621" s="1887"/>
      <c r="EH621" s="1885" t="str">
        <f t="shared" si="18"/>
        <v xml:space="preserve"> </v>
      </c>
      <c r="EI621" s="1886"/>
      <c r="EJ621" s="1886"/>
      <c r="EK621" s="1886"/>
      <c r="EL621" s="1887"/>
      <c r="EM621" s="1885" t="str">
        <f t="shared" si="19"/>
        <v xml:space="preserve"> </v>
      </c>
      <c r="EN621" s="1886"/>
      <c r="EO621" s="1886"/>
      <c r="EP621" s="1886"/>
      <c r="EQ621" s="1887"/>
      <c r="ER621" s="1885" t="str">
        <f t="shared" si="20"/>
        <v xml:space="preserve"> </v>
      </c>
      <c r="ES621" s="1886"/>
      <c r="ET621" s="1886"/>
      <c r="EU621" s="1886"/>
      <c r="EV621" s="1887"/>
      <c r="EW621" s="1885" t="str">
        <f t="shared" si="21"/>
        <v xml:space="preserve"> </v>
      </c>
      <c r="EX621" s="1886"/>
      <c r="EY621" s="1886"/>
      <c r="EZ621" s="1886"/>
      <c r="FA621" s="1887"/>
    </row>
    <row r="622" spans="1:157" ht="12.75">
      <c r="B622" s="12" t="s">
        <v>17</v>
      </c>
      <c r="G622" s="1903"/>
      <c r="H622" s="1903"/>
      <c r="I622" s="1903"/>
      <c r="J622" s="1903"/>
      <c r="K622" s="1903"/>
      <c r="L622" s="1903"/>
      <c r="M622" s="1903"/>
      <c r="N622" s="1903"/>
      <c r="O622" s="1903"/>
      <c r="P622" s="1903"/>
      <c r="Q622" s="1903"/>
      <c r="R622" s="1903"/>
      <c r="U622" s="12" t="s">
        <v>17</v>
      </c>
      <c r="Z622" s="1877"/>
      <c r="AA622" s="1877"/>
      <c r="AB622" s="1877"/>
      <c r="AC622" s="1877"/>
      <c r="AD622" s="1877"/>
      <c r="AE622" s="1877"/>
      <c r="AF622" s="1877"/>
      <c r="AG622" s="1877"/>
      <c r="AH622" s="1877"/>
      <c r="AI622" s="1877"/>
      <c r="AJ622" s="1877"/>
      <c r="AK622" s="1877"/>
      <c r="AZ622" s="58"/>
      <c r="BA622" s="58"/>
      <c r="BB622" s="58"/>
      <c r="BC622" s="58"/>
      <c r="BD622" s="58"/>
      <c r="BE622" s="1885">
        <f t="shared" si="0"/>
        <v>0</v>
      </c>
      <c r="BF622" s="1887"/>
      <c r="BG622" s="1879">
        <f t="shared" si="1"/>
        <v>0</v>
      </c>
      <c r="BH622" s="1881"/>
      <c r="BI622" s="1885">
        <f t="shared" si="2"/>
        <v>0</v>
      </c>
      <c r="BJ622" s="1887"/>
      <c r="BK622" s="1879">
        <f t="shared" si="3"/>
        <v>0</v>
      </c>
      <c r="BL622" s="1881"/>
      <c r="BM622" s="58"/>
      <c r="BN622" s="1864">
        <f t="shared" si="4"/>
        <v>0</v>
      </c>
      <c r="BO622" s="1865"/>
      <c r="BP622" s="1865"/>
      <c r="BQ622" s="1865"/>
      <c r="BR622" s="1866"/>
      <c r="BS622" s="1871">
        <f t="shared" si="5"/>
        <v>0</v>
      </c>
      <c r="BT622" s="1871"/>
      <c r="BU622" s="1871"/>
      <c r="BV622" s="1871"/>
      <c r="BW622" s="1871"/>
      <c r="BX622" s="1871">
        <f t="shared" si="6"/>
        <v>0</v>
      </c>
      <c r="BY622" s="1871"/>
      <c r="BZ622" s="1871"/>
      <c r="CA622" s="1871"/>
      <c r="CB622" s="1871"/>
      <c r="CC622" s="1871">
        <f t="shared" si="7"/>
        <v>0</v>
      </c>
      <c r="CD622" s="1871"/>
      <c r="CE622" s="1871"/>
      <c r="CF622" s="1871"/>
      <c r="CG622" s="1871"/>
      <c r="CH622" s="1871">
        <f t="shared" si="8"/>
        <v>0</v>
      </c>
      <c r="CI622" s="1871"/>
      <c r="CJ622" s="1871"/>
      <c r="CK622" s="1871"/>
      <c r="CL622" s="1871"/>
      <c r="CM622" s="1871">
        <f t="shared" si="9"/>
        <v>0</v>
      </c>
      <c r="CN622" s="1871"/>
      <c r="CO622" s="1871"/>
      <c r="CP622" s="1871"/>
      <c r="CQ622" s="1871"/>
      <c r="CR622" s="265"/>
      <c r="CS622" s="1888">
        <f t="shared" si="10"/>
        <v>0</v>
      </c>
      <c r="CT622" s="1888"/>
      <c r="CU622" s="1888"/>
      <c r="CV622" s="1888"/>
      <c r="CW622" s="1888"/>
      <c r="CX622" s="1888">
        <f t="shared" si="11"/>
        <v>0</v>
      </c>
      <c r="CY622" s="1888"/>
      <c r="CZ622" s="1888"/>
      <c r="DA622" s="1888"/>
      <c r="DB622" s="1888"/>
      <c r="DC622" s="1888">
        <f t="shared" si="12"/>
        <v>0</v>
      </c>
      <c r="DD622" s="1888"/>
      <c r="DE622" s="1888"/>
      <c r="DF622" s="1888"/>
      <c r="DG622" s="1888"/>
      <c r="DH622" s="1888">
        <f t="shared" si="13"/>
        <v>0</v>
      </c>
      <c r="DI622" s="1888"/>
      <c r="DJ622" s="1888"/>
      <c r="DK622" s="1888"/>
      <c r="DL622" s="1888"/>
      <c r="DM622" s="1888">
        <f t="shared" si="14"/>
        <v>0</v>
      </c>
      <c r="DN622" s="1888"/>
      <c r="DO622" s="1888"/>
      <c r="DP622" s="1888"/>
      <c r="DQ622" s="1888"/>
      <c r="DR622" s="1888">
        <f t="shared" si="15"/>
        <v>0</v>
      </c>
      <c r="DS622" s="1888"/>
      <c r="DT622" s="1888"/>
      <c r="DU622" s="1888"/>
      <c r="DV622" s="1888"/>
      <c r="DX622" s="1885" t="str">
        <f t="shared" si="16"/>
        <v xml:space="preserve"> </v>
      </c>
      <c r="DY622" s="1886"/>
      <c r="DZ622" s="1886"/>
      <c r="EA622" s="1886"/>
      <c r="EB622" s="1887"/>
      <c r="EC622" s="1885" t="str">
        <f t="shared" si="17"/>
        <v xml:space="preserve"> </v>
      </c>
      <c r="ED622" s="1886"/>
      <c r="EE622" s="1886"/>
      <c r="EF622" s="1886"/>
      <c r="EG622" s="1887"/>
      <c r="EH622" s="1885" t="str">
        <f t="shared" si="18"/>
        <v xml:space="preserve"> </v>
      </c>
      <c r="EI622" s="1886"/>
      <c r="EJ622" s="1886"/>
      <c r="EK622" s="1886"/>
      <c r="EL622" s="1887"/>
      <c r="EM622" s="1885" t="str">
        <f t="shared" si="19"/>
        <v xml:space="preserve"> </v>
      </c>
      <c r="EN622" s="1886"/>
      <c r="EO622" s="1886"/>
      <c r="EP622" s="1886"/>
      <c r="EQ622" s="1887"/>
      <c r="ER622" s="1885" t="str">
        <f t="shared" si="20"/>
        <v xml:space="preserve"> </v>
      </c>
      <c r="ES622" s="1886"/>
      <c r="ET622" s="1886"/>
      <c r="EU622" s="1886"/>
      <c r="EV622" s="1887"/>
      <c r="EW622" s="1885" t="str">
        <f t="shared" si="21"/>
        <v xml:space="preserve"> </v>
      </c>
      <c r="EX622" s="1886"/>
      <c r="EY622" s="1886"/>
      <c r="EZ622" s="1886"/>
      <c r="FA622" s="1887"/>
    </row>
    <row r="623" spans="1:157" ht="12.75">
      <c r="B623" s="12" t="s">
        <v>322</v>
      </c>
      <c r="G623" s="2146"/>
      <c r="H623" s="2146"/>
      <c r="I623" s="2146"/>
      <c r="J623" s="2146"/>
      <c r="K623" s="2146"/>
      <c r="L623" s="2146"/>
      <c r="O623" s="137" t="s">
        <v>212</v>
      </c>
      <c r="P623" s="1876"/>
      <c r="Q623" s="1876"/>
      <c r="R623" s="1876"/>
      <c r="U623" s="12" t="s">
        <v>322</v>
      </c>
      <c r="Z623" s="2146"/>
      <c r="AA623" s="2146"/>
      <c r="AB623" s="2146"/>
      <c r="AC623" s="2146"/>
      <c r="AD623" s="2146"/>
      <c r="AE623" s="2146"/>
      <c r="AH623" s="137" t="s">
        <v>212</v>
      </c>
      <c r="AI623" s="1876"/>
      <c r="AJ623" s="1876"/>
      <c r="AK623" s="1876"/>
      <c r="AZ623" s="58"/>
      <c r="BA623" s="58"/>
      <c r="BB623" s="58"/>
      <c r="BC623" s="58"/>
      <c r="BD623" s="58"/>
      <c r="BE623" s="1885">
        <f t="shared" si="0"/>
        <v>0</v>
      </c>
      <c r="BF623" s="1887"/>
      <c r="BG623" s="1879">
        <f t="shared" si="1"/>
        <v>0</v>
      </c>
      <c r="BH623" s="1881"/>
      <c r="BI623" s="1885">
        <f t="shared" si="2"/>
        <v>0</v>
      </c>
      <c r="BJ623" s="1887"/>
      <c r="BK623" s="1879">
        <f t="shared" si="3"/>
        <v>0</v>
      </c>
      <c r="BL623" s="1881"/>
      <c r="BM623" s="58"/>
      <c r="BN623" s="1864">
        <f t="shared" si="4"/>
        <v>0</v>
      </c>
      <c r="BO623" s="1865"/>
      <c r="BP623" s="1865"/>
      <c r="BQ623" s="1865"/>
      <c r="BR623" s="1866"/>
      <c r="BS623" s="1871">
        <f t="shared" si="5"/>
        <v>0</v>
      </c>
      <c r="BT623" s="1871"/>
      <c r="BU623" s="1871"/>
      <c r="BV623" s="1871"/>
      <c r="BW623" s="1871"/>
      <c r="BX623" s="1871">
        <f t="shared" si="6"/>
        <v>0</v>
      </c>
      <c r="BY623" s="1871"/>
      <c r="BZ623" s="1871"/>
      <c r="CA623" s="1871"/>
      <c r="CB623" s="1871"/>
      <c r="CC623" s="1871">
        <f t="shared" si="7"/>
        <v>0</v>
      </c>
      <c r="CD623" s="1871"/>
      <c r="CE623" s="1871"/>
      <c r="CF623" s="1871"/>
      <c r="CG623" s="1871"/>
      <c r="CH623" s="1871">
        <f t="shared" si="8"/>
        <v>0</v>
      </c>
      <c r="CI623" s="1871"/>
      <c r="CJ623" s="1871"/>
      <c r="CK623" s="1871"/>
      <c r="CL623" s="1871"/>
      <c r="CM623" s="1871">
        <f t="shared" si="9"/>
        <v>0</v>
      </c>
      <c r="CN623" s="1871"/>
      <c r="CO623" s="1871"/>
      <c r="CP623" s="1871"/>
      <c r="CQ623" s="1871"/>
      <c r="CR623" s="265"/>
      <c r="CS623" s="1888">
        <f t="shared" si="10"/>
        <v>0</v>
      </c>
      <c r="CT623" s="1888"/>
      <c r="CU623" s="1888"/>
      <c r="CV623" s="1888"/>
      <c r="CW623" s="1888"/>
      <c r="CX623" s="1888">
        <f t="shared" si="11"/>
        <v>0</v>
      </c>
      <c r="CY623" s="1888"/>
      <c r="CZ623" s="1888"/>
      <c r="DA623" s="1888"/>
      <c r="DB623" s="1888"/>
      <c r="DC623" s="1888">
        <f t="shared" si="12"/>
        <v>0</v>
      </c>
      <c r="DD623" s="1888"/>
      <c r="DE623" s="1888"/>
      <c r="DF623" s="1888"/>
      <c r="DG623" s="1888"/>
      <c r="DH623" s="1888">
        <f t="shared" si="13"/>
        <v>0</v>
      </c>
      <c r="DI623" s="1888"/>
      <c r="DJ623" s="1888"/>
      <c r="DK623" s="1888"/>
      <c r="DL623" s="1888"/>
      <c r="DM623" s="1888">
        <f t="shared" si="14"/>
        <v>0</v>
      </c>
      <c r="DN623" s="1888"/>
      <c r="DO623" s="1888"/>
      <c r="DP623" s="1888"/>
      <c r="DQ623" s="1888"/>
      <c r="DR623" s="1888">
        <f t="shared" si="15"/>
        <v>0</v>
      </c>
      <c r="DS623" s="1888"/>
      <c r="DT623" s="1888"/>
      <c r="DU623" s="1888"/>
      <c r="DV623" s="1888"/>
      <c r="DX623" s="1885" t="str">
        <f t="shared" si="16"/>
        <v xml:space="preserve"> </v>
      </c>
      <c r="DY623" s="1886"/>
      <c r="DZ623" s="1886"/>
      <c r="EA623" s="1886"/>
      <c r="EB623" s="1887"/>
      <c r="EC623" s="1885" t="str">
        <f t="shared" si="17"/>
        <v xml:space="preserve"> </v>
      </c>
      <c r="ED623" s="1886"/>
      <c r="EE623" s="1886"/>
      <c r="EF623" s="1886"/>
      <c r="EG623" s="1887"/>
      <c r="EH623" s="1885" t="str">
        <f t="shared" si="18"/>
        <v xml:space="preserve"> </v>
      </c>
      <c r="EI623" s="1886"/>
      <c r="EJ623" s="1886"/>
      <c r="EK623" s="1886"/>
      <c r="EL623" s="1887"/>
      <c r="EM623" s="1885" t="str">
        <f t="shared" si="19"/>
        <v xml:space="preserve"> </v>
      </c>
      <c r="EN623" s="1886"/>
      <c r="EO623" s="1886"/>
      <c r="EP623" s="1886"/>
      <c r="EQ623" s="1887"/>
      <c r="ER623" s="1885" t="str">
        <f t="shared" si="20"/>
        <v xml:space="preserve"> </v>
      </c>
      <c r="ES623" s="1886"/>
      <c r="ET623" s="1886"/>
      <c r="EU623" s="1886"/>
      <c r="EV623" s="1887"/>
      <c r="EW623" s="1885" t="str">
        <f t="shared" si="21"/>
        <v xml:space="preserve"> </v>
      </c>
      <c r="EX623" s="1886"/>
      <c r="EY623" s="1886"/>
      <c r="EZ623" s="1886"/>
      <c r="FA623" s="1887"/>
    </row>
    <row r="624" spans="1:157" ht="12.75">
      <c r="B624" s="12" t="s">
        <v>18</v>
      </c>
      <c r="H624" s="1903"/>
      <c r="I624" s="1903"/>
      <c r="J624" s="1903"/>
      <c r="K624" s="1903"/>
      <c r="L624" s="1903"/>
      <c r="M624" s="1903"/>
      <c r="N624" s="1903"/>
      <c r="O624" s="1903"/>
      <c r="P624" s="1903"/>
      <c r="Q624" s="1903"/>
      <c r="R624" s="1903"/>
      <c r="U624" s="12" t="s">
        <v>18</v>
      </c>
      <c r="AA624" s="1903"/>
      <c r="AB624" s="1903"/>
      <c r="AC624" s="1903"/>
      <c r="AD624" s="1903"/>
      <c r="AE624" s="1903"/>
      <c r="AF624" s="1903"/>
      <c r="AG624" s="1903"/>
      <c r="AH624" s="1903"/>
      <c r="AI624" s="1903"/>
      <c r="AJ624" s="1903"/>
      <c r="AK624" s="1903"/>
      <c r="AZ624" s="58"/>
      <c r="BA624" s="58"/>
      <c r="BB624" s="58"/>
      <c r="BC624" s="58"/>
      <c r="BD624" s="58"/>
      <c r="BE624" s="1885">
        <f t="shared" si="0"/>
        <v>0</v>
      </c>
      <c r="BF624" s="1887"/>
      <c r="BG624" s="1879">
        <f t="shared" si="1"/>
        <v>0</v>
      </c>
      <c r="BH624" s="1881"/>
      <c r="BI624" s="1885">
        <f t="shared" si="2"/>
        <v>0</v>
      </c>
      <c r="BJ624" s="1887"/>
      <c r="BK624" s="1879">
        <f t="shared" si="3"/>
        <v>0</v>
      </c>
      <c r="BL624" s="1881"/>
      <c r="BM624" s="58"/>
      <c r="BN624" s="1864">
        <f t="shared" si="4"/>
        <v>0</v>
      </c>
      <c r="BO624" s="1865"/>
      <c r="BP624" s="1865"/>
      <c r="BQ624" s="1865"/>
      <c r="BR624" s="1866"/>
      <c r="BS624" s="1871">
        <f t="shared" si="5"/>
        <v>0</v>
      </c>
      <c r="BT624" s="1871"/>
      <c r="BU624" s="1871"/>
      <c r="BV624" s="1871"/>
      <c r="BW624" s="1871"/>
      <c r="BX624" s="1871">
        <f t="shared" si="6"/>
        <v>0</v>
      </c>
      <c r="BY624" s="1871"/>
      <c r="BZ624" s="1871"/>
      <c r="CA624" s="1871"/>
      <c r="CB624" s="1871"/>
      <c r="CC624" s="1871">
        <f t="shared" si="7"/>
        <v>0</v>
      </c>
      <c r="CD624" s="1871"/>
      <c r="CE624" s="1871"/>
      <c r="CF624" s="1871"/>
      <c r="CG624" s="1871"/>
      <c r="CH624" s="1871">
        <f t="shared" si="8"/>
        <v>0</v>
      </c>
      <c r="CI624" s="1871"/>
      <c r="CJ624" s="1871"/>
      <c r="CK624" s="1871"/>
      <c r="CL624" s="1871"/>
      <c r="CM624" s="1871">
        <f t="shared" si="9"/>
        <v>0</v>
      </c>
      <c r="CN624" s="1871"/>
      <c r="CO624" s="1871"/>
      <c r="CP624" s="1871"/>
      <c r="CQ624" s="1871"/>
      <c r="CR624" s="265"/>
      <c r="CS624" s="1888">
        <f t="shared" si="10"/>
        <v>0</v>
      </c>
      <c r="CT624" s="1888"/>
      <c r="CU624" s="1888"/>
      <c r="CV624" s="1888"/>
      <c r="CW624" s="1888"/>
      <c r="CX624" s="1888">
        <f t="shared" si="11"/>
        <v>0</v>
      </c>
      <c r="CY624" s="1888"/>
      <c r="CZ624" s="1888"/>
      <c r="DA624" s="1888"/>
      <c r="DB624" s="1888"/>
      <c r="DC624" s="1888">
        <f t="shared" si="12"/>
        <v>0</v>
      </c>
      <c r="DD624" s="1888"/>
      <c r="DE624" s="1888"/>
      <c r="DF624" s="1888"/>
      <c r="DG624" s="1888"/>
      <c r="DH624" s="1888">
        <f t="shared" si="13"/>
        <v>0</v>
      </c>
      <c r="DI624" s="1888"/>
      <c r="DJ624" s="1888"/>
      <c r="DK624" s="1888"/>
      <c r="DL624" s="1888"/>
      <c r="DM624" s="1888">
        <f t="shared" si="14"/>
        <v>0</v>
      </c>
      <c r="DN624" s="1888"/>
      <c r="DO624" s="1888"/>
      <c r="DP624" s="1888"/>
      <c r="DQ624" s="1888"/>
      <c r="DR624" s="1888">
        <f t="shared" si="15"/>
        <v>0</v>
      </c>
      <c r="DS624" s="1888"/>
      <c r="DT624" s="1888"/>
      <c r="DU624" s="1888"/>
      <c r="DV624" s="1888"/>
      <c r="DX624" s="1885" t="str">
        <f t="shared" si="16"/>
        <v xml:space="preserve"> </v>
      </c>
      <c r="DY624" s="1886"/>
      <c r="DZ624" s="1886"/>
      <c r="EA624" s="1886"/>
      <c r="EB624" s="1887"/>
      <c r="EC624" s="1885" t="str">
        <f t="shared" si="17"/>
        <v xml:space="preserve"> </v>
      </c>
      <c r="ED624" s="1886"/>
      <c r="EE624" s="1886"/>
      <c r="EF624" s="1886"/>
      <c r="EG624" s="1887"/>
      <c r="EH624" s="1885" t="str">
        <f t="shared" si="18"/>
        <v xml:space="preserve"> </v>
      </c>
      <c r="EI624" s="1886"/>
      <c r="EJ624" s="1886"/>
      <c r="EK624" s="1886"/>
      <c r="EL624" s="1887"/>
      <c r="EM624" s="1885" t="str">
        <f t="shared" si="19"/>
        <v xml:space="preserve"> </v>
      </c>
      <c r="EN624" s="1886"/>
      <c r="EO624" s="1886"/>
      <c r="EP624" s="1886"/>
      <c r="EQ624" s="1887"/>
      <c r="ER624" s="1885" t="str">
        <f t="shared" si="20"/>
        <v xml:space="preserve"> </v>
      </c>
      <c r="ES624" s="1886"/>
      <c r="ET624" s="1886"/>
      <c r="EU624" s="1886"/>
      <c r="EV624" s="1887"/>
      <c r="EW624" s="1885" t="str">
        <f t="shared" si="21"/>
        <v xml:space="preserve"> </v>
      </c>
      <c r="EX624" s="1886"/>
      <c r="EY624" s="1886"/>
      <c r="EZ624" s="1886"/>
      <c r="FA624" s="1887"/>
    </row>
    <row r="625" spans="1:157" ht="12.75">
      <c r="B625" s="12" t="s">
        <v>20</v>
      </c>
      <c r="N625" s="1875" t="s">
        <v>696</v>
      </c>
      <c r="O625" s="1875"/>
      <c r="U625" s="12" t="s">
        <v>20</v>
      </c>
      <c r="AG625" s="1875" t="s">
        <v>696</v>
      </c>
      <c r="AH625" s="1875"/>
      <c r="AZ625" s="58"/>
      <c r="BA625" s="58"/>
      <c r="BB625" s="58"/>
      <c r="BC625" s="58"/>
      <c r="BD625" s="58"/>
      <c r="BE625" s="1885">
        <f t="shared" si="0"/>
        <v>0</v>
      </c>
      <c r="BF625" s="1887"/>
      <c r="BG625" s="1879">
        <f t="shared" si="1"/>
        <v>0</v>
      </c>
      <c r="BH625" s="1881"/>
      <c r="BI625" s="1885">
        <f t="shared" si="2"/>
        <v>0</v>
      </c>
      <c r="BJ625" s="1887"/>
      <c r="BK625" s="1879">
        <f t="shared" si="3"/>
        <v>0</v>
      </c>
      <c r="BL625" s="1881"/>
      <c r="BM625" s="58"/>
      <c r="BN625" s="1864">
        <f t="shared" si="4"/>
        <v>0</v>
      </c>
      <c r="BO625" s="1865"/>
      <c r="BP625" s="1865"/>
      <c r="BQ625" s="1865"/>
      <c r="BR625" s="1866"/>
      <c r="BS625" s="1871">
        <f t="shared" si="5"/>
        <v>0</v>
      </c>
      <c r="BT625" s="1871"/>
      <c r="BU625" s="1871"/>
      <c r="BV625" s="1871"/>
      <c r="BW625" s="1871"/>
      <c r="BX625" s="1871">
        <f t="shared" si="6"/>
        <v>0</v>
      </c>
      <c r="BY625" s="1871"/>
      <c r="BZ625" s="1871"/>
      <c r="CA625" s="1871"/>
      <c r="CB625" s="1871"/>
      <c r="CC625" s="1871">
        <f t="shared" si="7"/>
        <v>0</v>
      </c>
      <c r="CD625" s="1871"/>
      <c r="CE625" s="1871"/>
      <c r="CF625" s="1871"/>
      <c r="CG625" s="1871"/>
      <c r="CH625" s="1871">
        <f t="shared" si="8"/>
        <v>0</v>
      </c>
      <c r="CI625" s="1871"/>
      <c r="CJ625" s="1871"/>
      <c r="CK625" s="1871"/>
      <c r="CL625" s="1871"/>
      <c r="CM625" s="1871">
        <f t="shared" si="9"/>
        <v>0</v>
      </c>
      <c r="CN625" s="1871"/>
      <c r="CO625" s="1871"/>
      <c r="CP625" s="1871"/>
      <c r="CQ625" s="1871"/>
      <c r="CR625" s="265"/>
      <c r="CS625" s="1888">
        <f t="shared" si="10"/>
        <v>0</v>
      </c>
      <c r="CT625" s="1888"/>
      <c r="CU625" s="1888"/>
      <c r="CV625" s="1888"/>
      <c r="CW625" s="1888"/>
      <c r="CX625" s="1888">
        <f t="shared" si="11"/>
        <v>0</v>
      </c>
      <c r="CY625" s="1888"/>
      <c r="CZ625" s="1888"/>
      <c r="DA625" s="1888"/>
      <c r="DB625" s="1888"/>
      <c r="DC625" s="1888">
        <f t="shared" si="12"/>
        <v>0</v>
      </c>
      <c r="DD625" s="1888"/>
      <c r="DE625" s="1888"/>
      <c r="DF625" s="1888"/>
      <c r="DG625" s="1888"/>
      <c r="DH625" s="1888">
        <f t="shared" si="13"/>
        <v>0</v>
      </c>
      <c r="DI625" s="1888"/>
      <c r="DJ625" s="1888"/>
      <c r="DK625" s="1888"/>
      <c r="DL625" s="1888"/>
      <c r="DM625" s="1888">
        <f t="shared" si="14"/>
        <v>0</v>
      </c>
      <c r="DN625" s="1888"/>
      <c r="DO625" s="1888"/>
      <c r="DP625" s="1888"/>
      <c r="DQ625" s="1888"/>
      <c r="DR625" s="1888">
        <f t="shared" si="15"/>
        <v>0</v>
      </c>
      <c r="DS625" s="1888"/>
      <c r="DT625" s="1888"/>
      <c r="DU625" s="1888"/>
      <c r="DV625" s="1888"/>
      <c r="DX625" s="1885" t="str">
        <f t="shared" si="16"/>
        <v xml:space="preserve"> </v>
      </c>
      <c r="DY625" s="1886"/>
      <c r="DZ625" s="1886"/>
      <c r="EA625" s="1886"/>
      <c r="EB625" s="1887"/>
      <c r="EC625" s="1885" t="str">
        <f t="shared" si="17"/>
        <v xml:space="preserve"> </v>
      </c>
      <c r="ED625" s="1886"/>
      <c r="EE625" s="1886"/>
      <c r="EF625" s="1886"/>
      <c r="EG625" s="1887"/>
      <c r="EH625" s="1885" t="str">
        <f t="shared" si="18"/>
        <v xml:space="preserve"> </v>
      </c>
      <c r="EI625" s="1886"/>
      <c r="EJ625" s="1886"/>
      <c r="EK625" s="1886"/>
      <c r="EL625" s="1887"/>
      <c r="EM625" s="1885" t="str">
        <f t="shared" si="19"/>
        <v xml:space="preserve"> </v>
      </c>
      <c r="EN625" s="1886"/>
      <c r="EO625" s="1886"/>
      <c r="EP625" s="1886"/>
      <c r="EQ625" s="1887"/>
      <c r="ER625" s="1885" t="str">
        <f t="shared" si="20"/>
        <v xml:space="preserve"> </v>
      </c>
      <c r="ES625" s="1886"/>
      <c r="ET625" s="1886"/>
      <c r="EU625" s="1886"/>
      <c r="EV625" s="1887"/>
      <c r="EW625" s="1885" t="str">
        <f t="shared" si="21"/>
        <v xml:space="preserve"> </v>
      </c>
      <c r="EX625" s="1886"/>
      <c r="EY625" s="1886"/>
      <c r="EZ625" s="1886"/>
      <c r="FA625" s="1887"/>
    </row>
    <row r="626" spans="1:157" ht="12.75">
      <c r="AZ626" s="58"/>
      <c r="BA626" s="58"/>
      <c r="BB626" s="58"/>
      <c r="BC626" s="58"/>
      <c r="BD626" s="58"/>
      <c r="BE626" s="1885">
        <f t="shared" si="0"/>
        <v>0</v>
      </c>
      <c r="BF626" s="1887"/>
      <c r="BG626" s="1879">
        <f t="shared" si="1"/>
        <v>0</v>
      </c>
      <c r="BH626" s="1881"/>
      <c r="BI626" s="1885">
        <f t="shared" si="2"/>
        <v>0</v>
      </c>
      <c r="BJ626" s="1887"/>
      <c r="BK626" s="1879">
        <f t="shared" si="3"/>
        <v>0</v>
      </c>
      <c r="BL626" s="1881"/>
      <c r="BM626" s="58"/>
      <c r="BN626" s="1864">
        <f t="shared" si="4"/>
        <v>0</v>
      </c>
      <c r="BO626" s="1865"/>
      <c r="BP626" s="1865"/>
      <c r="BQ626" s="1865"/>
      <c r="BR626" s="1866"/>
      <c r="BS626" s="1871">
        <f t="shared" si="5"/>
        <v>0</v>
      </c>
      <c r="BT626" s="1871"/>
      <c r="BU626" s="1871"/>
      <c r="BV626" s="1871"/>
      <c r="BW626" s="1871"/>
      <c r="BX626" s="1871">
        <f t="shared" si="6"/>
        <v>0</v>
      </c>
      <c r="BY626" s="1871"/>
      <c r="BZ626" s="1871"/>
      <c r="CA626" s="1871"/>
      <c r="CB626" s="1871"/>
      <c r="CC626" s="1871">
        <f t="shared" si="7"/>
        <v>0</v>
      </c>
      <c r="CD626" s="1871"/>
      <c r="CE626" s="1871"/>
      <c r="CF626" s="1871"/>
      <c r="CG626" s="1871"/>
      <c r="CH626" s="1871">
        <f t="shared" si="8"/>
        <v>0</v>
      </c>
      <c r="CI626" s="1871"/>
      <c r="CJ626" s="1871"/>
      <c r="CK626" s="1871"/>
      <c r="CL626" s="1871"/>
      <c r="CM626" s="1871">
        <f t="shared" si="9"/>
        <v>0</v>
      </c>
      <c r="CN626" s="1871"/>
      <c r="CO626" s="1871"/>
      <c r="CP626" s="1871"/>
      <c r="CQ626" s="1871"/>
      <c r="CR626" s="265"/>
      <c r="CS626" s="1888">
        <f t="shared" si="10"/>
        <v>0</v>
      </c>
      <c r="CT626" s="1888"/>
      <c r="CU626" s="1888"/>
      <c r="CV626" s="1888"/>
      <c r="CW626" s="1888"/>
      <c r="CX626" s="1888">
        <f t="shared" si="11"/>
        <v>0</v>
      </c>
      <c r="CY626" s="1888"/>
      <c r="CZ626" s="1888"/>
      <c r="DA626" s="1888"/>
      <c r="DB626" s="1888"/>
      <c r="DC626" s="1888">
        <f t="shared" si="12"/>
        <v>0</v>
      </c>
      <c r="DD626" s="1888"/>
      <c r="DE626" s="1888"/>
      <c r="DF626" s="1888"/>
      <c r="DG626" s="1888"/>
      <c r="DH626" s="1888">
        <f t="shared" si="13"/>
        <v>0</v>
      </c>
      <c r="DI626" s="1888"/>
      <c r="DJ626" s="1888"/>
      <c r="DK626" s="1888"/>
      <c r="DL626" s="1888"/>
      <c r="DM626" s="1888">
        <f t="shared" si="14"/>
        <v>0</v>
      </c>
      <c r="DN626" s="1888"/>
      <c r="DO626" s="1888"/>
      <c r="DP626" s="1888"/>
      <c r="DQ626" s="1888"/>
      <c r="DR626" s="1888">
        <f t="shared" si="15"/>
        <v>0</v>
      </c>
      <c r="DS626" s="1888"/>
      <c r="DT626" s="1888"/>
      <c r="DU626" s="1888"/>
      <c r="DV626" s="1888"/>
      <c r="DX626" s="1885" t="str">
        <f t="shared" si="16"/>
        <v xml:space="preserve"> </v>
      </c>
      <c r="DY626" s="1886"/>
      <c r="DZ626" s="1886"/>
      <c r="EA626" s="1886"/>
      <c r="EB626" s="1887"/>
      <c r="EC626" s="1885" t="str">
        <f t="shared" si="17"/>
        <v xml:space="preserve"> </v>
      </c>
      <c r="ED626" s="1886"/>
      <c r="EE626" s="1886"/>
      <c r="EF626" s="1886"/>
      <c r="EG626" s="1887"/>
      <c r="EH626" s="1885" t="str">
        <f t="shared" si="18"/>
        <v xml:space="preserve"> </v>
      </c>
      <c r="EI626" s="1886"/>
      <c r="EJ626" s="1886"/>
      <c r="EK626" s="1886"/>
      <c r="EL626" s="1887"/>
      <c r="EM626" s="1885" t="str">
        <f t="shared" si="19"/>
        <v xml:space="preserve"> </v>
      </c>
      <c r="EN626" s="1886"/>
      <c r="EO626" s="1886"/>
      <c r="EP626" s="1886"/>
      <c r="EQ626" s="1887"/>
      <c r="ER626" s="1885" t="str">
        <f t="shared" si="20"/>
        <v xml:space="preserve"> </v>
      </c>
      <c r="ES626" s="1886"/>
      <c r="ET626" s="1886"/>
      <c r="EU626" s="1886"/>
      <c r="EV626" s="1887"/>
      <c r="EW626" s="1885" t="str">
        <f t="shared" si="21"/>
        <v xml:space="preserve"> </v>
      </c>
      <c r="EX626" s="1886"/>
      <c r="EY626" s="1886"/>
      <c r="EZ626" s="1886"/>
      <c r="FA626" s="1887"/>
    </row>
    <row r="627" spans="1:157" ht="12.75" customHeight="1">
      <c r="A627" s="1705" t="s">
        <v>570</v>
      </c>
      <c r="B627" s="1705"/>
      <c r="C627" s="1705"/>
      <c r="D627" s="1705"/>
      <c r="E627" s="1705"/>
      <c r="F627" s="1705"/>
      <c r="G627" s="1705"/>
      <c r="H627" s="1705"/>
      <c r="I627" s="1705"/>
      <c r="J627" s="1705"/>
      <c r="K627" s="1705"/>
      <c r="L627" s="1705"/>
      <c r="M627" s="1705"/>
      <c r="N627" s="1705"/>
      <c r="O627" s="1705"/>
      <c r="P627" s="1705"/>
      <c r="Q627" s="1705"/>
      <c r="R627" s="1705"/>
      <c r="S627" s="1705"/>
      <c r="T627" s="1705"/>
      <c r="U627" s="1705"/>
      <c r="V627" s="1705"/>
      <c r="W627" s="1705"/>
      <c r="X627" s="1705"/>
      <c r="Y627" s="1705"/>
      <c r="Z627" s="1705"/>
      <c r="AA627" s="1705"/>
      <c r="AB627" s="1705"/>
      <c r="AC627" s="1705"/>
      <c r="AD627" s="1705"/>
      <c r="AE627" s="1705"/>
      <c r="AF627" s="1705"/>
      <c r="AG627" s="1705"/>
      <c r="AH627" s="1705"/>
      <c r="AI627" s="1705"/>
      <c r="AJ627" s="1705"/>
      <c r="AK627" s="1705"/>
      <c r="AL627" s="1705"/>
      <c r="AM627" s="1705"/>
      <c r="AN627" s="1705"/>
      <c r="AO627" s="1705"/>
      <c r="AP627" s="1705"/>
      <c r="AQ627" s="1705"/>
      <c r="AR627" s="1705"/>
      <c r="AS627" s="1705"/>
      <c r="AT627" s="950"/>
      <c r="AU627" s="950"/>
      <c r="AV627" s="950"/>
      <c r="AW627" s="950"/>
      <c r="AX627" s="950"/>
      <c r="AY627" s="950"/>
      <c r="AZ627" s="58"/>
      <c r="BA627" s="58"/>
      <c r="BB627" s="58"/>
      <c r="BC627" s="58"/>
      <c r="BD627" s="58"/>
      <c r="BE627" s="1885">
        <f t="shared" si="0"/>
        <v>0</v>
      </c>
      <c r="BF627" s="1887"/>
      <c r="BG627" s="1879">
        <f t="shared" si="1"/>
        <v>0</v>
      </c>
      <c r="BH627" s="1881"/>
      <c r="BI627" s="1885">
        <f t="shared" si="2"/>
        <v>0</v>
      </c>
      <c r="BJ627" s="1887"/>
      <c r="BK627" s="1879">
        <f t="shared" si="3"/>
        <v>0</v>
      </c>
      <c r="BL627" s="1881"/>
      <c r="BM627" s="58"/>
      <c r="BN627" s="1864">
        <f t="shared" si="4"/>
        <v>0</v>
      </c>
      <c r="BO627" s="1865"/>
      <c r="BP627" s="1865"/>
      <c r="BQ627" s="1865"/>
      <c r="BR627" s="1866"/>
      <c r="BS627" s="1871">
        <f t="shared" si="5"/>
        <v>0</v>
      </c>
      <c r="BT627" s="1871"/>
      <c r="BU627" s="1871"/>
      <c r="BV627" s="1871"/>
      <c r="BW627" s="1871"/>
      <c r="BX627" s="1871">
        <f t="shared" si="6"/>
        <v>0</v>
      </c>
      <c r="BY627" s="1871"/>
      <c r="BZ627" s="1871"/>
      <c r="CA627" s="1871"/>
      <c r="CB627" s="1871"/>
      <c r="CC627" s="1871">
        <f t="shared" si="7"/>
        <v>0</v>
      </c>
      <c r="CD627" s="1871"/>
      <c r="CE627" s="1871"/>
      <c r="CF627" s="1871"/>
      <c r="CG627" s="1871"/>
      <c r="CH627" s="1871">
        <f t="shared" si="8"/>
        <v>0</v>
      </c>
      <c r="CI627" s="1871"/>
      <c r="CJ627" s="1871"/>
      <c r="CK627" s="1871"/>
      <c r="CL627" s="1871"/>
      <c r="CM627" s="1871">
        <f t="shared" si="9"/>
        <v>0</v>
      </c>
      <c r="CN627" s="1871"/>
      <c r="CO627" s="1871"/>
      <c r="CP627" s="1871"/>
      <c r="CQ627" s="1871"/>
      <c r="CR627" s="265"/>
      <c r="CS627" s="1888">
        <f t="shared" si="10"/>
        <v>0</v>
      </c>
      <c r="CT627" s="1888"/>
      <c r="CU627" s="1888"/>
      <c r="CV627" s="1888"/>
      <c r="CW627" s="1888"/>
      <c r="CX627" s="1888">
        <f t="shared" si="11"/>
        <v>0</v>
      </c>
      <c r="CY627" s="1888"/>
      <c r="CZ627" s="1888"/>
      <c r="DA627" s="1888"/>
      <c r="DB627" s="1888"/>
      <c r="DC627" s="1888">
        <f t="shared" si="12"/>
        <v>0</v>
      </c>
      <c r="DD627" s="1888"/>
      <c r="DE627" s="1888"/>
      <c r="DF627" s="1888"/>
      <c r="DG627" s="1888"/>
      <c r="DH627" s="1888">
        <f t="shared" si="13"/>
        <v>0</v>
      </c>
      <c r="DI627" s="1888"/>
      <c r="DJ627" s="1888"/>
      <c r="DK627" s="1888"/>
      <c r="DL627" s="1888"/>
      <c r="DM627" s="1888">
        <f t="shared" si="14"/>
        <v>0</v>
      </c>
      <c r="DN627" s="1888"/>
      <c r="DO627" s="1888"/>
      <c r="DP627" s="1888"/>
      <c r="DQ627" s="1888"/>
      <c r="DR627" s="1888">
        <f t="shared" si="15"/>
        <v>0</v>
      </c>
      <c r="DS627" s="1888"/>
      <c r="DT627" s="1888"/>
      <c r="DU627" s="1888"/>
      <c r="DV627" s="1888"/>
      <c r="DX627" s="1885" t="str">
        <f t="shared" si="16"/>
        <v xml:space="preserve"> </v>
      </c>
      <c r="DY627" s="1886"/>
      <c r="DZ627" s="1886"/>
      <c r="EA627" s="1886"/>
      <c r="EB627" s="1887"/>
      <c r="EC627" s="1885" t="str">
        <f t="shared" si="17"/>
        <v xml:space="preserve"> </v>
      </c>
      <c r="ED627" s="1886"/>
      <c r="EE627" s="1886"/>
      <c r="EF627" s="1886"/>
      <c r="EG627" s="1887"/>
      <c r="EH627" s="1885" t="str">
        <f t="shared" si="18"/>
        <v xml:space="preserve"> </v>
      </c>
      <c r="EI627" s="1886"/>
      <c r="EJ627" s="1886"/>
      <c r="EK627" s="1886"/>
      <c r="EL627" s="1887"/>
      <c r="EM627" s="1885" t="str">
        <f t="shared" si="19"/>
        <v xml:space="preserve"> </v>
      </c>
      <c r="EN627" s="1886"/>
      <c r="EO627" s="1886"/>
      <c r="EP627" s="1886"/>
      <c r="EQ627" s="1887"/>
      <c r="ER627" s="1885" t="str">
        <f t="shared" si="20"/>
        <v xml:space="preserve"> </v>
      </c>
      <c r="ES627" s="1886"/>
      <c r="ET627" s="1886"/>
      <c r="EU627" s="1886"/>
      <c r="EV627" s="1887"/>
      <c r="EW627" s="1885" t="str">
        <f t="shared" si="21"/>
        <v xml:space="preserve"> </v>
      </c>
      <c r="EX627" s="1886"/>
      <c r="EY627" s="1886"/>
      <c r="EZ627" s="1886"/>
      <c r="FA627" s="1887"/>
    </row>
    <row r="628" spans="1:157" ht="12.75">
      <c r="A628" s="1705"/>
      <c r="B628" s="1705"/>
      <c r="C628" s="1705"/>
      <c r="D628" s="1705"/>
      <c r="E628" s="1705"/>
      <c r="F628" s="1705"/>
      <c r="G628" s="1705"/>
      <c r="H628" s="1705"/>
      <c r="I628" s="1705"/>
      <c r="J628" s="1705"/>
      <c r="K628" s="1705"/>
      <c r="L628" s="1705"/>
      <c r="M628" s="1705"/>
      <c r="N628" s="1705"/>
      <c r="O628" s="1705"/>
      <c r="P628" s="1705"/>
      <c r="Q628" s="1705"/>
      <c r="R628" s="1705"/>
      <c r="S628" s="1705"/>
      <c r="T628" s="1705"/>
      <c r="U628" s="1705"/>
      <c r="V628" s="1705"/>
      <c r="W628" s="1705"/>
      <c r="X628" s="1705"/>
      <c r="Y628" s="1705"/>
      <c r="Z628" s="1705"/>
      <c r="AA628" s="1705"/>
      <c r="AB628" s="1705"/>
      <c r="AC628" s="1705"/>
      <c r="AD628" s="1705"/>
      <c r="AE628" s="1705"/>
      <c r="AF628" s="1705"/>
      <c r="AG628" s="1705"/>
      <c r="AH628" s="1705"/>
      <c r="AI628" s="1705"/>
      <c r="AJ628" s="1705"/>
      <c r="AK628" s="1705"/>
      <c r="AL628" s="1705"/>
      <c r="AM628" s="1705"/>
      <c r="AN628" s="1705"/>
      <c r="AO628" s="1705"/>
      <c r="AP628" s="1705"/>
      <c r="AQ628" s="1705"/>
      <c r="AR628" s="1705"/>
      <c r="AS628" s="1705"/>
      <c r="AT628" s="950"/>
      <c r="AU628" s="950"/>
      <c r="AV628" s="950"/>
      <c r="AW628" s="950"/>
      <c r="AX628" s="950"/>
      <c r="AY628" s="950"/>
      <c r="AZ628" s="58"/>
      <c r="BA628" s="58"/>
      <c r="BB628" s="58"/>
      <c r="BC628" s="58"/>
      <c r="BD628" s="58"/>
      <c r="BE628" s="1885">
        <f t="shared" si="0"/>
        <v>0</v>
      </c>
      <c r="BF628" s="1887"/>
      <c r="BG628" s="1879">
        <f t="shared" si="1"/>
        <v>0</v>
      </c>
      <c r="BH628" s="1881"/>
      <c r="BI628" s="1885">
        <f t="shared" si="2"/>
        <v>0</v>
      </c>
      <c r="BJ628" s="1887"/>
      <c r="BK628" s="1879">
        <f t="shared" si="3"/>
        <v>0</v>
      </c>
      <c r="BL628" s="1881"/>
      <c r="BM628" s="58"/>
      <c r="BN628" s="1864">
        <f t="shared" si="4"/>
        <v>0</v>
      </c>
      <c r="BO628" s="1865"/>
      <c r="BP628" s="1865"/>
      <c r="BQ628" s="1865"/>
      <c r="BR628" s="1866"/>
      <c r="BS628" s="1871">
        <f t="shared" si="5"/>
        <v>0</v>
      </c>
      <c r="BT628" s="1871"/>
      <c r="BU628" s="1871"/>
      <c r="BV628" s="1871"/>
      <c r="BW628" s="1871"/>
      <c r="BX628" s="1871">
        <f t="shared" si="6"/>
        <v>0</v>
      </c>
      <c r="BY628" s="1871"/>
      <c r="BZ628" s="1871"/>
      <c r="CA628" s="1871"/>
      <c r="CB628" s="1871"/>
      <c r="CC628" s="1871">
        <f t="shared" si="7"/>
        <v>0</v>
      </c>
      <c r="CD628" s="1871"/>
      <c r="CE628" s="1871"/>
      <c r="CF628" s="1871"/>
      <c r="CG628" s="1871"/>
      <c r="CH628" s="1871">
        <f t="shared" si="8"/>
        <v>0</v>
      </c>
      <c r="CI628" s="1871"/>
      <c r="CJ628" s="1871"/>
      <c r="CK628" s="1871"/>
      <c r="CL628" s="1871"/>
      <c r="CM628" s="1871">
        <f t="shared" si="9"/>
        <v>0</v>
      </c>
      <c r="CN628" s="1871"/>
      <c r="CO628" s="1871"/>
      <c r="CP628" s="1871"/>
      <c r="CQ628" s="1871"/>
      <c r="CR628" s="265"/>
      <c r="CS628" s="1888">
        <f t="shared" si="10"/>
        <v>0</v>
      </c>
      <c r="CT628" s="1888"/>
      <c r="CU628" s="1888"/>
      <c r="CV628" s="1888"/>
      <c r="CW628" s="1888"/>
      <c r="CX628" s="1888">
        <f t="shared" si="11"/>
        <v>0</v>
      </c>
      <c r="CY628" s="1888"/>
      <c r="CZ628" s="1888"/>
      <c r="DA628" s="1888"/>
      <c r="DB628" s="1888"/>
      <c r="DC628" s="1888">
        <f t="shared" si="12"/>
        <v>0</v>
      </c>
      <c r="DD628" s="1888"/>
      <c r="DE628" s="1888"/>
      <c r="DF628" s="1888"/>
      <c r="DG628" s="1888"/>
      <c r="DH628" s="1888">
        <f t="shared" si="13"/>
        <v>0</v>
      </c>
      <c r="DI628" s="1888"/>
      <c r="DJ628" s="1888"/>
      <c r="DK628" s="1888"/>
      <c r="DL628" s="1888"/>
      <c r="DM628" s="1888">
        <f t="shared" si="14"/>
        <v>0</v>
      </c>
      <c r="DN628" s="1888"/>
      <c r="DO628" s="1888"/>
      <c r="DP628" s="1888"/>
      <c r="DQ628" s="1888"/>
      <c r="DR628" s="1888">
        <f t="shared" si="15"/>
        <v>0</v>
      </c>
      <c r="DS628" s="1888"/>
      <c r="DT628" s="1888"/>
      <c r="DU628" s="1888"/>
      <c r="DV628" s="1888"/>
      <c r="DX628" s="1885" t="str">
        <f t="shared" si="16"/>
        <v xml:space="preserve"> </v>
      </c>
      <c r="DY628" s="1886"/>
      <c r="DZ628" s="1886"/>
      <c r="EA628" s="1886"/>
      <c r="EB628" s="1887"/>
      <c r="EC628" s="1885" t="str">
        <f t="shared" si="17"/>
        <v xml:space="preserve"> </v>
      </c>
      <c r="ED628" s="1886"/>
      <c r="EE628" s="1886"/>
      <c r="EF628" s="1886"/>
      <c r="EG628" s="1887"/>
      <c r="EH628" s="1885" t="str">
        <f t="shared" si="18"/>
        <v xml:space="preserve"> </v>
      </c>
      <c r="EI628" s="1886"/>
      <c r="EJ628" s="1886"/>
      <c r="EK628" s="1886"/>
      <c r="EL628" s="1887"/>
      <c r="EM628" s="1885" t="str">
        <f t="shared" si="19"/>
        <v xml:space="preserve"> </v>
      </c>
      <c r="EN628" s="1886"/>
      <c r="EO628" s="1886"/>
      <c r="EP628" s="1886"/>
      <c r="EQ628" s="1887"/>
      <c r="ER628" s="1885" t="str">
        <f t="shared" si="20"/>
        <v xml:space="preserve"> </v>
      </c>
      <c r="ES628" s="1886"/>
      <c r="ET628" s="1886"/>
      <c r="EU628" s="1886"/>
      <c r="EV628" s="1887"/>
      <c r="EW628" s="1885" t="str">
        <f t="shared" si="21"/>
        <v xml:space="preserve"> </v>
      </c>
      <c r="EX628" s="1886"/>
      <c r="EY628" s="1886"/>
      <c r="EZ628" s="1886"/>
      <c r="FA628" s="1887"/>
    </row>
    <row r="629" spans="1:157" ht="12.75">
      <c r="A629" s="25"/>
      <c r="B629" s="25"/>
      <c r="C629" s="25"/>
      <c r="D629" s="25"/>
      <c r="E629" s="25"/>
      <c r="F629" s="25"/>
      <c r="G629" s="3"/>
      <c r="H629" s="25"/>
      <c r="AZ629" s="58"/>
      <c r="BA629" s="58"/>
      <c r="BB629" s="58"/>
      <c r="BC629" s="58"/>
      <c r="BD629" s="58"/>
      <c r="BE629" s="1885">
        <f t="shared" si="0"/>
        <v>0</v>
      </c>
      <c r="BF629" s="1887"/>
      <c r="BG629" s="1879">
        <f t="shared" si="1"/>
        <v>0</v>
      </c>
      <c r="BH629" s="1881"/>
      <c r="BI629" s="1885">
        <f t="shared" si="2"/>
        <v>0</v>
      </c>
      <c r="BJ629" s="1887"/>
      <c r="BK629" s="1879">
        <f t="shared" si="3"/>
        <v>0</v>
      </c>
      <c r="BL629" s="1881"/>
      <c r="BM629" s="58"/>
      <c r="BN629" s="1864">
        <f t="shared" si="4"/>
        <v>0</v>
      </c>
      <c r="BO629" s="1865"/>
      <c r="BP629" s="1865"/>
      <c r="BQ629" s="1865"/>
      <c r="BR629" s="1866"/>
      <c r="BS629" s="1871">
        <f t="shared" si="5"/>
        <v>0</v>
      </c>
      <c r="BT629" s="1871"/>
      <c r="BU629" s="1871"/>
      <c r="BV629" s="1871"/>
      <c r="BW629" s="1871"/>
      <c r="BX629" s="1871">
        <f t="shared" si="6"/>
        <v>0</v>
      </c>
      <c r="BY629" s="1871"/>
      <c r="BZ629" s="1871"/>
      <c r="CA629" s="1871"/>
      <c r="CB629" s="1871"/>
      <c r="CC629" s="1871">
        <f t="shared" si="7"/>
        <v>0</v>
      </c>
      <c r="CD629" s="1871"/>
      <c r="CE629" s="1871"/>
      <c r="CF629" s="1871"/>
      <c r="CG629" s="1871"/>
      <c r="CH629" s="1871">
        <f t="shared" si="8"/>
        <v>0</v>
      </c>
      <c r="CI629" s="1871"/>
      <c r="CJ629" s="1871"/>
      <c r="CK629" s="1871"/>
      <c r="CL629" s="1871"/>
      <c r="CM629" s="1871">
        <f t="shared" si="9"/>
        <v>0</v>
      </c>
      <c r="CN629" s="1871"/>
      <c r="CO629" s="1871"/>
      <c r="CP629" s="1871"/>
      <c r="CQ629" s="1871"/>
      <c r="CR629" s="265"/>
      <c r="CS629" s="1888">
        <f t="shared" si="10"/>
        <v>0</v>
      </c>
      <c r="CT629" s="1888"/>
      <c r="CU629" s="1888"/>
      <c r="CV629" s="1888"/>
      <c r="CW629" s="1888"/>
      <c r="CX629" s="1888">
        <f t="shared" si="11"/>
        <v>0</v>
      </c>
      <c r="CY629" s="1888"/>
      <c r="CZ629" s="1888"/>
      <c r="DA629" s="1888"/>
      <c r="DB629" s="1888"/>
      <c r="DC629" s="1888">
        <f t="shared" si="12"/>
        <v>0</v>
      </c>
      <c r="DD629" s="1888"/>
      <c r="DE629" s="1888"/>
      <c r="DF629" s="1888"/>
      <c r="DG629" s="1888"/>
      <c r="DH629" s="1888">
        <f t="shared" si="13"/>
        <v>0</v>
      </c>
      <c r="DI629" s="1888"/>
      <c r="DJ629" s="1888"/>
      <c r="DK629" s="1888"/>
      <c r="DL629" s="1888"/>
      <c r="DM629" s="1888">
        <f t="shared" si="14"/>
        <v>0</v>
      </c>
      <c r="DN629" s="1888"/>
      <c r="DO629" s="1888"/>
      <c r="DP629" s="1888"/>
      <c r="DQ629" s="1888"/>
      <c r="DR629" s="1888">
        <f t="shared" si="15"/>
        <v>0</v>
      </c>
      <c r="DS629" s="1888"/>
      <c r="DT629" s="1888"/>
      <c r="DU629" s="1888"/>
      <c r="DV629" s="1888"/>
      <c r="DX629" s="1885" t="str">
        <f t="shared" si="16"/>
        <v xml:space="preserve"> </v>
      </c>
      <c r="DY629" s="1886"/>
      <c r="DZ629" s="1886"/>
      <c r="EA629" s="1886"/>
      <c r="EB629" s="1887"/>
      <c r="EC629" s="1885" t="str">
        <f t="shared" si="17"/>
        <v xml:space="preserve"> </v>
      </c>
      <c r="ED629" s="1886"/>
      <c r="EE629" s="1886"/>
      <c r="EF629" s="1886"/>
      <c r="EG629" s="1887"/>
      <c r="EH629" s="1885" t="str">
        <f t="shared" si="18"/>
        <v xml:space="preserve"> </v>
      </c>
      <c r="EI629" s="1886"/>
      <c r="EJ629" s="1886"/>
      <c r="EK629" s="1886"/>
      <c r="EL629" s="1887"/>
      <c r="EM629" s="1885" t="str">
        <f t="shared" si="19"/>
        <v xml:space="preserve"> </v>
      </c>
      <c r="EN629" s="1886"/>
      <c r="EO629" s="1886"/>
      <c r="EP629" s="1886"/>
      <c r="EQ629" s="1887"/>
      <c r="ER629" s="1885" t="str">
        <f t="shared" si="20"/>
        <v xml:space="preserve"> </v>
      </c>
      <c r="ES629" s="1886"/>
      <c r="ET629" s="1886"/>
      <c r="EU629" s="1886"/>
      <c r="EV629" s="1887"/>
      <c r="EW629" s="1885" t="str">
        <f t="shared" si="21"/>
        <v xml:space="preserve"> </v>
      </c>
      <c r="EX629" s="1886"/>
      <c r="EY629" s="1886"/>
      <c r="EZ629" s="1886"/>
      <c r="FA629" s="1887"/>
    </row>
    <row r="630" spans="1:157" ht="12.75">
      <c r="A630" s="50" t="s">
        <v>325</v>
      </c>
      <c r="B630" s="50"/>
      <c r="C630" s="50" t="s">
        <v>21</v>
      </c>
      <c r="AZ630" s="58"/>
      <c r="BA630" s="58"/>
      <c r="BB630" s="58"/>
      <c r="BC630" s="58"/>
      <c r="BD630" s="58"/>
      <c r="BE630" s="1885">
        <f t="shared" si="0"/>
        <v>0</v>
      </c>
      <c r="BF630" s="1887"/>
      <c r="BG630" s="1879">
        <f t="shared" si="1"/>
        <v>0</v>
      </c>
      <c r="BH630" s="1881"/>
      <c r="BI630" s="1885">
        <f t="shared" si="2"/>
        <v>0</v>
      </c>
      <c r="BJ630" s="1887"/>
      <c r="BK630" s="1879">
        <f t="shared" si="3"/>
        <v>0</v>
      </c>
      <c r="BL630" s="1881"/>
      <c r="BM630" s="58"/>
      <c r="BN630" s="1864">
        <f t="shared" si="4"/>
        <v>0</v>
      </c>
      <c r="BO630" s="1865"/>
      <c r="BP630" s="1865"/>
      <c r="BQ630" s="1865"/>
      <c r="BR630" s="1866"/>
      <c r="BS630" s="1871">
        <f t="shared" si="5"/>
        <v>0</v>
      </c>
      <c r="BT630" s="1871"/>
      <c r="BU630" s="1871"/>
      <c r="BV630" s="1871"/>
      <c r="BW630" s="1871"/>
      <c r="BX630" s="1871">
        <f t="shared" si="6"/>
        <v>0</v>
      </c>
      <c r="BY630" s="1871"/>
      <c r="BZ630" s="1871"/>
      <c r="CA630" s="1871"/>
      <c r="CB630" s="1871"/>
      <c r="CC630" s="1871">
        <f t="shared" si="7"/>
        <v>0</v>
      </c>
      <c r="CD630" s="1871"/>
      <c r="CE630" s="1871"/>
      <c r="CF630" s="1871"/>
      <c r="CG630" s="1871"/>
      <c r="CH630" s="1871">
        <f t="shared" si="8"/>
        <v>0</v>
      </c>
      <c r="CI630" s="1871"/>
      <c r="CJ630" s="1871"/>
      <c r="CK630" s="1871"/>
      <c r="CL630" s="1871"/>
      <c r="CM630" s="1871">
        <f t="shared" si="9"/>
        <v>0</v>
      </c>
      <c r="CN630" s="1871"/>
      <c r="CO630" s="1871"/>
      <c r="CP630" s="1871"/>
      <c r="CQ630" s="1871"/>
      <c r="CR630" s="265"/>
      <c r="CS630" s="1888">
        <f t="shared" si="10"/>
        <v>0</v>
      </c>
      <c r="CT630" s="1888"/>
      <c r="CU630" s="1888"/>
      <c r="CV630" s="1888"/>
      <c r="CW630" s="1888"/>
      <c r="CX630" s="1888">
        <f t="shared" si="11"/>
        <v>0</v>
      </c>
      <c r="CY630" s="1888"/>
      <c r="CZ630" s="1888"/>
      <c r="DA630" s="1888"/>
      <c r="DB630" s="1888"/>
      <c r="DC630" s="1888">
        <f t="shared" si="12"/>
        <v>0</v>
      </c>
      <c r="DD630" s="1888"/>
      <c r="DE630" s="1888"/>
      <c r="DF630" s="1888"/>
      <c r="DG630" s="1888"/>
      <c r="DH630" s="1888">
        <f t="shared" si="13"/>
        <v>0</v>
      </c>
      <c r="DI630" s="1888"/>
      <c r="DJ630" s="1888"/>
      <c r="DK630" s="1888"/>
      <c r="DL630" s="1888"/>
      <c r="DM630" s="1888">
        <f t="shared" si="14"/>
        <v>0</v>
      </c>
      <c r="DN630" s="1888"/>
      <c r="DO630" s="1888"/>
      <c r="DP630" s="1888"/>
      <c r="DQ630" s="1888"/>
      <c r="DR630" s="1888">
        <f t="shared" si="15"/>
        <v>0</v>
      </c>
      <c r="DS630" s="1888"/>
      <c r="DT630" s="1888"/>
      <c r="DU630" s="1888"/>
      <c r="DV630" s="1888"/>
      <c r="DX630" s="1885" t="str">
        <f t="shared" si="16"/>
        <v xml:space="preserve"> </v>
      </c>
      <c r="DY630" s="1886"/>
      <c r="DZ630" s="1886"/>
      <c r="EA630" s="1886"/>
      <c r="EB630" s="1887"/>
      <c r="EC630" s="1885" t="str">
        <f t="shared" si="17"/>
        <v xml:space="preserve"> </v>
      </c>
      <c r="ED630" s="1886"/>
      <c r="EE630" s="1886"/>
      <c r="EF630" s="1886"/>
      <c r="EG630" s="1887"/>
      <c r="EH630" s="1885" t="str">
        <f t="shared" si="18"/>
        <v xml:space="preserve"> </v>
      </c>
      <c r="EI630" s="1886"/>
      <c r="EJ630" s="1886"/>
      <c r="EK630" s="1886"/>
      <c r="EL630" s="1887"/>
      <c r="EM630" s="1885" t="str">
        <f t="shared" si="19"/>
        <v xml:space="preserve"> </v>
      </c>
      <c r="EN630" s="1886"/>
      <c r="EO630" s="1886"/>
      <c r="EP630" s="1886"/>
      <c r="EQ630" s="1887"/>
      <c r="ER630" s="1885" t="str">
        <f t="shared" si="20"/>
        <v xml:space="preserve"> </v>
      </c>
      <c r="ES630" s="1886"/>
      <c r="ET630" s="1886"/>
      <c r="EU630" s="1886"/>
      <c r="EV630" s="1887"/>
      <c r="EW630" s="1885" t="str">
        <f t="shared" si="21"/>
        <v xml:space="preserve"> </v>
      </c>
      <c r="EX630" s="1886"/>
      <c r="EY630" s="1886"/>
      <c r="EZ630" s="1886"/>
      <c r="FA630" s="1887"/>
    </row>
    <row r="631" spans="1:157" ht="12.75">
      <c r="A631" s="50"/>
      <c r="B631" s="50"/>
      <c r="C631" s="50"/>
      <c r="AZ631" s="58"/>
      <c r="BA631" s="58"/>
      <c r="BB631" s="58"/>
      <c r="BC631" s="58"/>
      <c r="BD631" s="58"/>
      <c r="BE631" s="1885">
        <f t="shared" si="0"/>
        <v>0</v>
      </c>
      <c r="BF631" s="1887"/>
      <c r="BG631" s="1879">
        <f t="shared" si="1"/>
        <v>0</v>
      </c>
      <c r="BH631" s="1881"/>
      <c r="BI631" s="1885">
        <f t="shared" si="2"/>
        <v>0</v>
      </c>
      <c r="BJ631" s="1887"/>
      <c r="BK631" s="1879">
        <f t="shared" si="3"/>
        <v>0</v>
      </c>
      <c r="BL631" s="1881"/>
      <c r="BM631" s="58"/>
      <c r="BN631" s="1864">
        <f t="shared" si="4"/>
        <v>0</v>
      </c>
      <c r="BO631" s="1865"/>
      <c r="BP631" s="1865"/>
      <c r="BQ631" s="1865"/>
      <c r="BR631" s="1866"/>
      <c r="BS631" s="1871">
        <f t="shared" si="5"/>
        <v>0</v>
      </c>
      <c r="BT631" s="1871"/>
      <c r="BU631" s="1871"/>
      <c r="BV631" s="1871"/>
      <c r="BW631" s="1871"/>
      <c r="BX631" s="1871">
        <f t="shared" si="6"/>
        <v>0</v>
      </c>
      <c r="BY631" s="1871"/>
      <c r="BZ631" s="1871"/>
      <c r="CA631" s="1871"/>
      <c r="CB631" s="1871"/>
      <c r="CC631" s="1871">
        <f t="shared" si="7"/>
        <v>0</v>
      </c>
      <c r="CD631" s="1871"/>
      <c r="CE631" s="1871"/>
      <c r="CF631" s="1871"/>
      <c r="CG631" s="1871"/>
      <c r="CH631" s="1871">
        <f t="shared" si="8"/>
        <v>0</v>
      </c>
      <c r="CI631" s="1871"/>
      <c r="CJ631" s="1871"/>
      <c r="CK631" s="1871"/>
      <c r="CL631" s="1871"/>
      <c r="CM631" s="1871">
        <f t="shared" si="9"/>
        <v>0</v>
      </c>
      <c r="CN631" s="1871"/>
      <c r="CO631" s="1871"/>
      <c r="CP631" s="1871"/>
      <c r="CQ631" s="1871"/>
      <c r="CR631" s="265"/>
      <c r="CS631" s="1888">
        <f t="shared" si="10"/>
        <v>0</v>
      </c>
      <c r="CT631" s="1888"/>
      <c r="CU631" s="1888"/>
      <c r="CV631" s="1888"/>
      <c r="CW631" s="1888"/>
      <c r="CX631" s="1888">
        <f t="shared" si="11"/>
        <v>0</v>
      </c>
      <c r="CY631" s="1888"/>
      <c r="CZ631" s="1888"/>
      <c r="DA631" s="1888"/>
      <c r="DB631" s="1888"/>
      <c r="DC631" s="1888">
        <f t="shared" si="12"/>
        <v>0</v>
      </c>
      <c r="DD631" s="1888"/>
      <c r="DE631" s="1888"/>
      <c r="DF631" s="1888"/>
      <c r="DG631" s="1888"/>
      <c r="DH631" s="1888">
        <f t="shared" si="13"/>
        <v>0</v>
      </c>
      <c r="DI631" s="1888"/>
      <c r="DJ631" s="1888"/>
      <c r="DK631" s="1888"/>
      <c r="DL631" s="1888"/>
      <c r="DM631" s="1888">
        <f t="shared" si="14"/>
        <v>0</v>
      </c>
      <c r="DN631" s="1888"/>
      <c r="DO631" s="1888"/>
      <c r="DP631" s="1888"/>
      <c r="DQ631" s="1888"/>
      <c r="DR631" s="1888">
        <f t="shared" si="15"/>
        <v>0</v>
      </c>
      <c r="DS631" s="1888"/>
      <c r="DT631" s="1888"/>
      <c r="DU631" s="1888"/>
      <c r="DV631" s="1888"/>
      <c r="DX631" s="1885" t="str">
        <f t="shared" si="16"/>
        <v xml:space="preserve"> </v>
      </c>
      <c r="DY631" s="1886"/>
      <c r="DZ631" s="1886"/>
      <c r="EA631" s="1886"/>
      <c r="EB631" s="1887"/>
      <c r="EC631" s="1885" t="str">
        <f t="shared" si="17"/>
        <v xml:space="preserve"> </v>
      </c>
      <c r="ED631" s="1886"/>
      <c r="EE631" s="1886"/>
      <c r="EF631" s="1886"/>
      <c r="EG631" s="1887"/>
      <c r="EH631" s="1885" t="str">
        <f t="shared" si="18"/>
        <v xml:space="preserve"> </v>
      </c>
      <c r="EI631" s="1886"/>
      <c r="EJ631" s="1886"/>
      <c r="EK631" s="1886"/>
      <c r="EL631" s="1887"/>
      <c r="EM631" s="1885" t="str">
        <f t="shared" si="19"/>
        <v xml:space="preserve"> </v>
      </c>
      <c r="EN631" s="1886"/>
      <c r="EO631" s="1886"/>
      <c r="EP631" s="1886"/>
      <c r="EQ631" s="1887"/>
      <c r="ER631" s="1885" t="str">
        <f t="shared" si="20"/>
        <v xml:space="preserve"> </v>
      </c>
      <c r="ES631" s="1886"/>
      <c r="ET631" s="1886"/>
      <c r="EU631" s="1886"/>
      <c r="EV631" s="1887"/>
      <c r="EW631" s="1885" t="str">
        <f t="shared" si="21"/>
        <v xml:space="preserve"> </v>
      </c>
      <c r="EX631" s="1886"/>
      <c r="EY631" s="1886"/>
      <c r="EZ631" s="1886"/>
      <c r="FA631" s="188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85">
        <f t="shared" si="0"/>
        <v>0</v>
      </c>
      <c r="BF632" s="1887"/>
      <c r="BG632" s="1879">
        <f t="shared" si="1"/>
        <v>0</v>
      </c>
      <c r="BH632" s="1881"/>
      <c r="BI632" s="1885">
        <f t="shared" si="2"/>
        <v>0</v>
      </c>
      <c r="BJ632" s="1887"/>
      <c r="BK632" s="1879">
        <f t="shared" si="3"/>
        <v>0</v>
      </c>
      <c r="BL632" s="1881"/>
      <c r="BM632" s="58"/>
      <c r="BN632" s="1864">
        <f t="shared" si="4"/>
        <v>0</v>
      </c>
      <c r="BO632" s="1865"/>
      <c r="BP632" s="1865"/>
      <c r="BQ632" s="1865"/>
      <c r="BR632" s="1866"/>
      <c r="BS632" s="1871">
        <f t="shared" si="5"/>
        <v>0</v>
      </c>
      <c r="BT632" s="1871"/>
      <c r="BU632" s="1871"/>
      <c r="BV632" s="1871"/>
      <c r="BW632" s="1871"/>
      <c r="BX632" s="1871">
        <f t="shared" si="6"/>
        <v>0</v>
      </c>
      <c r="BY632" s="1871"/>
      <c r="BZ632" s="1871"/>
      <c r="CA632" s="1871"/>
      <c r="CB632" s="1871"/>
      <c r="CC632" s="1871">
        <f t="shared" si="7"/>
        <v>0</v>
      </c>
      <c r="CD632" s="1871"/>
      <c r="CE632" s="1871"/>
      <c r="CF632" s="1871"/>
      <c r="CG632" s="1871"/>
      <c r="CH632" s="1871">
        <f t="shared" si="8"/>
        <v>0</v>
      </c>
      <c r="CI632" s="1871"/>
      <c r="CJ632" s="1871"/>
      <c r="CK632" s="1871"/>
      <c r="CL632" s="1871"/>
      <c r="CM632" s="1871">
        <f t="shared" si="9"/>
        <v>0</v>
      </c>
      <c r="CN632" s="1871"/>
      <c r="CO632" s="1871"/>
      <c r="CP632" s="1871"/>
      <c r="CQ632" s="1871"/>
      <c r="CR632" s="265"/>
      <c r="CS632" s="1888">
        <f t="shared" si="10"/>
        <v>0</v>
      </c>
      <c r="CT632" s="1888"/>
      <c r="CU632" s="1888"/>
      <c r="CV632" s="1888"/>
      <c r="CW632" s="1888"/>
      <c r="CX632" s="1888">
        <f t="shared" si="11"/>
        <v>0</v>
      </c>
      <c r="CY632" s="1888"/>
      <c r="CZ632" s="1888"/>
      <c r="DA632" s="1888"/>
      <c r="DB632" s="1888"/>
      <c r="DC632" s="1888">
        <f t="shared" si="12"/>
        <v>0</v>
      </c>
      <c r="DD632" s="1888"/>
      <c r="DE632" s="1888"/>
      <c r="DF632" s="1888"/>
      <c r="DG632" s="1888"/>
      <c r="DH632" s="1888">
        <f t="shared" si="13"/>
        <v>0</v>
      </c>
      <c r="DI632" s="1888"/>
      <c r="DJ632" s="1888"/>
      <c r="DK632" s="1888"/>
      <c r="DL632" s="1888"/>
      <c r="DM632" s="1888">
        <f t="shared" si="14"/>
        <v>0</v>
      </c>
      <c r="DN632" s="1888"/>
      <c r="DO632" s="1888"/>
      <c r="DP632" s="1888"/>
      <c r="DQ632" s="1888"/>
      <c r="DR632" s="1888">
        <f t="shared" si="15"/>
        <v>0</v>
      </c>
      <c r="DS632" s="1888"/>
      <c r="DT632" s="1888"/>
      <c r="DU632" s="1888"/>
      <c r="DV632" s="1888"/>
      <c r="DX632" s="1885" t="str">
        <f t="shared" si="16"/>
        <v xml:space="preserve"> </v>
      </c>
      <c r="DY632" s="1886"/>
      <c r="DZ632" s="1886"/>
      <c r="EA632" s="1886"/>
      <c r="EB632" s="1887"/>
      <c r="EC632" s="1885" t="str">
        <f t="shared" si="17"/>
        <v xml:space="preserve"> </v>
      </c>
      <c r="ED632" s="1886"/>
      <c r="EE632" s="1886"/>
      <c r="EF632" s="1886"/>
      <c r="EG632" s="1887"/>
      <c r="EH632" s="1885" t="str">
        <f t="shared" si="18"/>
        <v xml:space="preserve"> </v>
      </c>
      <c r="EI632" s="1886"/>
      <c r="EJ632" s="1886"/>
      <c r="EK632" s="1886"/>
      <c r="EL632" s="1887"/>
      <c r="EM632" s="1885" t="str">
        <f t="shared" si="19"/>
        <v xml:space="preserve"> </v>
      </c>
      <c r="EN632" s="1886"/>
      <c r="EO632" s="1886"/>
      <c r="EP632" s="1886"/>
      <c r="EQ632" s="1887"/>
      <c r="ER632" s="1885" t="str">
        <f t="shared" si="20"/>
        <v xml:space="preserve"> </v>
      </c>
      <c r="ES632" s="1886"/>
      <c r="ET632" s="1886"/>
      <c r="EU632" s="1886"/>
      <c r="EV632" s="1887"/>
      <c r="EW632" s="1885" t="str">
        <f t="shared" si="21"/>
        <v xml:space="preserve"> </v>
      </c>
      <c r="EX632" s="1886"/>
      <c r="EY632" s="1886"/>
      <c r="EZ632" s="1886"/>
      <c r="FA632" s="188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85">
        <f t="shared" si="0"/>
        <v>0</v>
      </c>
      <c r="BF633" s="1887"/>
      <c r="BG633" s="1879">
        <f t="shared" si="1"/>
        <v>0</v>
      </c>
      <c r="BH633" s="1881"/>
      <c r="BI633" s="1885">
        <f t="shared" si="2"/>
        <v>0</v>
      </c>
      <c r="BJ633" s="1887"/>
      <c r="BK633" s="1879">
        <f t="shared" si="3"/>
        <v>0</v>
      </c>
      <c r="BL633" s="1881"/>
      <c r="BM633" s="58"/>
      <c r="BN633" s="1864">
        <f t="shared" si="4"/>
        <v>0</v>
      </c>
      <c r="BO633" s="1865"/>
      <c r="BP633" s="1865"/>
      <c r="BQ633" s="1865"/>
      <c r="BR633" s="1866"/>
      <c r="BS633" s="1871">
        <f t="shared" si="5"/>
        <v>0</v>
      </c>
      <c r="BT633" s="1871"/>
      <c r="BU633" s="1871"/>
      <c r="BV633" s="1871"/>
      <c r="BW633" s="1871"/>
      <c r="BX633" s="1871">
        <f t="shared" si="6"/>
        <v>0</v>
      </c>
      <c r="BY633" s="1871"/>
      <c r="BZ633" s="1871"/>
      <c r="CA633" s="1871"/>
      <c r="CB633" s="1871"/>
      <c r="CC633" s="1871">
        <f t="shared" si="7"/>
        <v>0</v>
      </c>
      <c r="CD633" s="1871"/>
      <c r="CE633" s="1871"/>
      <c r="CF633" s="1871"/>
      <c r="CG633" s="1871"/>
      <c r="CH633" s="1871">
        <f t="shared" si="8"/>
        <v>0</v>
      </c>
      <c r="CI633" s="1871"/>
      <c r="CJ633" s="1871"/>
      <c r="CK633" s="1871"/>
      <c r="CL633" s="1871"/>
      <c r="CM633" s="1871">
        <f t="shared" si="9"/>
        <v>0</v>
      </c>
      <c r="CN633" s="1871"/>
      <c r="CO633" s="1871"/>
      <c r="CP633" s="1871"/>
      <c r="CQ633" s="1871"/>
      <c r="CR633" s="265"/>
      <c r="CS633" s="1888">
        <f t="shared" si="10"/>
        <v>0</v>
      </c>
      <c r="CT633" s="1888"/>
      <c r="CU633" s="1888"/>
      <c r="CV633" s="1888"/>
      <c r="CW633" s="1888"/>
      <c r="CX633" s="1888">
        <f t="shared" si="11"/>
        <v>0</v>
      </c>
      <c r="CY633" s="1888"/>
      <c r="CZ633" s="1888"/>
      <c r="DA633" s="1888"/>
      <c r="DB633" s="1888"/>
      <c r="DC633" s="1888">
        <f t="shared" si="12"/>
        <v>0</v>
      </c>
      <c r="DD633" s="1888"/>
      <c r="DE633" s="1888"/>
      <c r="DF633" s="1888"/>
      <c r="DG633" s="1888"/>
      <c r="DH633" s="1888">
        <f t="shared" si="13"/>
        <v>0</v>
      </c>
      <c r="DI633" s="1888"/>
      <c r="DJ633" s="1888"/>
      <c r="DK633" s="1888"/>
      <c r="DL633" s="1888"/>
      <c r="DM633" s="1888">
        <f t="shared" si="14"/>
        <v>0</v>
      </c>
      <c r="DN633" s="1888"/>
      <c r="DO633" s="1888"/>
      <c r="DP633" s="1888"/>
      <c r="DQ633" s="1888"/>
      <c r="DR633" s="1888">
        <f t="shared" si="15"/>
        <v>0</v>
      </c>
      <c r="DS633" s="1888"/>
      <c r="DT633" s="1888"/>
      <c r="DU633" s="1888"/>
      <c r="DV633" s="1888"/>
      <c r="DX633" s="1885" t="str">
        <f t="shared" si="16"/>
        <v xml:space="preserve"> </v>
      </c>
      <c r="DY633" s="1886"/>
      <c r="DZ633" s="1886"/>
      <c r="EA633" s="1886"/>
      <c r="EB633" s="1887"/>
      <c r="EC633" s="1885" t="str">
        <f t="shared" si="17"/>
        <v xml:space="preserve"> </v>
      </c>
      <c r="ED633" s="1886"/>
      <c r="EE633" s="1886"/>
      <c r="EF633" s="1886"/>
      <c r="EG633" s="1887"/>
      <c r="EH633" s="1885" t="str">
        <f t="shared" si="18"/>
        <v xml:space="preserve"> </v>
      </c>
      <c r="EI633" s="1886"/>
      <c r="EJ633" s="1886"/>
      <c r="EK633" s="1886"/>
      <c r="EL633" s="1887"/>
      <c r="EM633" s="1885" t="str">
        <f t="shared" si="19"/>
        <v xml:space="preserve"> </v>
      </c>
      <c r="EN633" s="1886"/>
      <c r="EO633" s="1886"/>
      <c r="EP633" s="1886"/>
      <c r="EQ633" s="1887"/>
      <c r="ER633" s="1885" t="str">
        <f t="shared" si="20"/>
        <v xml:space="preserve"> </v>
      </c>
      <c r="ES633" s="1886"/>
      <c r="ET633" s="1886"/>
      <c r="EU633" s="1886"/>
      <c r="EV633" s="1887"/>
      <c r="EW633" s="1885" t="str">
        <f t="shared" si="21"/>
        <v xml:space="preserve"> </v>
      </c>
      <c r="EX633" s="1886"/>
      <c r="EY633" s="1886"/>
      <c r="EZ633" s="1886"/>
      <c r="FA633" s="1887"/>
    </row>
    <row r="634" spans="1:157" s="1103" customFormat="1" ht="12.75" customHeight="1">
      <c r="B634" s="2052" t="s">
        <v>478</v>
      </c>
      <c r="C634" s="2053"/>
      <c r="D634" s="2053"/>
      <c r="E634" s="2053"/>
      <c r="F634" s="2053"/>
      <c r="G634" s="2053"/>
      <c r="H634" s="2053"/>
      <c r="I634" s="2053"/>
      <c r="J634" s="2053"/>
      <c r="K634" s="2053"/>
      <c r="L634" s="2053"/>
      <c r="M634" s="2053"/>
      <c r="N634" s="2054"/>
      <c r="O634" s="2034" t="s">
        <v>2184</v>
      </c>
      <c r="P634" s="2035"/>
      <c r="Q634" s="2199"/>
      <c r="R634" s="2034" t="s">
        <v>2182</v>
      </c>
      <c r="S634" s="2035"/>
      <c r="T634" s="2199"/>
      <c r="U634" s="1907" t="s">
        <v>479</v>
      </c>
      <c r="V634" s="1907"/>
      <c r="W634" s="1908"/>
      <c r="X634" s="2034" t="s">
        <v>1994</v>
      </c>
      <c r="Y634" s="2035"/>
      <c r="Z634" s="2035"/>
      <c r="AA634" s="2035"/>
      <c r="AB634" s="2199"/>
      <c r="AC634" s="2159" t="s">
        <v>1992</v>
      </c>
      <c r="AD634" s="2160"/>
      <c r="AE634" s="2161"/>
      <c r="AF634" s="2034" t="s">
        <v>2400</v>
      </c>
      <c r="AG634" s="2035"/>
      <c r="AH634" s="2035"/>
      <c r="AI634" s="2035"/>
      <c r="AJ634" s="2199"/>
      <c r="AK634" s="2147" t="s">
        <v>2401</v>
      </c>
      <c r="AL634" s="2148"/>
      <c r="AM634" s="2148"/>
      <c r="AN634" s="2149"/>
      <c r="AO634" s="2216" t="s">
        <v>480</v>
      </c>
      <c r="AP634" s="2216"/>
      <c r="AQ634" s="2216"/>
      <c r="AR634" s="2216"/>
      <c r="AS634" s="2216"/>
      <c r="AT634" s="1104"/>
      <c r="AU634" s="1104"/>
      <c r="AV634" s="1104"/>
      <c r="AW634" s="1104"/>
      <c r="AX634" s="1104"/>
      <c r="AY634" s="1104"/>
      <c r="AZ634" s="181"/>
      <c r="BA634" s="181"/>
      <c r="BB634" s="181"/>
      <c r="BC634" s="181"/>
      <c r="BD634" s="181"/>
      <c r="BE634" s="1885">
        <f t="shared" si="0"/>
        <v>0</v>
      </c>
      <c r="BF634" s="1887"/>
      <c r="BG634" s="1879">
        <f t="shared" si="1"/>
        <v>0</v>
      </c>
      <c r="BH634" s="1881"/>
      <c r="BI634" s="1885">
        <f t="shared" si="2"/>
        <v>0</v>
      </c>
      <c r="BJ634" s="1887"/>
      <c r="BK634" s="1879">
        <f t="shared" si="3"/>
        <v>0</v>
      </c>
      <c r="BL634" s="1881"/>
      <c r="BM634" s="181"/>
      <c r="BN634" s="1864">
        <f t="shared" si="4"/>
        <v>0</v>
      </c>
      <c r="BO634" s="1865"/>
      <c r="BP634" s="1865"/>
      <c r="BQ634" s="1865"/>
      <c r="BR634" s="1866"/>
      <c r="BS634" s="1871">
        <f t="shared" si="5"/>
        <v>0</v>
      </c>
      <c r="BT634" s="1871"/>
      <c r="BU634" s="1871"/>
      <c r="BV634" s="1871"/>
      <c r="BW634" s="1871"/>
      <c r="BX634" s="1871">
        <f t="shared" si="6"/>
        <v>0</v>
      </c>
      <c r="BY634" s="1871"/>
      <c r="BZ634" s="1871"/>
      <c r="CA634" s="1871"/>
      <c r="CB634" s="1871"/>
      <c r="CC634" s="1871">
        <f t="shared" si="7"/>
        <v>0</v>
      </c>
      <c r="CD634" s="1871"/>
      <c r="CE634" s="1871"/>
      <c r="CF634" s="1871"/>
      <c r="CG634" s="1871"/>
      <c r="CH634" s="1871">
        <f t="shared" si="8"/>
        <v>0</v>
      </c>
      <c r="CI634" s="1871"/>
      <c r="CJ634" s="1871"/>
      <c r="CK634" s="1871"/>
      <c r="CL634" s="1871"/>
      <c r="CM634" s="1871">
        <f t="shared" si="9"/>
        <v>0</v>
      </c>
      <c r="CN634" s="1871"/>
      <c r="CO634" s="1871"/>
      <c r="CP634" s="1871"/>
      <c r="CQ634" s="1871"/>
      <c r="CR634" s="265"/>
      <c r="CS634" s="1888">
        <f t="shared" si="10"/>
        <v>0</v>
      </c>
      <c r="CT634" s="1888"/>
      <c r="CU634" s="1888"/>
      <c r="CV634" s="1888"/>
      <c r="CW634" s="1888"/>
      <c r="CX634" s="1888">
        <f t="shared" si="11"/>
        <v>0</v>
      </c>
      <c r="CY634" s="1888"/>
      <c r="CZ634" s="1888"/>
      <c r="DA634" s="1888"/>
      <c r="DB634" s="1888"/>
      <c r="DC634" s="1888">
        <f t="shared" si="12"/>
        <v>0</v>
      </c>
      <c r="DD634" s="1888"/>
      <c r="DE634" s="1888"/>
      <c r="DF634" s="1888"/>
      <c r="DG634" s="1888"/>
      <c r="DH634" s="1888">
        <f t="shared" si="13"/>
        <v>0</v>
      </c>
      <c r="DI634" s="1888"/>
      <c r="DJ634" s="1888"/>
      <c r="DK634" s="1888"/>
      <c r="DL634" s="1888"/>
      <c r="DM634" s="1888">
        <f t="shared" si="14"/>
        <v>0</v>
      </c>
      <c r="DN634" s="1888"/>
      <c r="DO634" s="1888"/>
      <c r="DP634" s="1888"/>
      <c r="DQ634" s="1888"/>
      <c r="DR634" s="1888">
        <f t="shared" si="15"/>
        <v>0</v>
      </c>
      <c r="DS634" s="1888"/>
      <c r="DT634" s="1888"/>
      <c r="DU634" s="1888"/>
      <c r="DV634" s="1888"/>
      <c r="DX634" s="1885" t="str">
        <f t="shared" si="16"/>
        <v xml:space="preserve"> </v>
      </c>
      <c r="DY634" s="1886"/>
      <c r="DZ634" s="1886"/>
      <c r="EA634" s="1886"/>
      <c r="EB634" s="1887"/>
      <c r="EC634" s="1885" t="str">
        <f t="shared" si="17"/>
        <v xml:space="preserve"> </v>
      </c>
      <c r="ED634" s="1886"/>
      <c r="EE634" s="1886"/>
      <c r="EF634" s="1886"/>
      <c r="EG634" s="1887"/>
      <c r="EH634" s="1885" t="str">
        <f t="shared" si="18"/>
        <v xml:space="preserve"> </v>
      </c>
      <c r="EI634" s="1886"/>
      <c r="EJ634" s="1886"/>
      <c r="EK634" s="1886"/>
      <c r="EL634" s="1887"/>
      <c r="EM634" s="1885" t="str">
        <f t="shared" si="19"/>
        <v xml:space="preserve"> </v>
      </c>
      <c r="EN634" s="1886"/>
      <c r="EO634" s="1886"/>
      <c r="EP634" s="1886"/>
      <c r="EQ634" s="1887"/>
      <c r="ER634" s="1885" t="str">
        <f t="shared" si="20"/>
        <v xml:space="preserve"> </v>
      </c>
      <c r="ES634" s="1886"/>
      <c r="ET634" s="1886"/>
      <c r="EU634" s="1886"/>
      <c r="EV634" s="1887"/>
      <c r="EW634" s="1885" t="str">
        <f t="shared" si="21"/>
        <v xml:space="preserve"> </v>
      </c>
      <c r="EX634" s="1886"/>
      <c r="EY634" s="1886"/>
      <c r="EZ634" s="1886"/>
      <c r="FA634" s="1887"/>
    </row>
    <row r="635" spans="1:157" s="1103" customFormat="1" ht="12.75">
      <c r="B635" s="2212"/>
      <c r="C635" s="2213"/>
      <c r="D635" s="2213"/>
      <c r="E635" s="2213"/>
      <c r="F635" s="2213"/>
      <c r="G635" s="2213"/>
      <c r="H635" s="2213"/>
      <c r="I635" s="2213"/>
      <c r="J635" s="2213"/>
      <c r="K635" s="2213"/>
      <c r="L635" s="2213"/>
      <c r="M635" s="2213"/>
      <c r="N635" s="2214"/>
      <c r="O635" s="2036"/>
      <c r="P635" s="2037"/>
      <c r="Q635" s="2200"/>
      <c r="R635" s="2036"/>
      <c r="S635" s="2037"/>
      <c r="T635" s="2200"/>
      <c r="U635" s="1909"/>
      <c r="V635" s="1909"/>
      <c r="W635" s="1910"/>
      <c r="X635" s="2036"/>
      <c r="Y635" s="2037"/>
      <c r="Z635" s="2037"/>
      <c r="AA635" s="2037"/>
      <c r="AB635" s="2200"/>
      <c r="AC635" s="2162"/>
      <c r="AD635" s="2163"/>
      <c r="AE635" s="2164"/>
      <c r="AF635" s="2036"/>
      <c r="AG635" s="2037"/>
      <c r="AH635" s="2037"/>
      <c r="AI635" s="2037"/>
      <c r="AJ635" s="2200"/>
      <c r="AK635" s="2150"/>
      <c r="AL635" s="2151"/>
      <c r="AM635" s="2151"/>
      <c r="AN635" s="2152"/>
      <c r="AO635" s="2216"/>
      <c r="AP635" s="2216"/>
      <c r="AQ635" s="2216"/>
      <c r="AR635" s="2216"/>
      <c r="AS635" s="2216"/>
      <c r="AT635" s="1104"/>
      <c r="AU635" s="1104"/>
      <c r="AV635" s="1104"/>
      <c r="AW635" s="1104"/>
      <c r="AX635" s="1104"/>
      <c r="AY635" s="1104"/>
      <c r="AZ635" s="181"/>
      <c r="BA635" s="181"/>
      <c r="BB635" s="181"/>
      <c r="BC635" s="181"/>
      <c r="BD635" s="181"/>
      <c r="BE635" s="181"/>
      <c r="BF635" s="181"/>
      <c r="BG635" s="1885">
        <f>SUM(BG610:BH634)</f>
        <v>33</v>
      </c>
      <c r="BH635" s="1887"/>
      <c r="BI635" s="181"/>
      <c r="BJ635" s="181"/>
      <c r="BK635" s="1885">
        <f>SUM(BK610:BL634)</f>
        <v>17</v>
      </c>
      <c r="BL635" s="1887"/>
      <c r="BM635" s="181"/>
      <c r="BN635" s="1885">
        <f>SUM(BN610:BR634)</f>
        <v>0</v>
      </c>
      <c r="BO635" s="1886"/>
      <c r="BP635" s="1886"/>
      <c r="BQ635" s="1886"/>
      <c r="BR635" s="1887"/>
      <c r="BS635" s="1889">
        <f>SUM(BS610:BW634)</f>
        <v>111</v>
      </c>
      <c r="BT635" s="1889"/>
      <c r="BU635" s="1889"/>
      <c r="BV635" s="1889"/>
      <c r="BW635" s="1889"/>
      <c r="BX635" s="1889">
        <f>SUM(BX610:CB634)</f>
        <v>53</v>
      </c>
      <c r="BY635" s="1889"/>
      <c r="BZ635" s="1889"/>
      <c r="CA635" s="1889"/>
      <c r="CB635" s="1889"/>
      <c r="CC635" s="1889">
        <f>SUM(CC610:CG634)</f>
        <v>0</v>
      </c>
      <c r="CD635" s="1889"/>
      <c r="CE635" s="1889"/>
      <c r="CF635" s="1889"/>
      <c r="CG635" s="1889"/>
      <c r="CH635" s="1889">
        <f>SUM(CH610:CL634)</f>
        <v>0</v>
      </c>
      <c r="CI635" s="1889"/>
      <c r="CJ635" s="1889"/>
      <c r="CK635" s="1889"/>
      <c r="CL635" s="1889"/>
      <c r="CM635" s="1889">
        <f>SUM(CM610:CQ634)</f>
        <v>0</v>
      </c>
      <c r="CN635" s="1889"/>
      <c r="CO635" s="1889"/>
      <c r="CP635" s="1889"/>
      <c r="CQ635" s="1889"/>
      <c r="CR635" s="689"/>
      <c r="CS635" s="1889">
        <f>SUM(CS610:CW634)</f>
        <v>0</v>
      </c>
      <c r="CT635" s="1889"/>
      <c r="CU635" s="1889"/>
      <c r="CV635" s="1889"/>
      <c r="CW635" s="1889"/>
      <c r="CX635" s="1889">
        <f>SUM(CX610:DB634)</f>
        <v>11</v>
      </c>
      <c r="CY635" s="1889"/>
      <c r="CZ635" s="1889"/>
      <c r="DA635" s="1889"/>
      <c r="DB635" s="1889"/>
      <c r="DC635" s="1889">
        <f>SUM(DC610:DG634)</f>
        <v>6</v>
      </c>
      <c r="DD635" s="1889"/>
      <c r="DE635" s="1889"/>
      <c r="DF635" s="1889"/>
      <c r="DG635" s="1889"/>
      <c r="DH635" s="1889">
        <f>SUM(DH610:DL634)</f>
        <v>0</v>
      </c>
      <c r="DI635" s="1889"/>
      <c r="DJ635" s="1889"/>
      <c r="DK635" s="1889"/>
      <c r="DL635" s="1889"/>
      <c r="DM635" s="1889">
        <f>SUM(DM610:DQ634)</f>
        <v>0</v>
      </c>
      <c r="DN635" s="1889"/>
      <c r="DO635" s="1889"/>
      <c r="DP635" s="1889"/>
      <c r="DQ635" s="1889"/>
      <c r="DR635" s="1889">
        <f>SUM(DR610:DV634)</f>
        <v>0</v>
      </c>
      <c r="DS635" s="1889"/>
      <c r="DT635" s="1889"/>
      <c r="DU635" s="1889"/>
      <c r="DV635" s="1889"/>
      <c r="DX635" s="1889">
        <f>SUM(DX610:EB634)</f>
        <v>0</v>
      </c>
      <c r="DY635" s="1889"/>
      <c r="DZ635" s="1889"/>
      <c r="EA635" s="1889"/>
      <c r="EB635" s="1889"/>
      <c r="EC635" s="1889">
        <f>SUM(EC610:EG634)</f>
        <v>5126</v>
      </c>
      <c r="ED635" s="1889"/>
      <c r="EE635" s="1889"/>
      <c r="EF635" s="1889"/>
      <c r="EG635" s="1889"/>
      <c r="EH635" s="1889">
        <f>SUM(EH610:EL634)</f>
        <v>6093</v>
      </c>
      <c r="EI635" s="1889"/>
      <c r="EJ635" s="1889"/>
      <c r="EK635" s="1889"/>
      <c r="EL635" s="1889"/>
      <c r="EM635" s="1889">
        <f>SUM(EM610:EQ634)</f>
        <v>0</v>
      </c>
      <c r="EN635" s="1889"/>
      <c r="EO635" s="1889"/>
      <c r="EP635" s="1889"/>
      <c r="EQ635" s="1889"/>
      <c r="ER635" s="1889">
        <f>SUM(ER610:EV634)</f>
        <v>0</v>
      </c>
      <c r="ES635" s="1889"/>
      <c r="ET635" s="1889"/>
      <c r="EU635" s="1889"/>
      <c r="EV635" s="1889"/>
      <c r="EW635" s="1889">
        <f>SUM(EW610:FA634)</f>
        <v>0</v>
      </c>
      <c r="EX635" s="1889"/>
      <c r="EY635" s="1889"/>
      <c r="EZ635" s="1889"/>
      <c r="FA635" s="1889"/>
    </row>
    <row r="636" spans="1:157" s="1103" customFormat="1" ht="12.75">
      <c r="B636" s="2215"/>
      <c r="C636" s="2213"/>
      <c r="D636" s="2213"/>
      <c r="E636" s="2213"/>
      <c r="F636" s="2213"/>
      <c r="G636" s="2213"/>
      <c r="H636" s="2213"/>
      <c r="I636" s="2213"/>
      <c r="J636" s="2213"/>
      <c r="K636" s="2213"/>
      <c r="L636" s="2213"/>
      <c r="M636" s="2213"/>
      <c r="N636" s="2214"/>
      <c r="O636" s="2038"/>
      <c r="P636" s="2039"/>
      <c r="Q636" s="2201"/>
      <c r="R636" s="2038"/>
      <c r="S636" s="2039"/>
      <c r="T636" s="2201"/>
      <c r="U636" s="1911"/>
      <c r="V636" s="1911"/>
      <c r="W636" s="1912"/>
      <c r="X636" s="2038"/>
      <c r="Y636" s="2039"/>
      <c r="Z636" s="2039"/>
      <c r="AA636" s="2039"/>
      <c r="AB636" s="2201"/>
      <c r="AC636" s="2165"/>
      <c r="AD636" s="2166"/>
      <c r="AE636" s="2167"/>
      <c r="AF636" s="2038"/>
      <c r="AG636" s="2039"/>
      <c r="AH636" s="2039"/>
      <c r="AI636" s="2039"/>
      <c r="AJ636" s="2201"/>
      <c r="AK636" s="2153"/>
      <c r="AL636" s="2154"/>
      <c r="AM636" s="2154"/>
      <c r="AN636" s="2155"/>
      <c r="AO636" s="2216"/>
      <c r="AP636" s="2216"/>
      <c r="AQ636" s="2216"/>
      <c r="AR636" s="2216"/>
      <c r="AS636" s="2216"/>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2192</v>
      </c>
      <c r="CM636" s="1885">
        <f>BN635+BS635+BX635+CC635+CH635+CM635</f>
        <v>164</v>
      </c>
      <c r="CN636" s="1886"/>
      <c r="CO636" s="1886"/>
      <c r="CP636" s="1886"/>
      <c r="CQ636" s="1887"/>
      <c r="CR636" s="689"/>
      <c r="CS636" s="181"/>
      <c r="CT636" s="181"/>
      <c r="CU636" s="181"/>
      <c r="CV636" s="181"/>
      <c r="CW636" s="181"/>
      <c r="CX636" s="181"/>
      <c r="CY636" s="181"/>
      <c r="CZ636" s="181"/>
      <c r="DA636" s="181"/>
      <c r="DB636" s="181"/>
      <c r="DC636" s="181"/>
      <c r="DD636" s="181"/>
      <c r="DE636" s="181"/>
      <c r="DF636" s="181"/>
    </row>
    <row r="637" spans="1:157" ht="12.75">
      <c r="B637" s="83" t="s">
        <v>117</v>
      </c>
      <c r="C637" s="1925" t="s">
        <v>2570</v>
      </c>
      <c r="D637" s="1876"/>
      <c r="E637" s="1876"/>
      <c r="F637" s="1876"/>
      <c r="G637" s="1876"/>
      <c r="H637" s="1876"/>
      <c r="I637" s="1876"/>
      <c r="J637" s="1876"/>
      <c r="K637" s="1876"/>
      <c r="L637" s="1876"/>
      <c r="M637" s="1876"/>
      <c r="N637" s="2157"/>
      <c r="O637" s="1904">
        <v>204</v>
      </c>
      <c r="P637" s="1905"/>
      <c r="Q637" s="1906"/>
      <c r="R637" s="1890">
        <v>480</v>
      </c>
      <c r="S637" s="1891"/>
      <c r="T637" s="1892"/>
      <c r="U637" s="1897">
        <v>6.2E-2</v>
      </c>
      <c r="V637" s="1898"/>
      <c r="W637" s="1899"/>
      <c r="X637" s="1893" t="s">
        <v>1993</v>
      </c>
      <c r="Y637" s="1894"/>
      <c r="Z637" s="1894"/>
      <c r="AA637" s="1894"/>
      <c r="AB637" s="1895"/>
      <c r="AC637" s="1913">
        <v>1</v>
      </c>
      <c r="AD637" s="1914"/>
      <c r="AE637" s="1915"/>
      <c r="AF637" s="1900">
        <f>1317434+9790-1000</f>
        <v>1326224</v>
      </c>
      <c r="AG637" s="1901"/>
      <c r="AH637" s="1901"/>
      <c r="AI637" s="1901"/>
      <c r="AJ637" s="1902"/>
      <c r="AK637" s="1916"/>
      <c r="AL637" s="1917"/>
      <c r="AM637" s="1917"/>
      <c r="AN637" s="1918"/>
      <c r="AO637" s="1896">
        <v>19580000</v>
      </c>
      <c r="AP637" s="1896"/>
      <c r="AQ637" s="1896"/>
      <c r="AR637" s="1896"/>
      <c r="AS637" s="1896"/>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920">
        <f>BN635*1</f>
        <v>0</v>
      </c>
      <c r="BS637" s="58"/>
      <c r="BT637" s="58"/>
      <c r="BU637" s="58"/>
      <c r="BV637" s="58"/>
      <c r="BW637" s="920">
        <f>BS635*1</f>
        <v>111</v>
      </c>
      <c r="BX637" s="58"/>
      <c r="BY637" s="58"/>
      <c r="BZ637" s="58"/>
      <c r="CA637" s="58"/>
      <c r="CB637" s="920">
        <f>BX635*2</f>
        <v>106</v>
      </c>
      <c r="CC637" s="58"/>
      <c r="CD637" s="58"/>
      <c r="CE637" s="58"/>
      <c r="CF637" s="58"/>
      <c r="CG637" s="920">
        <f>CC635*3</f>
        <v>0</v>
      </c>
      <c r="CH637" s="58"/>
      <c r="CI637" s="58"/>
      <c r="CJ637" s="58"/>
      <c r="CK637" s="58"/>
      <c r="CL637" s="920">
        <f>CH635*4</f>
        <v>0</v>
      </c>
      <c r="CM637" s="58"/>
      <c r="CN637" s="58"/>
      <c r="CO637" s="58"/>
      <c r="CP637" s="58"/>
      <c r="CQ637" s="920">
        <f>CM635*5</f>
        <v>0</v>
      </c>
      <c r="CS637" s="920">
        <f>BR637+BW637+CB637+CG637+CL637+CQ637</f>
        <v>217</v>
      </c>
      <c r="CT637" s="134" t="s">
        <v>2194</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925" t="s">
        <v>2592</v>
      </c>
      <c r="D638" s="1876"/>
      <c r="E638" s="1876"/>
      <c r="F638" s="1876"/>
      <c r="G638" s="1876"/>
      <c r="H638" s="1876"/>
      <c r="I638" s="1876"/>
      <c r="J638" s="1876"/>
      <c r="K638" s="1876"/>
      <c r="L638" s="1876"/>
      <c r="M638" s="1876"/>
      <c r="N638" s="2157"/>
      <c r="O638" s="1904"/>
      <c r="P638" s="1905"/>
      <c r="Q638" s="1906"/>
      <c r="R638" s="1890"/>
      <c r="S638" s="1891"/>
      <c r="T638" s="1892"/>
      <c r="U638" s="1897"/>
      <c r="V638" s="1898"/>
      <c r="W638" s="1899"/>
      <c r="X638" s="1893" t="s">
        <v>306</v>
      </c>
      <c r="Y638" s="1894"/>
      <c r="Z638" s="1894"/>
      <c r="AA638" s="1894"/>
      <c r="AB638" s="1895"/>
      <c r="AC638" s="1913"/>
      <c r="AD638" s="1914"/>
      <c r="AE638" s="1915"/>
      <c r="AF638" s="1900"/>
      <c r="AG638" s="1901"/>
      <c r="AH638" s="1901"/>
      <c r="AI638" s="1901"/>
      <c r="AJ638" s="1902"/>
      <c r="AK638" s="1916"/>
      <c r="AL638" s="1917"/>
      <c r="AM638" s="1917"/>
      <c r="AN638" s="1918"/>
      <c r="AO638" s="1896">
        <v>2907576</v>
      </c>
      <c r="AP638" s="1896"/>
      <c r="AQ638" s="1896"/>
      <c r="AR638" s="1896"/>
      <c r="AS638" s="1896"/>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60" t="e">
        <f t="shared" ref="DX638:DX662" si="22">DX610*(BN610/$BN$635)</f>
        <v>#VALUE!</v>
      </c>
      <c r="DY638" s="1860"/>
      <c r="DZ638" s="1860"/>
      <c r="EA638" s="1860"/>
      <c r="EB638" s="1860"/>
      <c r="EC638" s="1860">
        <f t="shared" ref="EC638:EC662" si="23">EC610*(BS610/$BS$635)</f>
        <v>70.36036036036036</v>
      </c>
      <c r="ED638" s="1860"/>
      <c r="EE638" s="1860"/>
      <c r="EF638" s="1860"/>
      <c r="EG638" s="1860"/>
      <c r="EH638" s="1860" t="e">
        <f t="shared" ref="EH638:EH662" si="24">EH610*(BX610/$BX$635)</f>
        <v>#VALUE!</v>
      </c>
      <c r="EI638" s="1860"/>
      <c r="EJ638" s="1860"/>
      <c r="EK638" s="1860"/>
      <c r="EL638" s="1860"/>
      <c r="EM638" s="1860" t="e">
        <f t="shared" ref="EM638:EM662" si="25">EM610*(CC610/$CC$635)</f>
        <v>#VALUE!</v>
      </c>
      <c r="EN638" s="1860"/>
      <c r="EO638" s="1860"/>
      <c r="EP638" s="1860"/>
      <c r="EQ638" s="1860"/>
      <c r="ER638" s="1860" t="e">
        <f t="shared" ref="ER638:ER662" si="26">ER610*(CH610/$CH$635)</f>
        <v>#VALUE!</v>
      </c>
      <c r="ES638" s="1860"/>
      <c r="ET638" s="1860"/>
      <c r="EU638" s="1860"/>
      <c r="EV638" s="1860"/>
      <c r="EW638" s="1860" t="e">
        <f t="shared" ref="EW638:EW662" si="27">EW610*(CM610/$CM$635)</f>
        <v>#VALUE!</v>
      </c>
      <c r="EX638" s="1860"/>
      <c r="EY638" s="1860"/>
      <c r="EZ638" s="1860"/>
      <c r="FA638" s="1860"/>
    </row>
    <row r="639" spans="1:157" ht="12.75" customHeight="1">
      <c r="B639" s="84" t="s">
        <v>124</v>
      </c>
      <c r="C639" s="1925" t="s">
        <v>2574</v>
      </c>
      <c r="D639" s="1876"/>
      <c r="E639" s="1876"/>
      <c r="F639" s="1876"/>
      <c r="G639" s="1876"/>
      <c r="H639" s="1876"/>
      <c r="I639" s="1876"/>
      <c r="J639" s="1876"/>
      <c r="K639" s="1876"/>
      <c r="L639" s="1876"/>
      <c r="M639" s="1876"/>
      <c r="N639" s="2157"/>
      <c r="O639" s="1904">
        <v>660</v>
      </c>
      <c r="P639" s="1905"/>
      <c r="Q639" s="1906"/>
      <c r="R639" s="1890"/>
      <c r="S639" s="1891"/>
      <c r="T639" s="1892"/>
      <c r="U639" s="1897">
        <v>0.01</v>
      </c>
      <c r="V639" s="1898"/>
      <c r="W639" s="1899"/>
      <c r="X639" s="1893" t="s">
        <v>483</v>
      </c>
      <c r="Y639" s="1894"/>
      <c r="Z639" s="1894"/>
      <c r="AA639" s="1894"/>
      <c r="AB639" s="1895"/>
      <c r="AC639" s="1913"/>
      <c r="AD639" s="1914"/>
      <c r="AE639" s="1915"/>
      <c r="AF639" s="1900"/>
      <c r="AG639" s="1901"/>
      <c r="AH639" s="1901"/>
      <c r="AI639" s="1901"/>
      <c r="AJ639" s="1902"/>
      <c r="AK639" s="1916"/>
      <c r="AL639" s="1917"/>
      <c r="AM639" s="1917"/>
      <c r="AN639" s="1918"/>
      <c r="AO639" s="1896">
        <v>4476113</v>
      </c>
      <c r="AP639" s="1896"/>
      <c r="AQ639" s="1896"/>
      <c r="AR639" s="1896"/>
      <c r="AS639" s="1896"/>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60" t="e">
        <f t="shared" si="22"/>
        <v>#VALUE!</v>
      </c>
      <c r="DY639" s="1860"/>
      <c r="DZ639" s="1860"/>
      <c r="EA639" s="1860"/>
      <c r="EB639" s="1860"/>
      <c r="EC639" s="1860">
        <f t="shared" si="23"/>
        <v>241.40540540540542</v>
      </c>
      <c r="ED639" s="1860"/>
      <c r="EE639" s="1860"/>
      <c r="EF639" s="1860"/>
      <c r="EG639" s="1860"/>
      <c r="EH639" s="1860" t="e">
        <f t="shared" si="24"/>
        <v>#VALUE!</v>
      </c>
      <c r="EI639" s="1860"/>
      <c r="EJ639" s="1860"/>
      <c r="EK639" s="1860"/>
      <c r="EL639" s="1860"/>
      <c r="EM639" s="1860" t="e">
        <f t="shared" si="25"/>
        <v>#VALUE!</v>
      </c>
      <c r="EN639" s="1860"/>
      <c r="EO639" s="1860"/>
      <c r="EP639" s="1860"/>
      <c r="EQ639" s="1860"/>
      <c r="ER639" s="1860" t="e">
        <f t="shared" si="26"/>
        <v>#VALUE!</v>
      </c>
      <c r="ES639" s="1860"/>
      <c r="ET639" s="1860"/>
      <c r="EU639" s="1860"/>
      <c r="EV639" s="1860"/>
      <c r="EW639" s="1860" t="e">
        <f t="shared" si="27"/>
        <v>#VALUE!</v>
      </c>
      <c r="EX639" s="1860"/>
      <c r="EY639" s="1860"/>
      <c r="EZ639" s="1860"/>
      <c r="FA639" s="1860"/>
    </row>
    <row r="640" spans="1:157" ht="12.75">
      <c r="B640" s="84" t="s">
        <v>608</v>
      </c>
      <c r="C640" s="1925" t="s">
        <v>2509</v>
      </c>
      <c r="D640" s="1876"/>
      <c r="E640" s="1876"/>
      <c r="F640" s="1876"/>
      <c r="G640" s="1876"/>
      <c r="H640" s="1876"/>
      <c r="I640" s="1876"/>
      <c r="J640" s="1876"/>
      <c r="K640" s="1876"/>
      <c r="L640" s="1876"/>
      <c r="M640" s="1876"/>
      <c r="N640" s="2157"/>
      <c r="O640" s="1904">
        <v>660</v>
      </c>
      <c r="P640" s="1905"/>
      <c r="Q640" s="1906"/>
      <c r="R640" s="1890"/>
      <c r="S640" s="1891"/>
      <c r="T640" s="1892"/>
      <c r="U640" s="1897">
        <v>1.4999999999999999E-2</v>
      </c>
      <c r="V640" s="1898"/>
      <c r="W640" s="1899"/>
      <c r="X640" s="1893" t="s">
        <v>483</v>
      </c>
      <c r="Y640" s="1894"/>
      <c r="Z640" s="1894"/>
      <c r="AA640" s="1894"/>
      <c r="AB640" s="1895"/>
      <c r="AC640" s="1913"/>
      <c r="AD640" s="1914"/>
      <c r="AE640" s="1915"/>
      <c r="AF640" s="1900"/>
      <c r="AG640" s="1901"/>
      <c r="AH640" s="1901"/>
      <c r="AI640" s="1901"/>
      <c r="AJ640" s="1902"/>
      <c r="AK640" s="1916"/>
      <c r="AL640" s="1917"/>
      <c r="AM640" s="1917"/>
      <c r="AN640" s="1918"/>
      <c r="AO640" s="1896">
        <v>2630000</v>
      </c>
      <c r="AP640" s="1896"/>
      <c r="AQ640" s="1896"/>
      <c r="AR640" s="1896"/>
      <c r="AS640" s="1896"/>
      <c r="AT640" s="239"/>
      <c r="AU640" s="239"/>
      <c r="AV640" s="239"/>
      <c r="AW640" s="239"/>
      <c r="AX640" s="239"/>
      <c r="AY640" s="239"/>
      <c r="AZ640" s="61"/>
      <c r="BA640" s="58" t="s">
        <v>1993</v>
      </c>
      <c r="BB640" s="61"/>
      <c r="BC640" s="61"/>
      <c r="BD640" s="61"/>
      <c r="BE640" s="61"/>
      <c r="BF640" s="61"/>
      <c r="BG640" s="61"/>
      <c r="BH640" s="61"/>
      <c r="BI640" s="61"/>
      <c r="BJ640" s="61"/>
      <c r="BK640" s="61"/>
      <c r="BL640" s="61"/>
      <c r="BM640" s="61"/>
      <c r="BN640" s="1864">
        <f>IF(J772="SRO/Studio",O772,0)</f>
        <v>0</v>
      </c>
      <c r="BO640" s="1865"/>
      <c r="BP640" s="1865"/>
      <c r="BQ640" s="1865"/>
      <c r="BR640" s="1866"/>
      <c r="BS640" s="1871">
        <f>IF(J772="1 Bedroom",O772,0)</f>
        <v>0</v>
      </c>
      <c r="BT640" s="1871"/>
      <c r="BU640" s="1871"/>
      <c r="BV640" s="1871"/>
      <c r="BW640" s="1871"/>
      <c r="BX640" s="1871">
        <f>IF(J772="2 Bedrooms",O772,0)</f>
        <v>2</v>
      </c>
      <c r="BY640" s="1871"/>
      <c r="BZ640" s="1871"/>
      <c r="CA640" s="1871"/>
      <c r="CB640" s="1871"/>
      <c r="CC640" s="1871">
        <f>IF(J772="3 Bedrooms",O772,0)</f>
        <v>0</v>
      </c>
      <c r="CD640" s="1871"/>
      <c r="CE640" s="1871"/>
      <c r="CF640" s="1871"/>
      <c r="CG640" s="1871"/>
      <c r="CH640" s="1871">
        <f>IF(J772="4 Bedrooms",O772,0)</f>
        <v>0</v>
      </c>
      <c r="CI640" s="1871"/>
      <c r="CJ640" s="1871"/>
      <c r="CK640" s="1871"/>
      <c r="CL640" s="1871"/>
      <c r="CM640" s="1871">
        <f>IF(J772="5 Bedrooms",O772,0)</f>
        <v>0</v>
      </c>
      <c r="CN640" s="1871"/>
      <c r="CO640" s="1871"/>
      <c r="CP640" s="1871"/>
      <c r="CQ640" s="1871"/>
      <c r="CR640" s="265"/>
      <c r="CS640" s="58"/>
      <c r="CT640" s="58"/>
      <c r="CU640" s="58"/>
      <c r="CV640" s="58"/>
      <c r="CW640" s="58"/>
      <c r="CX640" s="58"/>
      <c r="CY640" s="58"/>
      <c r="CZ640" s="58"/>
      <c r="DA640" s="58"/>
      <c r="DB640" s="58"/>
      <c r="DC640" s="58"/>
      <c r="DD640" s="58"/>
      <c r="DE640" s="58"/>
      <c r="DF640" s="58"/>
      <c r="DX640" s="1860" t="e">
        <f t="shared" si="22"/>
        <v>#VALUE!</v>
      </c>
      <c r="DY640" s="1860"/>
      <c r="DZ640" s="1860"/>
      <c r="EA640" s="1860"/>
      <c r="EB640" s="1860"/>
      <c r="EC640" s="1860">
        <f t="shared" si="23"/>
        <v>291.74774774774772</v>
      </c>
      <c r="ED640" s="1860"/>
      <c r="EE640" s="1860"/>
      <c r="EF640" s="1860"/>
      <c r="EG640" s="1860"/>
      <c r="EH640" s="1860" t="e">
        <f t="shared" si="24"/>
        <v>#VALUE!</v>
      </c>
      <c r="EI640" s="1860"/>
      <c r="EJ640" s="1860"/>
      <c r="EK640" s="1860"/>
      <c r="EL640" s="1860"/>
      <c r="EM640" s="1860" t="e">
        <f t="shared" si="25"/>
        <v>#VALUE!</v>
      </c>
      <c r="EN640" s="1860"/>
      <c r="EO640" s="1860"/>
      <c r="EP640" s="1860"/>
      <c r="EQ640" s="1860"/>
      <c r="ER640" s="1860" t="e">
        <f t="shared" si="26"/>
        <v>#VALUE!</v>
      </c>
      <c r="ES640" s="1860"/>
      <c r="ET640" s="1860"/>
      <c r="EU640" s="1860"/>
      <c r="EV640" s="1860"/>
      <c r="EW640" s="1860" t="e">
        <f t="shared" si="27"/>
        <v>#VALUE!</v>
      </c>
      <c r="EX640" s="1860"/>
      <c r="EY640" s="1860"/>
      <c r="EZ640" s="1860"/>
      <c r="FA640" s="1860"/>
    </row>
    <row r="641" spans="1:157" ht="12.75">
      <c r="B641" s="84" t="s">
        <v>806</v>
      </c>
      <c r="C641" s="1925" t="s">
        <v>2509</v>
      </c>
      <c r="D641" s="1876"/>
      <c r="E641" s="1876"/>
      <c r="F641" s="1876"/>
      <c r="G641" s="1876"/>
      <c r="H641" s="1876"/>
      <c r="I641" s="1876"/>
      <c r="J641" s="1876"/>
      <c r="K641" s="1876"/>
      <c r="L641" s="1876"/>
      <c r="M641" s="1876"/>
      <c r="N641" s="2157"/>
      <c r="O641" s="1904">
        <v>660</v>
      </c>
      <c r="P641" s="1905"/>
      <c r="Q641" s="1906"/>
      <c r="R641" s="1890"/>
      <c r="S641" s="1891"/>
      <c r="T641" s="1892"/>
      <c r="U641" s="1897"/>
      <c r="V641" s="1898"/>
      <c r="W641" s="1899"/>
      <c r="X641" s="1893" t="s">
        <v>1348</v>
      </c>
      <c r="Y641" s="1894"/>
      <c r="Z641" s="1894"/>
      <c r="AA641" s="1894"/>
      <c r="AB641" s="1895"/>
      <c r="AC641" s="1913"/>
      <c r="AD641" s="1914"/>
      <c r="AE641" s="1915"/>
      <c r="AF641" s="1900"/>
      <c r="AG641" s="1901"/>
      <c r="AH641" s="1901"/>
      <c r="AI641" s="1901"/>
      <c r="AJ641" s="1902"/>
      <c r="AK641" s="1916"/>
      <c r="AL641" s="1917"/>
      <c r="AM641" s="1917"/>
      <c r="AN641" s="1918"/>
      <c r="AO641" s="1896">
        <v>5000000</v>
      </c>
      <c r="AP641" s="1896"/>
      <c r="AQ641" s="1896"/>
      <c r="AR641" s="1896"/>
      <c r="AS641" s="189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864">
        <f>IF(J773="SRO/Studio",O773,0)</f>
        <v>0</v>
      </c>
      <c r="BO641" s="1865"/>
      <c r="BP641" s="1865"/>
      <c r="BQ641" s="1865"/>
      <c r="BR641" s="1866"/>
      <c r="BS641" s="1871">
        <f>IF(J773="1 Bedroom",O773,0)</f>
        <v>0</v>
      </c>
      <c r="BT641" s="1871"/>
      <c r="BU641" s="1871"/>
      <c r="BV641" s="1871"/>
      <c r="BW641" s="1871"/>
      <c r="BX641" s="1871">
        <f>IF(J773="2 Bedrooms",O773,0)</f>
        <v>0</v>
      </c>
      <c r="BY641" s="1871"/>
      <c r="BZ641" s="1871"/>
      <c r="CA641" s="1871"/>
      <c r="CB641" s="1871"/>
      <c r="CC641" s="1871">
        <f>IF(J773="3 Bedrooms",O773,0)</f>
        <v>0</v>
      </c>
      <c r="CD641" s="1871"/>
      <c r="CE641" s="1871"/>
      <c r="CF641" s="1871"/>
      <c r="CG641" s="1871"/>
      <c r="CH641" s="1871">
        <f>IF(J773="4 Bedrooms",O773,0)</f>
        <v>0</v>
      </c>
      <c r="CI641" s="1871"/>
      <c r="CJ641" s="1871"/>
      <c r="CK641" s="1871"/>
      <c r="CL641" s="1871"/>
      <c r="CM641" s="1871">
        <f>IF(J773="5 Bedrooms",O773,0)</f>
        <v>0</v>
      </c>
      <c r="CN641" s="1871"/>
      <c r="CO641" s="1871"/>
      <c r="CP641" s="1871"/>
      <c r="CQ641" s="1871"/>
      <c r="CR641" s="265"/>
      <c r="CS641" s="58"/>
      <c r="CT641" s="58"/>
      <c r="CU641" s="58"/>
      <c r="CV641" s="58"/>
      <c r="CW641" s="58"/>
      <c r="CX641" s="58"/>
      <c r="CY641" s="58"/>
      <c r="CZ641" s="58"/>
      <c r="DA641" s="58"/>
      <c r="DB641" s="58"/>
      <c r="DC641" s="58"/>
      <c r="DD641" s="58"/>
      <c r="DE641" s="58"/>
      <c r="DF641" s="58"/>
      <c r="DX641" s="1860" t="e">
        <f t="shared" si="22"/>
        <v>#VALUE!</v>
      </c>
      <c r="DY641" s="1860"/>
      <c r="DZ641" s="1860"/>
      <c r="EA641" s="1860"/>
      <c r="EB641" s="1860"/>
      <c r="EC641" s="1860">
        <f t="shared" si="23"/>
        <v>870.77477477477464</v>
      </c>
      <c r="ED641" s="1860"/>
      <c r="EE641" s="1860"/>
      <c r="EF641" s="1860"/>
      <c r="EG641" s="1860"/>
      <c r="EH641" s="1860" t="e">
        <f t="shared" si="24"/>
        <v>#VALUE!</v>
      </c>
      <c r="EI641" s="1860"/>
      <c r="EJ641" s="1860"/>
      <c r="EK641" s="1860"/>
      <c r="EL641" s="1860"/>
      <c r="EM641" s="1860" t="e">
        <f t="shared" si="25"/>
        <v>#VALUE!</v>
      </c>
      <c r="EN641" s="1860"/>
      <c r="EO641" s="1860"/>
      <c r="EP641" s="1860"/>
      <c r="EQ641" s="1860"/>
      <c r="ER641" s="1860" t="e">
        <f t="shared" si="26"/>
        <v>#VALUE!</v>
      </c>
      <c r="ES641" s="1860"/>
      <c r="ET641" s="1860"/>
      <c r="EU641" s="1860"/>
      <c r="EV641" s="1860"/>
      <c r="EW641" s="1860" t="e">
        <f t="shared" si="27"/>
        <v>#VALUE!</v>
      </c>
      <c r="EX641" s="1860"/>
      <c r="EY641" s="1860"/>
      <c r="EZ641" s="1860"/>
      <c r="FA641" s="1860"/>
    </row>
    <row r="642" spans="1:157" ht="12.75">
      <c r="B642" s="84" t="s">
        <v>611</v>
      </c>
      <c r="C642" s="1876"/>
      <c r="D642" s="1876"/>
      <c r="E642" s="1876"/>
      <c r="F642" s="1876"/>
      <c r="G642" s="1876"/>
      <c r="H642" s="1876"/>
      <c r="I642" s="1876"/>
      <c r="J642" s="1876"/>
      <c r="K642" s="1876"/>
      <c r="L642" s="1876"/>
      <c r="M642" s="1876"/>
      <c r="N642" s="2157"/>
      <c r="O642" s="1904"/>
      <c r="P642" s="1905"/>
      <c r="Q642" s="1906"/>
      <c r="R642" s="1890"/>
      <c r="S642" s="1891"/>
      <c r="T642" s="1892"/>
      <c r="U642" s="1897"/>
      <c r="V642" s="1898"/>
      <c r="W642" s="1899"/>
      <c r="X642" s="1893" t="s">
        <v>1348</v>
      </c>
      <c r="Y642" s="1894"/>
      <c r="Z642" s="1894"/>
      <c r="AA642" s="1894"/>
      <c r="AB642" s="1895"/>
      <c r="AC642" s="1913"/>
      <c r="AD642" s="1914"/>
      <c r="AE642" s="1915"/>
      <c r="AF642" s="1900"/>
      <c r="AG642" s="1901"/>
      <c r="AH642" s="1901"/>
      <c r="AI642" s="1901"/>
      <c r="AJ642" s="1902"/>
      <c r="AK642" s="1916"/>
      <c r="AL642" s="1917"/>
      <c r="AM642" s="1917"/>
      <c r="AN642" s="1918"/>
      <c r="AO642" s="1896"/>
      <c r="AP642" s="1896"/>
      <c r="AQ642" s="1896"/>
      <c r="AR642" s="1896"/>
      <c r="AS642" s="1896"/>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4">
        <f>IF(J774="SRO/Studio",O774,0)</f>
        <v>0</v>
      </c>
      <c r="BO642" s="1865"/>
      <c r="BP642" s="1865"/>
      <c r="BQ642" s="1865"/>
      <c r="BR642" s="1866"/>
      <c r="BS642" s="1871">
        <f>IF(J774="1 Bedroom",O774,0)</f>
        <v>0</v>
      </c>
      <c r="BT642" s="1871"/>
      <c r="BU642" s="1871"/>
      <c r="BV642" s="1871"/>
      <c r="BW642" s="1871"/>
      <c r="BX642" s="1871">
        <f>IF(J774="2 Bedrooms",O774,0)</f>
        <v>0</v>
      </c>
      <c r="BY642" s="1871"/>
      <c r="BZ642" s="1871"/>
      <c r="CA642" s="1871"/>
      <c r="CB642" s="1871"/>
      <c r="CC642" s="1871">
        <f>IF(J774="3 Bedrooms",O774,0)</f>
        <v>0</v>
      </c>
      <c r="CD642" s="1871"/>
      <c r="CE642" s="1871"/>
      <c r="CF642" s="1871"/>
      <c r="CG642" s="1871"/>
      <c r="CH642" s="1871">
        <f>IF(J774="4 Bedrooms",O774,0)</f>
        <v>0</v>
      </c>
      <c r="CI642" s="1871"/>
      <c r="CJ642" s="1871"/>
      <c r="CK642" s="1871"/>
      <c r="CL642" s="1871"/>
      <c r="CM642" s="1871">
        <f>IF(J774="5 Bedrooms",O774,0)</f>
        <v>0</v>
      </c>
      <c r="CN642" s="1871"/>
      <c r="CO642" s="1871"/>
      <c r="CP642" s="1871"/>
      <c r="CQ642" s="1871"/>
      <c r="CR642" s="1094"/>
      <c r="CV642" s="58"/>
      <c r="CW642" s="58"/>
      <c r="CX642" s="58"/>
      <c r="CY642" s="58"/>
      <c r="CZ642" s="58"/>
      <c r="DA642" s="58"/>
      <c r="DB642" s="58"/>
      <c r="DC642" s="58"/>
      <c r="DD642" s="58"/>
      <c r="DE642" s="58"/>
      <c r="DF642" s="58"/>
      <c r="DX642" s="1860" t="e">
        <f t="shared" si="22"/>
        <v>#VALUE!</v>
      </c>
      <c r="DY642" s="1860"/>
      <c r="DZ642" s="1860"/>
      <c r="EA642" s="1860"/>
      <c r="EB642" s="1860"/>
      <c r="EC642" s="1860" t="e">
        <f t="shared" si="23"/>
        <v>#VALUE!</v>
      </c>
      <c r="ED642" s="1860"/>
      <c r="EE642" s="1860"/>
      <c r="EF642" s="1860"/>
      <c r="EG642" s="1860"/>
      <c r="EH642" s="1860">
        <f t="shared" si="24"/>
        <v>94.754716981132077</v>
      </c>
      <c r="EI642" s="1860"/>
      <c r="EJ642" s="1860"/>
      <c r="EK642" s="1860"/>
      <c r="EL642" s="1860"/>
      <c r="EM642" s="1860" t="e">
        <f t="shared" si="25"/>
        <v>#VALUE!</v>
      </c>
      <c r="EN642" s="1860"/>
      <c r="EO642" s="1860"/>
      <c r="EP642" s="1860"/>
      <c r="EQ642" s="1860"/>
      <c r="ER642" s="1860" t="e">
        <f t="shared" si="26"/>
        <v>#VALUE!</v>
      </c>
      <c r="ES642" s="1860"/>
      <c r="ET642" s="1860"/>
      <c r="EU642" s="1860"/>
      <c r="EV642" s="1860"/>
      <c r="EW642" s="1860" t="e">
        <f t="shared" si="27"/>
        <v>#VALUE!</v>
      </c>
      <c r="EX642" s="1860"/>
      <c r="EY642" s="1860"/>
      <c r="EZ642" s="1860"/>
      <c r="FA642" s="1860"/>
    </row>
    <row r="643" spans="1:157" ht="12.75">
      <c r="B643" s="84" t="s">
        <v>481</v>
      </c>
      <c r="C643" s="1876"/>
      <c r="D643" s="1876"/>
      <c r="E643" s="1876"/>
      <c r="F643" s="1876"/>
      <c r="G643" s="1876"/>
      <c r="H643" s="1876"/>
      <c r="I643" s="1876"/>
      <c r="J643" s="1876"/>
      <c r="K643" s="1876"/>
      <c r="L643" s="1876"/>
      <c r="M643" s="1876"/>
      <c r="N643" s="2157"/>
      <c r="O643" s="1904"/>
      <c r="P643" s="1905"/>
      <c r="Q643" s="1906"/>
      <c r="R643" s="1890"/>
      <c r="S643" s="1891"/>
      <c r="T643" s="1892"/>
      <c r="U643" s="1897"/>
      <c r="V643" s="1898"/>
      <c r="W643" s="1899"/>
      <c r="X643" s="1893" t="s">
        <v>1348</v>
      </c>
      <c r="Y643" s="1894"/>
      <c r="Z643" s="1894"/>
      <c r="AA643" s="1894"/>
      <c r="AB643" s="1895"/>
      <c r="AC643" s="1913"/>
      <c r="AD643" s="1914"/>
      <c r="AE643" s="1915"/>
      <c r="AF643" s="1900"/>
      <c r="AG643" s="1901"/>
      <c r="AH643" s="1901"/>
      <c r="AI643" s="1901"/>
      <c r="AJ643" s="1902"/>
      <c r="AK643" s="1916"/>
      <c r="AL643" s="1917"/>
      <c r="AM643" s="1917"/>
      <c r="AN643" s="1918"/>
      <c r="AO643" s="1896"/>
      <c r="AP643" s="1896"/>
      <c r="AQ643" s="1896"/>
      <c r="AR643" s="1896"/>
      <c r="AS643" s="1896"/>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4">
        <f>IF(J775="SRO/Studio",O775,0)</f>
        <v>0</v>
      </c>
      <c r="BO643" s="1865"/>
      <c r="BP643" s="1865"/>
      <c r="BQ643" s="1865"/>
      <c r="BR643" s="1866"/>
      <c r="BS643" s="1871">
        <f>IF(J775="1 Bedroom",O775,0)</f>
        <v>0</v>
      </c>
      <c r="BT643" s="1871"/>
      <c r="BU643" s="1871"/>
      <c r="BV643" s="1871"/>
      <c r="BW643" s="1871"/>
      <c r="BX643" s="1871">
        <f>IF(J775="2 Bedrooms",O775,0)</f>
        <v>0</v>
      </c>
      <c r="BY643" s="1871"/>
      <c r="BZ643" s="1871"/>
      <c r="CA643" s="1871"/>
      <c r="CB643" s="1871"/>
      <c r="CC643" s="1871">
        <f>IF(J775="3 Bedrooms",O775,0)</f>
        <v>0</v>
      </c>
      <c r="CD643" s="1871"/>
      <c r="CE643" s="1871"/>
      <c r="CF643" s="1871"/>
      <c r="CG643" s="1871"/>
      <c r="CH643" s="1871">
        <f>IF(J775="4 Bedrooms",O775,0)</f>
        <v>0</v>
      </c>
      <c r="CI643" s="1871"/>
      <c r="CJ643" s="1871"/>
      <c r="CK643" s="1871"/>
      <c r="CL643" s="1871"/>
      <c r="CM643" s="1871">
        <f>IF(J775="5 Bedrooms",O775,0)</f>
        <v>0</v>
      </c>
      <c r="CN643" s="1871"/>
      <c r="CO643" s="1871"/>
      <c r="CP643" s="1871"/>
      <c r="CQ643" s="1871"/>
      <c r="CV643" s="58"/>
      <c r="CW643" s="58"/>
      <c r="CX643" s="58"/>
      <c r="CY643" s="58"/>
      <c r="CZ643" s="58"/>
      <c r="DA643" s="58"/>
      <c r="DB643" s="58"/>
      <c r="DC643" s="58"/>
      <c r="DD643" s="58"/>
      <c r="DE643" s="58"/>
      <c r="DF643" s="58"/>
      <c r="DX643" s="1860" t="e">
        <f t="shared" si="22"/>
        <v>#VALUE!</v>
      </c>
      <c r="DY643" s="1860"/>
      <c r="DZ643" s="1860"/>
      <c r="EA643" s="1860"/>
      <c r="EB643" s="1860"/>
      <c r="EC643" s="1860" t="e">
        <f t="shared" si="23"/>
        <v>#VALUE!</v>
      </c>
      <c r="ED643" s="1860"/>
      <c r="EE643" s="1860"/>
      <c r="EF643" s="1860"/>
      <c r="EG643" s="1860"/>
      <c r="EH643" s="1860">
        <f t="shared" si="24"/>
        <v>300.32075471698113</v>
      </c>
      <c r="EI643" s="1860"/>
      <c r="EJ643" s="1860"/>
      <c r="EK643" s="1860"/>
      <c r="EL643" s="1860"/>
      <c r="EM643" s="1860" t="e">
        <f t="shared" si="25"/>
        <v>#VALUE!</v>
      </c>
      <c r="EN643" s="1860"/>
      <c r="EO643" s="1860"/>
      <c r="EP643" s="1860"/>
      <c r="EQ643" s="1860"/>
      <c r="ER643" s="1860" t="e">
        <f t="shared" si="26"/>
        <v>#VALUE!</v>
      </c>
      <c r="ES643" s="1860"/>
      <c r="ET643" s="1860"/>
      <c r="EU643" s="1860"/>
      <c r="EV643" s="1860"/>
      <c r="EW643" s="1860" t="e">
        <f t="shared" si="27"/>
        <v>#VALUE!</v>
      </c>
      <c r="EX643" s="1860"/>
      <c r="EY643" s="1860"/>
      <c r="EZ643" s="1860"/>
      <c r="FA643" s="1860"/>
    </row>
    <row r="644" spans="1:157" ht="12.75">
      <c r="B644" s="84" t="s">
        <v>482</v>
      </c>
      <c r="C644" s="1876"/>
      <c r="D644" s="1876"/>
      <c r="E644" s="1876"/>
      <c r="F644" s="1876"/>
      <c r="G644" s="1876"/>
      <c r="H644" s="1876"/>
      <c r="I644" s="1876"/>
      <c r="J644" s="1876"/>
      <c r="K644" s="1876"/>
      <c r="L644" s="1876"/>
      <c r="M644" s="1876"/>
      <c r="N644" s="2157"/>
      <c r="O644" s="1904"/>
      <c r="P644" s="1905"/>
      <c r="Q644" s="1906"/>
      <c r="R644" s="1890"/>
      <c r="S644" s="1891"/>
      <c r="T644" s="1892"/>
      <c r="U644" s="1897"/>
      <c r="V644" s="1898"/>
      <c r="W644" s="1899"/>
      <c r="X644" s="1893" t="s">
        <v>1348</v>
      </c>
      <c r="Y644" s="1894"/>
      <c r="Z644" s="1894"/>
      <c r="AA644" s="1894"/>
      <c r="AB644" s="1895"/>
      <c r="AC644" s="1913"/>
      <c r="AD644" s="1914"/>
      <c r="AE644" s="1915"/>
      <c r="AF644" s="1900"/>
      <c r="AG644" s="1901"/>
      <c r="AH644" s="1901"/>
      <c r="AI644" s="1901"/>
      <c r="AJ644" s="1902"/>
      <c r="AK644" s="1916"/>
      <c r="AL644" s="1917"/>
      <c r="AM644" s="1917"/>
      <c r="AN644" s="1918"/>
      <c r="AO644" s="1896"/>
      <c r="AP644" s="1896"/>
      <c r="AQ644" s="1896"/>
      <c r="AR644" s="1896"/>
      <c r="AS644" s="1896"/>
      <c r="AT644" s="239"/>
      <c r="AU644" s="239"/>
      <c r="AV644" s="239"/>
      <c r="AW644" s="239"/>
      <c r="AX644" s="239"/>
      <c r="AY644" s="239"/>
      <c r="AZ644" s="61"/>
      <c r="BA644" s="61"/>
      <c r="BB644" s="61"/>
      <c r="BC644" s="61"/>
      <c r="BD644" s="61"/>
      <c r="BE644" s="61"/>
      <c r="BF644" s="61"/>
      <c r="BG644" s="61"/>
      <c r="BH644" s="61"/>
      <c r="BI644" s="61"/>
      <c r="BJ644" s="61"/>
      <c r="BK644" s="61"/>
      <c r="BL644" s="61"/>
      <c r="BM644" s="61"/>
      <c r="BN644" s="1879">
        <f>SUM(BN640:BR643)</f>
        <v>0</v>
      </c>
      <c r="BO644" s="1880"/>
      <c r="BP644" s="1880"/>
      <c r="BQ644" s="1880"/>
      <c r="BR644" s="1881"/>
      <c r="BS644" s="1872">
        <f>SUM(BS640:BW643)</f>
        <v>0</v>
      </c>
      <c r="BT644" s="1873"/>
      <c r="BU644" s="1873"/>
      <c r="BV644" s="1873"/>
      <c r="BW644" s="1874"/>
      <c r="BX644" s="1872">
        <f>SUM(BX640:CB643)</f>
        <v>2</v>
      </c>
      <c r="BY644" s="1873"/>
      <c r="BZ644" s="1873"/>
      <c r="CA644" s="1873"/>
      <c r="CB644" s="1874"/>
      <c r="CC644" s="1872">
        <f>SUM(CC640:CG643)</f>
        <v>0</v>
      </c>
      <c r="CD644" s="1873"/>
      <c r="CE644" s="1873"/>
      <c r="CF644" s="1873"/>
      <c r="CG644" s="1874"/>
      <c r="CH644" s="1872">
        <f>SUM(CH640:CL643)</f>
        <v>0</v>
      </c>
      <c r="CI644" s="1873"/>
      <c r="CJ644" s="1873"/>
      <c r="CK644" s="1873"/>
      <c r="CL644" s="1874"/>
      <c r="CM644" s="1872">
        <f>SUM(CM640:CQ643)</f>
        <v>0</v>
      </c>
      <c r="CN644" s="1873"/>
      <c r="CO644" s="1873"/>
      <c r="CP644" s="1873"/>
      <c r="CQ644" s="1874"/>
      <c r="CS644" s="920">
        <f>BN644+BS644+BX644+CC644+CH644+CM644</f>
        <v>2</v>
      </c>
      <c r="CT644" s="134" t="s">
        <v>2191</v>
      </c>
      <c r="CU644" s="58"/>
      <c r="CV644" s="58"/>
      <c r="CW644" s="58"/>
      <c r="CX644" s="58"/>
      <c r="CY644" s="58"/>
      <c r="CZ644" s="58"/>
      <c r="DA644" s="58"/>
      <c r="DB644" s="58"/>
      <c r="DC644" s="58"/>
      <c r="DD644" s="58"/>
      <c r="DE644" s="58"/>
      <c r="DF644" s="58"/>
      <c r="DX644" s="1860" t="e">
        <f t="shared" si="22"/>
        <v>#VALUE!</v>
      </c>
      <c r="DY644" s="1860"/>
      <c r="DZ644" s="1860"/>
      <c r="EA644" s="1860"/>
      <c r="EB644" s="1860"/>
      <c r="EC644" s="1860" t="e">
        <f t="shared" si="23"/>
        <v>#VALUE!</v>
      </c>
      <c r="ED644" s="1860"/>
      <c r="EE644" s="1860"/>
      <c r="EF644" s="1860"/>
      <c r="EG644" s="1860"/>
      <c r="EH644" s="1860">
        <f t="shared" si="24"/>
        <v>363.622641509434</v>
      </c>
      <c r="EI644" s="1860"/>
      <c r="EJ644" s="1860"/>
      <c r="EK644" s="1860"/>
      <c r="EL644" s="1860"/>
      <c r="EM644" s="1860" t="e">
        <f t="shared" si="25"/>
        <v>#VALUE!</v>
      </c>
      <c r="EN644" s="1860"/>
      <c r="EO644" s="1860"/>
      <c r="EP644" s="1860"/>
      <c r="EQ644" s="1860"/>
      <c r="ER644" s="1860" t="e">
        <f t="shared" si="26"/>
        <v>#VALUE!</v>
      </c>
      <c r="ES644" s="1860"/>
      <c r="ET644" s="1860"/>
      <c r="EU644" s="1860"/>
      <c r="EV644" s="1860"/>
      <c r="EW644" s="1860" t="e">
        <f t="shared" si="27"/>
        <v>#VALUE!</v>
      </c>
      <c r="EX644" s="1860"/>
      <c r="EY644" s="1860"/>
      <c r="EZ644" s="1860"/>
      <c r="FA644" s="1860"/>
    </row>
    <row r="645" spans="1:157" ht="12.75">
      <c r="B645" s="84" t="s">
        <v>487</v>
      </c>
      <c r="C645" s="1876"/>
      <c r="D645" s="1876"/>
      <c r="E645" s="1876"/>
      <c r="F645" s="1876"/>
      <c r="G645" s="1876"/>
      <c r="H645" s="1876"/>
      <c r="I645" s="1876"/>
      <c r="J645" s="1876"/>
      <c r="K645" s="1876"/>
      <c r="L645" s="1876"/>
      <c r="M645" s="1876"/>
      <c r="N645" s="2157"/>
      <c r="O645" s="1904"/>
      <c r="P645" s="1905"/>
      <c r="Q645" s="1906"/>
      <c r="R645" s="1890"/>
      <c r="S645" s="1891"/>
      <c r="T645" s="1892"/>
      <c r="U645" s="1897"/>
      <c r="V645" s="1898"/>
      <c r="W645" s="1899"/>
      <c r="X645" s="1893" t="s">
        <v>1348</v>
      </c>
      <c r="Y645" s="1894"/>
      <c r="Z645" s="1894"/>
      <c r="AA645" s="1894"/>
      <c r="AB645" s="1895"/>
      <c r="AC645" s="1913"/>
      <c r="AD645" s="1914"/>
      <c r="AE645" s="1915"/>
      <c r="AF645" s="1900"/>
      <c r="AG645" s="1901"/>
      <c r="AH645" s="1901"/>
      <c r="AI645" s="1901"/>
      <c r="AJ645" s="1902"/>
      <c r="AK645" s="1916"/>
      <c r="AL645" s="1917"/>
      <c r="AM645" s="1917"/>
      <c r="AN645" s="1918"/>
      <c r="AO645" s="1896"/>
      <c r="AP645" s="1896"/>
      <c r="AQ645" s="1896"/>
      <c r="AR645" s="1896"/>
      <c r="AS645" s="18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4</v>
      </c>
      <c r="CC645" s="58"/>
      <c r="CD645" s="58"/>
      <c r="CE645" s="58"/>
      <c r="CF645" s="58"/>
      <c r="CG645" s="920">
        <f>CC644*3</f>
        <v>0</v>
      </c>
      <c r="CH645" s="58"/>
      <c r="CI645" s="58"/>
      <c r="CJ645" s="58"/>
      <c r="CK645" s="58"/>
      <c r="CL645" s="920">
        <f>CH644*4</f>
        <v>0</v>
      </c>
      <c r="CM645" s="58"/>
      <c r="CN645" s="58"/>
      <c r="CO645" s="58"/>
      <c r="CP645" s="58"/>
      <c r="CQ645" s="920">
        <f>CM644*5</f>
        <v>0</v>
      </c>
      <c r="CS645" s="920">
        <f>BR645+BW645+CB645+CG645+CL645+CQ645</f>
        <v>4</v>
      </c>
      <c r="CT645" s="134" t="s">
        <v>2193</v>
      </c>
      <c r="CU645" s="58"/>
      <c r="CV645" s="58"/>
      <c r="CW645" s="58"/>
      <c r="CX645" s="58"/>
      <c r="CY645" s="58"/>
      <c r="CZ645" s="58"/>
      <c r="DA645" s="58"/>
      <c r="DB645" s="58"/>
      <c r="DC645" s="58"/>
      <c r="DD645" s="58"/>
      <c r="DE645" s="58"/>
      <c r="DF645" s="58"/>
      <c r="DX645" s="1860" t="e">
        <f t="shared" si="22"/>
        <v>#VALUE!</v>
      </c>
      <c r="DY645" s="1860"/>
      <c r="DZ645" s="1860"/>
      <c r="EA645" s="1860"/>
      <c r="EB645" s="1860"/>
      <c r="EC645" s="1860" t="e">
        <f t="shared" si="23"/>
        <v>#VALUE!</v>
      </c>
      <c r="ED645" s="1860"/>
      <c r="EE645" s="1860"/>
      <c r="EF645" s="1860"/>
      <c r="EG645" s="1860"/>
      <c r="EH645" s="1860">
        <f t="shared" si="24"/>
        <v>970.28301886792451</v>
      </c>
      <c r="EI645" s="1860"/>
      <c r="EJ645" s="1860"/>
      <c r="EK645" s="1860"/>
      <c r="EL645" s="1860"/>
      <c r="EM645" s="1860" t="e">
        <f t="shared" si="25"/>
        <v>#VALUE!</v>
      </c>
      <c r="EN645" s="1860"/>
      <c r="EO645" s="1860"/>
      <c r="EP645" s="1860"/>
      <c r="EQ645" s="1860"/>
      <c r="ER645" s="1860" t="e">
        <f t="shared" si="26"/>
        <v>#VALUE!</v>
      </c>
      <c r="ES645" s="1860"/>
      <c r="ET645" s="1860"/>
      <c r="EU645" s="1860"/>
      <c r="EV645" s="1860"/>
      <c r="EW645" s="1860" t="e">
        <f t="shared" si="27"/>
        <v>#VALUE!</v>
      </c>
      <c r="EX645" s="1860"/>
      <c r="EY645" s="1860"/>
      <c r="EZ645" s="1860"/>
      <c r="FA645" s="1860"/>
    </row>
    <row r="646" spans="1:157" ht="12.75">
      <c r="B646" s="84" t="s">
        <v>673</v>
      </c>
      <c r="C646" s="1876"/>
      <c r="D646" s="1876"/>
      <c r="E646" s="1876"/>
      <c r="F646" s="1876"/>
      <c r="G646" s="1876"/>
      <c r="H646" s="1876"/>
      <c r="I646" s="1876"/>
      <c r="J646" s="1876"/>
      <c r="K646" s="1876"/>
      <c r="L646" s="1876"/>
      <c r="M646" s="1876"/>
      <c r="N646" s="2157"/>
      <c r="O646" s="1904"/>
      <c r="P646" s="1905"/>
      <c r="Q646" s="1906"/>
      <c r="R646" s="1890"/>
      <c r="S646" s="1891"/>
      <c r="T646" s="1892"/>
      <c r="U646" s="1897"/>
      <c r="V646" s="1898"/>
      <c r="W646" s="1899"/>
      <c r="X646" s="1893" t="s">
        <v>1348</v>
      </c>
      <c r="Y646" s="1894"/>
      <c r="Z646" s="1894"/>
      <c r="AA646" s="1894"/>
      <c r="AB646" s="1895"/>
      <c r="AC646" s="1913"/>
      <c r="AD646" s="1914"/>
      <c r="AE646" s="1915"/>
      <c r="AF646" s="1900"/>
      <c r="AG646" s="1901"/>
      <c r="AH646" s="1901"/>
      <c r="AI646" s="1901"/>
      <c r="AJ646" s="1902"/>
      <c r="AK646" s="1916"/>
      <c r="AL646" s="1917"/>
      <c r="AM646" s="1917"/>
      <c r="AN646" s="1918"/>
      <c r="AO646" s="1896"/>
      <c r="AP646" s="1896"/>
      <c r="AQ646" s="1896"/>
      <c r="AR646" s="1896"/>
      <c r="AS646" s="18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60" t="e">
        <f t="shared" si="22"/>
        <v>#VALUE!</v>
      </c>
      <c r="DY646" s="1860"/>
      <c r="DZ646" s="1860"/>
      <c r="EA646" s="1860"/>
      <c r="EB646" s="1860"/>
      <c r="EC646" s="1860" t="e">
        <f t="shared" si="23"/>
        <v>#VALUE!</v>
      </c>
      <c r="ED646" s="1860"/>
      <c r="EE646" s="1860"/>
      <c r="EF646" s="1860"/>
      <c r="EG646" s="1860"/>
      <c r="EH646" s="1860" t="e">
        <f t="shared" si="24"/>
        <v>#VALUE!</v>
      </c>
      <c r="EI646" s="1860"/>
      <c r="EJ646" s="1860"/>
      <c r="EK646" s="1860"/>
      <c r="EL646" s="1860"/>
      <c r="EM646" s="1860" t="e">
        <f t="shared" si="25"/>
        <v>#VALUE!</v>
      </c>
      <c r="EN646" s="1860"/>
      <c r="EO646" s="1860"/>
      <c r="EP646" s="1860"/>
      <c r="EQ646" s="1860"/>
      <c r="ER646" s="1860" t="e">
        <f t="shared" si="26"/>
        <v>#VALUE!</v>
      </c>
      <c r="ES646" s="1860"/>
      <c r="ET646" s="1860"/>
      <c r="EU646" s="1860"/>
      <c r="EV646" s="1860"/>
      <c r="EW646" s="1860" t="e">
        <f t="shared" si="27"/>
        <v>#VALUE!</v>
      </c>
      <c r="EX646" s="1860"/>
      <c r="EY646" s="1860"/>
      <c r="EZ646" s="1860"/>
      <c r="FA646" s="1860"/>
    </row>
    <row r="647" spans="1:157" ht="12.75">
      <c r="B647" s="84" t="s">
        <v>369</v>
      </c>
      <c r="C647" s="1876"/>
      <c r="D647" s="1876"/>
      <c r="E647" s="1876"/>
      <c r="F647" s="1876"/>
      <c r="G647" s="1876"/>
      <c r="H647" s="1876"/>
      <c r="I647" s="1876"/>
      <c r="J647" s="1876"/>
      <c r="K647" s="1876"/>
      <c r="L647" s="1876"/>
      <c r="M647" s="1876"/>
      <c r="N647" s="2157"/>
      <c r="O647" s="1904"/>
      <c r="P647" s="1905"/>
      <c r="Q647" s="1906"/>
      <c r="R647" s="1890"/>
      <c r="S647" s="1891"/>
      <c r="T647" s="1892"/>
      <c r="U647" s="1897"/>
      <c r="V647" s="1898"/>
      <c r="W647" s="1899"/>
      <c r="X647" s="1893" t="s">
        <v>1348</v>
      </c>
      <c r="Y647" s="1894"/>
      <c r="Z647" s="1894"/>
      <c r="AA647" s="1894"/>
      <c r="AB647" s="1895"/>
      <c r="AC647" s="1913"/>
      <c r="AD647" s="1914"/>
      <c r="AE647" s="1915"/>
      <c r="AF647" s="1900"/>
      <c r="AG647" s="1901"/>
      <c r="AH647" s="1901"/>
      <c r="AI647" s="1901"/>
      <c r="AJ647" s="1902"/>
      <c r="AK647" s="1916"/>
      <c r="AL647" s="1917"/>
      <c r="AM647" s="1917"/>
      <c r="AN647" s="1918"/>
      <c r="AO647" s="1896"/>
      <c r="AP647" s="1896"/>
      <c r="AQ647" s="1896"/>
      <c r="AR647" s="1896"/>
      <c r="AS647" s="18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2201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60" t="e">
        <f t="shared" si="22"/>
        <v>#VALUE!</v>
      </c>
      <c r="DY647" s="1860"/>
      <c r="DZ647" s="1860"/>
      <c r="EA647" s="1860"/>
      <c r="EB647" s="1860"/>
      <c r="EC647" s="1860" t="e">
        <f t="shared" si="23"/>
        <v>#VALUE!</v>
      </c>
      <c r="ED647" s="1860"/>
      <c r="EE647" s="1860"/>
      <c r="EF647" s="1860"/>
      <c r="EG647" s="1860"/>
      <c r="EH647" s="1860" t="e">
        <f t="shared" si="24"/>
        <v>#VALUE!</v>
      </c>
      <c r="EI647" s="1860"/>
      <c r="EJ647" s="1860"/>
      <c r="EK647" s="1860"/>
      <c r="EL647" s="1860"/>
      <c r="EM647" s="1860" t="e">
        <f t="shared" si="25"/>
        <v>#VALUE!</v>
      </c>
      <c r="EN647" s="1860"/>
      <c r="EO647" s="1860"/>
      <c r="EP647" s="1860"/>
      <c r="EQ647" s="1860"/>
      <c r="ER647" s="1860" t="e">
        <f t="shared" si="26"/>
        <v>#VALUE!</v>
      </c>
      <c r="ES647" s="1860"/>
      <c r="ET647" s="1860"/>
      <c r="EU647" s="1860"/>
      <c r="EV647" s="1860"/>
      <c r="EW647" s="1860" t="e">
        <f t="shared" si="27"/>
        <v>#VALUE!</v>
      </c>
      <c r="EX647" s="1860"/>
      <c r="EY647" s="1860"/>
      <c r="EZ647" s="1860"/>
      <c r="FA647" s="1860"/>
    </row>
    <row r="648" spans="1:157" ht="12.75">
      <c r="B648" s="84" t="s">
        <v>370</v>
      </c>
      <c r="C648" s="1876"/>
      <c r="D648" s="1876"/>
      <c r="E648" s="1876"/>
      <c r="F648" s="1876"/>
      <c r="G648" s="1876"/>
      <c r="H648" s="1876"/>
      <c r="I648" s="1876"/>
      <c r="J648" s="1876"/>
      <c r="K648" s="1876"/>
      <c r="L648" s="1876"/>
      <c r="M648" s="1876"/>
      <c r="N648" s="2157"/>
      <c r="O648" s="1904"/>
      <c r="P648" s="1905"/>
      <c r="Q648" s="1906"/>
      <c r="R648" s="1890"/>
      <c r="S648" s="1891"/>
      <c r="T648" s="1892"/>
      <c r="U648" s="1897"/>
      <c r="V648" s="1898"/>
      <c r="W648" s="1899"/>
      <c r="X648" s="1893" t="s">
        <v>1348</v>
      </c>
      <c r="Y648" s="1894"/>
      <c r="Z648" s="1894"/>
      <c r="AA648" s="1894"/>
      <c r="AB648" s="1895"/>
      <c r="AC648" s="1913"/>
      <c r="AD648" s="1914"/>
      <c r="AE648" s="1915"/>
      <c r="AF648" s="1900"/>
      <c r="AG648" s="1901"/>
      <c r="AH648" s="1901"/>
      <c r="AI648" s="1901"/>
      <c r="AJ648" s="1902"/>
      <c r="AK648" s="1916"/>
      <c r="AL648" s="1917"/>
      <c r="AM648" s="1917"/>
      <c r="AN648" s="1918"/>
      <c r="AO648" s="1896"/>
      <c r="AP648" s="1896"/>
      <c r="AQ648" s="1896"/>
      <c r="AR648" s="1896"/>
      <c r="AS648" s="1896"/>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4">
        <f t="shared" ref="BN648:BN657" si="28">IF(J786="SRO/Studio",O786,0)</f>
        <v>0</v>
      </c>
      <c r="BO648" s="1865"/>
      <c r="BP648" s="1865"/>
      <c r="BQ648" s="1865"/>
      <c r="BR648" s="1866"/>
      <c r="BS648" s="1871">
        <f t="shared" ref="BS648:BS657" si="29">IF(J786="1 Bedroom",O786,0)</f>
        <v>0</v>
      </c>
      <c r="BT648" s="1871"/>
      <c r="BU648" s="1871"/>
      <c r="BV648" s="1871"/>
      <c r="BW648" s="1871"/>
      <c r="BX648" s="1871">
        <f t="shared" ref="BX648:BX657" si="30">IF(J786="2 Bedrooms",O786,0)</f>
        <v>0</v>
      </c>
      <c r="BY648" s="1871"/>
      <c r="BZ648" s="1871"/>
      <c r="CA648" s="1871"/>
      <c r="CB648" s="1871"/>
      <c r="CC648" s="1871">
        <f t="shared" ref="CC648:CC657" si="31">IF(J786="3 Bedrooms",O786,0)</f>
        <v>0</v>
      </c>
      <c r="CD648" s="1871"/>
      <c r="CE648" s="1871"/>
      <c r="CF648" s="1871"/>
      <c r="CG648" s="1871"/>
      <c r="CH648" s="1871">
        <f t="shared" ref="CH648:CH657" si="32">IF(J786="4 Bedrooms",O786,0)</f>
        <v>0</v>
      </c>
      <c r="CI648" s="1871"/>
      <c r="CJ648" s="1871"/>
      <c r="CK648" s="1871"/>
      <c r="CL648" s="1871"/>
      <c r="CM648" s="1871">
        <f t="shared" ref="CM648:CM657" si="33">IF(J786="5 Bedrooms",O786,0)</f>
        <v>0</v>
      </c>
      <c r="CN648" s="1871"/>
      <c r="CO648" s="1871"/>
      <c r="CP648" s="1871"/>
      <c r="CQ648" s="1871"/>
      <c r="CR648" s="265"/>
      <c r="CS648" s="1864">
        <f>IF(AND(BN648&gt;=1,AH786&gt;=0.1,AH786&lt;=1),O786,0)</f>
        <v>0</v>
      </c>
      <c r="CT648" s="1865"/>
      <c r="CU648" s="1865"/>
      <c r="CV648" s="1865"/>
      <c r="CW648" s="1866"/>
      <c r="CX648" s="1864">
        <f>IF(AND(BS648&gt;=1,AH786&gt;=0.1,AH786&lt;=1),O786,0)</f>
        <v>0</v>
      </c>
      <c r="CY648" s="1865"/>
      <c r="CZ648" s="1865"/>
      <c r="DA648" s="1865"/>
      <c r="DB648" s="1866"/>
      <c r="DC648" s="1864">
        <f>IF(AND(BX648&gt;=1,AH786&gt;=0.1,AH786&lt;=1),O786,0)</f>
        <v>0</v>
      </c>
      <c r="DD648" s="1865"/>
      <c r="DE648" s="1865"/>
      <c r="DF648" s="1865"/>
      <c r="DG648" s="1866"/>
      <c r="DH648" s="1864">
        <f>IF(AND(CC648&gt;=1,AH786&gt;=0.1,AH786&lt;=1),O786,0)</f>
        <v>0</v>
      </c>
      <c r="DI648" s="1865"/>
      <c r="DJ648" s="1865"/>
      <c r="DK648" s="1865"/>
      <c r="DL648" s="1866"/>
      <c r="DM648" s="1864">
        <f>IF(AND(CH648&gt;=1,AH786&gt;=0.1,AH786&lt;=1),O786,0)</f>
        <v>0</v>
      </c>
      <c r="DN648" s="1865"/>
      <c r="DO648" s="1865"/>
      <c r="DP648" s="1865"/>
      <c r="DQ648" s="1866"/>
      <c r="DR648" s="1864">
        <f>IF(AND(CM648&gt;=1,AH786&gt;=0.1,AH786&lt;=1),O786,0)</f>
        <v>0</v>
      </c>
      <c r="DS648" s="1865"/>
      <c r="DT648" s="1865"/>
      <c r="DU648" s="1865"/>
      <c r="DV648" s="1866"/>
      <c r="DX648" s="1860" t="e">
        <f t="shared" si="22"/>
        <v>#VALUE!</v>
      </c>
      <c r="DY648" s="1860"/>
      <c r="DZ648" s="1860"/>
      <c r="EA648" s="1860"/>
      <c r="EB648" s="1860"/>
      <c r="EC648" s="1860" t="e">
        <f t="shared" si="23"/>
        <v>#VALUE!</v>
      </c>
      <c r="ED648" s="1860"/>
      <c r="EE648" s="1860"/>
      <c r="EF648" s="1860"/>
      <c r="EG648" s="1860"/>
      <c r="EH648" s="1860" t="e">
        <f t="shared" si="24"/>
        <v>#VALUE!</v>
      </c>
      <c r="EI648" s="1860"/>
      <c r="EJ648" s="1860"/>
      <c r="EK648" s="1860"/>
      <c r="EL648" s="1860"/>
      <c r="EM648" s="1860" t="e">
        <f t="shared" si="25"/>
        <v>#VALUE!</v>
      </c>
      <c r="EN648" s="1860"/>
      <c r="EO648" s="1860"/>
      <c r="EP648" s="1860"/>
      <c r="EQ648" s="1860"/>
      <c r="ER648" s="1860" t="e">
        <f t="shared" si="26"/>
        <v>#VALUE!</v>
      </c>
      <c r="ES648" s="1860"/>
      <c r="ET648" s="1860"/>
      <c r="EU648" s="1860"/>
      <c r="EV648" s="1860"/>
      <c r="EW648" s="1860" t="e">
        <f t="shared" si="27"/>
        <v>#VALUE!</v>
      </c>
      <c r="EX648" s="1860"/>
      <c r="EY648" s="1860"/>
      <c r="EZ648" s="1860"/>
      <c r="FA648" s="1860"/>
    </row>
    <row r="649" spans="1:157" ht="12.75">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5"/>
      <c r="AO649" s="2188">
        <f>SUM(AO637:AR648)</f>
        <v>34593689</v>
      </c>
      <c r="AP649" s="2189"/>
      <c r="AQ649" s="2189"/>
      <c r="AR649" s="2189"/>
      <c r="AS649" s="2190"/>
      <c r="AZ649" s="58"/>
      <c r="BA649" s="58"/>
      <c r="BB649" s="58"/>
      <c r="BC649" s="58"/>
      <c r="BD649" s="58"/>
      <c r="BE649" s="58"/>
      <c r="BF649" s="58"/>
      <c r="BG649" s="58"/>
      <c r="BH649" s="58"/>
      <c r="BI649" s="58"/>
      <c r="BJ649" s="58"/>
      <c r="BK649" s="58"/>
      <c r="BL649" s="58"/>
      <c r="BM649" s="58"/>
      <c r="BN649" s="1864">
        <f t="shared" si="28"/>
        <v>0</v>
      </c>
      <c r="BO649" s="1865"/>
      <c r="BP649" s="1865"/>
      <c r="BQ649" s="1865"/>
      <c r="BR649" s="1866"/>
      <c r="BS649" s="1871">
        <f t="shared" si="29"/>
        <v>0</v>
      </c>
      <c r="BT649" s="1871"/>
      <c r="BU649" s="1871"/>
      <c r="BV649" s="1871"/>
      <c r="BW649" s="1871"/>
      <c r="BX649" s="1871">
        <f t="shared" si="30"/>
        <v>0</v>
      </c>
      <c r="BY649" s="1871"/>
      <c r="BZ649" s="1871"/>
      <c r="CA649" s="1871"/>
      <c r="CB649" s="1871"/>
      <c r="CC649" s="1871">
        <f t="shared" si="31"/>
        <v>0</v>
      </c>
      <c r="CD649" s="1871"/>
      <c r="CE649" s="1871"/>
      <c r="CF649" s="1871"/>
      <c r="CG649" s="1871"/>
      <c r="CH649" s="1871">
        <f t="shared" si="32"/>
        <v>0</v>
      </c>
      <c r="CI649" s="1871"/>
      <c r="CJ649" s="1871"/>
      <c r="CK649" s="1871"/>
      <c r="CL649" s="1871"/>
      <c r="CM649" s="1871">
        <f t="shared" si="33"/>
        <v>0</v>
      </c>
      <c r="CN649" s="1871"/>
      <c r="CO649" s="1871"/>
      <c r="CP649" s="1871"/>
      <c r="CQ649" s="1871"/>
      <c r="CR649" s="265"/>
      <c r="CS649" s="1864">
        <f t="shared" ref="CS649:CS657" si="34">IF(AND(BN649&gt;=1,AH787&gt;=0.1,AH787&lt;=1),O787,0)</f>
        <v>0</v>
      </c>
      <c r="CT649" s="1865"/>
      <c r="CU649" s="1865"/>
      <c r="CV649" s="1865"/>
      <c r="CW649" s="1866"/>
      <c r="CX649" s="1864">
        <f t="shared" ref="CX649:CX657" si="35">IF(AND(BS649&gt;=1,AH787&gt;=0.1,AH787&lt;=1),O787,0)</f>
        <v>0</v>
      </c>
      <c r="CY649" s="1865"/>
      <c r="CZ649" s="1865"/>
      <c r="DA649" s="1865"/>
      <c r="DB649" s="1866"/>
      <c r="DC649" s="1864">
        <f t="shared" ref="DC649:DC657" si="36">IF(AND(BX649&gt;=1,AH787&gt;=0.1,AH787&lt;=1),O787,0)</f>
        <v>0</v>
      </c>
      <c r="DD649" s="1865"/>
      <c r="DE649" s="1865"/>
      <c r="DF649" s="1865"/>
      <c r="DG649" s="1866"/>
      <c r="DH649" s="1864">
        <f t="shared" ref="DH649:DH657" si="37">IF(AND(CC649&gt;=1,AH787&gt;=0.1,AH787&lt;=1),O787,0)</f>
        <v>0</v>
      </c>
      <c r="DI649" s="1865"/>
      <c r="DJ649" s="1865"/>
      <c r="DK649" s="1865"/>
      <c r="DL649" s="1866"/>
      <c r="DM649" s="1864">
        <f t="shared" ref="DM649:DM657" si="38">IF(AND(CH649&gt;=1,AH787&gt;=0.1,AH787&lt;=1),O787,0)</f>
        <v>0</v>
      </c>
      <c r="DN649" s="1865"/>
      <c r="DO649" s="1865"/>
      <c r="DP649" s="1865"/>
      <c r="DQ649" s="1866"/>
      <c r="DR649" s="1864">
        <f t="shared" ref="DR649:DR657" si="39">IF(AND(CM649&gt;=1,AH787&gt;=0.1,AH787&lt;=1),O787,0)</f>
        <v>0</v>
      </c>
      <c r="DS649" s="1865"/>
      <c r="DT649" s="1865"/>
      <c r="DU649" s="1865"/>
      <c r="DV649" s="1866"/>
      <c r="DX649" s="1860" t="e">
        <f t="shared" si="22"/>
        <v>#VALUE!</v>
      </c>
      <c r="DY649" s="1860"/>
      <c r="DZ649" s="1860"/>
      <c r="EA649" s="1860"/>
      <c r="EB649" s="1860"/>
      <c r="EC649" s="1860" t="e">
        <f t="shared" si="23"/>
        <v>#VALUE!</v>
      </c>
      <c r="ED649" s="1860"/>
      <c r="EE649" s="1860"/>
      <c r="EF649" s="1860"/>
      <c r="EG649" s="1860"/>
      <c r="EH649" s="1860" t="e">
        <f t="shared" si="24"/>
        <v>#VALUE!</v>
      </c>
      <c r="EI649" s="1860"/>
      <c r="EJ649" s="1860"/>
      <c r="EK649" s="1860"/>
      <c r="EL649" s="1860"/>
      <c r="EM649" s="1860" t="e">
        <f t="shared" si="25"/>
        <v>#VALUE!</v>
      </c>
      <c r="EN649" s="1860"/>
      <c r="EO649" s="1860"/>
      <c r="EP649" s="1860"/>
      <c r="EQ649" s="1860"/>
      <c r="ER649" s="1860" t="e">
        <f t="shared" si="26"/>
        <v>#VALUE!</v>
      </c>
      <c r="ES649" s="1860"/>
      <c r="ET649" s="1860"/>
      <c r="EU649" s="1860"/>
      <c r="EV649" s="1860"/>
      <c r="EW649" s="1860" t="e">
        <f t="shared" si="27"/>
        <v>#VALUE!</v>
      </c>
      <c r="EX649" s="1860"/>
      <c r="EY649" s="1860"/>
      <c r="EZ649" s="1860"/>
      <c r="FA649" s="1860"/>
    </row>
    <row r="650" spans="1:157" ht="12.75" customHeight="1">
      <c r="B650" s="2183" t="s">
        <v>273</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5"/>
      <c r="AO650" s="1882">
        <v>28075790</v>
      </c>
      <c r="AP650" s="1883"/>
      <c r="AQ650" s="1883"/>
      <c r="AR650" s="1883"/>
      <c r="AS650" s="1884"/>
      <c r="AZ650" s="61"/>
      <c r="BA650" s="61"/>
      <c r="BB650" s="61"/>
      <c r="BC650" s="61"/>
      <c r="BD650" s="61"/>
      <c r="BE650" s="61"/>
      <c r="BF650" s="61"/>
      <c r="BG650" s="61"/>
      <c r="BH650" s="61"/>
      <c r="BI650" s="61"/>
      <c r="BJ650" s="61"/>
      <c r="BK650" s="61"/>
      <c r="BL650" s="61"/>
      <c r="BM650" s="61"/>
      <c r="BN650" s="1864">
        <f t="shared" si="28"/>
        <v>0</v>
      </c>
      <c r="BO650" s="1865"/>
      <c r="BP650" s="1865"/>
      <c r="BQ650" s="1865"/>
      <c r="BR650" s="1866"/>
      <c r="BS650" s="1871">
        <f t="shared" si="29"/>
        <v>0</v>
      </c>
      <c r="BT650" s="1871"/>
      <c r="BU650" s="1871"/>
      <c r="BV650" s="1871"/>
      <c r="BW650" s="1871"/>
      <c r="BX650" s="1871">
        <f t="shared" si="30"/>
        <v>0</v>
      </c>
      <c r="BY650" s="1871"/>
      <c r="BZ650" s="1871"/>
      <c r="CA650" s="1871"/>
      <c r="CB650" s="1871"/>
      <c r="CC650" s="1871">
        <f t="shared" si="31"/>
        <v>0</v>
      </c>
      <c r="CD650" s="1871"/>
      <c r="CE650" s="1871"/>
      <c r="CF650" s="1871"/>
      <c r="CG650" s="1871"/>
      <c r="CH650" s="1871">
        <f t="shared" si="32"/>
        <v>0</v>
      </c>
      <c r="CI650" s="1871"/>
      <c r="CJ650" s="1871"/>
      <c r="CK650" s="1871"/>
      <c r="CL650" s="1871"/>
      <c r="CM650" s="1871">
        <f t="shared" si="33"/>
        <v>0</v>
      </c>
      <c r="CN650" s="1871"/>
      <c r="CO650" s="1871"/>
      <c r="CP650" s="1871"/>
      <c r="CQ650" s="1871"/>
      <c r="CR650" s="265"/>
      <c r="CS650" s="1864">
        <f t="shared" si="34"/>
        <v>0</v>
      </c>
      <c r="CT650" s="1865"/>
      <c r="CU650" s="1865"/>
      <c r="CV650" s="1865"/>
      <c r="CW650" s="1866"/>
      <c r="CX650" s="1864">
        <f t="shared" si="35"/>
        <v>0</v>
      </c>
      <c r="CY650" s="1865"/>
      <c r="CZ650" s="1865"/>
      <c r="DA650" s="1865"/>
      <c r="DB650" s="1866"/>
      <c r="DC650" s="1864">
        <f t="shared" si="36"/>
        <v>0</v>
      </c>
      <c r="DD650" s="1865"/>
      <c r="DE650" s="1865"/>
      <c r="DF650" s="1865"/>
      <c r="DG650" s="1866"/>
      <c r="DH650" s="1864">
        <f t="shared" si="37"/>
        <v>0</v>
      </c>
      <c r="DI650" s="1865"/>
      <c r="DJ650" s="1865"/>
      <c r="DK650" s="1865"/>
      <c r="DL650" s="1866"/>
      <c r="DM650" s="1864">
        <f t="shared" si="38"/>
        <v>0</v>
      </c>
      <c r="DN650" s="1865"/>
      <c r="DO650" s="1865"/>
      <c r="DP650" s="1865"/>
      <c r="DQ650" s="1866"/>
      <c r="DR650" s="1864">
        <f t="shared" si="39"/>
        <v>0</v>
      </c>
      <c r="DS650" s="1865"/>
      <c r="DT650" s="1865"/>
      <c r="DU650" s="1865"/>
      <c r="DV650" s="1866"/>
      <c r="DX650" s="1860" t="e">
        <f t="shared" si="22"/>
        <v>#VALUE!</v>
      </c>
      <c r="DY650" s="1860"/>
      <c r="DZ650" s="1860"/>
      <c r="EA650" s="1860"/>
      <c r="EB650" s="1860"/>
      <c r="EC650" s="1860" t="e">
        <f t="shared" si="23"/>
        <v>#VALUE!</v>
      </c>
      <c r="ED650" s="1860"/>
      <c r="EE650" s="1860"/>
      <c r="EF650" s="1860"/>
      <c r="EG650" s="1860"/>
      <c r="EH650" s="1860" t="e">
        <f t="shared" si="24"/>
        <v>#VALUE!</v>
      </c>
      <c r="EI650" s="1860"/>
      <c r="EJ650" s="1860"/>
      <c r="EK650" s="1860"/>
      <c r="EL650" s="1860"/>
      <c r="EM650" s="1860" t="e">
        <f t="shared" si="25"/>
        <v>#VALUE!</v>
      </c>
      <c r="EN650" s="1860"/>
      <c r="EO650" s="1860"/>
      <c r="EP650" s="1860"/>
      <c r="EQ650" s="1860"/>
      <c r="ER650" s="1860" t="e">
        <f t="shared" si="26"/>
        <v>#VALUE!</v>
      </c>
      <c r="ES650" s="1860"/>
      <c r="ET650" s="1860"/>
      <c r="EU650" s="1860"/>
      <c r="EV650" s="1860"/>
      <c r="EW650" s="1860" t="e">
        <f t="shared" si="27"/>
        <v>#VALUE!</v>
      </c>
      <c r="EX650" s="1860"/>
      <c r="EY650" s="1860"/>
      <c r="EZ650" s="1860"/>
      <c r="FA650" s="1860"/>
    </row>
    <row r="651" spans="1:157" ht="12.75" customHeight="1">
      <c r="B651" s="2282" t="s">
        <v>274</v>
      </c>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283"/>
      <c r="AJ651" s="2283"/>
      <c r="AK651" s="2283"/>
      <c r="AL651" s="2283"/>
      <c r="AM651" s="2283"/>
      <c r="AN651" s="2284"/>
      <c r="AO651" s="2188">
        <f>AO649+AO650</f>
        <v>62669479</v>
      </c>
      <c r="AP651" s="2189"/>
      <c r="AQ651" s="2189"/>
      <c r="AR651" s="2189"/>
      <c r="AS651" s="2190"/>
      <c r="AZ651" s="61"/>
      <c r="BA651" s="61"/>
      <c r="BB651" s="61"/>
      <c r="BC651" s="61"/>
      <c r="BD651" s="61"/>
      <c r="BE651" s="61"/>
      <c r="BF651" s="61"/>
      <c r="BG651" s="61"/>
      <c r="BH651" s="61"/>
      <c r="BI651" s="61"/>
      <c r="BJ651" s="61"/>
      <c r="BK651" s="61"/>
      <c r="BL651" s="61"/>
      <c r="BM651" s="61"/>
      <c r="BN651" s="1864">
        <f t="shared" si="28"/>
        <v>0</v>
      </c>
      <c r="BO651" s="1865"/>
      <c r="BP651" s="1865"/>
      <c r="BQ651" s="1865"/>
      <c r="BR651" s="1866"/>
      <c r="BS651" s="1871">
        <f t="shared" si="29"/>
        <v>0</v>
      </c>
      <c r="BT651" s="1871"/>
      <c r="BU651" s="1871"/>
      <c r="BV651" s="1871"/>
      <c r="BW651" s="1871"/>
      <c r="BX651" s="1871">
        <f t="shared" si="30"/>
        <v>0</v>
      </c>
      <c r="BY651" s="1871"/>
      <c r="BZ651" s="1871"/>
      <c r="CA651" s="1871"/>
      <c r="CB651" s="1871"/>
      <c r="CC651" s="1871">
        <f t="shared" si="31"/>
        <v>0</v>
      </c>
      <c r="CD651" s="1871"/>
      <c r="CE651" s="1871"/>
      <c r="CF651" s="1871"/>
      <c r="CG651" s="1871"/>
      <c r="CH651" s="1871">
        <f t="shared" si="32"/>
        <v>0</v>
      </c>
      <c r="CI651" s="1871"/>
      <c r="CJ651" s="1871"/>
      <c r="CK651" s="1871"/>
      <c r="CL651" s="1871"/>
      <c r="CM651" s="1871">
        <f t="shared" si="33"/>
        <v>0</v>
      </c>
      <c r="CN651" s="1871"/>
      <c r="CO651" s="1871"/>
      <c r="CP651" s="1871"/>
      <c r="CQ651" s="1871"/>
      <c r="CR651" s="265"/>
      <c r="CS651" s="1864">
        <f t="shared" si="34"/>
        <v>0</v>
      </c>
      <c r="CT651" s="1865"/>
      <c r="CU651" s="1865"/>
      <c r="CV651" s="1865"/>
      <c r="CW651" s="1866"/>
      <c r="CX651" s="1864">
        <f t="shared" si="35"/>
        <v>0</v>
      </c>
      <c r="CY651" s="1865"/>
      <c r="CZ651" s="1865"/>
      <c r="DA651" s="1865"/>
      <c r="DB651" s="1866"/>
      <c r="DC651" s="1864">
        <f t="shared" si="36"/>
        <v>0</v>
      </c>
      <c r="DD651" s="1865"/>
      <c r="DE651" s="1865"/>
      <c r="DF651" s="1865"/>
      <c r="DG651" s="1866"/>
      <c r="DH651" s="1864">
        <f t="shared" si="37"/>
        <v>0</v>
      </c>
      <c r="DI651" s="1865"/>
      <c r="DJ651" s="1865"/>
      <c r="DK651" s="1865"/>
      <c r="DL651" s="1866"/>
      <c r="DM651" s="1864">
        <f t="shared" si="38"/>
        <v>0</v>
      </c>
      <c r="DN651" s="1865"/>
      <c r="DO651" s="1865"/>
      <c r="DP651" s="1865"/>
      <c r="DQ651" s="1866"/>
      <c r="DR651" s="1864">
        <f t="shared" si="39"/>
        <v>0</v>
      </c>
      <c r="DS651" s="1865"/>
      <c r="DT651" s="1865"/>
      <c r="DU651" s="1865"/>
      <c r="DV651" s="1866"/>
      <c r="DX651" s="1860" t="e">
        <f t="shared" si="22"/>
        <v>#VALUE!</v>
      </c>
      <c r="DY651" s="1860"/>
      <c r="DZ651" s="1860"/>
      <c r="EA651" s="1860"/>
      <c r="EB651" s="1860"/>
      <c r="EC651" s="1860" t="e">
        <f t="shared" si="23"/>
        <v>#VALUE!</v>
      </c>
      <c r="ED651" s="1860"/>
      <c r="EE651" s="1860"/>
      <c r="EF651" s="1860"/>
      <c r="EG651" s="1860"/>
      <c r="EH651" s="1860" t="e">
        <f t="shared" si="24"/>
        <v>#VALUE!</v>
      </c>
      <c r="EI651" s="1860"/>
      <c r="EJ651" s="1860"/>
      <c r="EK651" s="1860"/>
      <c r="EL651" s="1860"/>
      <c r="EM651" s="1860" t="e">
        <f t="shared" si="25"/>
        <v>#VALUE!</v>
      </c>
      <c r="EN651" s="1860"/>
      <c r="EO651" s="1860"/>
      <c r="EP651" s="1860"/>
      <c r="EQ651" s="1860"/>
      <c r="ER651" s="1860" t="e">
        <f t="shared" si="26"/>
        <v>#VALUE!</v>
      </c>
      <c r="ES651" s="1860"/>
      <c r="ET651" s="1860"/>
      <c r="EU651" s="1860"/>
      <c r="EV651" s="1860"/>
      <c r="EW651" s="1860" t="e">
        <f t="shared" si="27"/>
        <v>#VALUE!</v>
      </c>
      <c r="EX651" s="1860"/>
      <c r="EY651" s="1860"/>
      <c r="EZ651" s="1860"/>
      <c r="FA651" s="1860"/>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4">
        <f t="shared" si="28"/>
        <v>0</v>
      </c>
      <c r="BO652" s="1865"/>
      <c r="BP652" s="1865"/>
      <c r="BQ652" s="1865"/>
      <c r="BR652" s="1866"/>
      <c r="BS652" s="1871">
        <f t="shared" si="29"/>
        <v>0</v>
      </c>
      <c r="BT652" s="1871"/>
      <c r="BU652" s="1871"/>
      <c r="BV652" s="1871"/>
      <c r="BW652" s="1871"/>
      <c r="BX652" s="1871">
        <f t="shared" si="30"/>
        <v>0</v>
      </c>
      <c r="BY652" s="1871"/>
      <c r="BZ652" s="1871"/>
      <c r="CA652" s="1871"/>
      <c r="CB652" s="1871"/>
      <c r="CC652" s="1871">
        <f t="shared" si="31"/>
        <v>0</v>
      </c>
      <c r="CD652" s="1871"/>
      <c r="CE652" s="1871"/>
      <c r="CF652" s="1871"/>
      <c r="CG652" s="1871"/>
      <c r="CH652" s="1871">
        <f t="shared" si="32"/>
        <v>0</v>
      </c>
      <c r="CI652" s="1871"/>
      <c r="CJ652" s="1871"/>
      <c r="CK652" s="1871"/>
      <c r="CL652" s="1871"/>
      <c r="CM652" s="1871">
        <f t="shared" si="33"/>
        <v>0</v>
      </c>
      <c r="CN652" s="1871"/>
      <c r="CO652" s="1871"/>
      <c r="CP652" s="1871"/>
      <c r="CQ652" s="1871"/>
      <c r="CR652" s="265"/>
      <c r="CS652" s="1864">
        <f t="shared" si="34"/>
        <v>0</v>
      </c>
      <c r="CT652" s="1865"/>
      <c r="CU652" s="1865"/>
      <c r="CV652" s="1865"/>
      <c r="CW652" s="1866"/>
      <c r="CX652" s="1864">
        <f t="shared" si="35"/>
        <v>0</v>
      </c>
      <c r="CY652" s="1865"/>
      <c r="CZ652" s="1865"/>
      <c r="DA652" s="1865"/>
      <c r="DB652" s="1866"/>
      <c r="DC652" s="1864">
        <f t="shared" si="36"/>
        <v>0</v>
      </c>
      <c r="DD652" s="1865"/>
      <c r="DE652" s="1865"/>
      <c r="DF652" s="1865"/>
      <c r="DG652" s="1866"/>
      <c r="DH652" s="1864">
        <f t="shared" si="37"/>
        <v>0</v>
      </c>
      <c r="DI652" s="1865"/>
      <c r="DJ652" s="1865"/>
      <c r="DK652" s="1865"/>
      <c r="DL652" s="1866"/>
      <c r="DM652" s="1864">
        <f t="shared" si="38"/>
        <v>0</v>
      </c>
      <c r="DN652" s="1865"/>
      <c r="DO652" s="1865"/>
      <c r="DP652" s="1865"/>
      <c r="DQ652" s="1866"/>
      <c r="DR652" s="1864">
        <f t="shared" si="39"/>
        <v>0</v>
      </c>
      <c r="DS652" s="1865"/>
      <c r="DT652" s="1865"/>
      <c r="DU652" s="1865"/>
      <c r="DV652" s="1866"/>
      <c r="DX652" s="1860" t="e">
        <f t="shared" si="22"/>
        <v>#VALUE!</v>
      </c>
      <c r="DY652" s="1860"/>
      <c r="DZ652" s="1860"/>
      <c r="EA652" s="1860"/>
      <c r="EB652" s="1860"/>
      <c r="EC652" s="1860" t="e">
        <f t="shared" si="23"/>
        <v>#VALUE!</v>
      </c>
      <c r="ED652" s="1860"/>
      <c r="EE652" s="1860"/>
      <c r="EF652" s="1860"/>
      <c r="EG652" s="1860"/>
      <c r="EH652" s="1860" t="e">
        <f t="shared" si="24"/>
        <v>#VALUE!</v>
      </c>
      <c r="EI652" s="1860"/>
      <c r="EJ652" s="1860"/>
      <c r="EK652" s="1860"/>
      <c r="EL652" s="1860"/>
      <c r="EM652" s="1860" t="e">
        <f t="shared" si="25"/>
        <v>#VALUE!</v>
      </c>
      <c r="EN652" s="1860"/>
      <c r="EO652" s="1860"/>
      <c r="EP652" s="1860"/>
      <c r="EQ652" s="1860"/>
      <c r="ER652" s="1860" t="e">
        <f t="shared" si="26"/>
        <v>#VALUE!</v>
      </c>
      <c r="ES652" s="1860"/>
      <c r="ET652" s="1860"/>
      <c r="EU652" s="1860"/>
      <c r="EV652" s="1860"/>
      <c r="EW652" s="1860" t="e">
        <f t="shared" si="27"/>
        <v>#VALUE!</v>
      </c>
      <c r="EX652" s="1860"/>
      <c r="EY652" s="1860"/>
      <c r="EZ652" s="1860"/>
      <c r="FA652" s="1860"/>
    </row>
    <row r="653" spans="1:157" ht="12.75">
      <c r="A653" s="87" t="s">
        <v>117</v>
      </c>
      <c r="B653" s="12" t="s">
        <v>489</v>
      </c>
      <c r="G653" s="1867" t="str">
        <f>C637</f>
        <v>Citibank, N.A.</v>
      </c>
      <c r="H653" s="1867"/>
      <c r="I653" s="1867"/>
      <c r="J653" s="1867"/>
      <c r="K653" s="1867"/>
      <c r="L653" s="1867"/>
      <c r="M653" s="1867"/>
      <c r="N653" s="1867"/>
      <c r="O653" s="1867"/>
      <c r="P653" s="1867"/>
      <c r="Q653" s="1867"/>
      <c r="R653" s="1867"/>
      <c r="S653" s="14"/>
      <c r="T653" s="87" t="s">
        <v>118</v>
      </c>
      <c r="U653" s="12" t="s">
        <v>489</v>
      </c>
      <c r="Z653" s="1867" t="str">
        <f>C638</f>
        <v>NOI during construction</v>
      </c>
      <c r="AA653" s="1867"/>
      <c r="AB653" s="1867"/>
      <c r="AC653" s="1867"/>
      <c r="AD653" s="1867"/>
      <c r="AE653" s="1867"/>
      <c r="AF653" s="1867"/>
      <c r="AG653" s="1867"/>
      <c r="AH653" s="1867"/>
      <c r="AI653" s="1867"/>
      <c r="AJ653" s="1867"/>
      <c r="AK653" s="1867"/>
      <c r="AZ653" s="61"/>
      <c r="BA653" s="61"/>
      <c r="BB653" s="61"/>
      <c r="BC653" s="61"/>
      <c r="BD653" s="61"/>
      <c r="BE653" s="61"/>
      <c r="BF653" s="61"/>
      <c r="BG653" s="61"/>
      <c r="BH653" s="61"/>
      <c r="BI653" s="61"/>
      <c r="BJ653" s="61"/>
      <c r="BK653" s="61"/>
      <c r="BL653" s="61"/>
      <c r="BM653" s="61"/>
      <c r="BN653" s="1864">
        <f t="shared" si="28"/>
        <v>0</v>
      </c>
      <c r="BO653" s="1865"/>
      <c r="BP653" s="1865"/>
      <c r="BQ653" s="1865"/>
      <c r="BR653" s="1866"/>
      <c r="BS653" s="1871">
        <f t="shared" si="29"/>
        <v>0</v>
      </c>
      <c r="BT653" s="1871"/>
      <c r="BU653" s="1871"/>
      <c r="BV653" s="1871"/>
      <c r="BW653" s="1871"/>
      <c r="BX653" s="1871">
        <f t="shared" si="30"/>
        <v>0</v>
      </c>
      <c r="BY653" s="1871"/>
      <c r="BZ653" s="1871"/>
      <c r="CA653" s="1871"/>
      <c r="CB653" s="1871"/>
      <c r="CC653" s="1871">
        <f t="shared" si="31"/>
        <v>0</v>
      </c>
      <c r="CD653" s="1871"/>
      <c r="CE653" s="1871"/>
      <c r="CF653" s="1871"/>
      <c r="CG653" s="1871"/>
      <c r="CH653" s="1871">
        <f t="shared" si="32"/>
        <v>0</v>
      </c>
      <c r="CI653" s="1871"/>
      <c r="CJ653" s="1871"/>
      <c r="CK653" s="1871"/>
      <c r="CL653" s="1871"/>
      <c r="CM653" s="1871">
        <f t="shared" si="33"/>
        <v>0</v>
      </c>
      <c r="CN653" s="1871"/>
      <c r="CO653" s="1871"/>
      <c r="CP653" s="1871"/>
      <c r="CQ653" s="1871"/>
      <c r="CR653" s="265"/>
      <c r="CS653" s="1864">
        <f t="shared" si="34"/>
        <v>0</v>
      </c>
      <c r="CT653" s="1865"/>
      <c r="CU653" s="1865"/>
      <c r="CV653" s="1865"/>
      <c r="CW653" s="1866"/>
      <c r="CX653" s="1864">
        <f t="shared" si="35"/>
        <v>0</v>
      </c>
      <c r="CY653" s="1865"/>
      <c r="CZ653" s="1865"/>
      <c r="DA653" s="1865"/>
      <c r="DB653" s="1866"/>
      <c r="DC653" s="1864">
        <f t="shared" si="36"/>
        <v>0</v>
      </c>
      <c r="DD653" s="1865"/>
      <c r="DE653" s="1865"/>
      <c r="DF653" s="1865"/>
      <c r="DG653" s="1866"/>
      <c r="DH653" s="1864">
        <f t="shared" si="37"/>
        <v>0</v>
      </c>
      <c r="DI653" s="1865"/>
      <c r="DJ653" s="1865"/>
      <c r="DK653" s="1865"/>
      <c r="DL653" s="1866"/>
      <c r="DM653" s="1864">
        <f t="shared" si="38"/>
        <v>0</v>
      </c>
      <c r="DN653" s="1865"/>
      <c r="DO653" s="1865"/>
      <c r="DP653" s="1865"/>
      <c r="DQ653" s="1866"/>
      <c r="DR653" s="1864">
        <f t="shared" si="39"/>
        <v>0</v>
      </c>
      <c r="DS653" s="1865"/>
      <c r="DT653" s="1865"/>
      <c r="DU653" s="1865"/>
      <c r="DV653" s="1866"/>
      <c r="DX653" s="1860" t="e">
        <f t="shared" si="22"/>
        <v>#VALUE!</v>
      </c>
      <c r="DY653" s="1860"/>
      <c r="DZ653" s="1860"/>
      <c r="EA653" s="1860"/>
      <c r="EB653" s="1860"/>
      <c r="EC653" s="1860" t="e">
        <f t="shared" si="23"/>
        <v>#VALUE!</v>
      </c>
      <c r="ED653" s="1860"/>
      <c r="EE653" s="1860"/>
      <c r="EF653" s="1860"/>
      <c r="EG653" s="1860"/>
      <c r="EH653" s="1860" t="e">
        <f t="shared" si="24"/>
        <v>#VALUE!</v>
      </c>
      <c r="EI653" s="1860"/>
      <c r="EJ653" s="1860"/>
      <c r="EK653" s="1860"/>
      <c r="EL653" s="1860"/>
      <c r="EM653" s="1860" t="e">
        <f t="shared" si="25"/>
        <v>#VALUE!</v>
      </c>
      <c r="EN653" s="1860"/>
      <c r="EO653" s="1860"/>
      <c r="EP653" s="1860"/>
      <c r="EQ653" s="1860"/>
      <c r="ER653" s="1860" t="e">
        <f t="shared" si="26"/>
        <v>#VALUE!</v>
      </c>
      <c r="ES653" s="1860"/>
      <c r="ET653" s="1860"/>
      <c r="EU653" s="1860"/>
      <c r="EV653" s="1860"/>
      <c r="EW653" s="1860" t="e">
        <f t="shared" si="27"/>
        <v>#VALUE!</v>
      </c>
      <c r="EX653" s="1860"/>
      <c r="EY653" s="1860"/>
      <c r="EZ653" s="1860"/>
      <c r="FA653" s="1860"/>
    </row>
    <row r="654" spans="1:157" ht="12.75">
      <c r="A654" s="35"/>
      <c r="B654" s="12" t="s">
        <v>90</v>
      </c>
      <c r="G654" s="1903" t="s">
        <v>2565</v>
      </c>
      <c r="H654" s="1903"/>
      <c r="I654" s="1903"/>
      <c r="J654" s="1903"/>
      <c r="K654" s="1903"/>
      <c r="L654" s="1903"/>
      <c r="M654" s="1903"/>
      <c r="N654" s="1903"/>
      <c r="O654" s="1903"/>
      <c r="P654" s="1903"/>
      <c r="Q654" s="1903"/>
      <c r="R654" s="1903"/>
      <c r="S654" s="14"/>
      <c r="T654" s="35"/>
      <c r="U654" s="12" t="s">
        <v>90</v>
      </c>
      <c r="Z654" s="2144" t="s">
        <v>2491</v>
      </c>
      <c r="AA654" s="1903"/>
      <c r="AB654" s="1903"/>
      <c r="AC654" s="1903"/>
      <c r="AD654" s="1903"/>
      <c r="AE654" s="1903"/>
      <c r="AF654" s="1903"/>
      <c r="AG654" s="1903"/>
      <c r="AH654" s="1903"/>
      <c r="AI654" s="1903"/>
      <c r="AJ654" s="1903"/>
      <c r="AK654" s="1903"/>
      <c r="AZ654" s="61"/>
      <c r="BA654" s="61"/>
      <c r="BB654" s="61"/>
      <c r="BC654" s="61"/>
      <c r="BD654" s="61"/>
      <c r="BE654" s="61"/>
      <c r="BF654" s="61"/>
      <c r="BG654" s="61"/>
      <c r="BH654" s="61"/>
      <c r="BI654" s="61"/>
      <c r="BJ654" s="61"/>
      <c r="BK654" s="61"/>
      <c r="BL654" s="61"/>
      <c r="BM654" s="61"/>
      <c r="BN654" s="1864">
        <f t="shared" si="28"/>
        <v>0</v>
      </c>
      <c r="BO654" s="1865"/>
      <c r="BP654" s="1865"/>
      <c r="BQ654" s="1865"/>
      <c r="BR654" s="1866"/>
      <c r="BS654" s="1871">
        <f t="shared" si="29"/>
        <v>0</v>
      </c>
      <c r="BT654" s="1871"/>
      <c r="BU654" s="1871"/>
      <c r="BV654" s="1871"/>
      <c r="BW654" s="1871"/>
      <c r="BX654" s="1871">
        <f t="shared" si="30"/>
        <v>0</v>
      </c>
      <c r="BY654" s="1871"/>
      <c r="BZ654" s="1871"/>
      <c r="CA654" s="1871"/>
      <c r="CB654" s="1871"/>
      <c r="CC654" s="1871">
        <f t="shared" si="31"/>
        <v>0</v>
      </c>
      <c r="CD654" s="1871"/>
      <c r="CE654" s="1871"/>
      <c r="CF654" s="1871"/>
      <c r="CG654" s="1871"/>
      <c r="CH654" s="1871">
        <f t="shared" si="32"/>
        <v>0</v>
      </c>
      <c r="CI654" s="1871"/>
      <c r="CJ654" s="1871"/>
      <c r="CK654" s="1871"/>
      <c r="CL654" s="1871"/>
      <c r="CM654" s="1871">
        <f t="shared" si="33"/>
        <v>0</v>
      </c>
      <c r="CN654" s="1871"/>
      <c r="CO654" s="1871"/>
      <c r="CP654" s="1871"/>
      <c r="CQ654" s="1871"/>
      <c r="CR654" s="265"/>
      <c r="CS654" s="1864">
        <f t="shared" si="34"/>
        <v>0</v>
      </c>
      <c r="CT654" s="1865"/>
      <c r="CU654" s="1865"/>
      <c r="CV654" s="1865"/>
      <c r="CW654" s="1866"/>
      <c r="CX654" s="1864">
        <f t="shared" si="35"/>
        <v>0</v>
      </c>
      <c r="CY654" s="1865"/>
      <c r="CZ654" s="1865"/>
      <c r="DA654" s="1865"/>
      <c r="DB654" s="1866"/>
      <c r="DC654" s="1864">
        <f t="shared" si="36"/>
        <v>0</v>
      </c>
      <c r="DD654" s="1865"/>
      <c r="DE654" s="1865"/>
      <c r="DF654" s="1865"/>
      <c r="DG654" s="1866"/>
      <c r="DH654" s="1864">
        <f t="shared" si="37"/>
        <v>0</v>
      </c>
      <c r="DI654" s="1865"/>
      <c r="DJ654" s="1865"/>
      <c r="DK654" s="1865"/>
      <c r="DL654" s="1866"/>
      <c r="DM654" s="1864">
        <f t="shared" si="38"/>
        <v>0</v>
      </c>
      <c r="DN654" s="1865"/>
      <c r="DO654" s="1865"/>
      <c r="DP654" s="1865"/>
      <c r="DQ654" s="1866"/>
      <c r="DR654" s="1864">
        <f t="shared" si="39"/>
        <v>0</v>
      </c>
      <c r="DS654" s="1865"/>
      <c r="DT654" s="1865"/>
      <c r="DU654" s="1865"/>
      <c r="DV654" s="1866"/>
      <c r="DX654" s="1860" t="e">
        <f t="shared" si="22"/>
        <v>#VALUE!</v>
      </c>
      <c r="DY654" s="1860"/>
      <c r="DZ654" s="1860"/>
      <c r="EA654" s="1860"/>
      <c r="EB654" s="1860"/>
      <c r="EC654" s="1860" t="e">
        <f t="shared" si="23"/>
        <v>#VALUE!</v>
      </c>
      <c r="ED654" s="1860"/>
      <c r="EE654" s="1860"/>
      <c r="EF654" s="1860"/>
      <c r="EG654" s="1860"/>
      <c r="EH654" s="1860" t="e">
        <f t="shared" si="24"/>
        <v>#VALUE!</v>
      </c>
      <c r="EI654" s="1860"/>
      <c r="EJ654" s="1860"/>
      <c r="EK654" s="1860"/>
      <c r="EL654" s="1860"/>
      <c r="EM654" s="1860" t="e">
        <f t="shared" si="25"/>
        <v>#VALUE!</v>
      </c>
      <c r="EN654" s="1860"/>
      <c r="EO654" s="1860"/>
      <c r="EP654" s="1860"/>
      <c r="EQ654" s="1860"/>
      <c r="ER654" s="1860" t="e">
        <f t="shared" si="26"/>
        <v>#VALUE!</v>
      </c>
      <c r="ES654" s="1860"/>
      <c r="ET654" s="1860"/>
      <c r="EU654" s="1860"/>
      <c r="EV654" s="1860"/>
      <c r="EW654" s="1860" t="e">
        <f t="shared" si="27"/>
        <v>#VALUE!</v>
      </c>
      <c r="EX654" s="1860"/>
      <c r="EY654" s="1860"/>
      <c r="EZ654" s="1860"/>
      <c r="FA654" s="1860"/>
    </row>
    <row r="655" spans="1:157" ht="12.75">
      <c r="A655" s="35"/>
      <c r="B655" s="12" t="s">
        <v>607</v>
      </c>
      <c r="G655" s="2144" t="s">
        <v>2566</v>
      </c>
      <c r="H655" s="1903"/>
      <c r="I655" s="1903"/>
      <c r="J655" s="1903"/>
      <c r="K655" s="1903"/>
      <c r="L655" s="1903"/>
      <c r="M655" s="1903"/>
      <c r="N655" s="1903"/>
      <c r="O655" s="1903"/>
      <c r="P655" s="1903"/>
      <c r="Q655" s="1903"/>
      <c r="R655" s="1903"/>
      <c r="S655" s="88"/>
      <c r="T655" s="35"/>
      <c r="U655" s="12" t="s">
        <v>607</v>
      </c>
      <c r="Z655" s="1925" t="s">
        <v>2514</v>
      </c>
      <c r="AA655" s="1877"/>
      <c r="AB655" s="1877"/>
      <c r="AC655" s="1877"/>
      <c r="AD655" s="1877"/>
      <c r="AE655" s="1877"/>
      <c r="AF655" s="1877"/>
      <c r="AG655" s="1877"/>
      <c r="AH655" s="1877"/>
      <c r="AI655" s="1877"/>
      <c r="AJ655" s="1877"/>
      <c r="AK655" s="1877"/>
      <c r="AZ655" s="61"/>
      <c r="BA655" s="61"/>
      <c r="BB655" s="61"/>
      <c r="BC655" s="61"/>
      <c r="BD655" s="61"/>
      <c r="BE655" s="61"/>
      <c r="BF655" s="61"/>
      <c r="BG655" s="61"/>
      <c r="BH655" s="61"/>
      <c r="BI655" s="61"/>
      <c r="BJ655" s="61"/>
      <c r="BK655" s="61"/>
      <c r="BL655" s="61"/>
      <c r="BM655" s="61"/>
      <c r="BN655" s="1864">
        <f t="shared" si="28"/>
        <v>0</v>
      </c>
      <c r="BO655" s="1865"/>
      <c r="BP655" s="1865"/>
      <c r="BQ655" s="1865"/>
      <c r="BR655" s="1866"/>
      <c r="BS655" s="1871">
        <f t="shared" si="29"/>
        <v>0</v>
      </c>
      <c r="BT655" s="1871"/>
      <c r="BU655" s="1871"/>
      <c r="BV655" s="1871"/>
      <c r="BW655" s="1871"/>
      <c r="BX655" s="1871">
        <f t="shared" si="30"/>
        <v>0</v>
      </c>
      <c r="BY655" s="1871"/>
      <c r="BZ655" s="1871"/>
      <c r="CA655" s="1871"/>
      <c r="CB655" s="1871"/>
      <c r="CC655" s="1871">
        <f t="shared" si="31"/>
        <v>0</v>
      </c>
      <c r="CD655" s="1871"/>
      <c r="CE655" s="1871"/>
      <c r="CF655" s="1871"/>
      <c r="CG655" s="1871"/>
      <c r="CH655" s="1871">
        <f t="shared" si="32"/>
        <v>0</v>
      </c>
      <c r="CI655" s="1871"/>
      <c r="CJ655" s="1871"/>
      <c r="CK655" s="1871"/>
      <c r="CL655" s="1871"/>
      <c r="CM655" s="1871">
        <f t="shared" si="33"/>
        <v>0</v>
      </c>
      <c r="CN655" s="1871"/>
      <c r="CO655" s="1871"/>
      <c r="CP655" s="1871"/>
      <c r="CQ655" s="1871"/>
      <c r="CR655" s="265"/>
      <c r="CS655" s="1864">
        <f t="shared" si="34"/>
        <v>0</v>
      </c>
      <c r="CT655" s="1865"/>
      <c r="CU655" s="1865"/>
      <c r="CV655" s="1865"/>
      <c r="CW655" s="1866"/>
      <c r="CX655" s="1864">
        <f t="shared" si="35"/>
        <v>0</v>
      </c>
      <c r="CY655" s="1865"/>
      <c r="CZ655" s="1865"/>
      <c r="DA655" s="1865"/>
      <c r="DB655" s="1866"/>
      <c r="DC655" s="1864">
        <f t="shared" si="36"/>
        <v>0</v>
      </c>
      <c r="DD655" s="1865"/>
      <c r="DE655" s="1865"/>
      <c r="DF655" s="1865"/>
      <c r="DG655" s="1866"/>
      <c r="DH655" s="1864">
        <f t="shared" si="37"/>
        <v>0</v>
      </c>
      <c r="DI655" s="1865"/>
      <c r="DJ655" s="1865"/>
      <c r="DK655" s="1865"/>
      <c r="DL655" s="1866"/>
      <c r="DM655" s="1864">
        <f t="shared" si="38"/>
        <v>0</v>
      </c>
      <c r="DN655" s="1865"/>
      <c r="DO655" s="1865"/>
      <c r="DP655" s="1865"/>
      <c r="DQ655" s="1866"/>
      <c r="DR655" s="1864">
        <f t="shared" si="39"/>
        <v>0</v>
      </c>
      <c r="DS655" s="1865"/>
      <c r="DT655" s="1865"/>
      <c r="DU655" s="1865"/>
      <c r="DV655" s="1866"/>
      <c r="DX655" s="1860" t="e">
        <f t="shared" si="22"/>
        <v>#VALUE!</v>
      </c>
      <c r="DY655" s="1860"/>
      <c r="DZ655" s="1860"/>
      <c r="EA655" s="1860"/>
      <c r="EB655" s="1860"/>
      <c r="EC655" s="1860" t="e">
        <f t="shared" si="23"/>
        <v>#VALUE!</v>
      </c>
      <c r="ED655" s="1860"/>
      <c r="EE655" s="1860"/>
      <c r="EF655" s="1860"/>
      <c r="EG655" s="1860"/>
      <c r="EH655" s="1860" t="e">
        <f t="shared" si="24"/>
        <v>#VALUE!</v>
      </c>
      <c r="EI655" s="1860"/>
      <c r="EJ655" s="1860"/>
      <c r="EK655" s="1860"/>
      <c r="EL655" s="1860"/>
      <c r="EM655" s="1860" t="e">
        <f t="shared" si="25"/>
        <v>#VALUE!</v>
      </c>
      <c r="EN655" s="1860"/>
      <c r="EO655" s="1860"/>
      <c r="EP655" s="1860"/>
      <c r="EQ655" s="1860"/>
      <c r="ER655" s="1860" t="e">
        <f t="shared" si="26"/>
        <v>#VALUE!</v>
      </c>
      <c r="ES655" s="1860"/>
      <c r="ET655" s="1860"/>
      <c r="EU655" s="1860"/>
      <c r="EV655" s="1860"/>
      <c r="EW655" s="1860" t="e">
        <f t="shared" si="27"/>
        <v>#VALUE!</v>
      </c>
      <c r="EX655" s="1860"/>
      <c r="EY655" s="1860"/>
      <c r="EZ655" s="1860"/>
      <c r="FA655" s="1860"/>
    </row>
    <row r="656" spans="1:157" ht="12.75">
      <c r="A656" s="35"/>
      <c r="B656" s="12" t="s">
        <v>17</v>
      </c>
      <c r="G656" s="2144" t="s">
        <v>2567</v>
      </c>
      <c r="H656" s="1903"/>
      <c r="I656" s="1903"/>
      <c r="J656" s="1903"/>
      <c r="K656" s="1903"/>
      <c r="L656" s="1903"/>
      <c r="M656" s="1903"/>
      <c r="N656" s="1903"/>
      <c r="O656" s="1903"/>
      <c r="P656" s="1903"/>
      <c r="Q656" s="1903"/>
      <c r="R656" s="1903"/>
      <c r="S656" s="14"/>
      <c r="T656" s="35"/>
      <c r="U656" s="12" t="s">
        <v>17</v>
      </c>
      <c r="Z656" s="1925" t="s">
        <v>2584</v>
      </c>
      <c r="AA656" s="1877"/>
      <c r="AB656" s="1877"/>
      <c r="AC656" s="1877"/>
      <c r="AD656" s="1877"/>
      <c r="AE656" s="1877"/>
      <c r="AF656" s="1877"/>
      <c r="AG656" s="1877"/>
      <c r="AH656" s="1877"/>
      <c r="AI656" s="1877"/>
      <c r="AJ656" s="1877"/>
      <c r="AK656" s="1877"/>
      <c r="AZ656" s="61"/>
      <c r="BA656" s="61"/>
      <c r="BB656" s="61"/>
      <c r="BC656" s="61"/>
      <c r="BD656" s="61"/>
      <c r="BE656" s="61"/>
      <c r="BF656" s="61"/>
      <c r="BG656" s="61"/>
      <c r="BH656" s="61"/>
      <c r="BI656" s="61"/>
      <c r="BJ656" s="61"/>
      <c r="BK656" s="61"/>
      <c r="BL656" s="61"/>
      <c r="BM656" s="61"/>
      <c r="BN656" s="1864">
        <f t="shared" si="28"/>
        <v>0</v>
      </c>
      <c r="BO656" s="1865"/>
      <c r="BP656" s="1865"/>
      <c r="BQ656" s="1865"/>
      <c r="BR656" s="1866"/>
      <c r="BS656" s="1871">
        <f t="shared" si="29"/>
        <v>0</v>
      </c>
      <c r="BT656" s="1871"/>
      <c r="BU656" s="1871"/>
      <c r="BV656" s="1871"/>
      <c r="BW656" s="1871"/>
      <c r="BX656" s="1871">
        <f t="shared" si="30"/>
        <v>0</v>
      </c>
      <c r="BY656" s="1871"/>
      <c r="BZ656" s="1871"/>
      <c r="CA656" s="1871"/>
      <c r="CB656" s="1871"/>
      <c r="CC656" s="1871">
        <f t="shared" si="31"/>
        <v>0</v>
      </c>
      <c r="CD656" s="1871"/>
      <c r="CE656" s="1871"/>
      <c r="CF656" s="1871"/>
      <c r="CG656" s="1871"/>
      <c r="CH656" s="1871">
        <f t="shared" si="32"/>
        <v>0</v>
      </c>
      <c r="CI656" s="1871"/>
      <c r="CJ656" s="1871"/>
      <c r="CK656" s="1871"/>
      <c r="CL656" s="1871"/>
      <c r="CM656" s="1871">
        <f t="shared" si="33"/>
        <v>0</v>
      </c>
      <c r="CN656" s="1871"/>
      <c r="CO656" s="1871"/>
      <c r="CP656" s="1871"/>
      <c r="CQ656" s="1871"/>
      <c r="CR656" s="265"/>
      <c r="CS656" s="1864">
        <f t="shared" si="34"/>
        <v>0</v>
      </c>
      <c r="CT656" s="1865"/>
      <c r="CU656" s="1865"/>
      <c r="CV656" s="1865"/>
      <c r="CW656" s="1866"/>
      <c r="CX656" s="1864">
        <f t="shared" si="35"/>
        <v>0</v>
      </c>
      <c r="CY656" s="1865"/>
      <c r="CZ656" s="1865"/>
      <c r="DA656" s="1865"/>
      <c r="DB656" s="1866"/>
      <c r="DC656" s="1864">
        <f t="shared" si="36"/>
        <v>0</v>
      </c>
      <c r="DD656" s="1865"/>
      <c r="DE656" s="1865"/>
      <c r="DF656" s="1865"/>
      <c r="DG656" s="1866"/>
      <c r="DH656" s="1864">
        <f t="shared" si="37"/>
        <v>0</v>
      </c>
      <c r="DI656" s="1865"/>
      <c r="DJ656" s="1865"/>
      <c r="DK656" s="1865"/>
      <c r="DL656" s="1866"/>
      <c r="DM656" s="1864">
        <f t="shared" si="38"/>
        <v>0</v>
      </c>
      <c r="DN656" s="1865"/>
      <c r="DO656" s="1865"/>
      <c r="DP656" s="1865"/>
      <c r="DQ656" s="1866"/>
      <c r="DR656" s="1864">
        <f t="shared" si="39"/>
        <v>0</v>
      </c>
      <c r="DS656" s="1865"/>
      <c r="DT656" s="1865"/>
      <c r="DU656" s="1865"/>
      <c r="DV656" s="1866"/>
      <c r="DX656" s="1860" t="e">
        <f t="shared" si="22"/>
        <v>#VALUE!</v>
      </c>
      <c r="DY656" s="1860"/>
      <c r="DZ656" s="1860"/>
      <c r="EA656" s="1860"/>
      <c r="EB656" s="1860"/>
      <c r="EC656" s="1860" t="e">
        <f t="shared" si="23"/>
        <v>#VALUE!</v>
      </c>
      <c r="ED656" s="1860"/>
      <c r="EE656" s="1860"/>
      <c r="EF656" s="1860"/>
      <c r="EG656" s="1860"/>
      <c r="EH656" s="1860" t="e">
        <f t="shared" si="24"/>
        <v>#VALUE!</v>
      </c>
      <c r="EI656" s="1860"/>
      <c r="EJ656" s="1860"/>
      <c r="EK656" s="1860"/>
      <c r="EL656" s="1860"/>
      <c r="EM656" s="1860" t="e">
        <f t="shared" si="25"/>
        <v>#VALUE!</v>
      </c>
      <c r="EN656" s="1860"/>
      <c r="EO656" s="1860"/>
      <c r="EP656" s="1860"/>
      <c r="EQ656" s="1860"/>
      <c r="ER656" s="1860" t="e">
        <f t="shared" si="26"/>
        <v>#VALUE!</v>
      </c>
      <c r="ES656" s="1860"/>
      <c r="ET656" s="1860"/>
      <c r="EU656" s="1860"/>
      <c r="EV656" s="1860"/>
      <c r="EW656" s="1860" t="e">
        <f t="shared" si="27"/>
        <v>#VALUE!</v>
      </c>
      <c r="EX656" s="1860"/>
      <c r="EY656" s="1860"/>
      <c r="EZ656" s="1860"/>
      <c r="FA656" s="1860"/>
    </row>
    <row r="657" spans="1:157" ht="12.75">
      <c r="A657" s="35"/>
      <c r="B657" s="12" t="s">
        <v>322</v>
      </c>
      <c r="G657" s="2158" t="s">
        <v>2568</v>
      </c>
      <c r="H657" s="2158"/>
      <c r="I657" s="2158"/>
      <c r="J657" s="2158"/>
      <c r="K657" s="2158"/>
      <c r="L657" s="2158"/>
      <c r="O657" s="137" t="s">
        <v>212</v>
      </c>
      <c r="P657" s="1876"/>
      <c r="Q657" s="1876"/>
      <c r="R657" s="1876"/>
      <c r="S657" s="16"/>
      <c r="T657" s="35"/>
      <c r="U657" s="12" t="s">
        <v>322</v>
      </c>
      <c r="Z657" s="2158">
        <v>9167736060</v>
      </c>
      <c r="AA657" s="2158"/>
      <c r="AB657" s="2158"/>
      <c r="AC657" s="2158"/>
      <c r="AD657" s="2158"/>
      <c r="AE657" s="2158"/>
      <c r="AH657" s="137" t="s">
        <v>212</v>
      </c>
      <c r="AI657" s="1876"/>
      <c r="AJ657" s="1876"/>
      <c r="AK657" s="1876"/>
      <c r="AZ657" s="61"/>
      <c r="BA657" s="61"/>
      <c r="BB657" s="61"/>
      <c r="BC657" s="61"/>
      <c r="BD657" s="61"/>
      <c r="BE657" s="61"/>
      <c r="BF657" s="61"/>
      <c r="BG657" s="61"/>
      <c r="BH657" s="61"/>
      <c r="BI657" s="61"/>
      <c r="BJ657" s="61"/>
      <c r="BK657" s="61"/>
      <c r="BL657" s="61"/>
      <c r="BM657" s="61"/>
      <c r="BN657" s="1864">
        <f t="shared" si="28"/>
        <v>0</v>
      </c>
      <c r="BO657" s="1865"/>
      <c r="BP657" s="1865"/>
      <c r="BQ657" s="1865"/>
      <c r="BR657" s="1866"/>
      <c r="BS657" s="1871">
        <f t="shared" si="29"/>
        <v>0</v>
      </c>
      <c r="BT657" s="1871"/>
      <c r="BU657" s="1871"/>
      <c r="BV657" s="1871"/>
      <c r="BW657" s="1871"/>
      <c r="BX657" s="1871">
        <f t="shared" si="30"/>
        <v>0</v>
      </c>
      <c r="BY657" s="1871"/>
      <c r="BZ657" s="1871"/>
      <c r="CA657" s="1871"/>
      <c r="CB657" s="1871"/>
      <c r="CC657" s="1871">
        <f t="shared" si="31"/>
        <v>0</v>
      </c>
      <c r="CD657" s="1871"/>
      <c r="CE657" s="1871"/>
      <c r="CF657" s="1871"/>
      <c r="CG657" s="1871"/>
      <c r="CH657" s="1871">
        <f t="shared" si="32"/>
        <v>0</v>
      </c>
      <c r="CI657" s="1871"/>
      <c r="CJ657" s="1871"/>
      <c r="CK657" s="1871"/>
      <c r="CL657" s="1871"/>
      <c r="CM657" s="1871">
        <f t="shared" si="33"/>
        <v>0</v>
      </c>
      <c r="CN657" s="1871"/>
      <c r="CO657" s="1871"/>
      <c r="CP657" s="1871"/>
      <c r="CQ657" s="1871"/>
      <c r="CR657" s="265"/>
      <c r="CS657" s="1864">
        <f t="shared" si="34"/>
        <v>0</v>
      </c>
      <c r="CT657" s="1865"/>
      <c r="CU657" s="1865"/>
      <c r="CV657" s="1865"/>
      <c r="CW657" s="1866"/>
      <c r="CX657" s="1864">
        <f t="shared" si="35"/>
        <v>0</v>
      </c>
      <c r="CY657" s="1865"/>
      <c r="CZ657" s="1865"/>
      <c r="DA657" s="1865"/>
      <c r="DB657" s="1866"/>
      <c r="DC657" s="1864">
        <f t="shared" si="36"/>
        <v>0</v>
      </c>
      <c r="DD657" s="1865"/>
      <c r="DE657" s="1865"/>
      <c r="DF657" s="1865"/>
      <c r="DG657" s="1866"/>
      <c r="DH657" s="1864">
        <f t="shared" si="37"/>
        <v>0</v>
      </c>
      <c r="DI657" s="1865"/>
      <c r="DJ657" s="1865"/>
      <c r="DK657" s="1865"/>
      <c r="DL657" s="1866"/>
      <c r="DM657" s="1864">
        <f t="shared" si="38"/>
        <v>0</v>
      </c>
      <c r="DN657" s="1865"/>
      <c r="DO657" s="1865"/>
      <c r="DP657" s="1865"/>
      <c r="DQ657" s="1866"/>
      <c r="DR657" s="1864">
        <f t="shared" si="39"/>
        <v>0</v>
      </c>
      <c r="DS657" s="1865"/>
      <c r="DT657" s="1865"/>
      <c r="DU657" s="1865"/>
      <c r="DV657" s="1866"/>
      <c r="DX657" s="1860" t="e">
        <f t="shared" si="22"/>
        <v>#VALUE!</v>
      </c>
      <c r="DY657" s="1860"/>
      <c r="DZ657" s="1860"/>
      <c r="EA657" s="1860"/>
      <c r="EB657" s="1860"/>
      <c r="EC657" s="1860" t="e">
        <f t="shared" si="23"/>
        <v>#VALUE!</v>
      </c>
      <c r="ED657" s="1860"/>
      <c r="EE657" s="1860"/>
      <c r="EF657" s="1860"/>
      <c r="EG657" s="1860"/>
      <c r="EH657" s="1860" t="e">
        <f t="shared" si="24"/>
        <v>#VALUE!</v>
      </c>
      <c r="EI657" s="1860"/>
      <c r="EJ657" s="1860"/>
      <c r="EK657" s="1860"/>
      <c r="EL657" s="1860"/>
      <c r="EM657" s="1860" t="e">
        <f t="shared" si="25"/>
        <v>#VALUE!</v>
      </c>
      <c r="EN657" s="1860"/>
      <c r="EO657" s="1860"/>
      <c r="EP657" s="1860"/>
      <c r="EQ657" s="1860"/>
      <c r="ER657" s="1860" t="e">
        <f t="shared" si="26"/>
        <v>#VALUE!</v>
      </c>
      <c r="ES657" s="1860"/>
      <c r="ET657" s="1860"/>
      <c r="EU657" s="1860"/>
      <c r="EV657" s="1860"/>
      <c r="EW657" s="1860" t="e">
        <f t="shared" si="27"/>
        <v>#VALUE!</v>
      </c>
      <c r="EX657" s="1860"/>
      <c r="EY657" s="1860"/>
      <c r="EZ657" s="1860"/>
      <c r="FA657" s="1860"/>
    </row>
    <row r="658" spans="1:157" ht="12.75">
      <c r="A658" s="35"/>
      <c r="B658" s="12" t="s">
        <v>18</v>
      </c>
      <c r="H658" s="2144" t="s">
        <v>2571</v>
      </c>
      <c r="I658" s="1903"/>
      <c r="J658" s="1903"/>
      <c r="K658" s="1903"/>
      <c r="L658" s="1903"/>
      <c r="M658" s="1903"/>
      <c r="N658" s="1903"/>
      <c r="O658" s="1903"/>
      <c r="P658" s="1903"/>
      <c r="Q658" s="1903"/>
      <c r="R658" s="1903"/>
      <c r="S658" s="14"/>
      <c r="T658" s="35"/>
      <c r="U658" s="12" t="s">
        <v>18</v>
      </c>
      <c r="AA658" s="2144" t="s">
        <v>2591</v>
      </c>
      <c r="AB658" s="1903"/>
      <c r="AC658" s="1903"/>
      <c r="AD658" s="1903"/>
      <c r="AE658" s="1903"/>
      <c r="AF658" s="1903"/>
      <c r="AG658" s="1903"/>
      <c r="AH658" s="1903"/>
      <c r="AI658" s="1903"/>
      <c r="AJ658" s="1903"/>
      <c r="AK658" s="1903"/>
      <c r="AZ658" s="61"/>
      <c r="BA658" s="61"/>
      <c r="BB658" s="61"/>
      <c r="BC658" s="61"/>
      <c r="BD658" s="61"/>
      <c r="BE658" s="61"/>
      <c r="BF658" s="61"/>
      <c r="BG658" s="61"/>
      <c r="BH658" s="61"/>
      <c r="BI658" s="61"/>
      <c r="BJ658" s="61"/>
      <c r="BK658" s="61"/>
      <c r="BL658" s="61"/>
      <c r="BM658" s="61"/>
      <c r="BN658" s="1879">
        <f>SUM(BN648:BR657)</f>
        <v>0</v>
      </c>
      <c r="BO658" s="1880"/>
      <c r="BP658" s="1880"/>
      <c r="BQ658" s="1880"/>
      <c r="BR658" s="1881"/>
      <c r="BS658" s="1872">
        <f>SUM(BS648:BW657)</f>
        <v>0</v>
      </c>
      <c r="BT658" s="1873"/>
      <c r="BU658" s="1873"/>
      <c r="BV658" s="1873"/>
      <c r="BW658" s="1874"/>
      <c r="BX658" s="1872">
        <f>SUM(BX648:CB657)</f>
        <v>0</v>
      </c>
      <c r="BY658" s="1873"/>
      <c r="BZ658" s="1873"/>
      <c r="CA658" s="1873"/>
      <c r="CB658" s="1874"/>
      <c r="CC658" s="1872">
        <f>SUM(CC648:CG657)</f>
        <v>0</v>
      </c>
      <c r="CD658" s="1873"/>
      <c r="CE658" s="1873"/>
      <c r="CF658" s="1873"/>
      <c r="CG658" s="1874"/>
      <c r="CH658" s="1872">
        <f>SUM(CH648:CL657)</f>
        <v>0</v>
      </c>
      <c r="CI658" s="1873"/>
      <c r="CJ658" s="1873"/>
      <c r="CK658" s="1873"/>
      <c r="CL658" s="1874"/>
      <c r="CM658" s="1872">
        <f>SUM(CM648:CQ657)</f>
        <v>0</v>
      </c>
      <c r="CN658" s="1873"/>
      <c r="CO658" s="1873"/>
      <c r="CP658" s="1873"/>
      <c r="CQ658" s="1874"/>
      <c r="CR658" s="1094"/>
      <c r="CS658" s="1878">
        <f>SUM(CS648:CW657)</f>
        <v>0</v>
      </c>
      <c r="CT658" s="1878"/>
      <c r="CU658" s="1878"/>
      <c r="CV658" s="1878"/>
      <c r="CW658" s="1878"/>
      <c r="CX658" s="1878">
        <f>SUM(CX648:DB657)</f>
        <v>0</v>
      </c>
      <c r="CY658" s="1878"/>
      <c r="CZ658" s="1878"/>
      <c r="DA658" s="1878"/>
      <c r="DB658" s="1878"/>
      <c r="DC658" s="1878">
        <f>SUM(DC648:DG657)</f>
        <v>0</v>
      </c>
      <c r="DD658" s="1878"/>
      <c r="DE658" s="1878"/>
      <c r="DF658" s="1878"/>
      <c r="DG658" s="1878"/>
      <c r="DH658" s="1878">
        <f>SUM(DH648:DL657)</f>
        <v>0</v>
      </c>
      <c r="DI658" s="1878"/>
      <c r="DJ658" s="1878"/>
      <c r="DK658" s="1878"/>
      <c r="DL658" s="1878"/>
      <c r="DM658" s="1878">
        <f>SUM(DM648:DQ657)</f>
        <v>0</v>
      </c>
      <c r="DN658" s="1878"/>
      <c r="DO658" s="1878"/>
      <c r="DP658" s="1878"/>
      <c r="DQ658" s="1878"/>
      <c r="DR658" s="1878">
        <f>SUM(DR648:DV657)</f>
        <v>0</v>
      </c>
      <c r="DS658" s="1878"/>
      <c r="DT658" s="1878"/>
      <c r="DU658" s="1878"/>
      <c r="DV658" s="1878"/>
      <c r="DX658" s="1860" t="e">
        <f t="shared" si="22"/>
        <v>#VALUE!</v>
      </c>
      <c r="DY658" s="1860"/>
      <c r="DZ658" s="1860"/>
      <c r="EA658" s="1860"/>
      <c r="EB658" s="1860"/>
      <c r="EC658" s="1860" t="e">
        <f t="shared" si="23"/>
        <v>#VALUE!</v>
      </c>
      <c r="ED658" s="1860"/>
      <c r="EE658" s="1860"/>
      <c r="EF658" s="1860"/>
      <c r="EG658" s="1860"/>
      <c r="EH658" s="1860" t="e">
        <f t="shared" si="24"/>
        <v>#VALUE!</v>
      </c>
      <c r="EI658" s="1860"/>
      <c r="EJ658" s="1860"/>
      <c r="EK658" s="1860"/>
      <c r="EL658" s="1860"/>
      <c r="EM658" s="1860" t="e">
        <f t="shared" si="25"/>
        <v>#VALUE!</v>
      </c>
      <c r="EN658" s="1860"/>
      <c r="EO658" s="1860"/>
      <c r="EP658" s="1860"/>
      <c r="EQ658" s="1860"/>
      <c r="ER658" s="1860" t="e">
        <f t="shared" si="26"/>
        <v>#VALUE!</v>
      </c>
      <c r="ES658" s="1860"/>
      <c r="ET658" s="1860"/>
      <c r="EU658" s="1860"/>
      <c r="EV658" s="1860"/>
      <c r="EW658" s="1860" t="e">
        <f t="shared" si="27"/>
        <v>#VALUE!</v>
      </c>
      <c r="EX658" s="1860"/>
      <c r="EY658" s="1860"/>
      <c r="EZ658" s="1860"/>
      <c r="FA658" s="1860"/>
    </row>
    <row r="659" spans="1:157" ht="12.75">
      <c r="A659" s="35"/>
      <c r="B659" s="12" t="s">
        <v>20</v>
      </c>
      <c r="N659" s="1875" t="s">
        <v>571</v>
      </c>
      <c r="O659" s="1875"/>
      <c r="T659" s="35"/>
      <c r="U659" s="12" t="s">
        <v>20</v>
      </c>
      <c r="AG659" s="1875" t="s">
        <v>571</v>
      </c>
      <c r="AH659" s="1875"/>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60" t="e">
        <f t="shared" si="22"/>
        <v>#VALUE!</v>
      </c>
      <c r="DY659" s="1860"/>
      <c r="DZ659" s="1860"/>
      <c r="EA659" s="1860"/>
      <c r="EB659" s="1860"/>
      <c r="EC659" s="1860" t="e">
        <f t="shared" si="23"/>
        <v>#VALUE!</v>
      </c>
      <c r="ED659" s="1860"/>
      <c r="EE659" s="1860"/>
      <c r="EF659" s="1860"/>
      <c r="EG659" s="1860"/>
      <c r="EH659" s="1860" t="e">
        <f t="shared" si="24"/>
        <v>#VALUE!</v>
      </c>
      <c r="EI659" s="1860"/>
      <c r="EJ659" s="1860"/>
      <c r="EK659" s="1860"/>
      <c r="EL659" s="1860"/>
      <c r="EM659" s="1860" t="e">
        <f t="shared" si="25"/>
        <v>#VALUE!</v>
      </c>
      <c r="EN659" s="1860"/>
      <c r="EO659" s="1860"/>
      <c r="EP659" s="1860"/>
      <c r="EQ659" s="1860"/>
      <c r="ER659" s="1860" t="e">
        <f t="shared" si="26"/>
        <v>#VALUE!</v>
      </c>
      <c r="ES659" s="1860"/>
      <c r="ET659" s="1860"/>
      <c r="EU659" s="1860"/>
      <c r="EV659" s="1860"/>
      <c r="EW659" s="1860" t="e">
        <f t="shared" si="27"/>
        <v>#VALUE!</v>
      </c>
      <c r="EX659" s="1860"/>
      <c r="EY659" s="1860"/>
      <c r="EZ659" s="1860"/>
      <c r="FA659" s="1860"/>
    </row>
    <row r="660" spans="1:157" ht="12.75">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2190</v>
      </c>
      <c r="CU660" s="58"/>
      <c r="CV660" s="58"/>
      <c r="CW660" s="58"/>
      <c r="CX660" s="58"/>
      <c r="CY660" s="58"/>
      <c r="CZ660" s="58"/>
      <c r="DA660" s="58"/>
      <c r="DB660" s="58"/>
      <c r="DC660" s="58"/>
      <c r="DD660" s="58"/>
      <c r="DE660" s="58"/>
      <c r="DF660" s="58"/>
      <c r="DQ660" s="136" t="s">
        <v>2202</v>
      </c>
      <c r="DR660" s="1860">
        <f>SUM(CS658:DV658)</f>
        <v>0</v>
      </c>
      <c r="DS660" s="1860"/>
      <c r="DT660" s="1860"/>
      <c r="DU660" s="1860"/>
      <c r="DV660" s="1860"/>
      <c r="DX660" s="1860" t="e">
        <f t="shared" si="22"/>
        <v>#VALUE!</v>
      </c>
      <c r="DY660" s="1860"/>
      <c r="DZ660" s="1860"/>
      <c r="EA660" s="1860"/>
      <c r="EB660" s="1860"/>
      <c r="EC660" s="1860" t="e">
        <f t="shared" si="23"/>
        <v>#VALUE!</v>
      </c>
      <c r="ED660" s="1860"/>
      <c r="EE660" s="1860"/>
      <c r="EF660" s="1860"/>
      <c r="EG660" s="1860"/>
      <c r="EH660" s="1860" t="e">
        <f t="shared" si="24"/>
        <v>#VALUE!</v>
      </c>
      <c r="EI660" s="1860"/>
      <c r="EJ660" s="1860"/>
      <c r="EK660" s="1860"/>
      <c r="EL660" s="1860"/>
      <c r="EM660" s="1860" t="e">
        <f t="shared" si="25"/>
        <v>#VALUE!</v>
      </c>
      <c r="EN660" s="1860"/>
      <c r="EO660" s="1860"/>
      <c r="EP660" s="1860"/>
      <c r="EQ660" s="1860"/>
      <c r="ER660" s="1860" t="e">
        <f t="shared" si="26"/>
        <v>#VALUE!</v>
      </c>
      <c r="ES660" s="1860"/>
      <c r="ET660" s="1860"/>
      <c r="EU660" s="1860"/>
      <c r="EV660" s="1860"/>
      <c r="EW660" s="1860" t="e">
        <f t="shared" si="27"/>
        <v>#VALUE!</v>
      </c>
      <c r="EX660" s="1860"/>
      <c r="EY660" s="1860"/>
      <c r="EZ660" s="1860"/>
      <c r="FA660" s="1860"/>
    </row>
    <row r="661" spans="1:157" ht="12.75">
      <c r="A661" s="87" t="s">
        <v>124</v>
      </c>
      <c r="B661" s="12" t="s">
        <v>489</v>
      </c>
      <c r="G661" s="1867" t="str">
        <f>C639</f>
        <v>USA Multi-Family Development, Inc.</v>
      </c>
      <c r="H661" s="1867"/>
      <c r="I661" s="1867"/>
      <c r="J661" s="1867"/>
      <c r="K661" s="1867"/>
      <c r="L661" s="1867"/>
      <c r="M661" s="1867"/>
      <c r="N661" s="1867"/>
      <c r="O661" s="1867"/>
      <c r="P661" s="1867"/>
      <c r="Q661" s="1867"/>
      <c r="R661" s="1867"/>
      <c r="T661" s="87" t="s">
        <v>608</v>
      </c>
      <c r="U661" s="12" t="s">
        <v>489</v>
      </c>
      <c r="Z661" s="1867" t="str">
        <f>C640</f>
        <v>Riverside Charitable Corporation</v>
      </c>
      <c r="AA661" s="1867"/>
      <c r="AB661" s="1867"/>
      <c r="AC661" s="1867"/>
      <c r="AD661" s="1867"/>
      <c r="AE661" s="1867"/>
      <c r="AF661" s="1867"/>
      <c r="AG661" s="1867"/>
      <c r="AH661" s="1867"/>
      <c r="AI661" s="1867"/>
      <c r="AJ661" s="1867"/>
      <c r="AK661" s="1867"/>
      <c r="AZ661" s="61"/>
      <c r="BA661" s="61"/>
      <c r="BB661" s="61"/>
      <c r="BC661" s="61"/>
      <c r="BD661" s="61"/>
      <c r="BE661" s="61"/>
      <c r="BF661" s="61"/>
      <c r="BG661" s="61"/>
      <c r="BH661" s="61"/>
      <c r="BI661" s="61"/>
      <c r="BJ661" s="61"/>
      <c r="BK661" s="61"/>
      <c r="BL661" s="61"/>
      <c r="BM661" s="61"/>
      <c r="CR661" s="177"/>
      <c r="CS661" s="920">
        <f>BR659+BW659+CB659+CG659+CL659+CQ659</f>
        <v>0</v>
      </c>
      <c r="CT661" s="134" t="s">
        <v>1842</v>
      </c>
      <c r="CU661" s="58"/>
      <c r="CV661" s="58"/>
      <c r="CW661" s="58"/>
      <c r="CX661" s="58"/>
      <c r="CY661" s="58"/>
      <c r="CZ661" s="58"/>
      <c r="DA661" s="58"/>
      <c r="DB661" s="58"/>
      <c r="DC661" s="58"/>
      <c r="DD661" s="58"/>
      <c r="DE661" s="58"/>
      <c r="DF661" s="58"/>
      <c r="DX661" s="1860" t="e">
        <f t="shared" si="22"/>
        <v>#VALUE!</v>
      </c>
      <c r="DY661" s="1860"/>
      <c r="DZ661" s="1860"/>
      <c r="EA661" s="1860"/>
      <c r="EB661" s="1860"/>
      <c r="EC661" s="1860" t="e">
        <f t="shared" si="23"/>
        <v>#VALUE!</v>
      </c>
      <c r="ED661" s="1860"/>
      <c r="EE661" s="1860"/>
      <c r="EF661" s="1860"/>
      <c r="EG661" s="1860"/>
      <c r="EH661" s="1860" t="e">
        <f t="shared" si="24"/>
        <v>#VALUE!</v>
      </c>
      <c r="EI661" s="1860"/>
      <c r="EJ661" s="1860"/>
      <c r="EK661" s="1860"/>
      <c r="EL661" s="1860"/>
      <c r="EM661" s="1860" t="e">
        <f t="shared" si="25"/>
        <v>#VALUE!</v>
      </c>
      <c r="EN661" s="1860"/>
      <c r="EO661" s="1860"/>
      <c r="EP661" s="1860"/>
      <c r="EQ661" s="1860"/>
      <c r="ER661" s="1860" t="e">
        <f t="shared" si="26"/>
        <v>#VALUE!</v>
      </c>
      <c r="ES661" s="1860"/>
      <c r="ET661" s="1860"/>
      <c r="EU661" s="1860"/>
      <c r="EV661" s="1860"/>
      <c r="EW661" s="1860" t="e">
        <f t="shared" si="27"/>
        <v>#VALUE!</v>
      </c>
      <c r="EX661" s="1860"/>
      <c r="EY661" s="1860"/>
      <c r="EZ661" s="1860"/>
      <c r="FA661" s="1860"/>
    </row>
    <row r="662" spans="1:157" ht="12.75">
      <c r="A662" s="35"/>
      <c r="B662" s="12" t="s">
        <v>90</v>
      </c>
      <c r="G662" s="2144" t="s">
        <v>2491</v>
      </c>
      <c r="H662" s="1903"/>
      <c r="I662" s="1903"/>
      <c r="J662" s="1903"/>
      <c r="K662" s="1903"/>
      <c r="L662" s="1903"/>
      <c r="M662" s="1903"/>
      <c r="N662" s="1903"/>
      <c r="O662" s="1903"/>
      <c r="P662" s="1903"/>
      <c r="Q662" s="1903"/>
      <c r="R662" s="1903"/>
      <c r="T662" s="35"/>
      <c r="U662" s="12" t="s">
        <v>90</v>
      </c>
      <c r="Z662" s="2144" t="s">
        <v>2585</v>
      </c>
      <c r="AA662" s="1903"/>
      <c r="AB662" s="1903"/>
      <c r="AC662" s="1903"/>
      <c r="AD662" s="1903"/>
      <c r="AE662" s="1903"/>
      <c r="AF662" s="1903"/>
      <c r="AG662" s="1903"/>
      <c r="AH662" s="1903"/>
      <c r="AI662" s="1903"/>
      <c r="AJ662" s="1903"/>
      <c r="AK662" s="19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60" t="e">
        <f t="shared" si="22"/>
        <v>#VALUE!</v>
      </c>
      <c r="DY662" s="1860"/>
      <c r="DZ662" s="1860"/>
      <c r="EA662" s="1860"/>
      <c r="EB662" s="1860"/>
      <c r="EC662" s="1860" t="e">
        <f t="shared" si="23"/>
        <v>#VALUE!</v>
      </c>
      <c r="ED662" s="1860"/>
      <c r="EE662" s="1860"/>
      <c r="EF662" s="1860"/>
      <c r="EG662" s="1860"/>
      <c r="EH662" s="1860" t="e">
        <f t="shared" si="24"/>
        <v>#VALUE!</v>
      </c>
      <c r="EI662" s="1860"/>
      <c r="EJ662" s="1860"/>
      <c r="EK662" s="1860"/>
      <c r="EL662" s="1860"/>
      <c r="EM662" s="1860" t="e">
        <f t="shared" si="25"/>
        <v>#VALUE!</v>
      </c>
      <c r="EN662" s="1860"/>
      <c r="EO662" s="1860"/>
      <c r="EP662" s="1860"/>
      <c r="EQ662" s="1860"/>
      <c r="ER662" s="1860" t="e">
        <f t="shared" si="26"/>
        <v>#VALUE!</v>
      </c>
      <c r="ES662" s="1860"/>
      <c r="ET662" s="1860"/>
      <c r="EU662" s="1860"/>
      <c r="EV662" s="1860"/>
      <c r="EW662" s="1860" t="e">
        <f t="shared" si="27"/>
        <v>#VALUE!</v>
      </c>
      <c r="EX662" s="1860"/>
      <c r="EY662" s="1860"/>
      <c r="EZ662" s="1860"/>
      <c r="FA662" s="1860"/>
    </row>
    <row r="663" spans="1:157" ht="12.75">
      <c r="A663" s="35"/>
      <c r="B663" s="12" t="s">
        <v>607</v>
      </c>
      <c r="G663" s="1925" t="s">
        <v>2514</v>
      </c>
      <c r="H663" s="1877"/>
      <c r="I663" s="1877"/>
      <c r="J663" s="1877"/>
      <c r="K663" s="1877"/>
      <c r="L663" s="1877"/>
      <c r="M663" s="1877"/>
      <c r="N663" s="1877"/>
      <c r="O663" s="1877"/>
      <c r="P663" s="1877"/>
      <c r="Q663" s="1877"/>
      <c r="R663" s="1877"/>
      <c r="T663" s="35"/>
      <c r="U663" s="12" t="s">
        <v>607</v>
      </c>
      <c r="Z663" s="1925" t="s">
        <v>2511</v>
      </c>
      <c r="AA663" s="1877"/>
      <c r="AB663" s="1877"/>
      <c r="AC663" s="1877"/>
      <c r="AD663" s="1877"/>
      <c r="AE663" s="1877"/>
      <c r="AF663" s="1877"/>
      <c r="AG663" s="1877"/>
      <c r="AH663" s="1877"/>
      <c r="AI663" s="1877"/>
      <c r="AJ663" s="1877"/>
      <c r="AK663" s="1877"/>
      <c r="AZ663" s="61"/>
      <c r="BA663" s="61"/>
      <c r="BB663" s="61"/>
      <c r="BC663" s="61"/>
      <c r="BD663" s="61"/>
      <c r="BE663" s="61"/>
      <c r="BF663" s="61"/>
      <c r="BG663" s="61"/>
      <c r="BH663" s="61"/>
      <c r="BI663" s="61"/>
      <c r="BJ663" s="61"/>
      <c r="BK663" s="61"/>
      <c r="BL663" s="61"/>
      <c r="BM663" s="61"/>
      <c r="BN663" s="1872">
        <f>BN635+BN644+BN658</f>
        <v>0</v>
      </c>
      <c r="BO663" s="1873"/>
      <c r="BP663" s="1873"/>
      <c r="BQ663" s="1873"/>
      <c r="BR663" s="1874"/>
      <c r="BS663" s="1872">
        <f>BS635+BS644+BS658</f>
        <v>111</v>
      </c>
      <c r="BT663" s="1873"/>
      <c r="BU663" s="1873"/>
      <c r="BV663" s="1873"/>
      <c r="BW663" s="1874"/>
      <c r="BX663" s="1872">
        <f>BX635+BX644+BX658</f>
        <v>55</v>
      </c>
      <c r="BY663" s="1873"/>
      <c r="BZ663" s="1873"/>
      <c r="CA663" s="1873"/>
      <c r="CB663" s="1874"/>
      <c r="CC663" s="1872">
        <f>CC635+CC644+CC658</f>
        <v>0</v>
      </c>
      <c r="CD663" s="1873"/>
      <c r="CE663" s="1873"/>
      <c r="CF663" s="1873"/>
      <c r="CG663" s="1874"/>
      <c r="CH663" s="1872">
        <f>CH635+CH644+CH658</f>
        <v>0</v>
      </c>
      <c r="CI663" s="1873"/>
      <c r="CJ663" s="1873"/>
      <c r="CK663" s="1873"/>
      <c r="CL663" s="1874"/>
      <c r="CM663" s="1885">
        <f>CM658+CM644+CM635</f>
        <v>0</v>
      </c>
      <c r="CN663" s="1886"/>
      <c r="CO663" s="1886"/>
      <c r="CP663" s="1886"/>
      <c r="CQ663" s="1887"/>
      <c r="CR663" s="177"/>
      <c r="CS663" s="920">
        <f>CS637+CS661</f>
        <v>217</v>
      </c>
      <c r="CT663" s="134" t="s">
        <v>2195</v>
      </c>
      <c r="CU663" s="58"/>
      <c r="CV663" s="58"/>
      <c r="CW663" s="58"/>
      <c r="CX663" s="58"/>
      <c r="CY663" s="58"/>
      <c r="CZ663" s="58"/>
      <c r="DA663" s="58"/>
      <c r="DB663" s="58"/>
      <c r="DC663" s="58"/>
      <c r="DD663" s="58"/>
      <c r="DE663" s="58"/>
      <c r="DF663" s="58"/>
      <c r="DX663" s="1860">
        <f>SUMIF(DX638:EB662,"&gt;0")</f>
        <v>0</v>
      </c>
      <c r="DY663" s="1860"/>
      <c r="DZ663" s="1860"/>
      <c r="EA663" s="1860"/>
      <c r="EB663" s="1860"/>
      <c r="EC663" s="1860">
        <f>SUMIF(EC638:EG662,"&gt;0")</f>
        <v>1474.2882882882882</v>
      </c>
      <c r="ED663" s="1860"/>
      <c r="EE663" s="1860"/>
      <c r="EF663" s="1860"/>
      <c r="EG663" s="1860"/>
      <c r="EH663" s="1860">
        <f>SUMIF(EH638:EL662,"&gt;0")</f>
        <v>1728.9811320754718</v>
      </c>
      <c r="EI663" s="1860"/>
      <c r="EJ663" s="1860"/>
      <c r="EK663" s="1860"/>
      <c r="EL663" s="1860"/>
      <c r="EM663" s="1860">
        <f>SUMIF(EM638:EQ662,"&gt;0")</f>
        <v>0</v>
      </c>
      <c r="EN663" s="1860"/>
      <c r="EO663" s="1860"/>
      <c r="EP663" s="1860"/>
      <c r="EQ663" s="1860"/>
      <c r="ER663" s="1860">
        <f>SUMIF(ER638:EV662,"&gt;0")</f>
        <v>0</v>
      </c>
      <c r="ES663" s="1860"/>
      <c r="ET663" s="1860"/>
      <c r="EU663" s="1860"/>
      <c r="EV663" s="1860"/>
      <c r="EW663" s="1860">
        <f>SUMIF(EW638:FA662,"&gt;0")</f>
        <v>0</v>
      </c>
      <c r="EX663" s="1860"/>
      <c r="EY663" s="1860"/>
      <c r="EZ663" s="1860"/>
      <c r="FA663" s="1860"/>
    </row>
    <row r="664" spans="1:157" ht="12.75">
      <c r="A664" s="35"/>
      <c r="B664" s="12" t="s">
        <v>17</v>
      </c>
      <c r="G664" s="1925" t="s">
        <v>2584</v>
      </c>
      <c r="H664" s="1877"/>
      <c r="I664" s="1877"/>
      <c r="J664" s="1877"/>
      <c r="K664" s="1877"/>
      <c r="L664" s="1877"/>
      <c r="M664" s="1877"/>
      <c r="N664" s="1877"/>
      <c r="O664" s="1877"/>
      <c r="P664" s="1877"/>
      <c r="Q664" s="1877"/>
      <c r="R664" s="1877"/>
      <c r="T664" s="35"/>
      <c r="U664" s="12" t="s">
        <v>17</v>
      </c>
      <c r="Z664" s="1925" t="s">
        <v>2512</v>
      </c>
      <c r="AA664" s="1877"/>
      <c r="AB664" s="1877"/>
      <c r="AC664" s="1877"/>
      <c r="AD664" s="1877"/>
      <c r="AE664" s="1877"/>
      <c r="AF664" s="1877"/>
      <c r="AG664" s="1877"/>
      <c r="AH664" s="1877"/>
      <c r="AI664" s="1877"/>
      <c r="AJ664" s="1877"/>
      <c r="AK664" s="18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58">
        <v>9167736060</v>
      </c>
      <c r="H665" s="2158"/>
      <c r="I665" s="2158"/>
      <c r="J665" s="2158"/>
      <c r="K665" s="2158"/>
      <c r="L665" s="2158"/>
      <c r="O665" s="137" t="s">
        <v>212</v>
      </c>
      <c r="P665" s="1876"/>
      <c r="Q665" s="1876"/>
      <c r="R665" s="1876"/>
      <c r="T665" s="35"/>
      <c r="U665" s="12" t="s">
        <v>322</v>
      </c>
      <c r="Z665" s="2158">
        <v>7146281654</v>
      </c>
      <c r="AA665" s="2158"/>
      <c r="AB665" s="2158"/>
      <c r="AC665" s="2158"/>
      <c r="AD665" s="2158"/>
      <c r="AE665" s="2158"/>
      <c r="AH665" s="137" t="s">
        <v>212</v>
      </c>
      <c r="AI665" s="1876"/>
      <c r="AJ665" s="1876"/>
      <c r="AK665" s="187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44" t="s">
        <v>1969</v>
      </c>
      <c r="I666" s="1903"/>
      <c r="J666" s="1903"/>
      <c r="K666" s="1903"/>
      <c r="L666" s="1903"/>
      <c r="M666" s="1903"/>
      <c r="N666" s="1903"/>
      <c r="O666" s="1903"/>
      <c r="P666" s="1903"/>
      <c r="Q666" s="1903"/>
      <c r="R666" s="1903"/>
      <c r="T666" s="35"/>
      <c r="U666" s="12" t="s">
        <v>18</v>
      </c>
      <c r="AA666" s="2144" t="s">
        <v>2587</v>
      </c>
      <c r="AB666" s="1903"/>
      <c r="AC666" s="1903"/>
      <c r="AD666" s="1903"/>
      <c r="AE666" s="1903"/>
      <c r="AF666" s="1903"/>
      <c r="AG666" s="1903"/>
      <c r="AH666" s="1903"/>
      <c r="AI666" s="1903"/>
      <c r="AJ666" s="1903"/>
      <c r="AK666" s="1903"/>
      <c r="AZ666" s="58"/>
      <c r="BA666" s="58"/>
      <c r="BB666" s="58"/>
      <c r="BC666" s="58"/>
      <c r="BD666" s="58"/>
      <c r="BE666" s="58"/>
      <c r="BF666" s="58"/>
      <c r="BG666" s="58"/>
      <c r="BH666" s="58"/>
      <c r="BI666" s="58"/>
      <c r="BJ666" s="58"/>
      <c r="BK666" s="58"/>
      <c r="BL666" s="58"/>
      <c r="BM666" s="58"/>
      <c r="BN666" s="58"/>
      <c r="BO666" s="58"/>
      <c r="BP666" s="306" t="s">
        <v>2399</v>
      </c>
      <c r="BQ666" s="307"/>
      <c r="BR666" s="307"/>
      <c r="BS666" s="307"/>
      <c r="BT666" s="307"/>
      <c r="BU666" s="307"/>
      <c r="BV666" s="307"/>
      <c r="BW666" s="58"/>
      <c r="BX666" s="306" t="s">
        <v>2402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1875" t="s">
        <v>571</v>
      </c>
      <c r="O667" s="1875"/>
      <c r="T667" s="35"/>
      <c r="U667" s="12" t="s">
        <v>20</v>
      </c>
      <c r="AG667" s="1875" t="s">
        <v>571</v>
      </c>
      <c r="AH667" s="1875"/>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2403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1867" t="str">
        <f>C641</f>
        <v>Riverside Charitable Corporation</v>
      </c>
      <c r="H669" s="1867"/>
      <c r="I669" s="1867"/>
      <c r="J669" s="1867"/>
      <c r="K669" s="1867"/>
      <c r="L669" s="1867"/>
      <c r="M669" s="1867"/>
      <c r="N669" s="1867"/>
      <c r="O669" s="1867"/>
      <c r="P669" s="1867"/>
      <c r="Q669" s="1867"/>
      <c r="R669" s="1867"/>
      <c r="T669" s="87" t="s">
        <v>611</v>
      </c>
      <c r="U669" s="12" t="s">
        <v>489</v>
      </c>
      <c r="Z669" s="1867">
        <f>C642</f>
        <v>0</v>
      </c>
      <c r="AA669" s="1867"/>
      <c r="AB669" s="1867"/>
      <c r="AC669" s="1867"/>
      <c r="AD669" s="1867"/>
      <c r="AE669" s="1867"/>
      <c r="AF669" s="1867"/>
      <c r="AG669" s="1867"/>
      <c r="AH669" s="1867"/>
      <c r="AI669" s="1867"/>
      <c r="AJ669" s="1867"/>
      <c r="AK669" s="1867"/>
      <c r="AZ669" s="58"/>
      <c r="BA669" s="310" t="s">
        <v>676</v>
      </c>
      <c r="BB669" s="58"/>
      <c r="BC669" s="58"/>
      <c r="BD669" s="58"/>
      <c r="BE669" s="58"/>
      <c r="BF669" s="379"/>
      <c r="BG669" s="334" t="s">
        <v>947</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44" t="s">
        <v>2585</v>
      </c>
      <c r="H670" s="1903"/>
      <c r="I670" s="1903"/>
      <c r="J670" s="1903"/>
      <c r="K670" s="1903"/>
      <c r="L670" s="1903"/>
      <c r="M670" s="1903"/>
      <c r="N670" s="1903"/>
      <c r="O670" s="1903"/>
      <c r="P670" s="1903"/>
      <c r="Q670" s="1903"/>
      <c r="R670" s="1903"/>
      <c r="T670" s="35"/>
      <c r="U670" s="12" t="s">
        <v>90</v>
      </c>
      <c r="Z670" s="1903"/>
      <c r="AA670" s="1903"/>
      <c r="AB670" s="1903"/>
      <c r="AC670" s="1903"/>
      <c r="AD670" s="1903"/>
      <c r="AE670" s="1903"/>
      <c r="AF670" s="1903"/>
      <c r="AG670" s="1903"/>
      <c r="AH670" s="1903"/>
      <c r="AI670" s="1903"/>
      <c r="AJ670" s="1903"/>
      <c r="AK670" s="1903"/>
      <c r="AZ670" s="58"/>
      <c r="BA670" s="443">
        <f t="shared" ref="BA670:BA694" si="40">IF($G728=0,"N/A",VLOOKUP($T$189,TC_Rent,(MATCH($B728,bedrooms,FALSE))))</f>
        <v>2540</v>
      </c>
      <c r="BB670" s="58"/>
      <c r="BC670" s="58"/>
      <c r="BD670" s="58"/>
      <c r="BE670" s="58"/>
      <c r="BF670" s="379"/>
      <c r="BG670" s="451" t="s">
        <v>948</v>
      </c>
      <c r="BH670" s="456" t="s">
        <v>949</v>
      </c>
      <c r="BI670" s="455" t="s">
        <v>950</v>
      </c>
      <c r="BJ670" s="58"/>
      <c r="BK670" s="58"/>
      <c r="BL670" s="58"/>
      <c r="BM670" s="58"/>
      <c r="BN670" s="58"/>
      <c r="BO670" s="58"/>
      <c r="BP670" s="534" t="s">
        <v>502</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1925" t="s">
        <v>2511</v>
      </c>
      <c r="H671" s="1877"/>
      <c r="I671" s="1877"/>
      <c r="J671" s="1877"/>
      <c r="K671" s="1877"/>
      <c r="L671" s="1877"/>
      <c r="M671" s="1877"/>
      <c r="N671" s="1877"/>
      <c r="O671" s="1877"/>
      <c r="P671" s="1877"/>
      <c r="Q671" s="1877"/>
      <c r="R671" s="1877"/>
      <c r="T671" s="35"/>
      <c r="U671" s="12" t="s">
        <v>607</v>
      </c>
      <c r="Z671" s="1877"/>
      <c r="AA671" s="1877"/>
      <c r="AB671" s="1877"/>
      <c r="AC671" s="1877"/>
      <c r="AD671" s="1877"/>
      <c r="AE671" s="1877"/>
      <c r="AF671" s="1877"/>
      <c r="AG671" s="1877"/>
      <c r="AH671" s="1877"/>
      <c r="AI671" s="1877"/>
      <c r="AJ671" s="1877"/>
      <c r="AK671" s="1877"/>
      <c r="AZ671" s="58"/>
      <c r="BA671" s="443">
        <f t="shared" si="40"/>
        <v>2540</v>
      </c>
      <c r="BB671" s="58"/>
      <c r="BC671" s="58"/>
      <c r="BD671" s="58"/>
      <c r="BE671" s="58"/>
      <c r="BF671" s="379"/>
      <c r="BG671" s="453">
        <f t="shared" ref="BG671:BG695" si="41">G728</f>
        <v>11</v>
      </c>
      <c r="BH671" s="457">
        <f>BG671/$BG$696</f>
        <v>6.7073170731707321E-2</v>
      </c>
      <c r="BI671" s="458">
        <f t="shared" ref="BI671:BI695" si="42">IF(BH671=0," ",BH671*AC728)</f>
        <v>2.0121951219512196E-2</v>
      </c>
      <c r="BJ671" s="58"/>
      <c r="BK671" s="58"/>
      <c r="BL671" s="58"/>
      <c r="BM671" s="58"/>
      <c r="BN671" s="58"/>
      <c r="BO671" s="58"/>
      <c r="BP671" s="535" t="s">
        <v>503</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25" t="s">
        <v>2512</v>
      </c>
      <c r="H672" s="1877"/>
      <c r="I672" s="1877"/>
      <c r="J672" s="1877"/>
      <c r="K672" s="1877"/>
      <c r="L672" s="1877"/>
      <c r="M672" s="1877"/>
      <c r="N672" s="1877"/>
      <c r="O672" s="1877"/>
      <c r="P672" s="1877"/>
      <c r="Q672" s="1877"/>
      <c r="R672" s="1877"/>
      <c r="T672" s="35"/>
      <c r="U672" s="12" t="s">
        <v>17</v>
      </c>
      <c r="Z672" s="1877"/>
      <c r="AA672" s="1877"/>
      <c r="AB672" s="1877"/>
      <c r="AC672" s="1877"/>
      <c r="AD672" s="1877"/>
      <c r="AE672" s="1877"/>
      <c r="AF672" s="1877"/>
      <c r="AG672" s="1877"/>
      <c r="AH672" s="1877"/>
      <c r="AI672" s="1877"/>
      <c r="AJ672" s="1877"/>
      <c r="AK672" s="1877"/>
      <c r="AZ672" s="58"/>
      <c r="BA672" s="443">
        <f t="shared" si="40"/>
        <v>2540</v>
      </c>
      <c r="BB672" s="58"/>
      <c r="BC672" s="58"/>
      <c r="BD672" s="58"/>
      <c r="BE672" s="58"/>
      <c r="BF672" s="379"/>
      <c r="BG672" s="454">
        <f t="shared" si="41"/>
        <v>22</v>
      </c>
      <c r="BH672" s="457">
        <f t="shared" ref="BH672:BH695" si="43">BG672/$BG$696</f>
        <v>0.13414634146341464</v>
      </c>
      <c r="BI672" s="458">
        <f t="shared" si="42"/>
        <v>6.7073170731707321E-2</v>
      </c>
      <c r="BJ672" s="58"/>
      <c r="BK672" s="58"/>
      <c r="BL672" s="58"/>
      <c r="BM672" s="58"/>
      <c r="BN672" s="58"/>
      <c r="BO672" s="58"/>
      <c r="BP672" s="535" t="s">
        <v>504</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58">
        <v>7146281654</v>
      </c>
      <c r="H673" s="2158"/>
      <c r="I673" s="2158"/>
      <c r="J673" s="2158"/>
      <c r="K673" s="2158"/>
      <c r="L673" s="2158"/>
      <c r="O673" s="137" t="s">
        <v>212</v>
      </c>
      <c r="P673" s="1876"/>
      <c r="Q673" s="1876"/>
      <c r="R673" s="1876"/>
      <c r="T673" s="35"/>
      <c r="U673" s="12" t="s">
        <v>322</v>
      </c>
      <c r="Z673" s="2146"/>
      <c r="AA673" s="2146"/>
      <c r="AB673" s="2146"/>
      <c r="AC673" s="2146"/>
      <c r="AD673" s="2146"/>
      <c r="AE673" s="2146"/>
      <c r="AH673" s="137" t="s">
        <v>212</v>
      </c>
      <c r="AI673" s="1876"/>
      <c r="AJ673" s="1876"/>
      <c r="AK673" s="1876"/>
      <c r="AZ673" s="58"/>
      <c r="BA673" s="443">
        <f t="shared" si="40"/>
        <v>2540</v>
      </c>
      <c r="BB673" s="58"/>
      <c r="BC673" s="58"/>
      <c r="BD673" s="58"/>
      <c r="BE673" s="58"/>
      <c r="BF673" s="379"/>
      <c r="BG673" s="454">
        <f t="shared" si="41"/>
        <v>22</v>
      </c>
      <c r="BH673" s="457">
        <f t="shared" si="43"/>
        <v>0.13414634146341464</v>
      </c>
      <c r="BI673" s="458">
        <f t="shared" si="42"/>
        <v>8.0487804878048783E-2</v>
      </c>
      <c r="BJ673" s="58"/>
      <c r="BK673" s="58"/>
      <c r="BL673" s="58"/>
      <c r="BM673" s="58"/>
      <c r="BN673" s="58"/>
      <c r="BO673" s="58"/>
      <c r="BP673" s="535" t="s">
        <v>505</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44" t="s">
        <v>2587</v>
      </c>
      <c r="I674" s="1903"/>
      <c r="J674" s="1903"/>
      <c r="K674" s="1903"/>
      <c r="L674" s="1903"/>
      <c r="M674" s="1903"/>
      <c r="N674" s="1903"/>
      <c r="O674" s="1903"/>
      <c r="P674" s="1903"/>
      <c r="Q674" s="1903"/>
      <c r="R674" s="1903"/>
      <c r="T674" s="35"/>
      <c r="U674" s="12" t="s">
        <v>18</v>
      </c>
      <c r="AA674" s="1903"/>
      <c r="AB674" s="1903"/>
      <c r="AC674" s="1903"/>
      <c r="AD674" s="1903"/>
      <c r="AE674" s="1903"/>
      <c r="AF674" s="1903"/>
      <c r="AG674" s="1903"/>
      <c r="AH674" s="1903"/>
      <c r="AI674" s="1903"/>
      <c r="AJ674" s="1903"/>
      <c r="AK674" s="1903"/>
      <c r="AZ674" s="58"/>
      <c r="BA674" s="443">
        <f t="shared" si="40"/>
        <v>3050</v>
      </c>
      <c r="BB674" s="58"/>
      <c r="BC674" s="58"/>
      <c r="BD674" s="58"/>
      <c r="BE674" s="58"/>
      <c r="BF674" s="379"/>
      <c r="BG674" s="454">
        <f t="shared" si="41"/>
        <v>56</v>
      </c>
      <c r="BH674" s="457">
        <f t="shared" si="43"/>
        <v>0.34146341463414637</v>
      </c>
      <c r="BI674" s="458">
        <f t="shared" si="42"/>
        <v>0.23902439024390243</v>
      </c>
      <c r="BJ674" s="58"/>
      <c r="BK674" s="58"/>
      <c r="BL674" s="58"/>
      <c r="BM674" s="58"/>
      <c r="BN674" s="58"/>
      <c r="BO674" s="58"/>
      <c r="BP674" s="535" t="s">
        <v>506</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875" t="s">
        <v>571</v>
      </c>
      <c r="O675" s="1875"/>
      <c r="T675" s="35"/>
      <c r="U675" s="12" t="s">
        <v>20</v>
      </c>
      <c r="AG675" s="1875" t="s">
        <v>696</v>
      </c>
      <c r="AH675" s="1875"/>
      <c r="AZ675" s="58"/>
      <c r="BA675" s="443">
        <f t="shared" si="40"/>
        <v>3050</v>
      </c>
      <c r="BB675" s="58"/>
      <c r="BC675" s="58"/>
      <c r="BD675" s="58"/>
      <c r="BE675" s="58"/>
      <c r="BF675" s="379"/>
      <c r="BG675" s="454">
        <f t="shared" si="41"/>
        <v>6</v>
      </c>
      <c r="BH675" s="457">
        <f t="shared" si="43"/>
        <v>3.6585365853658534E-2</v>
      </c>
      <c r="BI675" s="458">
        <f t="shared" si="42"/>
        <v>1.097560975609756E-2</v>
      </c>
      <c r="BJ675" s="58"/>
      <c r="BK675" s="58"/>
      <c r="BL675" s="58"/>
      <c r="BM675" s="58"/>
      <c r="BN675" s="58"/>
      <c r="BO675" s="58"/>
      <c r="BP675" s="535" t="s">
        <v>507</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3050</v>
      </c>
      <c r="BB676" s="58"/>
      <c r="BC676" s="58"/>
      <c r="BD676" s="58"/>
      <c r="BE676" s="58"/>
      <c r="BF676" s="379"/>
      <c r="BG676" s="454">
        <f t="shared" si="41"/>
        <v>11</v>
      </c>
      <c r="BH676" s="457">
        <f t="shared" si="43"/>
        <v>6.7073170731707321E-2</v>
      </c>
      <c r="BI676" s="458">
        <f t="shared" si="42"/>
        <v>3.3536585365853661E-2</v>
      </c>
      <c r="BJ676" s="58"/>
      <c r="BK676" s="58"/>
      <c r="BL676" s="58"/>
      <c r="BM676" s="58"/>
      <c r="BN676" s="58"/>
      <c r="BO676" s="58"/>
      <c r="BP676" s="535" t="s">
        <v>508</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1867">
        <f>C643</f>
        <v>0</v>
      </c>
      <c r="H677" s="1867"/>
      <c r="I677" s="1867"/>
      <c r="J677" s="1867"/>
      <c r="K677" s="1867"/>
      <c r="L677" s="1867"/>
      <c r="M677" s="1867"/>
      <c r="N677" s="1867"/>
      <c r="O677" s="1867"/>
      <c r="P677" s="1867"/>
      <c r="Q677" s="1867"/>
      <c r="R677" s="1867"/>
      <c r="T677" s="87" t="s">
        <v>482</v>
      </c>
      <c r="U677" s="12" t="s">
        <v>489</v>
      </c>
      <c r="Z677" s="1867">
        <f>C644</f>
        <v>0</v>
      </c>
      <c r="AA677" s="1867"/>
      <c r="AB677" s="1867"/>
      <c r="AC677" s="1867"/>
      <c r="AD677" s="1867"/>
      <c r="AE677" s="1867"/>
      <c r="AF677" s="1867"/>
      <c r="AG677" s="1867"/>
      <c r="AH677" s="1867"/>
      <c r="AI677" s="1867"/>
      <c r="AJ677" s="1867"/>
      <c r="AK677" s="1867"/>
      <c r="AZ677" s="58"/>
      <c r="BA677" s="443">
        <f t="shared" si="40"/>
        <v>3050</v>
      </c>
      <c r="BB677" s="58"/>
      <c r="BC677" s="58"/>
      <c r="BD677" s="58"/>
      <c r="BE677" s="58"/>
      <c r="BF677" s="379"/>
      <c r="BG677" s="454">
        <f t="shared" si="41"/>
        <v>11</v>
      </c>
      <c r="BH677" s="457">
        <f t="shared" si="43"/>
        <v>6.7073170731707321E-2</v>
      </c>
      <c r="BI677" s="458">
        <f t="shared" si="42"/>
        <v>4.0243902439024391E-2</v>
      </c>
      <c r="BJ677" s="58"/>
      <c r="BK677" s="58"/>
      <c r="BL677" s="58"/>
      <c r="BM677" s="58"/>
      <c r="BN677" s="58"/>
      <c r="BO677" s="58"/>
      <c r="BP677" s="535" t="s">
        <v>509</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03"/>
      <c r="H678" s="1903"/>
      <c r="I678" s="1903"/>
      <c r="J678" s="1903"/>
      <c r="K678" s="1903"/>
      <c r="L678" s="1903"/>
      <c r="M678" s="1903"/>
      <c r="N678" s="1903"/>
      <c r="O678" s="1903"/>
      <c r="P678" s="1903"/>
      <c r="Q678" s="1903"/>
      <c r="R678" s="1903"/>
      <c r="T678" s="35"/>
      <c r="U678" s="12" t="s">
        <v>90</v>
      </c>
      <c r="Z678" s="1903"/>
      <c r="AA678" s="1903"/>
      <c r="AB678" s="1903"/>
      <c r="AC678" s="1903"/>
      <c r="AD678" s="1903"/>
      <c r="AE678" s="1903"/>
      <c r="AF678" s="1903"/>
      <c r="AG678" s="1903"/>
      <c r="AH678" s="1903"/>
      <c r="AI678" s="1903"/>
      <c r="AJ678" s="1903"/>
      <c r="AK678" s="1903"/>
      <c r="AZ678" s="58"/>
      <c r="BA678" s="443" t="str">
        <f t="shared" si="40"/>
        <v>N/A</v>
      </c>
      <c r="BB678" s="58"/>
      <c r="BC678" s="58"/>
      <c r="BD678" s="58"/>
      <c r="BE678" s="58"/>
      <c r="BF678" s="379"/>
      <c r="BG678" s="454">
        <f t="shared" si="41"/>
        <v>25</v>
      </c>
      <c r="BH678" s="457">
        <f t="shared" si="43"/>
        <v>0.1524390243902439</v>
      </c>
      <c r="BI678" s="458">
        <f t="shared" si="42"/>
        <v>0.10670731707317073</v>
      </c>
      <c r="BJ678" s="58"/>
      <c r="BK678" s="58"/>
      <c r="BL678" s="58"/>
      <c r="BM678" s="58"/>
      <c r="BN678" s="58"/>
      <c r="BO678" s="58"/>
      <c r="BP678" s="535" t="s">
        <v>510</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1903"/>
      <c r="H679" s="1903"/>
      <c r="I679" s="1903"/>
      <c r="J679" s="1903"/>
      <c r="K679" s="1903"/>
      <c r="L679" s="1903"/>
      <c r="M679" s="1903"/>
      <c r="N679" s="1903"/>
      <c r="O679" s="1903"/>
      <c r="P679" s="1903"/>
      <c r="Q679" s="1903"/>
      <c r="R679" s="1903"/>
      <c r="T679" s="35"/>
      <c r="U679" s="12" t="s">
        <v>607</v>
      </c>
      <c r="Z679" s="1877"/>
      <c r="AA679" s="1877"/>
      <c r="AB679" s="1877"/>
      <c r="AC679" s="1877"/>
      <c r="AD679" s="1877"/>
      <c r="AE679" s="1877"/>
      <c r="AF679" s="1877"/>
      <c r="AG679" s="1877"/>
      <c r="AH679" s="1877"/>
      <c r="AI679" s="1877"/>
      <c r="AJ679" s="1877"/>
      <c r="AK679" s="1877"/>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03"/>
      <c r="H680" s="1903"/>
      <c r="I680" s="1903"/>
      <c r="J680" s="1903"/>
      <c r="K680" s="1903"/>
      <c r="L680" s="1903"/>
      <c r="M680" s="1903"/>
      <c r="N680" s="1903"/>
      <c r="O680" s="1903"/>
      <c r="P680" s="1903"/>
      <c r="Q680" s="1903"/>
      <c r="R680" s="1903"/>
      <c r="T680" s="35"/>
      <c r="U680" s="12" t="s">
        <v>17</v>
      </c>
      <c r="Z680" s="1877"/>
      <c r="AA680" s="1877"/>
      <c r="AB680" s="1877"/>
      <c r="AC680" s="1877"/>
      <c r="AD680" s="1877"/>
      <c r="AE680" s="1877"/>
      <c r="AF680" s="1877"/>
      <c r="AG680" s="1877"/>
      <c r="AH680" s="1877"/>
      <c r="AI680" s="1877"/>
      <c r="AJ680" s="1877"/>
      <c r="AK680" s="1877"/>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46"/>
      <c r="H681" s="2146"/>
      <c r="I681" s="2146"/>
      <c r="J681" s="2146"/>
      <c r="K681" s="2146"/>
      <c r="L681" s="2146"/>
      <c r="O681" s="137" t="s">
        <v>212</v>
      </c>
      <c r="P681" s="1876"/>
      <c r="Q681" s="1876"/>
      <c r="R681" s="1876"/>
      <c r="T681" s="35"/>
      <c r="U681" s="12" t="s">
        <v>322</v>
      </c>
      <c r="Z681" s="2146"/>
      <c r="AA681" s="2146"/>
      <c r="AB681" s="2146"/>
      <c r="AC681" s="2146"/>
      <c r="AD681" s="2146"/>
      <c r="AE681" s="2146"/>
      <c r="AH681" s="137" t="s">
        <v>212</v>
      </c>
      <c r="AI681" s="1876"/>
      <c r="AJ681" s="1876"/>
      <c r="AK681" s="1876"/>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03"/>
      <c r="I682" s="1903"/>
      <c r="J682" s="1903"/>
      <c r="K682" s="1903"/>
      <c r="L682" s="1903"/>
      <c r="M682" s="1903"/>
      <c r="N682" s="1903"/>
      <c r="O682" s="1903"/>
      <c r="P682" s="1903"/>
      <c r="Q682" s="1903"/>
      <c r="R682" s="1903"/>
      <c r="T682" s="35"/>
      <c r="U682" s="12" t="s">
        <v>18</v>
      </c>
      <c r="AA682" s="1903"/>
      <c r="AB682" s="1903"/>
      <c r="AC682" s="1903"/>
      <c r="AD682" s="1903"/>
      <c r="AE682" s="1903"/>
      <c r="AF682" s="1903"/>
      <c r="AG682" s="1903"/>
      <c r="AH682" s="1903"/>
      <c r="AI682" s="1903"/>
      <c r="AJ682" s="1903"/>
      <c r="AK682" s="1903"/>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875" t="s">
        <v>696</v>
      </c>
      <c r="O683" s="1875"/>
      <c r="T683" s="35"/>
      <c r="U683" s="12" t="s">
        <v>20</v>
      </c>
      <c r="AG683" s="1875" t="s">
        <v>696</v>
      </c>
      <c r="AH683" s="1875"/>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1867">
        <f>C645</f>
        <v>0</v>
      </c>
      <c r="H685" s="1867"/>
      <c r="I685" s="1867"/>
      <c r="J685" s="1867"/>
      <c r="K685" s="1867"/>
      <c r="L685" s="1867"/>
      <c r="M685" s="1867"/>
      <c r="N685" s="1867"/>
      <c r="O685" s="1867"/>
      <c r="P685" s="1867"/>
      <c r="Q685" s="1867"/>
      <c r="R685" s="1867"/>
      <c r="T685" s="87" t="s">
        <v>673</v>
      </c>
      <c r="U685" s="12" t="s">
        <v>489</v>
      </c>
      <c r="Z685" s="1867">
        <f>C646</f>
        <v>0</v>
      </c>
      <c r="AA685" s="1867"/>
      <c r="AB685" s="1867"/>
      <c r="AC685" s="1867"/>
      <c r="AD685" s="1867"/>
      <c r="AE685" s="1867"/>
      <c r="AF685" s="1867"/>
      <c r="AG685" s="1867"/>
      <c r="AH685" s="1867"/>
      <c r="AI685" s="1867"/>
      <c r="AJ685" s="1867"/>
      <c r="AK685" s="1867"/>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03"/>
      <c r="H686" s="1903"/>
      <c r="I686" s="1903"/>
      <c r="J686" s="1903"/>
      <c r="K686" s="1903"/>
      <c r="L686" s="1903"/>
      <c r="M686" s="1903"/>
      <c r="N686" s="1903"/>
      <c r="O686" s="1903"/>
      <c r="P686" s="1903"/>
      <c r="Q686" s="1903"/>
      <c r="R686" s="1903"/>
      <c r="T686" s="35"/>
      <c r="U686" s="12" t="s">
        <v>90</v>
      </c>
      <c r="Z686" s="1903"/>
      <c r="AA686" s="1903"/>
      <c r="AB686" s="1903"/>
      <c r="AC686" s="1903"/>
      <c r="AD686" s="1903"/>
      <c r="AE686" s="1903"/>
      <c r="AF686" s="1903"/>
      <c r="AG686" s="1903"/>
      <c r="AH686" s="1903"/>
      <c r="AI686" s="1903"/>
      <c r="AJ686" s="1903"/>
      <c r="AK686" s="1903"/>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1903"/>
      <c r="H687" s="1903"/>
      <c r="I687" s="1903"/>
      <c r="J687" s="1903"/>
      <c r="K687" s="1903"/>
      <c r="L687" s="1903"/>
      <c r="M687" s="1903"/>
      <c r="N687" s="1903"/>
      <c r="O687" s="1903"/>
      <c r="P687" s="1903"/>
      <c r="Q687" s="1903"/>
      <c r="R687" s="1903"/>
      <c r="T687" s="35"/>
      <c r="U687" s="12" t="s">
        <v>607</v>
      </c>
      <c r="Z687" s="1877"/>
      <c r="AA687" s="1877"/>
      <c r="AB687" s="1877"/>
      <c r="AC687" s="1877"/>
      <c r="AD687" s="1877"/>
      <c r="AE687" s="1877"/>
      <c r="AF687" s="1877"/>
      <c r="AG687" s="1877"/>
      <c r="AH687" s="1877"/>
      <c r="AI687" s="1877"/>
      <c r="AJ687" s="1877"/>
      <c r="AK687" s="18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03"/>
      <c r="H688" s="1903"/>
      <c r="I688" s="1903"/>
      <c r="J688" s="1903"/>
      <c r="K688" s="1903"/>
      <c r="L688" s="1903"/>
      <c r="M688" s="1903"/>
      <c r="N688" s="1903"/>
      <c r="O688" s="1903"/>
      <c r="P688" s="1903"/>
      <c r="Q688" s="1903"/>
      <c r="R688" s="1903"/>
      <c r="T688" s="35"/>
      <c r="U688" s="12" t="s">
        <v>17</v>
      </c>
      <c r="Z688" s="1877"/>
      <c r="AA688" s="1877"/>
      <c r="AB688" s="1877"/>
      <c r="AC688" s="1877"/>
      <c r="AD688" s="1877"/>
      <c r="AE688" s="1877"/>
      <c r="AF688" s="1877"/>
      <c r="AG688" s="1877"/>
      <c r="AH688" s="1877"/>
      <c r="AI688" s="1877"/>
      <c r="AJ688" s="1877"/>
      <c r="AK688" s="18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46"/>
      <c r="H689" s="2146"/>
      <c r="I689" s="2146"/>
      <c r="J689" s="2146"/>
      <c r="K689" s="2146"/>
      <c r="L689" s="2146"/>
      <c r="O689" s="137" t="s">
        <v>212</v>
      </c>
      <c r="P689" s="1876"/>
      <c r="Q689" s="1876"/>
      <c r="R689" s="1876"/>
      <c r="T689" s="35"/>
      <c r="U689" s="12" t="s">
        <v>322</v>
      </c>
      <c r="Z689" s="2146"/>
      <c r="AA689" s="2146"/>
      <c r="AB689" s="2146"/>
      <c r="AC689" s="2146"/>
      <c r="AD689" s="2146"/>
      <c r="AE689" s="2146"/>
      <c r="AH689" s="137" t="s">
        <v>212</v>
      </c>
      <c r="AI689" s="1876"/>
      <c r="AJ689" s="1876"/>
      <c r="AK689" s="187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03"/>
      <c r="I690" s="1903"/>
      <c r="J690" s="1903"/>
      <c r="K690" s="1903"/>
      <c r="L690" s="1903"/>
      <c r="M690" s="1903"/>
      <c r="N690" s="1903"/>
      <c r="O690" s="1903"/>
      <c r="P690" s="1903"/>
      <c r="Q690" s="1903"/>
      <c r="R690" s="1903"/>
      <c r="T690" s="35"/>
      <c r="U690" s="12" t="s">
        <v>18</v>
      </c>
      <c r="AA690" s="1903"/>
      <c r="AB690" s="1903"/>
      <c r="AC690" s="1903"/>
      <c r="AD690" s="1903"/>
      <c r="AE690" s="1903"/>
      <c r="AF690" s="1903"/>
      <c r="AG690" s="1903"/>
      <c r="AH690" s="1903"/>
      <c r="AI690" s="1903"/>
      <c r="AJ690" s="1903"/>
      <c r="AK690" s="1903"/>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875" t="s">
        <v>696</v>
      </c>
      <c r="O691" s="1875"/>
      <c r="T691" s="35"/>
      <c r="U691" s="12" t="s">
        <v>20</v>
      </c>
      <c r="AG691" s="1875" t="s">
        <v>696</v>
      </c>
      <c r="AH691" s="1875"/>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1867">
        <f>C647</f>
        <v>0</v>
      </c>
      <c r="H693" s="1867"/>
      <c r="I693" s="1867"/>
      <c r="J693" s="1867"/>
      <c r="K693" s="1867"/>
      <c r="L693" s="1867"/>
      <c r="M693" s="1867"/>
      <c r="N693" s="1867"/>
      <c r="O693" s="1867"/>
      <c r="P693" s="1867"/>
      <c r="Q693" s="1867"/>
      <c r="R693" s="1867"/>
      <c r="T693" s="87" t="s">
        <v>370</v>
      </c>
      <c r="U693" s="12" t="s">
        <v>489</v>
      </c>
      <c r="Z693" s="1867">
        <f>C648</f>
        <v>0</v>
      </c>
      <c r="AA693" s="1867"/>
      <c r="AB693" s="1867"/>
      <c r="AC693" s="1867"/>
      <c r="AD693" s="1867"/>
      <c r="AE693" s="1867"/>
      <c r="AF693" s="1867"/>
      <c r="AG693" s="1867"/>
      <c r="AH693" s="1867"/>
      <c r="AI693" s="1867"/>
      <c r="AJ693" s="1867"/>
      <c r="AK693" s="1867"/>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03"/>
      <c r="H694" s="1903"/>
      <c r="I694" s="1903"/>
      <c r="J694" s="1903"/>
      <c r="K694" s="1903"/>
      <c r="L694" s="1903"/>
      <c r="M694" s="1903"/>
      <c r="N694" s="1903"/>
      <c r="O694" s="1903"/>
      <c r="P694" s="1903"/>
      <c r="Q694" s="1903"/>
      <c r="R694" s="1903"/>
      <c r="T694" s="35"/>
      <c r="U694" s="12" t="s">
        <v>90</v>
      </c>
      <c r="Z694" s="1903"/>
      <c r="AA694" s="1903"/>
      <c r="AB694" s="1903"/>
      <c r="AC694" s="1903"/>
      <c r="AD694" s="1903"/>
      <c r="AE694" s="1903"/>
      <c r="AF694" s="1903"/>
      <c r="AG694" s="1903"/>
      <c r="AH694" s="1903"/>
      <c r="AI694" s="1903"/>
      <c r="AJ694" s="1903"/>
      <c r="AK694" s="190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1903"/>
      <c r="H695" s="1903"/>
      <c r="I695" s="1903"/>
      <c r="J695" s="1903"/>
      <c r="K695" s="1903"/>
      <c r="L695" s="1903"/>
      <c r="M695" s="1903"/>
      <c r="N695" s="1903"/>
      <c r="O695" s="1903"/>
      <c r="P695" s="1903"/>
      <c r="Q695" s="1903"/>
      <c r="R695" s="1903"/>
      <c r="U695" s="12" t="s">
        <v>607</v>
      </c>
      <c r="Z695" s="1877"/>
      <c r="AA695" s="1877"/>
      <c r="AB695" s="1877"/>
      <c r="AC695" s="1877"/>
      <c r="AD695" s="1877"/>
      <c r="AE695" s="1877"/>
      <c r="AF695" s="1877"/>
      <c r="AG695" s="1877"/>
      <c r="AH695" s="1877"/>
      <c r="AI695" s="1877"/>
      <c r="AJ695" s="1877"/>
      <c r="AK695" s="18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03"/>
      <c r="H696" s="1903"/>
      <c r="I696" s="1903"/>
      <c r="J696" s="1903"/>
      <c r="K696" s="1903"/>
      <c r="L696" s="1903"/>
      <c r="M696" s="1903"/>
      <c r="N696" s="1903"/>
      <c r="O696" s="1903"/>
      <c r="P696" s="1903"/>
      <c r="Q696" s="1903"/>
      <c r="R696" s="1903"/>
      <c r="U696" s="12" t="s">
        <v>17</v>
      </c>
      <c r="Z696" s="1877"/>
      <c r="AA696" s="1877"/>
      <c r="AB696" s="1877"/>
      <c r="AC696" s="1877"/>
      <c r="AD696" s="1877"/>
      <c r="AE696" s="1877"/>
      <c r="AF696" s="1877"/>
      <c r="AG696" s="1877"/>
      <c r="AH696" s="1877"/>
      <c r="AI696" s="1877"/>
      <c r="AJ696" s="1877"/>
      <c r="AK696" s="1877"/>
      <c r="AZ696" s="58"/>
      <c r="BA696" s="58"/>
      <c r="BB696" s="58"/>
      <c r="BC696" s="58"/>
      <c r="BD696" s="58"/>
      <c r="BF696" s="450" t="s">
        <v>951</v>
      </c>
      <c r="BG696" s="459">
        <f>SUM(BG671:BG695)</f>
        <v>164</v>
      </c>
      <c r="BH696" s="460">
        <f>SUM(BH671:BH695)</f>
        <v>1</v>
      </c>
      <c r="BI696" s="460">
        <f>SUM(BI671:BI695)</f>
        <v>0.59817073170731716</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46"/>
      <c r="H697" s="2146"/>
      <c r="I697" s="2146"/>
      <c r="J697" s="2146"/>
      <c r="K697" s="2146"/>
      <c r="L697" s="2146"/>
      <c r="O697" s="137" t="s">
        <v>212</v>
      </c>
      <c r="P697" s="1876"/>
      <c r="Q697" s="1876"/>
      <c r="R697" s="1876"/>
      <c r="U697" s="12" t="s">
        <v>322</v>
      </c>
      <c r="Z697" s="2146"/>
      <c r="AA697" s="2146"/>
      <c r="AB697" s="2146"/>
      <c r="AC697" s="2146"/>
      <c r="AD697" s="2146"/>
      <c r="AE697" s="2146"/>
      <c r="AH697" s="137" t="s">
        <v>212</v>
      </c>
      <c r="AI697" s="1876"/>
      <c r="AJ697" s="1876"/>
      <c r="AK697" s="187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03"/>
      <c r="I698" s="1903"/>
      <c r="J698" s="1903"/>
      <c r="K698" s="1903"/>
      <c r="L698" s="1903"/>
      <c r="M698" s="1903"/>
      <c r="N698" s="1903"/>
      <c r="O698" s="1903"/>
      <c r="P698" s="1903"/>
      <c r="Q698" s="1903"/>
      <c r="R698" s="1903"/>
      <c r="U698" s="12" t="s">
        <v>18</v>
      </c>
      <c r="AA698" s="1903"/>
      <c r="AB698" s="1903"/>
      <c r="AC698" s="1903"/>
      <c r="AD698" s="1903"/>
      <c r="AE698" s="1903"/>
      <c r="AF698" s="1903"/>
      <c r="AG698" s="1903"/>
      <c r="AH698" s="1903"/>
      <c r="AI698" s="1903"/>
      <c r="AJ698" s="1903"/>
      <c r="AK698" s="190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875" t="s">
        <v>696</v>
      </c>
      <c r="O699" s="1875"/>
      <c r="U699" s="12" t="s">
        <v>20</v>
      </c>
      <c r="AG699" s="1875" t="s">
        <v>696</v>
      </c>
      <c r="AH699" s="1875"/>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7">
        <v>1716</v>
      </c>
      <c r="BY699" s="1197">
        <v>1905</v>
      </c>
      <c r="BZ699" s="1197">
        <v>2324</v>
      </c>
      <c r="CA699" s="1197">
        <v>3178</v>
      </c>
      <c r="CB699" s="119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7">
        <v>1108</v>
      </c>
      <c r="BY700" s="1197">
        <v>1228</v>
      </c>
      <c r="BZ700" s="1197">
        <v>1543</v>
      </c>
      <c r="CA700" s="1197">
        <v>2192</v>
      </c>
      <c r="CB700" s="119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1838</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7">
        <v>608</v>
      </c>
      <c r="BY701" s="1197">
        <v>716</v>
      </c>
      <c r="BZ701" s="1197">
        <v>915</v>
      </c>
      <c r="CA701" s="1197">
        <v>1300</v>
      </c>
      <c r="CB701" s="119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197">
        <v>1062</v>
      </c>
      <c r="BY702" s="1197">
        <v>1202</v>
      </c>
      <c r="BZ702" s="1197">
        <v>1509</v>
      </c>
      <c r="CA702" s="1197">
        <v>2065</v>
      </c>
      <c r="CB702" s="119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75" t="s">
        <v>571</v>
      </c>
      <c r="AF703" s="18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11</v>
      </c>
      <c r="BH703" s="457">
        <f>BG703/$BG$728</f>
        <v>6.7073170731707321E-2</v>
      </c>
      <c r="BI703" s="458">
        <f t="shared" ref="BI703:BI727" si="45">IF(BH703=0," ",BH703*AH728)</f>
        <v>2.0121951219512196E-2</v>
      </c>
      <c r="BJ703" s="58"/>
      <c r="BK703" s="61"/>
      <c r="BL703" s="61"/>
      <c r="BM703" s="61"/>
      <c r="BN703" s="61"/>
      <c r="BO703" s="61"/>
      <c r="BP703" s="535" t="s">
        <v>71</v>
      </c>
      <c r="BQ703" s="748">
        <v>1774</v>
      </c>
      <c r="BR703" s="749">
        <v>1900</v>
      </c>
      <c r="BS703" s="748">
        <v>2280</v>
      </c>
      <c r="BT703" s="749">
        <v>2634</v>
      </c>
      <c r="BU703" s="749">
        <v>2940</v>
      </c>
      <c r="BV703" s="750">
        <v>3242</v>
      </c>
      <c r="BW703" s="61"/>
      <c r="BX703" s="1197">
        <v>1108</v>
      </c>
      <c r="BY703" s="1197">
        <v>1228</v>
      </c>
      <c r="BZ703" s="1197">
        <v>1543</v>
      </c>
      <c r="CA703" s="1197">
        <v>2192</v>
      </c>
      <c r="CB703" s="119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75" t="s">
        <v>571</v>
      </c>
      <c r="AF704" s="18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22</v>
      </c>
      <c r="BH704" s="457">
        <f t="shared" ref="BH704:BH727" si="46">BG704/$BG$728</f>
        <v>0.13414634146341464</v>
      </c>
      <c r="BI704" s="458">
        <f t="shared" si="45"/>
        <v>6.7073170731707321E-2</v>
      </c>
      <c r="BJ704" s="58"/>
      <c r="BK704" s="61"/>
      <c r="BL704" s="61"/>
      <c r="BM704" s="61"/>
      <c r="BN704" s="61"/>
      <c r="BO704" s="61"/>
      <c r="BP704" s="535" t="s">
        <v>758</v>
      </c>
      <c r="BQ704" s="748">
        <v>1840</v>
      </c>
      <c r="BR704" s="749">
        <v>1970</v>
      </c>
      <c r="BS704" s="748">
        <v>2364</v>
      </c>
      <c r="BT704" s="749">
        <v>2732</v>
      </c>
      <c r="BU704" s="749">
        <v>3050</v>
      </c>
      <c r="BV704" s="750">
        <v>3364</v>
      </c>
      <c r="BW704" s="61"/>
      <c r="BX704" s="1197">
        <v>1096</v>
      </c>
      <c r="BY704" s="1197">
        <v>1253</v>
      </c>
      <c r="BZ704" s="1197">
        <v>1649</v>
      </c>
      <c r="CA704" s="1197">
        <v>2342</v>
      </c>
      <c r="CB704" s="119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8">
        <v>44782</v>
      </c>
      <c r="AF705" s="2168"/>
      <c r="AG705" s="2168"/>
      <c r="AH705" s="2168"/>
      <c r="AI705" s="216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22</v>
      </c>
      <c r="BH705" s="457">
        <f t="shared" si="46"/>
        <v>0.13414634146341464</v>
      </c>
      <c r="BI705" s="458">
        <f t="shared" si="45"/>
        <v>8.0487804878048783E-2</v>
      </c>
      <c r="BJ705" s="58"/>
      <c r="BK705" s="58"/>
      <c r="BL705" s="58"/>
      <c r="BM705" s="58"/>
      <c r="BN705" s="61"/>
      <c r="BO705" s="61"/>
      <c r="BP705" s="535" t="s">
        <v>759</v>
      </c>
      <c r="BQ705" s="748">
        <v>1540</v>
      </c>
      <c r="BR705" s="749">
        <v>1650</v>
      </c>
      <c r="BS705" s="748">
        <v>1980</v>
      </c>
      <c r="BT705" s="749">
        <v>2288</v>
      </c>
      <c r="BU705" s="749">
        <v>2552</v>
      </c>
      <c r="BV705" s="750">
        <v>2816</v>
      </c>
      <c r="BW705" s="61"/>
      <c r="BX705" s="1197">
        <v>1062</v>
      </c>
      <c r="BY705" s="1197">
        <v>1202</v>
      </c>
      <c r="BZ705" s="1197">
        <v>1509</v>
      </c>
      <c r="CA705" s="1197">
        <v>2065</v>
      </c>
      <c r="CB705" s="119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75">
        <v>44895</v>
      </c>
      <c r="AF706" s="2175"/>
      <c r="AG706" s="2175"/>
      <c r="AH706" s="2175"/>
      <c r="AI706" s="21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56</v>
      </c>
      <c r="BH706" s="457">
        <f t="shared" si="46"/>
        <v>0.34146341463414637</v>
      </c>
      <c r="BI706" s="458">
        <f t="shared" si="45"/>
        <v>0.23902439024390243</v>
      </c>
      <c r="BJ706" s="58"/>
      <c r="BK706" s="58"/>
      <c r="BL706" s="58"/>
      <c r="BM706" s="58"/>
      <c r="BN706" s="61"/>
      <c r="BO706" s="61"/>
      <c r="BP706" s="535" t="s">
        <v>760</v>
      </c>
      <c r="BQ706" s="748">
        <v>2276</v>
      </c>
      <c r="BR706" s="749">
        <v>2440</v>
      </c>
      <c r="BS706" s="748">
        <v>2926</v>
      </c>
      <c r="BT706" s="749">
        <v>3382</v>
      </c>
      <c r="BU706" s="749">
        <v>3774</v>
      </c>
      <c r="BV706" s="750">
        <v>4164</v>
      </c>
      <c r="BW706" s="61"/>
      <c r="BX706" s="1197">
        <v>1394</v>
      </c>
      <c r="BY706" s="1197">
        <v>1542</v>
      </c>
      <c r="BZ706" s="1197">
        <v>1979</v>
      </c>
      <c r="CA706" s="1197">
        <v>2748</v>
      </c>
      <c r="CB706" s="119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6</v>
      </c>
      <c r="BH707" s="457">
        <f t="shared" si="46"/>
        <v>3.6585365853658534E-2</v>
      </c>
      <c r="BI707" s="458">
        <f t="shared" si="45"/>
        <v>1.097560975609756E-2</v>
      </c>
      <c r="BJ707" s="58"/>
      <c r="BK707" s="58"/>
      <c r="BL707" s="58"/>
      <c r="BM707" s="58"/>
      <c r="BN707" s="61"/>
      <c r="BO707" s="61"/>
      <c r="BP707" s="535" t="s">
        <v>761</v>
      </c>
      <c r="BQ707" s="748">
        <v>3262</v>
      </c>
      <c r="BR707" s="749">
        <v>3496</v>
      </c>
      <c r="BS707" s="748">
        <v>4194</v>
      </c>
      <c r="BT707" s="749">
        <v>4846</v>
      </c>
      <c r="BU707" s="749">
        <v>5406</v>
      </c>
      <c r="BV707" s="750">
        <v>5966</v>
      </c>
      <c r="BW707" s="61"/>
      <c r="BX707" s="1197">
        <v>2115</v>
      </c>
      <c r="BY707" s="1197">
        <v>2631</v>
      </c>
      <c r="BZ707" s="1197">
        <v>3198</v>
      </c>
      <c r="CA707" s="1197">
        <v>4111</v>
      </c>
      <c r="CB707" s="119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8">
        <v>45061</v>
      </c>
      <c r="AF708" s="2168"/>
      <c r="AG708" s="2168"/>
      <c r="AH708" s="2168"/>
      <c r="AI708" s="216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11</v>
      </c>
      <c r="BH708" s="457">
        <f t="shared" si="46"/>
        <v>6.7073170731707321E-2</v>
      </c>
      <c r="BI708" s="458">
        <f t="shared" si="45"/>
        <v>3.3536585365853661E-2</v>
      </c>
      <c r="BJ708" s="58"/>
      <c r="BK708" s="58"/>
      <c r="BL708" s="58"/>
      <c r="BM708" s="58"/>
      <c r="BN708" s="58"/>
      <c r="BO708" s="58"/>
      <c r="BP708" s="535" t="s">
        <v>762</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225">
        <v>0.5393</v>
      </c>
      <c r="AF709" s="2225"/>
      <c r="AG709" s="2225"/>
      <c r="AH709" s="2225"/>
      <c r="AI709" s="222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11</v>
      </c>
      <c r="BH709" s="457">
        <f t="shared" si="46"/>
        <v>6.7073170731707321E-2</v>
      </c>
      <c r="BI709" s="458">
        <f t="shared" si="45"/>
        <v>4.0243902439024391E-2</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1867" t="str">
        <f>H334</f>
        <v>California Municipal Finance Agency</v>
      </c>
      <c r="X710" s="1867"/>
      <c r="Y710" s="1867"/>
      <c r="Z710" s="1867"/>
      <c r="AA710" s="1867"/>
      <c r="AB710" s="1867"/>
      <c r="AC710" s="1867"/>
      <c r="AD710" s="1867"/>
      <c r="AE710" s="1867"/>
      <c r="AF710" s="1867"/>
      <c r="AG710" s="1867"/>
      <c r="AH710" s="1867"/>
      <c r="AI710" s="1867"/>
      <c r="AJ710" s="1867"/>
      <c r="AK710" s="186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25</v>
      </c>
      <c r="BH710" s="457">
        <f t="shared" si="46"/>
        <v>0.1524390243902439</v>
      </c>
      <c r="BI710" s="458">
        <f t="shared" si="45"/>
        <v>0.10670731707317073</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75" t="s">
        <v>696</v>
      </c>
      <c r="AF712" s="18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1903"/>
      <c r="X713" s="1903"/>
      <c r="Y713" s="1903"/>
      <c r="Z713" s="1903"/>
      <c r="AA713" s="1903"/>
      <c r="AB713" s="1903"/>
      <c r="AC713" s="1903"/>
      <c r="AD713" s="1903"/>
      <c r="AE713" s="1903"/>
      <c r="AF713" s="1903"/>
      <c r="AG713" s="1903"/>
      <c r="AH713" s="1903"/>
      <c r="AI713" s="1903"/>
      <c r="AJ713" s="1903"/>
      <c r="AK713" s="19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03"/>
      <c r="K714" s="1903"/>
      <c r="L714" s="1903"/>
      <c r="M714" s="1903"/>
      <c r="N714" s="1903"/>
      <c r="O714" s="1903"/>
      <c r="P714" s="1903"/>
      <c r="Q714" s="1903"/>
      <c r="R714" s="1903"/>
      <c r="S714" s="1903"/>
      <c r="T714" s="1903"/>
      <c r="U714" s="1903"/>
      <c r="V714" s="1903"/>
      <c r="W714" s="1903"/>
      <c r="X714" s="19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46"/>
      <c r="K715" s="2146"/>
      <c r="L715" s="2146"/>
      <c r="M715" s="2146"/>
      <c r="N715" s="2146"/>
      <c r="O715" s="2146"/>
      <c r="P715" s="7" t="s">
        <v>212</v>
      </c>
      <c r="Q715" s="7"/>
      <c r="R715" s="1876"/>
      <c r="S715" s="1876"/>
      <c r="T715" s="187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1903" t="s">
        <v>313</v>
      </c>
      <c r="X716" s="1903"/>
      <c r="Y716" s="1903"/>
      <c r="Z716" s="1903"/>
      <c r="AA716" s="1903"/>
      <c r="AB716" s="1903"/>
      <c r="AC716" s="1903"/>
      <c r="AD716" s="1903"/>
      <c r="AE716" s="1903"/>
      <c r="AF716" s="1903"/>
      <c r="AG716" s="1903"/>
      <c r="AH716" s="1903"/>
      <c r="AI716" s="1903"/>
      <c r="AJ716" s="1903"/>
      <c r="AK716" s="19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03" t="s">
        <v>340</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1903"/>
      <c r="AD717" s="1903"/>
      <c r="AE717" s="1903"/>
      <c r="AF717" s="1903"/>
      <c r="AG717" s="1903"/>
      <c r="AH717" s="1903"/>
      <c r="AI717" s="1903"/>
      <c r="AJ717" s="1903"/>
      <c r="AK717" s="19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05" t="s">
        <v>100</v>
      </c>
      <c r="B719" s="1705"/>
      <c r="C719" s="1705"/>
      <c r="D719" s="1705"/>
      <c r="E719" s="1705"/>
      <c r="F719" s="1705"/>
      <c r="G719" s="1705"/>
      <c r="H719" s="1705"/>
      <c r="I719" s="1705"/>
      <c r="J719" s="1705"/>
      <c r="K719" s="1705"/>
      <c r="L719" s="1705"/>
      <c r="M719" s="1705"/>
      <c r="N719" s="1705"/>
      <c r="O719" s="1705"/>
      <c r="P719" s="1705"/>
      <c r="Q719" s="1705"/>
      <c r="R719" s="1705"/>
      <c r="S719" s="1705"/>
      <c r="T719" s="1705"/>
      <c r="U719" s="1705"/>
      <c r="V719" s="1705"/>
      <c r="W719" s="1705"/>
      <c r="X719" s="1705"/>
      <c r="Y719" s="1705"/>
      <c r="Z719" s="1705"/>
      <c r="AA719" s="1705"/>
      <c r="AB719" s="1705"/>
      <c r="AC719" s="1705"/>
      <c r="AD719" s="1705"/>
      <c r="AE719" s="1705"/>
      <c r="AF719" s="1705"/>
      <c r="AG719" s="1705"/>
      <c r="AH719" s="1705"/>
      <c r="AI719" s="1705"/>
      <c r="AJ719" s="1705"/>
      <c r="AK719" s="1705"/>
      <c r="AL719" s="1705"/>
      <c r="AM719" s="1705"/>
      <c r="AN719" s="1705"/>
      <c r="AO719" s="1705"/>
      <c r="AP719" s="950"/>
      <c r="AQ719" s="950"/>
      <c r="AR719" s="950"/>
      <c r="AS719" s="950"/>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705"/>
      <c r="B720" s="1705"/>
      <c r="C720" s="1705"/>
      <c r="D720" s="1705"/>
      <c r="E720" s="1705"/>
      <c r="F720" s="1705"/>
      <c r="G720" s="1705"/>
      <c r="H720" s="1705"/>
      <c r="I720" s="1705"/>
      <c r="J720" s="1705"/>
      <c r="K720" s="1705"/>
      <c r="L720" s="1705"/>
      <c r="M720" s="1705"/>
      <c r="N720" s="1705"/>
      <c r="O720" s="1705"/>
      <c r="P720" s="1705"/>
      <c r="Q720" s="1705"/>
      <c r="R720" s="1705"/>
      <c r="S720" s="1705"/>
      <c r="T720" s="1705"/>
      <c r="U720" s="1705"/>
      <c r="V720" s="1705"/>
      <c r="W720" s="1705"/>
      <c r="X720" s="1705"/>
      <c r="Y720" s="1705"/>
      <c r="Z720" s="1705"/>
      <c r="AA720" s="1705"/>
      <c r="AB720" s="1705"/>
      <c r="AC720" s="1705"/>
      <c r="AD720" s="1705"/>
      <c r="AE720" s="1705"/>
      <c r="AF720" s="1705"/>
      <c r="AG720" s="1705"/>
      <c r="AH720" s="1705"/>
      <c r="AI720" s="1705"/>
      <c r="AJ720" s="1705"/>
      <c r="AK720" s="1705"/>
      <c r="AL720" s="1705"/>
      <c r="AM720" s="1705"/>
      <c r="AN720" s="1705"/>
      <c r="AO720" s="1705"/>
      <c r="AP720" s="950"/>
      <c r="AQ720" s="950"/>
      <c r="AR720" s="950"/>
      <c r="AS720" s="950"/>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05"/>
      <c r="B721" s="1705"/>
      <c r="C721" s="1705"/>
      <c r="D721" s="1705"/>
      <c r="E721" s="1705"/>
      <c r="F721" s="1705"/>
      <c r="G721" s="1705"/>
      <c r="H721" s="1705"/>
      <c r="I721" s="1705"/>
      <c r="J721" s="1705"/>
      <c r="K721" s="1705"/>
      <c r="L721" s="1705"/>
      <c r="M721" s="1705"/>
      <c r="N721" s="1705"/>
      <c r="O721" s="1705"/>
      <c r="P721" s="1705"/>
      <c r="Q721" s="1705"/>
      <c r="R721" s="1705"/>
      <c r="S721" s="1705"/>
      <c r="T721" s="1705"/>
      <c r="U721" s="1705"/>
      <c r="V721" s="1705"/>
      <c r="W721" s="1705"/>
      <c r="X721" s="1705"/>
      <c r="Y721" s="1705"/>
      <c r="Z721" s="1705"/>
      <c r="AA721" s="1705"/>
      <c r="AB721" s="1705"/>
      <c r="AC721" s="1705"/>
      <c r="AD721" s="1705"/>
      <c r="AE721" s="1705"/>
      <c r="AF721" s="1705"/>
      <c r="AG721" s="1705"/>
      <c r="AH721" s="1705"/>
      <c r="AI721" s="1705"/>
      <c r="AJ721" s="1705"/>
      <c r="AK721" s="1705"/>
      <c r="AL721" s="1705"/>
      <c r="AM721" s="1705"/>
      <c r="AN721" s="1705"/>
      <c r="AO721" s="17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404</v>
      </c>
      <c r="C724" s="2111"/>
      <c r="D724" s="2111"/>
      <c r="E724" s="2111"/>
      <c r="F724" s="2112"/>
      <c r="G724" s="2110" t="s">
        <v>291</v>
      </c>
      <c r="H724" s="2111"/>
      <c r="I724" s="2111"/>
      <c r="J724" s="2112"/>
      <c r="K724" s="2119" t="s">
        <v>1996</v>
      </c>
      <c r="L724" s="2120"/>
      <c r="M724" s="2120"/>
      <c r="N724" s="2121"/>
      <c r="O724" s="2110" t="s">
        <v>472</v>
      </c>
      <c r="P724" s="2111"/>
      <c r="Q724" s="2111"/>
      <c r="R724" s="2111"/>
      <c r="S724" s="2112"/>
      <c r="T724" s="2169" t="s">
        <v>2422</v>
      </c>
      <c r="U724" s="2111"/>
      <c r="V724" s="2111"/>
      <c r="W724" s="2112"/>
      <c r="X724" s="2169" t="s">
        <v>2424</v>
      </c>
      <c r="Y724" s="2111"/>
      <c r="Z724" s="2111"/>
      <c r="AA724" s="2111"/>
      <c r="AB724" s="2112"/>
      <c r="AC724" s="2169" t="s">
        <v>2423</v>
      </c>
      <c r="AD724" s="2111"/>
      <c r="AE724" s="2111"/>
      <c r="AF724" s="2111"/>
      <c r="AG724" s="2112"/>
      <c r="AH724" s="2169" t="s">
        <v>2425</v>
      </c>
      <c r="AI724" s="2111"/>
      <c r="AJ724" s="2112"/>
      <c r="AK724" s="2169" t="s">
        <v>2461</v>
      </c>
      <c r="AL724" s="2111"/>
      <c r="AM724" s="2111"/>
      <c r="AN724" s="2111"/>
      <c r="AO724" s="2112"/>
      <c r="AP724" s="239"/>
      <c r="AQ724" s="239"/>
      <c r="AR724" s="239"/>
      <c r="AS724" s="239"/>
      <c r="AY724" s="1105"/>
      <c r="AZ724" s="1105"/>
      <c r="BA724" s="1105"/>
      <c r="BB724" s="1105"/>
      <c r="BC724" s="1105"/>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3"/>
      <c r="C725" s="2114"/>
      <c r="D725" s="2114"/>
      <c r="E725" s="2114"/>
      <c r="F725" s="2115"/>
      <c r="G725" s="2113"/>
      <c r="H725" s="2114"/>
      <c r="I725" s="2114"/>
      <c r="J725" s="2115"/>
      <c r="K725" s="2122"/>
      <c r="L725" s="2123"/>
      <c r="M725" s="2123"/>
      <c r="N725" s="2124"/>
      <c r="O725" s="2113"/>
      <c r="P725" s="2114"/>
      <c r="Q725" s="2114"/>
      <c r="R725" s="2114"/>
      <c r="S725" s="2115"/>
      <c r="T725" s="2113"/>
      <c r="U725" s="2114"/>
      <c r="V725" s="2114"/>
      <c r="W725" s="2115"/>
      <c r="X725" s="2113"/>
      <c r="Y725" s="2114"/>
      <c r="Z725" s="2114"/>
      <c r="AA725" s="2114"/>
      <c r="AB725" s="2115"/>
      <c r="AC725" s="2113"/>
      <c r="AD725" s="2114"/>
      <c r="AE725" s="2114"/>
      <c r="AF725" s="2114"/>
      <c r="AG725" s="2115"/>
      <c r="AH725" s="2113"/>
      <c r="AI725" s="2114"/>
      <c r="AJ725" s="2115"/>
      <c r="AK725" s="2113"/>
      <c r="AL725" s="2114"/>
      <c r="AM725" s="2114"/>
      <c r="AN725" s="2114"/>
      <c r="AO725" s="2115"/>
      <c r="AP725" s="239"/>
      <c r="AQ725" s="239"/>
      <c r="AR725" s="239"/>
      <c r="AS725" s="239"/>
      <c r="AY725" s="1105"/>
      <c r="AZ725" s="1105"/>
      <c r="BA725" s="1105"/>
      <c r="BB725" s="1105"/>
      <c r="BC725" s="1105"/>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3"/>
      <c r="C726" s="2114"/>
      <c r="D726" s="2114"/>
      <c r="E726" s="2114"/>
      <c r="F726" s="2115"/>
      <c r="G726" s="2113"/>
      <c r="H726" s="2114"/>
      <c r="I726" s="2114"/>
      <c r="J726" s="2115"/>
      <c r="K726" s="2122"/>
      <c r="L726" s="2123"/>
      <c r="M726" s="2123"/>
      <c r="N726" s="2124"/>
      <c r="O726" s="2113"/>
      <c r="P726" s="2114"/>
      <c r="Q726" s="2114"/>
      <c r="R726" s="2114"/>
      <c r="S726" s="2115"/>
      <c r="T726" s="2113"/>
      <c r="U726" s="2114"/>
      <c r="V726" s="2114"/>
      <c r="W726" s="2115"/>
      <c r="X726" s="2113"/>
      <c r="Y726" s="2114"/>
      <c r="Z726" s="2114"/>
      <c r="AA726" s="2114"/>
      <c r="AB726" s="2115"/>
      <c r="AC726" s="2113"/>
      <c r="AD726" s="2114"/>
      <c r="AE726" s="2114"/>
      <c r="AF726" s="2114"/>
      <c r="AG726" s="2115"/>
      <c r="AH726" s="2113"/>
      <c r="AI726" s="2114"/>
      <c r="AJ726" s="2115"/>
      <c r="AK726" s="2113"/>
      <c r="AL726" s="2114"/>
      <c r="AM726" s="2114"/>
      <c r="AN726" s="2114"/>
      <c r="AO726" s="2115"/>
      <c r="AP726" s="239"/>
      <c r="AQ726" s="239"/>
      <c r="AR726" s="239"/>
      <c r="AS726" s="239"/>
      <c r="AY726" s="1105"/>
      <c r="AZ726" s="1105"/>
      <c r="BA726" s="1105"/>
      <c r="BB726" s="1105"/>
      <c r="BC726" s="1105"/>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16"/>
      <c r="C727" s="2117"/>
      <c r="D727" s="2117"/>
      <c r="E727" s="2117"/>
      <c r="F727" s="2118"/>
      <c r="G727" s="2116"/>
      <c r="H727" s="2117"/>
      <c r="I727" s="2117"/>
      <c r="J727" s="2118"/>
      <c r="K727" s="2122"/>
      <c r="L727" s="2123"/>
      <c r="M727" s="2123"/>
      <c r="N727" s="2124"/>
      <c r="O727" s="2116"/>
      <c r="P727" s="2117"/>
      <c r="Q727" s="2117"/>
      <c r="R727" s="2117"/>
      <c r="S727" s="2118"/>
      <c r="T727" s="2116"/>
      <c r="U727" s="2117"/>
      <c r="V727" s="2117"/>
      <c r="W727" s="2118"/>
      <c r="X727" s="2116"/>
      <c r="Y727" s="2117"/>
      <c r="Z727" s="2117"/>
      <c r="AA727" s="2117"/>
      <c r="AB727" s="2118"/>
      <c r="AC727" s="2116"/>
      <c r="AD727" s="2117"/>
      <c r="AE727" s="2117"/>
      <c r="AF727" s="2117"/>
      <c r="AG727" s="2118"/>
      <c r="AH727" s="2116"/>
      <c r="AI727" s="2117"/>
      <c r="AJ727" s="2118"/>
      <c r="AK727" s="2116"/>
      <c r="AL727" s="2117"/>
      <c r="AM727" s="2117"/>
      <c r="AN727" s="2117"/>
      <c r="AO727" s="2118"/>
      <c r="AP727" s="239"/>
      <c r="AQ727" s="239"/>
      <c r="AR727" s="239"/>
      <c r="AS727" s="239"/>
      <c r="AY727" s="1105"/>
      <c r="AZ727" s="1105"/>
      <c r="BA727" s="1105"/>
      <c r="BB727" s="1105"/>
      <c r="BC727" s="1105"/>
      <c r="BD727" s="58"/>
      <c r="BE727" s="58"/>
      <c r="BF727" s="58"/>
      <c r="BG727" s="919">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857" t="s">
        <v>331</v>
      </c>
      <c r="C728" s="1858"/>
      <c r="D728" s="1858"/>
      <c r="E728" s="1858"/>
      <c r="F728" s="1859"/>
      <c r="G728" s="2170">
        <v>11</v>
      </c>
      <c r="H728" s="2171"/>
      <c r="I728" s="2171"/>
      <c r="J728" s="2172"/>
      <c r="K728" s="2095">
        <v>540</v>
      </c>
      <c r="L728" s="2096"/>
      <c r="M728" s="2096"/>
      <c r="N728" s="2097"/>
      <c r="O728" s="2176">
        <v>710</v>
      </c>
      <c r="P728" s="2177"/>
      <c r="Q728" s="2177"/>
      <c r="R728" s="2177"/>
      <c r="S728" s="2178"/>
      <c r="T728" s="2088">
        <v>52</v>
      </c>
      <c r="U728" s="2089"/>
      <c r="V728" s="2089"/>
      <c r="W728" s="2090"/>
      <c r="X728" s="1868">
        <f t="shared" ref="X728:X752" si="47">O728+T728</f>
        <v>762</v>
      </c>
      <c r="Y728" s="1869"/>
      <c r="Z728" s="1869"/>
      <c r="AA728" s="1869"/>
      <c r="AB728" s="1870"/>
      <c r="AC728" s="2091">
        <v>0.3</v>
      </c>
      <c r="AD728" s="2092"/>
      <c r="AE728" s="2092"/>
      <c r="AF728" s="2092"/>
      <c r="AG728" s="2093"/>
      <c r="AH728" s="1861">
        <f t="shared" ref="AH728:AH752" si="48">IF($AC728&gt;0,($X728/$BA670), " ")</f>
        <v>0.3</v>
      </c>
      <c r="AI728" s="1862"/>
      <c r="AJ728" s="1863"/>
      <c r="AK728" s="1857" t="s">
        <v>618</v>
      </c>
      <c r="AL728" s="1858"/>
      <c r="AM728" s="1858"/>
      <c r="AN728" s="1858"/>
      <c r="AO728" s="1859"/>
      <c r="AP728" s="239"/>
      <c r="AQ728" s="239"/>
      <c r="AR728" s="239"/>
      <c r="AS728" s="239"/>
      <c r="AY728" s="1201"/>
      <c r="AZ728" s="1201"/>
      <c r="BA728" s="1201"/>
      <c r="BB728" s="1201"/>
      <c r="BC728" s="1201"/>
      <c r="BD728" s="58"/>
      <c r="BE728" s="58"/>
      <c r="BF728" s="58"/>
      <c r="BG728" s="918">
        <f>SUM(BG703:BG727)</f>
        <v>164</v>
      </c>
      <c r="BH728" s="460">
        <f>SUM(BH703:BH727)</f>
        <v>1</v>
      </c>
      <c r="BI728" s="460">
        <f>SUM(BI703:BI727)</f>
        <v>0.59817073170731716</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857" t="s">
        <v>331</v>
      </c>
      <c r="C729" s="1858"/>
      <c r="D729" s="1858"/>
      <c r="E729" s="1858"/>
      <c r="F729" s="1859"/>
      <c r="G729" s="2170">
        <v>22</v>
      </c>
      <c r="H729" s="2171"/>
      <c r="I729" s="2171"/>
      <c r="J729" s="2172"/>
      <c r="K729" s="2095">
        <v>540</v>
      </c>
      <c r="L729" s="2096"/>
      <c r="M729" s="2096"/>
      <c r="N729" s="2097"/>
      <c r="O729" s="2176">
        <v>1218</v>
      </c>
      <c r="P729" s="2177"/>
      <c r="Q729" s="2177"/>
      <c r="R729" s="2177"/>
      <c r="S729" s="2178"/>
      <c r="T729" s="2088">
        <v>52</v>
      </c>
      <c r="U729" s="2089"/>
      <c r="V729" s="2089"/>
      <c r="W729" s="2090"/>
      <c r="X729" s="1868">
        <f t="shared" si="47"/>
        <v>1270</v>
      </c>
      <c r="Y729" s="1869"/>
      <c r="Z729" s="1869"/>
      <c r="AA729" s="1869"/>
      <c r="AB729" s="1870"/>
      <c r="AC729" s="2091">
        <v>0.5</v>
      </c>
      <c r="AD729" s="2092"/>
      <c r="AE729" s="2092"/>
      <c r="AF729" s="2092"/>
      <c r="AG729" s="2093"/>
      <c r="AH729" s="1861">
        <f t="shared" si="48"/>
        <v>0.5</v>
      </c>
      <c r="AI729" s="1862"/>
      <c r="AJ729" s="1863"/>
      <c r="AK729" s="1857" t="s">
        <v>618</v>
      </c>
      <c r="AL729" s="1858"/>
      <c r="AM729" s="1858"/>
      <c r="AN729" s="1858"/>
      <c r="AO729" s="1859"/>
      <c r="AP729" s="239"/>
      <c r="AQ729" s="239"/>
      <c r="AR729" s="239"/>
      <c r="AS729" s="239"/>
      <c r="AY729" s="1201"/>
      <c r="AZ729" s="1201"/>
      <c r="BA729" s="1201"/>
      <c r="BB729" s="1201"/>
      <c r="BC729" s="1201"/>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857" t="s">
        <v>331</v>
      </c>
      <c r="C730" s="1858"/>
      <c r="D730" s="1858"/>
      <c r="E730" s="1858"/>
      <c r="F730" s="1859"/>
      <c r="G730" s="2170">
        <v>22</v>
      </c>
      <c r="H730" s="2171"/>
      <c r="I730" s="2171"/>
      <c r="J730" s="2172"/>
      <c r="K730" s="2095">
        <v>540</v>
      </c>
      <c r="L730" s="2096"/>
      <c r="M730" s="2096"/>
      <c r="N730" s="2097"/>
      <c r="O730" s="2176">
        <v>1472</v>
      </c>
      <c r="P730" s="2177"/>
      <c r="Q730" s="2177"/>
      <c r="R730" s="2177"/>
      <c r="S730" s="2178"/>
      <c r="T730" s="2088">
        <v>52</v>
      </c>
      <c r="U730" s="2089"/>
      <c r="V730" s="2089"/>
      <c r="W730" s="2090"/>
      <c r="X730" s="1868">
        <f t="shared" si="47"/>
        <v>1524</v>
      </c>
      <c r="Y730" s="1869"/>
      <c r="Z730" s="1869"/>
      <c r="AA730" s="1869"/>
      <c r="AB730" s="1870"/>
      <c r="AC730" s="2091">
        <v>0.6</v>
      </c>
      <c r="AD730" s="2092"/>
      <c r="AE730" s="2092"/>
      <c r="AF730" s="2092"/>
      <c r="AG730" s="2093"/>
      <c r="AH730" s="1861">
        <f t="shared" si="48"/>
        <v>0.6</v>
      </c>
      <c r="AI730" s="1862"/>
      <c r="AJ730" s="1863"/>
      <c r="AK730" s="1857" t="s">
        <v>618</v>
      </c>
      <c r="AL730" s="1858"/>
      <c r="AM730" s="1858"/>
      <c r="AN730" s="1858"/>
      <c r="AO730" s="1859"/>
      <c r="AP730" s="239"/>
      <c r="AQ730" s="239"/>
      <c r="AR730" s="239"/>
      <c r="AS730" s="239"/>
      <c r="AY730" s="1201"/>
      <c r="AZ730" s="1201"/>
      <c r="BA730" s="1201"/>
      <c r="BB730" s="1201"/>
      <c r="BC730" s="1201"/>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857" t="s">
        <v>331</v>
      </c>
      <c r="C731" s="1858"/>
      <c r="D731" s="1858"/>
      <c r="E731" s="1858"/>
      <c r="F731" s="1859"/>
      <c r="G731" s="2170">
        <v>56</v>
      </c>
      <c r="H731" s="2171"/>
      <c r="I731" s="2171"/>
      <c r="J731" s="2172"/>
      <c r="K731" s="2095">
        <v>540</v>
      </c>
      <c r="L731" s="2096"/>
      <c r="M731" s="2096"/>
      <c r="N731" s="2097"/>
      <c r="O731" s="2176">
        <v>1726</v>
      </c>
      <c r="P731" s="2177"/>
      <c r="Q731" s="2177"/>
      <c r="R731" s="2177"/>
      <c r="S731" s="2178"/>
      <c r="T731" s="2088">
        <v>52</v>
      </c>
      <c r="U731" s="2089"/>
      <c r="V731" s="2089"/>
      <c r="W731" s="2090"/>
      <c r="X731" s="1868">
        <f t="shared" si="47"/>
        <v>1778</v>
      </c>
      <c r="Y731" s="1869"/>
      <c r="Z731" s="1869"/>
      <c r="AA731" s="1869"/>
      <c r="AB731" s="1870"/>
      <c r="AC731" s="2091">
        <v>0.7</v>
      </c>
      <c r="AD731" s="2092"/>
      <c r="AE731" s="2092"/>
      <c r="AF731" s="2092"/>
      <c r="AG731" s="2093"/>
      <c r="AH731" s="1861">
        <f t="shared" si="48"/>
        <v>0.7</v>
      </c>
      <c r="AI731" s="1862"/>
      <c r="AJ731" s="1863"/>
      <c r="AK731" s="1857" t="s">
        <v>618</v>
      </c>
      <c r="AL731" s="1858"/>
      <c r="AM731" s="1858"/>
      <c r="AN731" s="1858"/>
      <c r="AO731" s="1859"/>
      <c r="AP731" s="239"/>
      <c r="AQ731" s="239"/>
      <c r="AR731" s="239"/>
      <c r="AS731" s="239"/>
      <c r="AY731" s="1201"/>
      <c r="AZ731" s="1201"/>
      <c r="BA731" s="1201"/>
      <c r="BB731" s="1201"/>
      <c r="BC731" s="1201"/>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857" t="s">
        <v>168</v>
      </c>
      <c r="C732" s="1858"/>
      <c r="D732" s="1858"/>
      <c r="E732" s="1858"/>
      <c r="F732" s="1859"/>
      <c r="G732" s="2170">
        <v>6</v>
      </c>
      <c r="H732" s="2171"/>
      <c r="I732" s="2171"/>
      <c r="J732" s="2172"/>
      <c r="K732" s="2095">
        <v>711</v>
      </c>
      <c r="L732" s="2096"/>
      <c r="M732" s="2096"/>
      <c r="N732" s="2097"/>
      <c r="O732" s="2176">
        <v>837</v>
      </c>
      <c r="P732" s="2177"/>
      <c r="Q732" s="2177"/>
      <c r="R732" s="2177"/>
      <c r="S732" s="2178"/>
      <c r="T732" s="2088">
        <v>78</v>
      </c>
      <c r="U732" s="2089"/>
      <c r="V732" s="2089"/>
      <c r="W732" s="2090"/>
      <c r="X732" s="1868">
        <f t="shared" si="47"/>
        <v>915</v>
      </c>
      <c r="Y732" s="1869"/>
      <c r="Z732" s="1869"/>
      <c r="AA732" s="1869"/>
      <c r="AB732" s="1870"/>
      <c r="AC732" s="2091">
        <v>0.3</v>
      </c>
      <c r="AD732" s="2092"/>
      <c r="AE732" s="2092"/>
      <c r="AF732" s="2092"/>
      <c r="AG732" s="2093"/>
      <c r="AH732" s="1861">
        <f t="shared" si="48"/>
        <v>0.3</v>
      </c>
      <c r="AI732" s="1862"/>
      <c r="AJ732" s="1863"/>
      <c r="AK732" s="1857" t="s">
        <v>618</v>
      </c>
      <c r="AL732" s="1858"/>
      <c r="AM732" s="1858"/>
      <c r="AN732" s="1858"/>
      <c r="AO732" s="1859"/>
      <c r="AP732" s="239"/>
      <c r="AQ732" s="239"/>
      <c r="AR732" s="239"/>
      <c r="AS732" s="239"/>
      <c r="AY732" s="1201"/>
      <c r="AZ732" s="1201"/>
      <c r="BA732" s="1201"/>
      <c r="BB732" s="1201"/>
      <c r="BC732" s="1201"/>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857" t="s">
        <v>168</v>
      </c>
      <c r="C733" s="1858"/>
      <c r="D733" s="1858"/>
      <c r="E733" s="1858"/>
      <c r="F733" s="1859"/>
      <c r="G733" s="2170">
        <v>11</v>
      </c>
      <c r="H733" s="2171"/>
      <c r="I733" s="2171"/>
      <c r="J733" s="2172"/>
      <c r="K733" s="2095">
        <v>711</v>
      </c>
      <c r="L733" s="2096"/>
      <c r="M733" s="2096"/>
      <c r="N733" s="2097"/>
      <c r="O733" s="2176">
        <v>1447</v>
      </c>
      <c r="P733" s="2177"/>
      <c r="Q733" s="2177"/>
      <c r="R733" s="2177"/>
      <c r="S733" s="2178"/>
      <c r="T733" s="2088">
        <v>78</v>
      </c>
      <c r="U733" s="2089"/>
      <c r="V733" s="2089"/>
      <c r="W733" s="2090"/>
      <c r="X733" s="1868">
        <f t="shared" si="47"/>
        <v>1525</v>
      </c>
      <c r="Y733" s="1869"/>
      <c r="Z733" s="1869"/>
      <c r="AA733" s="1869"/>
      <c r="AB733" s="1870"/>
      <c r="AC733" s="2091">
        <v>0.5</v>
      </c>
      <c r="AD733" s="2092"/>
      <c r="AE733" s="2092"/>
      <c r="AF733" s="2092"/>
      <c r="AG733" s="2093"/>
      <c r="AH733" s="1861">
        <f t="shared" si="48"/>
        <v>0.5</v>
      </c>
      <c r="AI733" s="1862"/>
      <c r="AJ733" s="1863"/>
      <c r="AK733" s="1857" t="s">
        <v>618</v>
      </c>
      <c r="AL733" s="1858"/>
      <c r="AM733" s="1858"/>
      <c r="AN733" s="1858"/>
      <c r="AO733" s="1859"/>
      <c r="AP733" s="239"/>
      <c r="AQ733" s="239"/>
      <c r="AR733" s="239"/>
      <c r="AS733" s="239"/>
      <c r="AY733" s="1201"/>
      <c r="AZ733" s="1201"/>
      <c r="BA733" s="1201"/>
      <c r="BB733" s="1201"/>
      <c r="BC733" s="1201"/>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857" t="s">
        <v>168</v>
      </c>
      <c r="C734" s="1858"/>
      <c r="D734" s="1858"/>
      <c r="E734" s="1858"/>
      <c r="F734" s="1859"/>
      <c r="G734" s="2170">
        <v>11</v>
      </c>
      <c r="H734" s="2171"/>
      <c r="I734" s="2171"/>
      <c r="J734" s="2172"/>
      <c r="K734" s="2095">
        <v>711</v>
      </c>
      <c r="L734" s="2096"/>
      <c r="M734" s="2096"/>
      <c r="N734" s="2097"/>
      <c r="O734" s="2176">
        <v>1752</v>
      </c>
      <c r="P734" s="2177"/>
      <c r="Q734" s="2177"/>
      <c r="R734" s="2177"/>
      <c r="S734" s="2178"/>
      <c r="T734" s="2088">
        <v>78</v>
      </c>
      <c r="U734" s="2089"/>
      <c r="V734" s="2089"/>
      <c r="W734" s="2090"/>
      <c r="X734" s="1868">
        <f t="shared" si="47"/>
        <v>1830</v>
      </c>
      <c r="Y734" s="1869"/>
      <c r="Z734" s="1869"/>
      <c r="AA734" s="1869"/>
      <c r="AB734" s="1870"/>
      <c r="AC734" s="2091">
        <v>0.6</v>
      </c>
      <c r="AD734" s="2092"/>
      <c r="AE734" s="2092"/>
      <c r="AF734" s="2092"/>
      <c r="AG734" s="2093"/>
      <c r="AH734" s="1861">
        <f t="shared" si="48"/>
        <v>0.6</v>
      </c>
      <c r="AI734" s="1862"/>
      <c r="AJ734" s="1863"/>
      <c r="AK734" s="1857" t="s">
        <v>618</v>
      </c>
      <c r="AL734" s="1858"/>
      <c r="AM734" s="1858"/>
      <c r="AN734" s="1858"/>
      <c r="AO734" s="1859"/>
      <c r="AP734" s="239"/>
      <c r="AQ734" s="239"/>
      <c r="AR734" s="239"/>
      <c r="AS734" s="239"/>
      <c r="AY734" s="1201"/>
      <c r="AZ734" s="1201"/>
      <c r="BA734" s="1201"/>
      <c r="BB734" s="1201"/>
      <c r="BC734" s="1201"/>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857" t="s">
        <v>168</v>
      </c>
      <c r="C735" s="1858"/>
      <c r="D735" s="1858"/>
      <c r="E735" s="1858"/>
      <c r="F735" s="1859"/>
      <c r="G735" s="2170">
        <v>25</v>
      </c>
      <c r="H735" s="2171"/>
      <c r="I735" s="2171"/>
      <c r="J735" s="2172"/>
      <c r="K735" s="2095">
        <v>711</v>
      </c>
      <c r="L735" s="2096"/>
      <c r="M735" s="2096"/>
      <c r="N735" s="2097"/>
      <c r="O735" s="2176">
        <v>2057</v>
      </c>
      <c r="P735" s="2177"/>
      <c r="Q735" s="2177"/>
      <c r="R735" s="2177"/>
      <c r="S735" s="2178"/>
      <c r="T735" s="2088">
        <v>78</v>
      </c>
      <c r="U735" s="2089"/>
      <c r="V735" s="2089"/>
      <c r="W735" s="2090"/>
      <c r="X735" s="1868">
        <f t="shared" si="47"/>
        <v>2135</v>
      </c>
      <c r="Y735" s="1869"/>
      <c r="Z735" s="1869"/>
      <c r="AA735" s="1869"/>
      <c r="AB735" s="1870"/>
      <c r="AC735" s="2091">
        <v>0.7</v>
      </c>
      <c r="AD735" s="2092"/>
      <c r="AE735" s="2092"/>
      <c r="AF735" s="2092"/>
      <c r="AG735" s="2093"/>
      <c r="AH735" s="1861">
        <f t="shared" si="48"/>
        <v>0.7</v>
      </c>
      <c r="AI735" s="1862"/>
      <c r="AJ735" s="1863"/>
      <c r="AK735" s="1857" t="s">
        <v>618</v>
      </c>
      <c r="AL735" s="1858"/>
      <c r="AM735" s="1858"/>
      <c r="AN735" s="1858"/>
      <c r="AO735" s="1859"/>
      <c r="AP735" s="239"/>
      <c r="AQ735" s="239"/>
      <c r="AR735" s="239"/>
      <c r="AS735" s="239"/>
      <c r="AY735" s="1201"/>
      <c r="AZ735" s="1201"/>
      <c r="BA735" s="1201"/>
      <c r="BB735" s="1201"/>
      <c r="BC735" s="1201"/>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857"/>
      <c r="C736" s="1858"/>
      <c r="D736" s="1858"/>
      <c r="E736" s="1858"/>
      <c r="F736" s="1859"/>
      <c r="G736" s="2098"/>
      <c r="H736" s="2099"/>
      <c r="I736" s="2099"/>
      <c r="J736" s="2100"/>
      <c r="K736" s="2095"/>
      <c r="L736" s="2096"/>
      <c r="M736" s="2096"/>
      <c r="N736" s="2097"/>
      <c r="O736" s="2088"/>
      <c r="P736" s="2089"/>
      <c r="Q736" s="2089"/>
      <c r="R736" s="2089"/>
      <c r="S736" s="2090"/>
      <c r="T736" s="2088"/>
      <c r="U736" s="2089"/>
      <c r="V736" s="2089"/>
      <c r="W736" s="2090"/>
      <c r="X736" s="1868">
        <f t="shared" si="47"/>
        <v>0</v>
      </c>
      <c r="Y736" s="1869"/>
      <c r="Z736" s="1869"/>
      <c r="AA736" s="1869"/>
      <c r="AB736" s="1870"/>
      <c r="AC736" s="2091"/>
      <c r="AD736" s="2092"/>
      <c r="AE736" s="2092"/>
      <c r="AF736" s="2092"/>
      <c r="AG736" s="2093"/>
      <c r="AH736" s="1861" t="str">
        <f t="shared" si="48"/>
        <v xml:space="preserve"> </v>
      </c>
      <c r="AI736" s="1862"/>
      <c r="AJ736" s="1863"/>
      <c r="AK736" s="1857" t="s">
        <v>618</v>
      </c>
      <c r="AL736" s="1858"/>
      <c r="AM736" s="1858"/>
      <c r="AN736" s="1858"/>
      <c r="AO736" s="1859"/>
      <c r="AP736" s="239"/>
      <c r="AQ736" s="239"/>
      <c r="AR736" s="239"/>
      <c r="AS736" s="239"/>
      <c r="AY736" s="1201"/>
      <c r="AZ736" s="1201"/>
      <c r="BA736" s="1201"/>
      <c r="BB736" s="1201"/>
      <c r="BC736" s="1201"/>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857"/>
      <c r="C737" s="1858"/>
      <c r="D737" s="1858"/>
      <c r="E737" s="1858"/>
      <c r="F737" s="1859"/>
      <c r="G737" s="2098"/>
      <c r="H737" s="2099"/>
      <c r="I737" s="2099"/>
      <c r="J737" s="2100"/>
      <c r="K737" s="2095"/>
      <c r="L737" s="2096"/>
      <c r="M737" s="2096"/>
      <c r="N737" s="2097"/>
      <c r="O737" s="2088"/>
      <c r="P737" s="2089"/>
      <c r="Q737" s="2089"/>
      <c r="R737" s="2089"/>
      <c r="S737" s="2090"/>
      <c r="T737" s="2088"/>
      <c r="U737" s="2089"/>
      <c r="V737" s="2089"/>
      <c r="W737" s="2090"/>
      <c r="X737" s="1868">
        <f t="shared" si="47"/>
        <v>0</v>
      </c>
      <c r="Y737" s="1869"/>
      <c r="Z737" s="1869"/>
      <c r="AA737" s="1869"/>
      <c r="AB737" s="1870"/>
      <c r="AC737" s="2091"/>
      <c r="AD737" s="2092"/>
      <c r="AE737" s="2092"/>
      <c r="AF737" s="2092"/>
      <c r="AG737" s="2093"/>
      <c r="AH737" s="1861" t="str">
        <f t="shared" si="48"/>
        <v xml:space="preserve"> </v>
      </c>
      <c r="AI737" s="1862"/>
      <c r="AJ737" s="1863"/>
      <c r="AK737" s="1857" t="s">
        <v>618</v>
      </c>
      <c r="AL737" s="1858"/>
      <c r="AM737" s="1858"/>
      <c r="AN737" s="1858"/>
      <c r="AO737" s="1859"/>
      <c r="AP737" s="239"/>
      <c r="AQ737" s="239"/>
      <c r="AR737" s="239"/>
      <c r="AS737" s="239"/>
      <c r="AY737" s="1201"/>
      <c r="AZ737" s="1201"/>
      <c r="BA737" s="1201"/>
      <c r="BB737" s="1201"/>
      <c r="BC737" s="1201"/>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857"/>
      <c r="C738" s="1858"/>
      <c r="D738" s="1858"/>
      <c r="E738" s="1858"/>
      <c r="F738" s="1859"/>
      <c r="G738" s="2098"/>
      <c r="H738" s="2099"/>
      <c r="I738" s="2099"/>
      <c r="J738" s="2100"/>
      <c r="K738" s="2095"/>
      <c r="L738" s="2096"/>
      <c r="M738" s="2096"/>
      <c r="N738" s="2097"/>
      <c r="O738" s="2088"/>
      <c r="P738" s="2089"/>
      <c r="Q738" s="2089"/>
      <c r="R738" s="2089"/>
      <c r="S738" s="2090"/>
      <c r="T738" s="2088"/>
      <c r="U738" s="2089"/>
      <c r="V738" s="2089"/>
      <c r="W738" s="2090"/>
      <c r="X738" s="1868">
        <f t="shared" si="47"/>
        <v>0</v>
      </c>
      <c r="Y738" s="1869"/>
      <c r="Z738" s="1869"/>
      <c r="AA738" s="1869"/>
      <c r="AB738" s="1870"/>
      <c r="AC738" s="2091"/>
      <c r="AD738" s="2092"/>
      <c r="AE738" s="2092"/>
      <c r="AF738" s="2092"/>
      <c r="AG738" s="2093"/>
      <c r="AH738" s="1861" t="str">
        <f t="shared" si="48"/>
        <v xml:space="preserve"> </v>
      </c>
      <c r="AI738" s="1862"/>
      <c r="AJ738" s="1863"/>
      <c r="AK738" s="1857" t="s">
        <v>618</v>
      </c>
      <c r="AL738" s="1858"/>
      <c r="AM738" s="1858"/>
      <c r="AN738" s="1858"/>
      <c r="AO738" s="1859"/>
      <c r="AP738" s="239"/>
      <c r="AQ738" s="239"/>
      <c r="AR738" s="239"/>
      <c r="AS738" s="239"/>
      <c r="AY738" s="1201"/>
      <c r="AZ738" s="1201"/>
      <c r="BA738" s="1201"/>
      <c r="BB738" s="1201"/>
      <c r="BC738" s="1201"/>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857"/>
      <c r="C739" s="1858"/>
      <c r="D739" s="1858"/>
      <c r="E739" s="1858"/>
      <c r="F739" s="1859"/>
      <c r="G739" s="2098"/>
      <c r="H739" s="2099"/>
      <c r="I739" s="2099"/>
      <c r="J739" s="2100"/>
      <c r="K739" s="2095"/>
      <c r="L739" s="2096"/>
      <c r="M739" s="2096"/>
      <c r="N739" s="2097"/>
      <c r="O739" s="2088"/>
      <c r="P739" s="2089"/>
      <c r="Q739" s="2089"/>
      <c r="R739" s="2089"/>
      <c r="S739" s="2090"/>
      <c r="T739" s="2088"/>
      <c r="U739" s="2089"/>
      <c r="V739" s="2089"/>
      <c r="W739" s="2090"/>
      <c r="X739" s="1868">
        <f t="shared" si="47"/>
        <v>0</v>
      </c>
      <c r="Y739" s="1869"/>
      <c r="Z739" s="1869"/>
      <c r="AA739" s="1869"/>
      <c r="AB739" s="1870"/>
      <c r="AC739" s="2091"/>
      <c r="AD739" s="2092"/>
      <c r="AE739" s="2092"/>
      <c r="AF739" s="2092"/>
      <c r="AG739" s="2093"/>
      <c r="AH739" s="1861" t="str">
        <f t="shared" si="48"/>
        <v xml:space="preserve"> </v>
      </c>
      <c r="AI739" s="1862"/>
      <c r="AJ739" s="1863"/>
      <c r="AK739" s="1857" t="s">
        <v>618</v>
      </c>
      <c r="AL739" s="1858"/>
      <c r="AM739" s="1858"/>
      <c r="AN739" s="1858"/>
      <c r="AO739" s="1859"/>
      <c r="AP739" s="239"/>
      <c r="AQ739" s="239"/>
      <c r="AR739" s="239"/>
      <c r="AS739" s="239"/>
      <c r="AY739" s="1201"/>
      <c r="AZ739" s="1201"/>
      <c r="BA739" s="1201"/>
      <c r="BB739" s="1201"/>
      <c r="BC739" s="1201"/>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857"/>
      <c r="C740" s="1858"/>
      <c r="D740" s="1858"/>
      <c r="E740" s="1858"/>
      <c r="F740" s="1859"/>
      <c r="G740" s="2098"/>
      <c r="H740" s="2099"/>
      <c r="I740" s="2099"/>
      <c r="J740" s="2100"/>
      <c r="K740" s="2095"/>
      <c r="L740" s="2096"/>
      <c r="M740" s="2096"/>
      <c r="N740" s="2097"/>
      <c r="O740" s="2088"/>
      <c r="P740" s="2089"/>
      <c r="Q740" s="2089"/>
      <c r="R740" s="2089"/>
      <c r="S740" s="2090"/>
      <c r="T740" s="2088"/>
      <c r="U740" s="2089"/>
      <c r="V740" s="2089"/>
      <c r="W740" s="2090"/>
      <c r="X740" s="1868">
        <f t="shared" si="47"/>
        <v>0</v>
      </c>
      <c r="Y740" s="1869"/>
      <c r="Z740" s="1869"/>
      <c r="AA740" s="1869"/>
      <c r="AB740" s="1870"/>
      <c r="AC740" s="2091"/>
      <c r="AD740" s="2092"/>
      <c r="AE740" s="2092"/>
      <c r="AF740" s="2092"/>
      <c r="AG740" s="2093"/>
      <c r="AH740" s="1861" t="str">
        <f t="shared" si="48"/>
        <v xml:space="preserve"> </v>
      </c>
      <c r="AI740" s="1862"/>
      <c r="AJ740" s="1863"/>
      <c r="AK740" s="1857" t="s">
        <v>618</v>
      </c>
      <c r="AL740" s="1858"/>
      <c r="AM740" s="1858"/>
      <c r="AN740" s="1858"/>
      <c r="AO740" s="1859"/>
      <c r="AP740" s="239"/>
      <c r="AQ740" s="239"/>
      <c r="AR740" s="239"/>
      <c r="AS740" s="239"/>
      <c r="AY740" s="1201"/>
      <c r="AZ740" s="1201"/>
      <c r="BA740" s="1201"/>
      <c r="BB740" s="1201"/>
      <c r="BC740" s="1201"/>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857"/>
      <c r="C741" s="1858"/>
      <c r="D741" s="1858"/>
      <c r="E741" s="1858"/>
      <c r="F741" s="1859"/>
      <c r="G741" s="2098"/>
      <c r="H741" s="2099"/>
      <c r="I741" s="2099"/>
      <c r="J741" s="2100"/>
      <c r="K741" s="2095"/>
      <c r="L741" s="2096"/>
      <c r="M741" s="2096"/>
      <c r="N741" s="2097"/>
      <c r="O741" s="2088"/>
      <c r="P741" s="2089"/>
      <c r="Q741" s="2089"/>
      <c r="R741" s="2089"/>
      <c r="S741" s="2090"/>
      <c r="T741" s="2088"/>
      <c r="U741" s="2089"/>
      <c r="V741" s="2089"/>
      <c r="W741" s="2090"/>
      <c r="X741" s="1868">
        <f t="shared" si="47"/>
        <v>0</v>
      </c>
      <c r="Y741" s="1869"/>
      <c r="Z741" s="1869"/>
      <c r="AA741" s="1869"/>
      <c r="AB741" s="1870"/>
      <c r="AC741" s="2091">
        <v>0</v>
      </c>
      <c r="AD741" s="2092"/>
      <c r="AE741" s="2092"/>
      <c r="AF741" s="2092"/>
      <c r="AG741" s="2093"/>
      <c r="AH741" s="1861" t="str">
        <f t="shared" si="48"/>
        <v xml:space="preserve"> </v>
      </c>
      <c r="AI741" s="1862"/>
      <c r="AJ741" s="1863"/>
      <c r="AK741" s="1857" t="s">
        <v>618</v>
      </c>
      <c r="AL741" s="1858"/>
      <c r="AM741" s="1858"/>
      <c r="AN741" s="1858"/>
      <c r="AO741" s="1859"/>
      <c r="AP741" s="239"/>
      <c r="AQ741" s="239"/>
      <c r="AR741" s="239"/>
      <c r="AS741" s="239"/>
      <c r="AY741" s="1201"/>
      <c r="AZ741" s="1201"/>
      <c r="BA741" s="1201"/>
      <c r="BB741" s="1201"/>
      <c r="BC741" s="1201"/>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857"/>
      <c r="C742" s="1858"/>
      <c r="D742" s="1858"/>
      <c r="E742" s="1858"/>
      <c r="F742" s="1859"/>
      <c r="G742" s="2098"/>
      <c r="H742" s="2099"/>
      <c r="I742" s="2099"/>
      <c r="J742" s="2100"/>
      <c r="K742" s="2095"/>
      <c r="L742" s="2096"/>
      <c r="M742" s="2096"/>
      <c r="N742" s="2097"/>
      <c r="O742" s="2088"/>
      <c r="P742" s="2089"/>
      <c r="Q742" s="2089"/>
      <c r="R742" s="2089"/>
      <c r="S742" s="2090"/>
      <c r="T742" s="2088"/>
      <c r="U742" s="2089"/>
      <c r="V742" s="2089"/>
      <c r="W742" s="2090"/>
      <c r="X742" s="1868">
        <f t="shared" si="47"/>
        <v>0</v>
      </c>
      <c r="Y742" s="1869"/>
      <c r="Z742" s="1869"/>
      <c r="AA742" s="1869"/>
      <c r="AB742" s="1870"/>
      <c r="AC742" s="2091">
        <v>0</v>
      </c>
      <c r="AD742" s="2092"/>
      <c r="AE742" s="2092"/>
      <c r="AF742" s="2092"/>
      <c r="AG742" s="2093"/>
      <c r="AH742" s="1861" t="str">
        <f t="shared" si="48"/>
        <v xml:space="preserve"> </v>
      </c>
      <c r="AI742" s="1862"/>
      <c r="AJ742" s="1863"/>
      <c r="AK742" s="1857" t="s">
        <v>618</v>
      </c>
      <c r="AL742" s="1858"/>
      <c r="AM742" s="1858"/>
      <c r="AN742" s="1858"/>
      <c r="AO742" s="1859"/>
      <c r="AP742" s="239"/>
      <c r="AQ742" s="239"/>
      <c r="AR742" s="239"/>
      <c r="AS742" s="239"/>
      <c r="AY742" s="1201"/>
      <c r="AZ742" s="1201"/>
      <c r="BA742" s="1201"/>
      <c r="BB742" s="1201"/>
      <c r="BC742" s="1201"/>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857"/>
      <c r="C743" s="1858"/>
      <c r="D743" s="1858"/>
      <c r="E743" s="1858"/>
      <c r="F743" s="1859"/>
      <c r="G743" s="2098"/>
      <c r="H743" s="2099"/>
      <c r="I743" s="2099"/>
      <c r="J743" s="2100"/>
      <c r="K743" s="2095"/>
      <c r="L743" s="2096"/>
      <c r="M743" s="2096"/>
      <c r="N743" s="2097"/>
      <c r="O743" s="2088"/>
      <c r="P743" s="2089"/>
      <c r="Q743" s="2089"/>
      <c r="R743" s="2089"/>
      <c r="S743" s="2090"/>
      <c r="T743" s="2088"/>
      <c r="U743" s="2089"/>
      <c r="V743" s="2089"/>
      <c r="W743" s="2090"/>
      <c r="X743" s="1868">
        <f t="shared" si="47"/>
        <v>0</v>
      </c>
      <c r="Y743" s="1869"/>
      <c r="Z743" s="1869"/>
      <c r="AA743" s="1869"/>
      <c r="AB743" s="1870"/>
      <c r="AC743" s="2091">
        <v>0</v>
      </c>
      <c r="AD743" s="2092"/>
      <c r="AE743" s="2092"/>
      <c r="AF743" s="2092"/>
      <c r="AG743" s="2093"/>
      <c r="AH743" s="1861" t="str">
        <f t="shared" si="48"/>
        <v xml:space="preserve"> </v>
      </c>
      <c r="AI743" s="1862"/>
      <c r="AJ743" s="1863"/>
      <c r="AK743" s="1857" t="s">
        <v>618</v>
      </c>
      <c r="AL743" s="1858"/>
      <c r="AM743" s="1858"/>
      <c r="AN743" s="1858"/>
      <c r="AO743" s="1859"/>
      <c r="AP743" s="239"/>
      <c r="AQ743" s="239"/>
      <c r="AR743" s="239"/>
      <c r="AS743" s="239"/>
      <c r="AY743" s="1201"/>
      <c r="AZ743" s="1201"/>
      <c r="BA743" s="1201"/>
      <c r="BB743" s="1201"/>
      <c r="BC743" s="1201"/>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857"/>
      <c r="C744" s="1858"/>
      <c r="D744" s="1858"/>
      <c r="E744" s="1858"/>
      <c r="F744" s="1859"/>
      <c r="G744" s="2098"/>
      <c r="H744" s="2099"/>
      <c r="I744" s="2099"/>
      <c r="J744" s="2100"/>
      <c r="K744" s="2095"/>
      <c r="L744" s="2096"/>
      <c r="M744" s="2096"/>
      <c r="N744" s="2097"/>
      <c r="O744" s="2088"/>
      <c r="P744" s="2089"/>
      <c r="Q744" s="2089"/>
      <c r="R744" s="2089"/>
      <c r="S744" s="2090"/>
      <c r="T744" s="2088"/>
      <c r="U744" s="2089"/>
      <c r="V744" s="2089"/>
      <c r="W744" s="2090"/>
      <c r="X744" s="1868">
        <f t="shared" si="47"/>
        <v>0</v>
      </c>
      <c r="Y744" s="1869"/>
      <c r="Z744" s="1869"/>
      <c r="AA744" s="1869"/>
      <c r="AB744" s="1870"/>
      <c r="AC744" s="2091">
        <v>0</v>
      </c>
      <c r="AD744" s="2092"/>
      <c r="AE744" s="2092"/>
      <c r="AF744" s="2092"/>
      <c r="AG744" s="2093"/>
      <c r="AH744" s="1861" t="str">
        <f t="shared" si="48"/>
        <v xml:space="preserve"> </v>
      </c>
      <c r="AI744" s="1862"/>
      <c r="AJ744" s="1863"/>
      <c r="AK744" s="1857" t="s">
        <v>618</v>
      </c>
      <c r="AL744" s="1858"/>
      <c r="AM744" s="1858"/>
      <c r="AN744" s="1858"/>
      <c r="AO744" s="1859"/>
      <c r="AP744" s="239"/>
      <c r="AQ744" s="239"/>
      <c r="AR744" s="239"/>
      <c r="AS744" s="239"/>
      <c r="AY744" s="1201"/>
      <c r="AZ744" s="1201"/>
      <c r="BA744" s="1201"/>
      <c r="BB744" s="1201"/>
      <c r="BC744" s="1201"/>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857"/>
      <c r="C745" s="1858"/>
      <c r="D745" s="1858"/>
      <c r="E745" s="1858"/>
      <c r="F745" s="1859"/>
      <c r="G745" s="2098"/>
      <c r="H745" s="2099"/>
      <c r="I745" s="2099"/>
      <c r="J745" s="2100"/>
      <c r="K745" s="2095"/>
      <c r="L745" s="2096"/>
      <c r="M745" s="2096"/>
      <c r="N745" s="2097"/>
      <c r="O745" s="2088"/>
      <c r="P745" s="2089"/>
      <c r="Q745" s="2089"/>
      <c r="R745" s="2089"/>
      <c r="S745" s="2090"/>
      <c r="T745" s="2088"/>
      <c r="U745" s="2089"/>
      <c r="V745" s="2089"/>
      <c r="W745" s="2090"/>
      <c r="X745" s="1868">
        <f t="shared" si="47"/>
        <v>0</v>
      </c>
      <c r="Y745" s="1869"/>
      <c r="Z745" s="1869"/>
      <c r="AA745" s="1869"/>
      <c r="AB745" s="1870"/>
      <c r="AC745" s="2091">
        <v>0</v>
      </c>
      <c r="AD745" s="2092"/>
      <c r="AE745" s="2092"/>
      <c r="AF745" s="2092"/>
      <c r="AG745" s="2093"/>
      <c r="AH745" s="1861" t="str">
        <f t="shared" si="48"/>
        <v xml:space="preserve"> </v>
      </c>
      <c r="AI745" s="1862"/>
      <c r="AJ745" s="1863"/>
      <c r="AK745" s="1857" t="s">
        <v>618</v>
      </c>
      <c r="AL745" s="1858"/>
      <c r="AM745" s="1858"/>
      <c r="AN745" s="1858"/>
      <c r="AO745" s="1859"/>
      <c r="AP745" s="239"/>
      <c r="AQ745" s="239"/>
      <c r="AR745" s="239"/>
      <c r="AS745" s="239"/>
      <c r="AY745" s="1201"/>
      <c r="AZ745" s="1201"/>
      <c r="BA745" s="1201"/>
      <c r="BB745" s="1201"/>
      <c r="BC745" s="1201"/>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857"/>
      <c r="C746" s="1858"/>
      <c r="D746" s="1858"/>
      <c r="E746" s="1858"/>
      <c r="F746" s="1859"/>
      <c r="G746" s="2098"/>
      <c r="H746" s="2099"/>
      <c r="I746" s="2099"/>
      <c r="J746" s="2100"/>
      <c r="K746" s="2095"/>
      <c r="L746" s="2096"/>
      <c r="M746" s="2096"/>
      <c r="N746" s="2097"/>
      <c r="O746" s="2088"/>
      <c r="P746" s="2089"/>
      <c r="Q746" s="2089"/>
      <c r="R746" s="2089"/>
      <c r="S746" s="2090"/>
      <c r="T746" s="2088"/>
      <c r="U746" s="2089"/>
      <c r="V746" s="2089"/>
      <c r="W746" s="2090"/>
      <c r="X746" s="1868">
        <f t="shared" si="47"/>
        <v>0</v>
      </c>
      <c r="Y746" s="1869"/>
      <c r="Z746" s="1869"/>
      <c r="AA746" s="1869"/>
      <c r="AB746" s="1870"/>
      <c r="AC746" s="2091">
        <v>0</v>
      </c>
      <c r="AD746" s="2092"/>
      <c r="AE746" s="2092"/>
      <c r="AF746" s="2092"/>
      <c r="AG746" s="2093"/>
      <c r="AH746" s="1861" t="str">
        <f t="shared" si="48"/>
        <v xml:space="preserve"> </v>
      </c>
      <c r="AI746" s="1862"/>
      <c r="AJ746" s="1863"/>
      <c r="AK746" s="1857" t="s">
        <v>618</v>
      </c>
      <c r="AL746" s="1858"/>
      <c r="AM746" s="1858"/>
      <c r="AN746" s="1858"/>
      <c r="AO746" s="1859"/>
      <c r="AP746" s="239"/>
      <c r="AQ746" s="239"/>
      <c r="AR746" s="239"/>
      <c r="AS746" s="239"/>
      <c r="AY746" s="1201"/>
      <c r="AZ746" s="1201"/>
      <c r="BA746" s="1201"/>
      <c r="BB746" s="1201"/>
      <c r="BC746" s="1201"/>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857"/>
      <c r="C747" s="1858"/>
      <c r="D747" s="1858"/>
      <c r="E747" s="1858"/>
      <c r="F747" s="1859"/>
      <c r="G747" s="2098"/>
      <c r="H747" s="2099"/>
      <c r="I747" s="2099"/>
      <c r="J747" s="2100"/>
      <c r="K747" s="2095"/>
      <c r="L747" s="2096"/>
      <c r="M747" s="2096"/>
      <c r="N747" s="2097"/>
      <c r="O747" s="2088"/>
      <c r="P747" s="2089"/>
      <c r="Q747" s="2089"/>
      <c r="R747" s="2089"/>
      <c r="S747" s="2090"/>
      <c r="T747" s="2088"/>
      <c r="U747" s="2089"/>
      <c r="V747" s="2089"/>
      <c r="W747" s="2090"/>
      <c r="X747" s="1868">
        <f t="shared" si="47"/>
        <v>0</v>
      </c>
      <c r="Y747" s="1869"/>
      <c r="Z747" s="1869"/>
      <c r="AA747" s="1869"/>
      <c r="AB747" s="1870"/>
      <c r="AC747" s="2091">
        <v>0</v>
      </c>
      <c r="AD747" s="2092"/>
      <c r="AE747" s="2092"/>
      <c r="AF747" s="2092"/>
      <c r="AG747" s="2093"/>
      <c r="AH747" s="1861" t="str">
        <f t="shared" si="48"/>
        <v xml:space="preserve"> </v>
      </c>
      <c r="AI747" s="1862"/>
      <c r="AJ747" s="1863"/>
      <c r="AK747" s="1857" t="s">
        <v>618</v>
      </c>
      <c r="AL747" s="1858"/>
      <c r="AM747" s="1858"/>
      <c r="AN747" s="1858"/>
      <c r="AO747" s="1859"/>
      <c r="AP747" s="239"/>
      <c r="AQ747" s="239"/>
      <c r="AR747" s="239"/>
      <c r="AS747" s="239"/>
      <c r="AY747" s="1201"/>
      <c r="AZ747" s="1201"/>
      <c r="BA747" s="1201"/>
      <c r="BB747" s="1201"/>
      <c r="BC747" s="1201"/>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857"/>
      <c r="C748" s="1858"/>
      <c r="D748" s="1858"/>
      <c r="E748" s="1858"/>
      <c r="F748" s="1859"/>
      <c r="G748" s="2098"/>
      <c r="H748" s="2099"/>
      <c r="I748" s="2099"/>
      <c r="J748" s="2100"/>
      <c r="K748" s="2095"/>
      <c r="L748" s="2096"/>
      <c r="M748" s="2096"/>
      <c r="N748" s="2097"/>
      <c r="O748" s="2088"/>
      <c r="P748" s="2089"/>
      <c r="Q748" s="2089"/>
      <c r="R748" s="2089"/>
      <c r="S748" s="2090"/>
      <c r="T748" s="2088"/>
      <c r="U748" s="2089"/>
      <c r="V748" s="2089"/>
      <c r="W748" s="2090"/>
      <c r="X748" s="1868">
        <f t="shared" si="47"/>
        <v>0</v>
      </c>
      <c r="Y748" s="1869"/>
      <c r="Z748" s="1869"/>
      <c r="AA748" s="1869"/>
      <c r="AB748" s="1870"/>
      <c r="AC748" s="2091">
        <v>0</v>
      </c>
      <c r="AD748" s="2092"/>
      <c r="AE748" s="2092"/>
      <c r="AF748" s="2092"/>
      <c r="AG748" s="2093"/>
      <c r="AH748" s="1861" t="str">
        <f t="shared" si="48"/>
        <v xml:space="preserve"> </v>
      </c>
      <c r="AI748" s="1862"/>
      <c r="AJ748" s="1863"/>
      <c r="AK748" s="1857" t="s">
        <v>618</v>
      </c>
      <c r="AL748" s="1858"/>
      <c r="AM748" s="1858"/>
      <c r="AN748" s="1858"/>
      <c r="AO748" s="1859"/>
      <c r="AP748" s="239"/>
      <c r="AQ748" s="239"/>
      <c r="AR748" s="239"/>
      <c r="AS748" s="239"/>
      <c r="AY748" s="1201"/>
      <c r="AZ748" s="1201"/>
      <c r="BA748" s="1201"/>
      <c r="BB748" s="1201"/>
      <c r="BC748" s="1201"/>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857"/>
      <c r="C749" s="1858"/>
      <c r="D749" s="1858"/>
      <c r="E749" s="1858"/>
      <c r="F749" s="1859"/>
      <c r="G749" s="2098"/>
      <c r="H749" s="2099"/>
      <c r="I749" s="2099"/>
      <c r="J749" s="2100"/>
      <c r="K749" s="2095"/>
      <c r="L749" s="2096"/>
      <c r="M749" s="2096"/>
      <c r="N749" s="2097"/>
      <c r="O749" s="2088"/>
      <c r="P749" s="2089"/>
      <c r="Q749" s="2089"/>
      <c r="R749" s="2089"/>
      <c r="S749" s="2090"/>
      <c r="T749" s="2088"/>
      <c r="U749" s="2089"/>
      <c r="V749" s="2089"/>
      <c r="W749" s="2090"/>
      <c r="X749" s="1868">
        <f t="shared" si="47"/>
        <v>0</v>
      </c>
      <c r="Y749" s="1869"/>
      <c r="Z749" s="1869"/>
      <c r="AA749" s="1869"/>
      <c r="AB749" s="1870"/>
      <c r="AC749" s="2091">
        <v>0</v>
      </c>
      <c r="AD749" s="2092"/>
      <c r="AE749" s="2092"/>
      <c r="AF749" s="2092"/>
      <c r="AG749" s="2093"/>
      <c r="AH749" s="1861" t="str">
        <f t="shared" si="48"/>
        <v xml:space="preserve"> </v>
      </c>
      <c r="AI749" s="1862"/>
      <c r="AJ749" s="1863"/>
      <c r="AK749" s="1857" t="s">
        <v>618</v>
      </c>
      <c r="AL749" s="1858"/>
      <c r="AM749" s="1858"/>
      <c r="AN749" s="1858"/>
      <c r="AO749" s="1859"/>
      <c r="AP749" s="239"/>
      <c r="AQ749" s="239"/>
      <c r="AR749" s="239"/>
      <c r="AS749" s="239"/>
      <c r="AY749" s="1201"/>
      <c r="AZ749" s="1201"/>
      <c r="BA749" s="1201"/>
      <c r="BB749" s="1201"/>
      <c r="BC749" s="1201"/>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57"/>
      <c r="C750" s="1858"/>
      <c r="D750" s="1858"/>
      <c r="E750" s="1858"/>
      <c r="F750" s="1859"/>
      <c r="G750" s="2098"/>
      <c r="H750" s="2099"/>
      <c r="I750" s="2099"/>
      <c r="J750" s="2100"/>
      <c r="K750" s="2095"/>
      <c r="L750" s="2096"/>
      <c r="M750" s="2096"/>
      <c r="N750" s="2097"/>
      <c r="O750" s="2088"/>
      <c r="P750" s="2089"/>
      <c r="Q750" s="2089"/>
      <c r="R750" s="2089"/>
      <c r="S750" s="2090"/>
      <c r="T750" s="2088"/>
      <c r="U750" s="2089"/>
      <c r="V750" s="2089"/>
      <c r="W750" s="2090"/>
      <c r="X750" s="1868">
        <f t="shared" si="47"/>
        <v>0</v>
      </c>
      <c r="Y750" s="1869"/>
      <c r="Z750" s="1869"/>
      <c r="AA750" s="1869"/>
      <c r="AB750" s="1870"/>
      <c r="AC750" s="2091">
        <v>0</v>
      </c>
      <c r="AD750" s="2092"/>
      <c r="AE750" s="2092"/>
      <c r="AF750" s="2092"/>
      <c r="AG750" s="2093"/>
      <c r="AH750" s="1861" t="str">
        <f t="shared" si="48"/>
        <v xml:space="preserve"> </v>
      </c>
      <c r="AI750" s="1862"/>
      <c r="AJ750" s="1863"/>
      <c r="AK750" s="1857" t="s">
        <v>618</v>
      </c>
      <c r="AL750" s="1858"/>
      <c r="AM750" s="1858"/>
      <c r="AN750" s="1858"/>
      <c r="AO750" s="1859"/>
      <c r="AP750" s="239"/>
      <c r="AQ750" s="239"/>
      <c r="AR750" s="239"/>
      <c r="AS750" s="239"/>
      <c r="AY750" s="1201"/>
      <c r="AZ750" s="1201"/>
      <c r="BA750" s="1201"/>
      <c r="BB750" s="1201"/>
      <c r="BC750" s="1201"/>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857"/>
      <c r="C751" s="1858"/>
      <c r="D751" s="1858"/>
      <c r="E751" s="1858"/>
      <c r="F751" s="1859"/>
      <c r="G751" s="2098"/>
      <c r="H751" s="2099"/>
      <c r="I751" s="2099"/>
      <c r="J751" s="2100"/>
      <c r="K751" s="2095"/>
      <c r="L751" s="2096"/>
      <c r="M751" s="2096"/>
      <c r="N751" s="2097"/>
      <c r="O751" s="2088"/>
      <c r="P751" s="2089"/>
      <c r="Q751" s="2089"/>
      <c r="R751" s="2089"/>
      <c r="S751" s="2090"/>
      <c r="T751" s="2088"/>
      <c r="U751" s="2089"/>
      <c r="V751" s="2089"/>
      <c r="W751" s="2090"/>
      <c r="X751" s="1868">
        <f t="shared" si="47"/>
        <v>0</v>
      </c>
      <c r="Y751" s="1869"/>
      <c r="Z751" s="1869"/>
      <c r="AA751" s="1869"/>
      <c r="AB751" s="1870"/>
      <c r="AC751" s="2091">
        <v>0</v>
      </c>
      <c r="AD751" s="2092"/>
      <c r="AE751" s="2092"/>
      <c r="AF751" s="2092"/>
      <c r="AG751" s="2093"/>
      <c r="AH751" s="1861" t="str">
        <f t="shared" si="48"/>
        <v xml:space="preserve"> </v>
      </c>
      <c r="AI751" s="1862"/>
      <c r="AJ751" s="1863"/>
      <c r="AK751" s="1857" t="s">
        <v>618</v>
      </c>
      <c r="AL751" s="1858"/>
      <c r="AM751" s="1858"/>
      <c r="AN751" s="1858"/>
      <c r="AO751" s="1859"/>
      <c r="AP751" s="239"/>
      <c r="AQ751" s="239"/>
      <c r="AR751" s="239"/>
      <c r="AS751" s="239"/>
      <c r="AY751" s="1201"/>
      <c r="AZ751" s="1201"/>
      <c r="BA751" s="1201"/>
      <c r="BB751" s="1201"/>
      <c r="BC751" s="1201"/>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857"/>
      <c r="C752" s="1858"/>
      <c r="D752" s="1858"/>
      <c r="E752" s="1858"/>
      <c r="F752" s="1859"/>
      <c r="G752" s="2098"/>
      <c r="H752" s="2099"/>
      <c r="I752" s="2099"/>
      <c r="J752" s="2100"/>
      <c r="K752" s="2095"/>
      <c r="L752" s="2096"/>
      <c r="M752" s="2096"/>
      <c r="N752" s="2097"/>
      <c r="O752" s="2088"/>
      <c r="P752" s="2089"/>
      <c r="Q752" s="2089"/>
      <c r="R752" s="2089"/>
      <c r="S752" s="2090"/>
      <c r="T752" s="2088"/>
      <c r="U752" s="2089"/>
      <c r="V752" s="2089"/>
      <c r="W752" s="2090"/>
      <c r="X752" s="1868">
        <f t="shared" si="47"/>
        <v>0</v>
      </c>
      <c r="Y752" s="1869"/>
      <c r="Z752" s="1869"/>
      <c r="AA752" s="1869"/>
      <c r="AB752" s="1870"/>
      <c r="AC752" s="2091">
        <v>0</v>
      </c>
      <c r="AD752" s="2092"/>
      <c r="AE752" s="2092"/>
      <c r="AF752" s="2092"/>
      <c r="AG752" s="2093"/>
      <c r="AH752" s="1861" t="str">
        <f t="shared" si="48"/>
        <v xml:space="preserve"> </v>
      </c>
      <c r="AI752" s="1862"/>
      <c r="AJ752" s="1863"/>
      <c r="AK752" s="1857" t="s">
        <v>618</v>
      </c>
      <c r="AL752" s="1858"/>
      <c r="AM752" s="1858"/>
      <c r="AN752" s="1858"/>
      <c r="AO752" s="1859"/>
      <c r="AP752" s="239"/>
      <c r="AQ752" s="239"/>
      <c r="AR752" s="239"/>
      <c r="AS752" s="239"/>
      <c r="AY752" s="1201"/>
      <c r="AZ752" s="1201"/>
      <c r="BA752" s="1201"/>
      <c r="BB752" s="1201"/>
      <c r="BC752" s="1201"/>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3" t="s">
        <v>130</v>
      </c>
      <c r="C753" s="2184"/>
      <c r="D753" s="2184"/>
      <c r="E753" s="2184"/>
      <c r="F753" s="2185"/>
      <c r="G753" s="2279">
        <f>SUM(G728:J752)</f>
        <v>164</v>
      </c>
      <c r="H753" s="2280"/>
      <c r="I753" s="2280"/>
      <c r="J753" s="2281"/>
      <c r="K753" s="963" t="s">
        <v>129</v>
      </c>
      <c r="L753" s="77"/>
      <c r="M753" s="77"/>
      <c r="N753" s="78"/>
      <c r="O753" s="1868">
        <f>SUMPRODUCT(G728:G752,O728:O752)</f>
        <v>255282</v>
      </c>
      <c r="P753" s="1869"/>
      <c r="Q753" s="1869"/>
      <c r="R753" s="1869"/>
      <c r="S753" s="1870"/>
      <c r="X753" s="965" t="s">
        <v>952</v>
      </c>
      <c r="Y753" s="964"/>
      <c r="Z753" s="964"/>
      <c r="AA753" s="964"/>
      <c r="AB753" s="966"/>
      <c r="AC753" s="2024">
        <f>BI696</f>
        <v>0.59817073170731716</v>
      </c>
      <c r="AD753" s="2025"/>
      <c r="AE753" s="2025"/>
      <c r="AF753" s="2025"/>
      <c r="AG753" s="2026"/>
      <c r="AH753" s="2024">
        <f>BI728</f>
        <v>0.59817073170731716</v>
      </c>
      <c r="AI753" s="2025"/>
      <c r="AJ753" s="2026"/>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78" t="s">
        <v>2333</v>
      </c>
      <c r="C754" s="2278"/>
      <c r="D754" s="2278"/>
      <c r="E754" s="2278"/>
      <c r="F754" s="2278"/>
      <c r="G754" s="2278"/>
      <c r="H754" s="2278"/>
      <c r="I754" s="2278"/>
      <c r="J754" s="2278"/>
      <c r="K754" s="2278"/>
      <c r="L754" s="2278"/>
      <c r="M754" s="2278"/>
      <c r="N754" s="2278"/>
      <c r="O754" s="2278"/>
      <c r="P754" s="2278"/>
      <c r="Q754" s="2278"/>
      <c r="R754" s="2278"/>
      <c r="S754" s="2278"/>
      <c r="T754" s="2278"/>
      <c r="U754" s="2278"/>
      <c r="V754" s="2278"/>
      <c r="W754" s="2278"/>
      <c r="X754" s="2278"/>
      <c r="Y754" s="2278"/>
      <c r="Z754" s="2278"/>
      <c r="AA754" s="2278"/>
      <c r="AB754" s="2278"/>
      <c r="AC754" s="2278"/>
      <c r="AD754" s="2278"/>
      <c r="AE754" s="2278"/>
      <c r="AF754" s="2278"/>
      <c r="AG754" s="2278"/>
      <c r="AH754" s="2278"/>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78"/>
      <c r="C755" s="2278"/>
      <c r="D755" s="2278"/>
      <c r="E755" s="2278"/>
      <c r="F755" s="2278"/>
      <c r="G755" s="2278"/>
      <c r="H755" s="2278"/>
      <c r="I755" s="2278"/>
      <c r="J755" s="2278"/>
      <c r="K755" s="2278"/>
      <c r="L755" s="2278"/>
      <c r="M755" s="2278"/>
      <c r="N755" s="2278"/>
      <c r="O755" s="2278"/>
      <c r="P755" s="2278"/>
      <c r="Q755" s="2278"/>
      <c r="R755" s="2278"/>
      <c r="S755" s="2278"/>
      <c r="T755" s="2278"/>
      <c r="U755" s="2278"/>
      <c r="V755" s="2278"/>
      <c r="W755" s="2278"/>
      <c r="X755" s="2278"/>
      <c r="Y755" s="2278"/>
      <c r="Z755" s="2278"/>
      <c r="AA755" s="2278"/>
      <c r="AB755" s="2278"/>
      <c r="AC755" s="2278"/>
      <c r="AD755" s="2278"/>
      <c r="AE755" s="2278"/>
      <c r="AF755" s="2278"/>
      <c r="AG755" s="2278"/>
      <c r="AH755" s="2278"/>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2331</v>
      </c>
      <c r="D756" s="1135"/>
      <c r="E756" s="1135"/>
      <c r="F756" s="1135"/>
      <c r="G756" s="1136"/>
      <c r="H756" s="1136"/>
      <c r="I756" s="1136"/>
      <c r="J756" s="1136"/>
      <c r="K756" s="1135"/>
      <c r="L756" s="1135"/>
      <c r="M756" s="1135"/>
      <c r="N756" s="1135"/>
      <c r="O756" s="1889">
        <f>CS637</f>
        <v>217</v>
      </c>
      <c r="P756" s="1889"/>
      <c r="Q756" s="1889"/>
      <c r="R756" s="1889"/>
      <c r="S756" s="1137"/>
      <c r="T756" s="1137"/>
      <c r="U756" s="179" t="s">
        <v>2332</v>
      </c>
      <c r="V756" s="1135"/>
      <c r="W756" s="1135"/>
      <c r="X756" s="1135"/>
      <c r="Y756" s="1136"/>
      <c r="Z756" s="1136"/>
      <c r="AA756" s="1136"/>
      <c r="AB756" s="1136"/>
      <c r="AC756" s="1135"/>
      <c r="AD756" s="1135"/>
      <c r="AE756" s="1135"/>
      <c r="AF756" s="1135"/>
      <c r="AG756" s="2224"/>
      <c r="AH756" s="2224"/>
      <c r="AI756" s="2224"/>
      <c r="AJ756" s="2224"/>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2330</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094" t="s">
        <v>618</v>
      </c>
      <c r="AE758" s="2094"/>
      <c r="AF758" s="2094"/>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2644</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182</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138"/>
      <c r="C762" s="2277" t="s">
        <v>2645</v>
      </c>
      <c r="D762" s="2277"/>
      <c r="E762" s="2277"/>
      <c r="F762" s="2277"/>
      <c r="G762" s="2277"/>
      <c r="H762" s="2277"/>
      <c r="I762" s="2277"/>
      <c r="J762" s="2277"/>
      <c r="K762" s="2277"/>
      <c r="L762" s="2277"/>
      <c r="M762" s="2277"/>
      <c r="N762" s="2277"/>
      <c r="O762" s="2277"/>
      <c r="P762" s="2277"/>
      <c r="Q762" s="2277"/>
      <c r="R762" s="2277"/>
      <c r="S762" s="2277"/>
      <c r="T762" s="2277"/>
      <c r="U762" s="2277"/>
      <c r="V762" s="2277"/>
      <c r="W762" s="2277"/>
      <c r="X762" s="2277"/>
      <c r="Y762" s="2277"/>
      <c r="Z762" s="2277"/>
      <c r="AA762" s="2277"/>
      <c r="AB762" s="2277"/>
      <c r="AC762" s="2277"/>
      <c r="AD762" s="2277"/>
      <c r="AE762" s="2277"/>
      <c r="AF762" s="2277"/>
      <c r="AG762" s="2277"/>
      <c r="AH762" s="2277"/>
      <c r="AI762" s="2277"/>
      <c r="AJ762" s="2277"/>
      <c r="AK762" s="2277"/>
      <c r="AL762" s="2277"/>
      <c r="AM762" s="2277"/>
      <c r="AN762" s="2277"/>
      <c r="AO762" s="2277"/>
      <c r="AP762" s="2277"/>
      <c r="AQ762" s="2277"/>
      <c r="AR762" s="2277"/>
      <c r="AS762" s="239"/>
      <c r="AT762" s="88"/>
      <c r="AU762" s="88"/>
      <c r="AV762" s="88"/>
      <c r="AW762" s="88"/>
      <c r="AX762" s="88"/>
      <c r="AY762" s="88"/>
      <c r="CR762" s="177"/>
    </row>
    <row r="763" spans="1:16383" s="58" customFormat="1" ht="12.75" customHeight="1">
      <c r="A763" s="239"/>
      <c r="B763" s="1138"/>
      <c r="C763" s="2277"/>
      <c r="D763" s="2277"/>
      <c r="E763" s="2277"/>
      <c r="F763" s="2277"/>
      <c r="G763" s="2277"/>
      <c r="H763" s="2277"/>
      <c r="I763" s="2277"/>
      <c r="J763" s="2277"/>
      <c r="K763" s="2277"/>
      <c r="L763" s="2277"/>
      <c r="M763" s="2277"/>
      <c r="N763" s="2277"/>
      <c r="O763" s="2277"/>
      <c r="P763" s="2277"/>
      <c r="Q763" s="2277"/>
      <c r="R763" s="2277"/>
      <c r="S763" s="2277"/>
      <c r="T763" s="2277"/>
      <c r="U763" s="2277"/>
      <c r="V763" s="2277"/>
      <c r="W763" s="2277"/>
      <c r="X763" s="2277"/>
      <c r="Y763" s="2277"/>
      <c r="Z763" s="2277"/>
      <c r="AA763" s="2277"/>
      <c r="AB763" s="2277"/>
      <c r="AC763" s="2277"/>
      <c r="AD763" s="2277"/>
      <c r="AE763" s="2277"/>
      <c r="AF763" s="2277"/>
      <c r="AG763" s="2277"/>
      <c r="AH763" s="2277"/>
      <c r="AI763" s="2277"/>
      <c r="AJ763" s="2277"/>
      <c r="AK763" s="2277"/>
      <c r="AL763" s="2277"/>
      <c r="AM763" s="2277"/>
      <c r="AN763" s="2277"/>
      <c r="AO763" s="2277"/>
      <c r="AP763" s="2277"/>
      <c r="AQ763" s="2277"/>
      <c r="AR763" s="2277"/>
      <c r="AS763" s="239"/>
      <c r="AT763" s="88"/>
      <c r="AU763" s="88"/>
      <c r="AV763" s="88"/>
      <c r="AW763" s="88"/>
      <c r="AX763" s="88"/>
      <c r="AY763" s="88"/>
      <c r="CR763" s="177"/>
    </row>
    <row r="764" spans="1:16383" s="58" customFormat="1" ht="12.75" customHeight="1">
      <c r="B764" s="1138"/>
      <c r="C764" s="2277"/>
      <c r="D764" s="2277"/>
      <c r="E764" s="2277"/>
      <c r="F764" s="2277"/>
      <c r="G764" s="2277"/>
      <c r="H764" s="2277"/>
      <c r="I764" s="2277"/>
      <c r="J764" s="2277"/>
      <c r="K764" s="2277"/>
      <c r="L764" s="2277"/>
      <c r="M764" s="2277"/>
      <c r="N764" s="2277"/>
      <c r="O764" s="2277"/>
      <c r="P764" s="2277"/>
      <c r="Q764" s="2277"/>
      <c r="R764" s="2277"/>
      <c r="S764" s="2277"/>
      <c r="T764" s="2277"/>
      <c r="U764" s="2277"/>
      <c r="V764" s="2277"/>
      <c r="W764" s="2277"/>
      <c r="X764" s="2277"/>
      <c r="Y764" s="2277"/>
      <c r="Z764" s="2277"/>
      <c r="AA764" s="2277"/>
      <c r="AB764" s="2277"/>
      <c r="AC764" s="2277"/>
      <c r="AD764" s="2277"/>
      <c r="AE764" s="2277"/>
      <c r="AF764" s="2277"/>
      <c r="AG764" s="2277"/>
      <c r="AH764" s="2277"/>
      <c r="AI764" s="2277"/>
      <c r="AJ764" s="2277"/>
      <c r="AK764" s="2277"/>
      <c r="AL764" s="2277"/>
      <c r="AM764" s="2277"/>
      <c r="AN764" s="2277"/>
      <c r="AO764" s="2277"/>
      <c r="AP764" s="2277"/>
      <c r="AQ764" s="2277"/>
      <c r="AR764" s="2277"/>
      <c r="AS764" s="239"/>
      <c r="AT764" s="88"/>
      <c r="AU764" s="88"/>
      <c r="AV764" s="88"/>
      <c r="AW764" s="88"/>
      <c r="AX764" s="88"/>
      <c r="AY764" s="88"/>
      <c r="CR764" s="177"/>
    </row>
    <row r="765" spans="1:16383" s="58" customFormat="1" ht="12.75" customHeight="1">
      <c r="B765" s="1138"/>
      <c r="C765" s="2277" t="s">
        <v>2646</v>
      </c>
      <c r="D765" s="2277"/>
      <c r="E765" s="2277"/>
      <c r="F765" s="2277"/>
      <c r="G765" s="2277"/>
      <c r="H765" s="2277"/>
      <c r="I765" s="2277"/>
      <c r="J765" s="2277"/>
      <c r="K765" s="2277"/>
      <c r="L765" s="2277"/>
      <c r="M765" s="2277"/>
      <c r="N765" s="2277"/>
      <c r="O765" s="2277"/>
      <c r="P765" s="2277"/>
      <c r="Q765" s="2277"/>
      <c r="R765" s="2277"/>
      <c r="S765" s="2277"/>
      <c r="T765" s="2277"/>
      <c r="U765" s="2277"/>
      <c r="V765" s="2277"/>
      <c r="W765" s="2277"/>
      <c r="X765" s="2277"/>
      <c r="Y765" s="2277"/>
      <c r="Z765" s="2277"/>
      <c r="AA765" s="2277"/>
      <c r="AB765" s="2277"/>
      <c r="AC765" s="2277"/>
      <c r="AD765" s="2277"/>
      <c r="AE765" s="2277"/>
      <c r="AF765" s="2277"/>
      <c r="AG765" s="2277"/>
      <c r="AH765" s="2277"/>
      <c r="AI765" s="2277"/>
      <c r="AJ765" s="2277"/>
      <c r="AK765" s="2277"/>
      <c r="AL765" s="2277"/>
      <c r="AM765" s="2277"/>
      <c r="AN765" s="2277"/>
      <c r="AO765" s="2277"/>
      <c r="AP765" s="2277"/>
      <c r="AQ765" s="2277"/>
      <c r="AR765" s="2277"/>
      <c r="AS765" s="239"/>
      <c r="AT765" s="88"/>
      <c r="AU765" s="88"/>
      <c r="AV765" s="88"/>
      <c r="AW765" s="88"/>
      <c r="AX765" s="88"/>
      <c r="AY765" s="88"/>
      <c r="CR765" s="177"/>
    </row>
    <row r="766" spans="1:16383" s="58" customFormat="1" ht="12.75" customHeight="1">
      <c r="B766" s="1138"/>
      <c r="C766" s="2277"/>
      <c r="D766" s="2277"/>
      <c r="E766" s="2277"/>
      <c r="F766" s="2277"/>
      <c r="G766" s="2277"/>
      <c r="H766" s="2277"/>
      <c r="I766" s="2277"/>
      <c r="J766" s="2277"/>
      <c r="K766" s="2277"/>
      <c r="L766" s="2277"/>
      <c r="M766" s="2277"/>
      <c r="N766" s="2277"/>
      <c r="O766" s="2277"/>
      <c r="P766" s="2277"/>
      <c r="Q766" s="2277"/>
      <c r="R766" s="2277"/>
      <c r="S766" s="2277"/>
      <c r="T766" s="2277"/>
      <c r="U766" s="2277"/>
      <c r="V766" s="2277"/>
      <c r="W766" s="2277"/>
      <c r="X766" s="2277"/>
      <c r="Y766" s="2277"/>
      <c r="Z766" s="2277"/>
      <c r="AA766" s="2277"/>
      <c r="AB766" s="2277"/>
      <c r="AC766" s="2277"/>
      <c r="AD766" s="2277"/>
      <c r="AE766" s="2277"/>
      <c r="AF766" s="2277"/>
      <c r="AG766" s="2277"/>
      <c r="AH766" s="2277"/>
      <c r="AI766" s="2277"/>
      <c r="AJ766" s="2277"/>
      <c r="AK766" s="2277"/>
      <c r="AL766" s="2277"/>
      <c r="AM766" s="2277"/>
      <c r="AN766" s="2277"/>
      <c r="AO766" s="2277"/>
      <c r="AP766" s="2277"/>
      <c r="AQ766" s="2277"/>
      <c r="AR766" s="2277"/>
      <c r="AS766" s="239"/>
      <c r="AT766" s="88"/>
      <c r="AU766" s="88"/>
      <c r="AV766" s="88"/>
      <c r="AW766" s="88"/>
      <c r="AX766" s="88"/>
      <c r="AY766" s="88"/>
      <c r="CR766" s="177"/>
    </row>
    <row r="767" spans="1:16383" s="58" customFormat="1" ht="12.75" customHeight="1">
      <c r="B767" s="1138"/>
      <c r="C767" s="2277"/>
      <c r="D767" s="2277"/>
      <c r="E767" s="2277"/>
      <c r="F767" s="2277"/>
      <c r="G767" s="2277"/>
      <c r="H767" s="2277"/>
      <c r="I767" s="2277"/>
      <c r="J767" s="2277"/>
      <c r="K767" s="2277"/>
      <c r="L767" s="2277"/>
      <c r="M767" s="2277"/>
      <c r="N767" s="2277"/>
      <c r="O767" s="2277"/>
      <c r="P767" s="2277"/>
      <c r="Q767" s="2277"/>
      <c r="R767" s="2277"/>
      <c r="S767" s="2277"/>
      <c r="T767" s="2277"/>
      <c r="U767" s="2277"/>
      <c r="V767" s="2277"/>
      <c r="W767" s="2277"/>
      <c r="X767" s="2277"/>
      <c r="Y767" s="2277"/>
      <c r="Z767" s="2277"/>
      <c r="AA767" s="2277"/>
      <c r="AB767" s="2277"/>
      <c r="AC767" s="2277"/>
      <c r="AD767" s="2277"/>
      <c r="AE767" s="2277"/>
      <c r="AF767" s="2277"/>
      <c r="AG767" s="2277"/>
      <c r="AH767" s="2277"/>
      <c r="AI767" s="2277"/>
      <c r="AJ767" s="2277"/>
      <c r="AK767" s="2277"/>
      <c r="AL767" s="2277"/>
      <c r="AM767" s="2277"/>
      <c r="AN767" s="2277"/>
      <c r="AO767" s="2277"/>
      <c r="AP767" s="2277"/>
      <c r="AQ767" s="2277"/>
      <c r="AR767" s="2277"/>
      <c r="AS767" s="239"/>
      <c r="AT767" s="88"/>
      <c r="AU767" s="88"/>
      <c r="AV767" s="88"/>
      <c r="AW767" s="88"/>
      <c r="AX767" s="88"/>
      <c r="AY767" s="88"/>
      <c r="CR767" s="177"/>
    </row>
    <row r="768" spans="1:16383" ht="12.75" customHeight="1">
      <c r="J768" s="2110" t="s">
        <v>404</v>
      </c>
      <c r="K768" s="2111"/>
      <c r="L768" s="2111"/>
      <c r="M768" s="2111"/>
      <c r="N768" s="2112"/>
      <c r="O768" s="2222" t="s">
        <v>291</v>
      </c>
      <c r="P768" s="2222"/>
      <c r="Q768" s="2222"/>
      <c r="R768" s="2222"/>
      <c r="S768" s="2222"/>
      <c r="T768" s="2119" t="s">
        <v>1996</v>
      </c>
      <c r="U768" s="2120"/>
      <c r="V768" s="2120"/>
      <c r="W768" s="2121"/>
      <c r="X768" s="2110" t="s">
        <v>472</v>
      </c>
      <c r="Y768" s="2111"/>
      <c r="Z768" s="2111"/>
      <c r="AA768" s="2111"/>
      <c r="AB768" s="2112"/>
      <c r="AC768" s="2110" t="s">
        <v>292</v>
      </c>
      <c r="AD768" s="2111"/>
      <c r="AE768" s="2111"/>
      <c r="AF768" s="2111"/>
      <c r="AG768" s="2112"/>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22"/>
      <c r="P769" s="2222"/>
      <c r="Q769" s="2222"/>
      <c r="R769" s="2222"/>
      <c r="S769" s="2222"/>
      <c r="T769" s="2122"/>
      <c r="U769" s="2123"/>
      <c r="V769" s="2123"/>
      <c r="W769" s="2124"/>
      <c r="X769" s="2113"/>
      <c r="Y769" s="2114"/>
      <c r="Z769" s="2114"/>
      <c r="AA769" s="2114"/>
      <c r="AB769" s="2115"/>
      <c r="AC769" s="2113"/>
      <c r="AD769" s="2114"/>
      <c r="AE769" s="2114"/>
      <c r="AF769" s="2114"/>
      <c r="AG769" s="2115"/>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22"/>
      <c r="P770" s="2222"/>
      <c r="Q770" s="2222"/>
      <c r="R770" s="2222"/>
      <c r="S770" s="2222"/>
      <c r="T770" s="2122"/>
      <c r="U770" s="2123"/>
      <c r="V770" s="2123"/>
      <c r="W770" s="2124"/>
      <c r="X770" s="2113"/>
      <c r="Y770" s="2114"/>
      <c r="Z770" s="2114"/>
      <c r="AA770" s="2114"/>
      <c r="AB770" s="2115"/>
      <c r="AC770" s="2113"/>
      <c r="AD770" s="2114"/>
      <c r="AE770" s="2114"/>
      <c r="AF770" s="2114"/>
      <c r="AG770" s="2115"/>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22"/>
      <c r="P771" s="2222"/>
      <c r="Q771" s="2222"/>
      <c r="R771" s="2222"/>
      <c r="S771" s="2222"/>
      <c r="T771" s="2125"/>
      <c r="U771" s="2126"/>
      <c r="V771" s="2126"/>
      <c r="W771" s="2127"/>
      <c r="X771" s="2116"/>
      <c r="Y771" s="2117"/>
      <c r="Z771" s="2117"/>
      <c r="AA771" s="2117"/>
      <c r="AB771" s="2118"/>
      <c r="AC771" s="2116"/>
      <c r="AD771" s="2117"/>
      <c r="AE771" s="2117"/>
      <c r="AF771" s="2117"/>
      <c r="AG771" s="2118"/>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57" t="s">
        <v>168</v>
      </c>
      <c r="K772" s="1858"/>
      <c r="L772" s="1858"/>
      <c r="M772" s="1858"/>
      <c r="N772" s="1859"/>
      <c r="O772" s="2129">
        <v>2</v>
      </c>
      <c r="P772" s="2129"/>
      <c r="Q772" s="2129"/>
      <c r="R772" s="2129"/>
      <c r="S772" s="2129"/>
      <c r="T772" s="2095">
        <v>711</v>
      </c>
      <c r="U772" s="2096"/>
      <c r="V772" s="2096"/>
      <c r="W772" s="2097"/>
      <c r="X772" s="2088">
        <v>2057</v>
      </c>
      <c r="Y772" s="2089"/>
      <c r="Z772" s="2089"/>
      <c r="AA772" s="2089"/>
      <c r="AB772" s="2090"/>
      <c r="AC772" s="1868">
        <f>X772*O772</f>
        <v>4114</v>
      </c>
      <c r="AD772" s="1869"/>
      <c r="AE772" s="1869"/>
      <c r="AF772" s="1869"/>
      <c r="AG772" s="1870"/>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57"/>
      <c r="K773" s="1858"/>
      <c r="L773" s="1858"/>
      <c r="M773" s="1858"/>
      <c r="N773" s="1859"/>
      <c r="O773" s="2129"/>
      <c r="P773" s="2129"/>
      <c r="Q773" s="2129"/>
      <c r="R773" s="2129"/>
      <c r="S773" s="2129"/>
      <c r="T773" s="2095"/>
      <c r="U773" s="2096"/>
      <c r="V773" s="2096"/>
      <c r="W773" s="2097"/>
      <c r="X773" s="2088"/>
      <c r="Y773" s="2089"/>
      <c r="Z773" s="2089"/>
      <c r="AA773" s="2089"/>
      <c r="AB773" s="2090"/>
      <c r="AC773" s="1868">
        <f>X773*O773</f>
        <v>0</v>
      </c>
      <c r="AD773" s="1869"/>
      <c r="AE773" s="1869"/>
      <c r="AF773" s="1869"/>
      <c r="AG773" s="1870"/>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57"/>
      <c r="K774" s="1858"/>
      <c r="L774" s="1858"/>
      <c r="M774" s="1858"/>
      <c r="N774" s="1859"/>
      <c r="O774" s="2129"/>
      <c r="P774" s="2129"/>
      <c r="Q774" s="2129"/>
      <c r="R774" s="2129"/>
      <c r="S774" s="2129"/>
      <c r="T774" s="2095"/>
      <c r="U774" s="2096"/>
      <c r="V774" s="2096"/>
      <c r="W774" s="2097"/>
      <c r="X774" s="2088"/>
      <c r="Y774" s="2089"/>
      <c r="Z774" s="2089"/>
      <c r="AA774" s="2089"/>
      <c r="AB774" s="2090"/>
      <c r="AC774" s="1868">
        <f>X774*O774</f>
        <v>0</v>
      </c>
      <c r="AD774" s="1869"/>
      <c r="AE774" s="1869"/>
      <c r="AF774" s="1869"/>
      <c r="AG774" s="1870"/>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57"/>
      <c r="K775" s="1858"/>
      <c r="L775" s="1858"/>
      <c r="M775" s="1858"/>
      <c r="N775" s="1859"/>
      <c r="O775" s="2129"/>
      <c r="P775" s="2129"/>
      <c r="Q775" s="2129"/>
      <c r="R775" s="2129"/>
      <c r="S775" s="2129"/>
      <c r="T775" s="2095"/>
      <c r="U775" s="2096"/>
      <c r="V775" s="2096"/>
      <c r="W775" s="2097"/>
      <c r="X775" s="2088"/>
      <c r="Y775" s="2089"/>
      <c r="Z775" s="2089"/>
      <c r="AA775" s="2089"/>
      <c r="AB775" s="2090"/>
      <c r="AC775" s="1868">
        <f>X775*O775</f>
        <v>0</v>
      </c>
      <c r="AD775" s="1869"/>
      <c r="AE775" s="1869"/>
      <c r="AF775" s="1869"/>
      <c r="AG775" s="1870"/>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5"/>
      <c r="O776" s="2180">
        <f>SUM(O772:S775)</f>
        <v>2</v>
      </c>
      <c r="P776" s="2181"/>
      <c r="Q776" s="2181"/>
      <c r="R776" s="2181"/>
      <c r="S776" s="2182"/>
      <c r="X776" s="2107" t="s">
        <v>129</v>
      </c>
      <c r="Y776" s="2108"/>
      <c r="Z776" s="2108"/>
      <c r="AA776" s="2108"/>
      <c r="AB776" s="2109"/>
      <c r="AC776" s="1868">
        <f>SUM(AC772:AG775)</f>
        <v>4114</v>
      </c>
      <c r="AD776" s="1869"/>
      <c r="AE776" s="1869"/>
      <c r="AF776" s="1869"/>
      <c r="AG776" s="1870"/>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07" t="s">
        <v>696</v>
      </c>
      <c r="K778" s="2207"/>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2647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404</v>
      </c>
      <c r="K782" s="2111"/>
      <c r="L782" s="2111"/>
      <c r="M782" s="2111"/>
      <c r="N782" s="2112"/>
      <c r="O782" s="2222" t="s">
        <v>291</v>
      </c>
      <c r="P782" s="2222"/>
      <c r="Q782" s="2222"/>
      <c r="R782" s="2222"/>
      <c r="S782" s="2222"/>
      <c r="T782" s="2119" t="s">
        <v>1996</v>
      </c>
      <c r="U782" s="2120"/>
      <c r="V782" s="2120"/>
      <c r="W782" s="2121"/>
      <c r="X782" s="2110" t="s">
        <v>472</v>
      </c>
      <c r="Y782" s="2111"/>
      <c r="Z782" s="2111"/>
      <c r="AA782" s="2111"/>
      <c r="AB782" s="2112"/>
      <c r="AC782" s="2110" t="s">
        <v>292</v>
      </c>
      <c r="AD782" s="2111"/>
      <c r="AE782" s="2111"/>
      <c r="AF782" s="2111"/>
      <c r="AG782" s="2112"/>
      <c r="AH782" s="2273" t="s">
        <v>2200</v>
      </c>
      <c r="AI782" s="2274"/>
      <c r="AJ782" s="2274"/>
      <c r="AK782" s="2274"/>
      <c r="AL782" s="22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22"/>
      <c r="P783" s="2222"/>
      <c r="Q783" s="2222"/>
      <c r="R783" s="2222"/>
      <c r="S783" s="2222"/>
      <c r="T783" s="2122"/>
      <c r="U783" s="2123"/>
      <c r="V783" s="2123"/>
      <c r="W783" s="2124"/>
      <c r="X783" s="2113"/>
      <c r="Y783" s="2114"/>
      <c r="Z783" s="2114"/>
      <c r="AA783" s="2114"/>
      <c r="AB783" s="2115"/>
      <c r="AC783" s="2113"/>
      <c r="AD783" s="2114"/>
      <c r="AE783" s="2114"/>
      <c r="AF783" s="2114"/>
      <c r="AG783" s="2115"/>
      <c r="AH783" s="2273"/>
      <c r="AI783" s="2274"/>
      <c r="AJ783" s="2274"/>
      <c r="AK783" s="2274"/>
      <c r="AL783" s="227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22"/>
      <c r="P784" s="2222"/>
      <c r="Q784" s="2222"/>
      <c r="R784" s="2222"/>
      <c r="S784" s="2222"/>
      <c r="T784" s="2122"/>
      <c r="U784" s="2123"/>
      <c r="V784" s="2123"/>
      <c r="W784" s="2124"/>
      <c r="X784" s="2113"/>
      <c r="Y784" s="2114"/>
      <c r="Z784" s="2114"/>
      <c r="AA784" s="2114"/>
      <c r="AB784" s="2115"/>
      <c r="AC784" s="2113"/>
      <c r="AD784" s="2114"/>
      <c r="AE784" s="2114"/>
      <c r="AF784" s="2114"/>
      <c r="AG784" s="2115"/>
      <c r="AH784" s="2273"/>
      <c r="AI784" s="2274"/>
      <c r="AJ784" s="2274"/>
      <c r="AK784" s="2274"/>
      <c r="AL784" s="227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22"/>
      <c r="P785" s="2222"/>
      <c r="Q785" s="2222"/>
      <c r="R785" s="2222"/>
      <c r="S785" s="2222"/>
      <c r="T785" s="2125"/>
      <c r="U785" s="2126"/>
      <c r="V785" s="2126"/>
      <c r="W785" s="2127"/>
      <c r="X785" s="2116"/>
      <c r="Y785" s="2117"/>
      <c r="Z785" s="2117"/>
      <c r="AA785" s="2117"/>
      <c r="AB785" s="2118"/>
      <c r="AC785" s="2116"/>
      <c r="AD785" s="2117"/>
      <c r="AE785" s="2117"/>
      <c r="AF785" s="2117"/>
      <c r="AG785" s="2118"/>
      <c r="AH785" s="2273"/>
      <c r="AI785" s="2274"/>
      <c r="AJ785" s="2274"/>
      <c r="AK785" s="2274"/>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57"/>
      <c r="K786" s="1858"/>
      <c r="L786" s="1858"/>
      <c r="M786" s="1858"/>
      <c r="N786" s="1859"/>
      <c r="O786" s="2129"/>
      <c r="P786" s="2129"/>
      <c r="Q786" s="2129"/>
      <c r="R786" s="2129"/>
      <c r="S786" s="2129"/>
      <c r="T786" s="2095"/>
      <c r="U786" s="2096"/>
      <c r="V786" s="2096"/>
      <c r="W786" s="2097"/>
      <c r="X786" s="2088"/>
      <c r="Y786" s="2089"/>
      <c r="Z786" s="2089"/>
      <c r="AA786" s="2089"/>
      <c r="AB786" s="2090"/>
      <c r="AC786" s="1868">
        <f t="shared" ref="AC786:AC795" si="49">X786*O786</f>
        <v>0</v>
      </c>
      <c r="AD786" s="1869"/>
      <c r="AE786" s="1869"/>
      <c r="AF786" s="1869"/>
      <c r="AG786" s="1870"/>
      <c r="AH786" s="2130"/>
      <c r="AI786" s="2131"/>
      <c r="AJ786" s="2131"/>
      <c r="AK786" s="2131"/>
      <c r="AL786" s="21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57"/>
      <c r="K787" s="1858"/>
      <c r="L787" s="1858"/>
      <c r="M787" s="1858"/>
      <c r="N787" s="1859"/>
      <c r="O787" s="2129"/>
      <c r="P787" s="2129"/>
      <c r="Q787" s="2129"/>
      <c r="R787" s="2129"/>
      <c r="S787" s="2129"/>
      <c r="T787" s="2095"/>
      <c r="U787" s="2096"/>
      <c r="V787" s="2096"/>
      <c r="W787" s="2097"/>
      <c r="X787" s="2088"/>
      <c r="Y787" s="2089"/>
      <c r="Z787" s="2089"/>
      <c r="AA787" s="2089"/>
      <c r="AB787" s="2090"/>
      <c r="AC787" s="1868">
        <f t="shared" si="49"/>
        <v>0</v>
      </c>
      <c r="AD787" s="1869"/>
      <c r="AE787" s="1869"/>
      <c r="AF787" s="1869"/>
      <c r="AG787" s="1870"/>
      <c r="AH787" s="2130"/>
      <c r="AI787" s="2131"/>
      <c r="AJ787" s="2131"/>
      <c r="AK787" s="2131"/>
      <c r="AL787" s="21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57"/>
      <c r="K788" s="1858"/>
      <c r="L788" s="1858"/>
      <c r="M788" s="1858"/>
      <c r="N788" s="1859"/>
      <c r="O788" s="2129"/>
      <c r="P788" s="2129"/>
      <c r="Q788" s="2129"/>
      <c r="R788" s="2129"/>
      <c r="S788" s="2129"/>
      <c r="T788" s="2095"/>
      <c r="U788" s="2096"/>
      <c r="V788" s="2096"/>
      <c r="W788" s="2097"/>
      <c r="X788" s="2088"/>
      <c r="Y788" s="2089"/>
      <c r="Z788" s="2089"/>
      <c r="AA788" s="2089"/>
      <c r="AB788" s="2090"/>
      <c r="AC788" s="1868">
        <f t="shared" si="49"/>
        <v>0</v>
      </c>
      <c r="AD788" s="1869"/>
      <c r="AE788" s="1869"/>
      <c r="AF788" s="1869"/>
      <c r="AG788" s="1870"/>
      <c r="AH788" s="2130"/>
      <c r="AI788" s="2131"/>
      <c r="AJ788" s="2131"/>
      <c r="AK788" s="2131"/>
      <c r="AL788" s="21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57"/>
      <c r="K789" s="1858"/>
      <c r="L789" s="1858"/>
      <c r="M789" s="1858"/>
      <c r="N789" s="1859"/>
      <c r="O789" s="2129"/>
      <c r="P789" s="2129"/>
      <c r="Q789" s="2129"/>
      <c r="R789" s="2129"/>
      <c r="S789" s="2129"/>
      <c r="T789" s="2095"/>
      <c r="U789" s="2096"/>
      <c r="V789" s="2096"/>
      <c r="W789" s="2097"/>
      <c r="X789" s="2088"/>
      <c r="Y789" s="2089"/>
      <c r="Z789" s="2089"/>
      <c r="AA789" s="2089"/>
      <c r="AB789" s="2090"/>
      <c r="AC789" s="1868">
        <f t="shared" si="49"/>
        <v>0</v>
      </c>
      <c r="AD789" s="1869"/>
      <c r="AE789" s="1869"/>
      <c r="AF789" s="1869"/>
      <c r="AG789" s="1870"/>
      <c r="AH789" s="2130"/>
      <c r="AI789" s="2131"/>
      <c r="AJ789" s="2131"/>
      <c r="AK789" s="2131"/>
      <c r="AL789" s="21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57"/>
      <c r="K790" s="1858"/>
      <c r="L790" s="1858"/>
      <c r="M790" s="1858"/>
      <c r="N790" s="1859"/>
      <c r="O790" s="2129"/>
      <c r="P790" s="2129"/>
      <c r="Q790" s="2129"/>
      <c r="R790" s="2129"/>
      <c r="S790" s="2129"/>
      <c r="T790" s="2095"/>
      <c r="U790" s="2096"/>
      <c r="V790" s="2096"/>
      <c r="W790" s="2097"/>
      <c r="X790" s="2088"/>
      <c r="Y790" s="2089"/>
      <c r="Z790" s="2089"/>
      <c r="AA790" s="2089"/>
      <c r="AB790" s="2090"/>
      <c r="AC790" s="1868">
        <f t="shared" si="49"/>
        <v>0</v>
      </c>
      <c r="AD790" s="1869"/>
      <c r="AE790" s="1869"/>
      <c r="AF790" s="1869"/>
      <c r="AG790" s="1870"/>
      <c r="AH790" s="2130"/>
      <c r="AI790" s="2131"/>
      <c r="AJ790" s="2131"/>
      <c r="AK790" s="2131"/>
      <c r="AL790" s="21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57"/>
      <c r="K791" s="1858"/>
      <c r="L791" s="1858"/>
      <c r="M791" s="1858"/>
      <c r="N791" s="1859"/>
      <c r="O791" s="2129"/>
      <c r="P791" s="2129"/>
      <c r="Q791" s="2129"/>
      <c r="R791" s="2129"/>
      <c r="S791" s="2129"/>
      <c r="T791" s="2095"/>
      <c r="U791" s="2096"/>
      <c r="V791" s="2096"/>
      <c r="W791" s="2097"/>
      <c r="X791" s="2088"/>
      <c r="Y791" s="2089"/>
      <c r="Z791" s="2089"/>
      <c r="AA791" s="2089"/>
      <c r="AB791" s="2090"/>
      <c r="AC791" s="1868">
        <f t="shared" si="49"/>
        <v>0</v>
      </c>
      <c r="AD791" s="1869"/>
      <c r="AE791" s="1869"/>
      <c r="AF791" s="1869"/>
      <c r="AG791" s="1870"/>
      <c r="AH791" s="2130"/>
      <c r="AI791" s="2131"/>
      <c r="AJ791" s="2131"/>
      <c r="AK791" s="2131"/>
      <c r="AL791" s="21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57"/>
      <c r="K792" s="1858"/>
      <c r="L792" s="1858"/>
      <c r="M792" s="1858"/>
      <c r="N792" s="1859"/>
      <c r="O792" s="2129"/>
      <c r="P792" s="2129"/>
      <c r="Q792" s="2129"/>
      <c r="R792" s="2129"/>
      <c r="S792" s="2129"/>
      <c r="T792" s="2095"/>
      <c r="U792" s="2096"/>
      <c r="V792" s="2096"/>
      <c r="W792" s="2097"/>
      <c r="X792" s="2088"/>
      <c r="Y792" s="2089"/>
      <c r="Z792" s="2089"/>
      <c r="AA792" s="2089"/>
      <c r="AB792" s="2090"/>
      <c r="AC792" s="1868">
        <f t="shared" si="49"/>
        <v>0</v>
      </c>
      <c r="AD792" s="1869"/>
      <c r="AE792" s="1869"/>
      <c r="AF792" s="1869"/>
      <c r="AG792" s="1870"/>
      <c r="AH792" s="2130"/>
      <c r="AI792" s="2131"/>
      <c r="AJ792" s="2131"/>
      <c r="AK792" s="2131"/>
      <c r="AL792" s="21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57"/>
      <c r="K793" s="1858"/>
      <c r="L793" s="1858"/>
      <c r="M793" s="1858"/>
      <c r="N793" s="1859"/>
      <c r="O793" s="2129"/>
      <c r="P793" s="2129"/>
      <c r="Q793" s="2129"/>
      <c r="R793" s="2129"/>
      <c r="S793" s="2129"/>
      <c r="T793" s="2095"/>
      <c r="U793" s="2096"/>
      <c r="V793" s="2096"/>
      <c r="W793" s="2097"/>
      <c r="X793" s="2088"/>
      <c r="Y793" s="2089"/>
      <c r="Z793" s="2089"/>
      <c r="AA793" s="2089"/>
      <c r="AB793" s="2090"/>
      <c r="AC793" s="1868">
        <f t="shared" si="49"/>
        <v>0</v>
      </c>
      <c r="AD793" s="1869"/>
      <c r="AE793" s="1869"/>
      <c r="AF793" s="1869"/>
      <c r="AG793" s="1870"/>
      <c r="AH793" s="2130"/>
      <c r="AI793" s="2131"/>
      <c r="AJ793" s="2131"/>
      <c r="AK793" s="2131"/>
      <c r="AL793" s="21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57"/>
      <c r="K794" s="1858"/>
      <c r="L794" s="1858"/>
      <c r="M794" s="1858"/>
      <c r="N794" s="1859"/>
      <c r="O794" s="2129"/>
      <c r="P794" s="2129"/>
      <c r="Q794" s="2129"/>
      <c r="R794" s="2129"/>
      <c r="S794" s="2129"/>
      <c r="T794" s="2095"/>
      <c r="U794" s="2096"/>
      <c r="V794" s="2096"/>
      <c r="W794" s="2097"/>
      <c r="X794" s="2088"/>
      <c r="Y794" s="2089"/>
      <c r="Z794" s="2089"/>
      <c r="AA794" s="2089"/>
      <c r="AB794" s="2090"/>
      <c r="AC794" s="1868">
        <f t="shared" si="49"/>
        <v>0</v>
      </c>
      <c r="AD794" s="1869"/>
      <c r="AE794" s="1869"/>
      <c r="AF794" s="1869"/>
      <c r="AG794" s="1870"/>
      <c r="AH794" s="2130"/>
      <c r="AI794" s="2131"/>
      <c r="AJ794" s="2131"/>
      <c r="AK794" s="2131"/>
      <c r="AL794" s="21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57"/>
      <c r="K795" s="1858"/>
      <c r="L795" s="1858"/>
      <c r="M795" s="1858"/>
      <c r="N795" s="1859"/>
      <c r="O795" s="2129"/>
      <c r="P795" s="2129"/>
      <c r="Q795" s="2129"/>
      <c r="R795" s="2129"/>
      <c r="S795" s="2129"/>
      <c r="T795" s="2095"/>
      <c r="U795" s="2096"/>
      <c r="V795" s="2096"/>
      <c r="W795" s="2097"/>
      <c r="X795" s="2088"/>
      <c r="Y795" s="2089"/>
      <c r="Z795" s="2089"/>
      <c r="AA795" s="2089"/>
      <c r="AB795" s="2090"/>
      <c r="AC795" s="1868">
        <f t="shared" si="49"/>
        <v>0</v>
      </c>
      <c r="AD795" s="1869"/>
      <c r="AE795" s="1869"/>
      <c r="AF795" s="1869"/>
      <c r="AG795" s="1870"/>
      <c r="AH795" s="2130"/>
      <c r="AI795" s="2131"/>
      <c r="AJ795" s="2131"/>
      <c r="AK795" s="2131"/>
      <c r="AL795" s="21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5"/>
      <c r="O796" s="2276">
        <f>SUM(O786:S795)</f>
        <v>0</v>
      </c>
      <c r="P796" s="2276"/>
      <c r="Q796" s="2276"/>
      <c r="R796" s="2276"/>
      <c r="S796" s="2276"/>
      <c r="X796" s="967" t="s">
        <v>129</v>
      </c>
      <c r="Y796" s="968"/>
      <c r="Z796" s="968"/>
      <c r="AA796" s="968"/>
      <c r="AB796" s="969"/>
      <c r="AC796" s="1868">
        <f>SUM(AC786:AG795)</f>
        <v>0</v>
      </c>
      <c r="AD796" s="1869"/>
      <c r="AE796" s="1869"/>
      <c r="AF796" s="1869"/>
      <c r="AG796" s="1870"/>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23">
        <f>O753+AC776+AC796</f>
        <v>259396</v>
      </c>
      <c r="Z798" s="2223"/>
      <c r="AA798" s="2223"/>
      <c r="AB798" s="2223"/>
      <c r="AC798" s="222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23">
        <f>(O753+AC776+AC796)*12</f>
        <v>3112752</v>
      </c>
      <c r="Z799" s="2223"/>
      <c r="AA799" s="2223"/>
      <c r="AB799" s="2223"/>
      <c r="AC799" s="2223"/>
      <c r="AZ799" s="58"/>
      <c r="BA799" s="51" t="s">
        <v>659</v>
      </c>
      <c r="BB799" s="51"/>
      <c r="BC799" s="51"/>
      <c r="BD799" s="51"/>
      <c r="BE799" s="51"/>
      <c r="BF799" s="51"/>
      <c r="BG799" s="51"/>
      <c r="BH799" s="51"/>
      <c r="BI799" s="51"/>
      <c r="BJ799" s="51"/>
      <c r="BK799" s="51"/>
      <c r="BL799" s="51"/>
      <c r="BM799" s="51"/>
      <c r="BN799" s="2220" t="s">
        <v>495</v>
      </c>
      <c r="BO799" s="2221"/>
      <c r="BP799" s="58"/>
      <c r="BQ799" s="58"/>
      <c r="BR799" s="58"/>
      <c r="BS799" s="51" t="s">
        <v>661</v>
      </c>
      <c r="BT799" s="51"/>
      <c r="BU799" s="51"/>
      <c r="BV799" s="51"/>
      <c r="BW799" s="51"/>
      <c r="BX799" s="51"/>
      <c r="BY799" s="51"/>
      <c r="BZ799" s="51"/>
      <c r="CA799" s="51"/>
      <c r="CB799" s="2217" t="str">
        <f>T189</f>
        <v>Orange</v>
      </c>
      <c r="CC799" s="2218"/>
      <c r="CD799" s="2218"/>
      <c r="CE799" s="2218"/>
      <c r="CF799" s="2218"/>
      <c r="CG799" s="2218"/>
      <c r="CH799" s="22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2357</v>
      </c>
      <c r="BP802" s="54"/>
      <c r="BQ802" s="54"/>
      <c r="BR802" s="54"/>
      <c r="BS802" s="54"/>
      <c r="BT802" s="54"/>
      <c r="BV802" s="53" t="s">
        <v>2358</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33"/>
      <c r="AA804" s="2234"/>
      <c r="AB804" s="2234"/>
      <c r="AC804" s="2234"/>
      <c r="AD804" s="2234"/>
      <c r="AE804" s="22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75"/>
      <c r="AA805" s="2234"/>
      <c r="AB805" s="2234"/>
      <c r="AC805" s="2234"/>
      <c r="AD805" s="2234"/>
      <c r="AE805" s="22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059">
        <v>0</v>
      </c>
      <c r="AA806" s="2060"/>
      <c r="AB806" s="2060"/>
      <c r="AC806" s="2060"/>
      <c r="AD806" s="2060"/>
      <c r="AE806" s="206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88">
        <f>'Subsidy Contract Calculation'!J30</f>
        <v>0</v>
      </c>
      <c r="AA807" s="2189"/>
      <c r="AB807" s="2189"/>
      <c r="AC807" s="2189"/>
      <c r="AD807" s="2189"/>
      <c r="AE807" s="219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882">
        <v>29880</v>
      </c>
      <c r="AA811" s="1883"/>
      <c r="AB811" s="1883"/>
      <c r="AC811" s="1883"/>
      <c r="AD811" s="1883"/>
      <c r="AE811" s="18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882"/>
      <c r="AA812" s="1883"/>
      <c r="AB812" s="1883"/>
      <c r="AC812" s="1883"/>
      <c r="AD812" s="1883"/>
      <c r="AE812" s="18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882"/>
      <c r="AA813" s="1883"/>
      <c r="AB813" s="1883"/>
      <c r="AC813" s="1883"/>
      <c r="AD813" s="1883"/>
      <c r="AE813" s="18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055" t="s">
        <v>340</v>
      </c>
      <c r="Q814" s="2056"/>
      <c r="R814" s="2056"/>
      <c r="S814" s="2056"/>
      <c r="T814" s="2056"/>
      <c r="U814" s="2056"/>
      <c r="V814" s="2056"/>
      <c r="W814" s="2056"/>
      <c r="X814" s="2056"/>
      <c r="Y814" s="2057"/>
      <c r="Z814" s="1882"/>
      <c r="AA814" s="1883"/>
      <c r="AB814" s="1883"/>
      <c r="AC814" s="1883"/>
      <c r="AD814" s="1883"/>
      <c r="AE814" s="18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88">
        <f>SUM(Z811:AE814)</f>
        <v>29880</v>
      </c>
      <c r="AA815" s="2189"/>
      <c r="AB815" s="2189"/>
      <c r="AC815" s="2189"/>
      <c r="AD815" s="2189"/>
      <c r="AE815" s="219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88">
        <f>Z815+Y799+Z807</f>
        <v>3142632</v>
      </c>
      <c r="AA816" s="2189"/>
      <c r="AB816" s="2189"/>
      <c r="AC816" s="2189"/>
      <c r="AD816" s="2189"/>
      <c r="AE816" s="219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174" t="s">
        <v>296</v>
      </c>
      <c r="R821" s="2174"/>
      <c r="S821" s="2174"/>
      <c r="T821" s="2174"/>
      <c r="U821" s="2174" t="s">
        <v>297</v>
      </c>
      <c r="V821" s="2174"/>
      <c r="W821" s="2174"/>
      <c r="X821" s="2174"/>
      <c r="Y821" s="2174" t="s">
        <v>298</v>
      </c>
      <c r="Z821" s="2174"/>
      <c r="AA821" s="2174"/>
      <c r="AB821" s="2174"/>
      <c r="AC821" s="2174" t="s">
        <v>368</v>
      </c>
      <c r="AD821" s="2174"/>
      <c r="AE821" s="2174"/>
      <c r="AF821" s="2174"/>
      <c r="AG821" s="2101" t="s">
        <v>341</v>
      </c>
      <c r="AH821" s="2101"/>
      <c r="AI821" s="2101"/>
      <c r="AJ821" s="210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174"/>
      <c r="R822" s="2174"/>
      <c r="S822" s="2174"/>
      <c r="T822" s="2174"/>
      <c r="U822" s="2174"/>
      <c r="V822" s="2174"/>
      <c r="W822" s="2174"/>
      <c r="X822" s="2174"/>
      <c r="Y822" s="2174"/>
      <c r="Z822" s="2174"/>
      <c r="AA822" s="2174"/>
      <c r="AB822" s="2174"/>
      <c r="AC822" s="2174"/>
      <c r="AD822" s="2174"/>
      <c r="AE822" s="2174"/>
      <c r="AF822" s="2174"/>
      <c r="AG822" s="2101"/>
      <c r="AH822" s="2101"/>
      <c r="AI822" s="2101"/>
      <c r="AJ822" s="210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084" t="s">
        <v>43</v>
      </c>
      <c r="D823" s="2085"/>
      <c r="E823" s="2085"/>
      <c r="F823" s="2085"/>
      <c r="G823" s="2085"/>
      <c r="H823" s="2085"/>
      <c r="I823" s="80"/>
      <c r="J823" s="80"/>
      <c r="K823" s="80"/>
      <c r="L823" s="81"/>
      <c r="M823" s="2128"/>
      <c r="N823" s="2128"/>
      <c r="O823" s="2128"/>
      <c r="P823" s="2128"/>
      <c r="Q823" s="2128"/>
      <c r="R823" s="2128"/>
      <c r="S823" s="2128"/>
      <c r="T823" s="2128"/>
      <c r="U823" s="2128"/>
      <c r="V823" s="2128"/>
      <c r="W823" s="2128"/>
      <c r="X823" s="2128"/>
      <c r="Y823" s="2128"/>
      <c r="Z823" s="2128"/>
      <c r="AA823" s="2128"/>
      <c r="AB823" s="2128"/>
      <c r="AC823" s="1900"/>
      <c r="AD823" s="1901"/>
      <c r="AE823" s="1901"/>
      <c r="AF823" s="1902"/>
      <c r="AG823" s="1900"/>
      <c r="AH823" s="1901"/>
      <c r="AI823" s="1901"/>
      <c r="AJ823" s="19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6" t="s">
        <v>44</v>
      </c>
      <c r="D824" s="2087"/>
      <c r="E824" s="2087"/>
      <c r="F824" s="2087"/>
      <c r="G824" s="2087"/>
      <c r="H824" s="2087"/>
      <c r="I824" s="77"/>
      <c r="J824" s="77"/>
      <c r="K824" s="77"/>
      <c r="L824" s="78"/>
      <c r="M824" s="2128"/>
      <c r="N824" s="2128"/>
      <c r="O824" s="2128"/>
      <c r="P824" s="2128"/>
      <c r="Q824" s="2128">
        <v>7</v>
      </c>
      <c r="R824" s="2128"/>
      <c r="S824" s="2128"/>
      <c r="T824" s="2128"/>
      <c r="U824" s="2128">
        <v>12</v>
      </c>
      <c r="V824" s="2128"/>
      <c r="W824" s="2128"/>
      <c r="X824" s="2128"/>
      <c r="Y824" s="2128"/>
      <c r="Z824" s="2128"/>
      <c r="AA824" s="2128"/>
      <c r="AB824" s="2128"/>
      <c r="AC824" s="1900"/>
      <c r="AD824" s="1901"/>
      <c r="AE824" s="1901"/>
      <c r="AF824" s="1902"/>
      <c r="AG824" s="1900"/>
      <c r="AH824" s="1901"/>
      <c r="AI824" s="1901"/>
      <c r="AJ824" s="19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6" t="s">
        <v>45</v>
      </c>
      <c r="D825" s="2087"/>
      <c r="E825" s="2087"/>
      <c r="F825" s="2087"/>
      <c r="G825" s="2087"/>
      <c r="H825" s="2087"/>
      <c r="I825" s="96"/>
      <c r="J825" s="96"/>
      <c r="K825" s="96"/>
      <c r="L825" s="97"/>
      <c r="M825" s="2128"/>
      <c r="N825" s="2128"/>
      <c r="O825" s="2128"/>
      <c r="P825" s="2128"/>
      <c r="Q825" s="2128"/>
      <c r="R825" s="2128"/>
      <c r="S825" s="2128"/>
      <c r="T825" s="2128"/>
      <c r="U825" s="2128"/>
      <c r="V825" s="2128"/>
      <c r="W825" s="2128"/>
      <c r="X825" s="2128"/>
      <c r="Y825" s="2128"/>
      <c r="Z825" s="2128"/>
      <c r="AA825" s="2128"/>
      <c r="AB825" s="2128"/>
      <c r="AC825" s="1900"/>
      <c r="AD825" s="1901"/>
      <c r="AE825" s="1901"/>
      <c r="AF825" s="1902"/>
      <c r="AG825" s="1900"/>
      <c r="AH825" s="1901"/>
      <c r="AI825" s="1901"/>
      <c r="AJ825" s="19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6" t="s">
        <v>805</v>
      </c>
      <c r="D826" s="2087"/>
      <c r="E826" s="2087"/>
      <c r="F826" s="2087"/>
      <c r="G826" s="2087"/>
      <c r="H826" s="2087"/>
      <c r="I826" s="96"/>
      <c r="J826" s="96"/>
      <c r="K826" s="96"/>
      <c r="L826" s="97"/>
      <c r="M826" s="2128"/>
      <c r="N826" s="2128"/>
      <c r="O826" s="2128"/>
      <c r="P826" s="2128"/>
      <c r="Q826" s="2128"/>
      <c r="R826" s="2128"/>
      <c r="S826" s="2128"/>
      <c r="T826" s="2128"/>
      <c r="U826" s="2128"/>
      <c r="V826" s="2128"/>
      <c r="W826" s="2128"/>
      <c r="X826" s="2128"/>
      <c r="Y826" s="2128"/>
      <c r="Z826" s="2128"/>
      <c r="AA826" s="2128"/>
      <c r="AB826" s="2128"/>
      <c r="AC826" s="1900"/>
      <c r="AD826" s="1901"/>
      <c r="AE826" s="1901"/>
      <c r="AF826" s="1902"/>
      <c r="AG826" s="1900"/>
      <c r="AH826" s="1901"/>
      <c r="AI826" s="1901"/>
      <c r="AJ826" s="19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6" t="s">
        <v>485</v>
      </c>
      <c r="D827" s="2087"/>
      <c r="E827" s="2087"/>
      <c r="F827" s="2087"/>
      <c r="G827" s="2087"/>
      <c r="H827" s="2087"/>
      <c r="I827" s="96"/>
      <c r="J827" s="96"/>
      <c r="K827" s="96"/>
      <c r="L827" s="97"/>
      <c r="M827" s="2128"/>
      <c r="N827" s="2128"/>
      <c r="O827" s="2128"/>
      <c r="P827" s="2128"/>
      <c r="Q827" s="2128">
        <v>35</v>
      </c>
      <c r="R827" s="2128"/>
      <c r="S827" s="2128"/>
      <c r="T827" s="2128"/>
      <c r="U827" s="2128">
        <v>49</v>
      </c>
      <c r="V827" s="2128"/>
      <c r="W827" s="2128"/>
      <c r="X827" s="2128"/>
      <c r="Y827" s="2128"/>
      <c r="Z827" s="2128"/>
      <c r="AA827" s="2128"/>
      <c r="AB827" s="2128"/>
      <c r="AC827" s="1900"/>
      <c r="AD827" s="1901"/>
      <c r="AE827" s="1901"/>
      <c r="AF827" s="1902"/>
      <c r="AG827" s="1900"/>
      <c r="AH827" s="1901"/>
      <c r="AI827" s="1901"/>
      <c r="AJ827" s="19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8" t="s">
        <v>825</v>
      </c>
      <c r="D828" s="2087"/>
      <c r="E828" s="2087"/>
      <c r="F828" s="2087"/>
      <c r="G828" s="2087"/>
      <c r="H828" s="2087"/>
      <c r="I828" s="96"/>
      <c r="J828" s="96"/>
      <c r="K828" s="96"/>
      <c r="L828" s="97"/>
      <c r="M828" s="2128"/>
      <c r="N828" s="2128"/>
      <c r="O828" s="2128"/>
      <c r="P828" s="2128"/>
      <c r="Q828" s="2128"/>
      <c r="R828" s="2128"/>
      <c r="S828" s="2128"/>
      <c r="T828" s="2128"/>
      <c r="U828" s="2128"/>
      <c r="V828" s="2128"/>
      <c r="W828" s="2128"/>
      <c r="X828" s="2128"/>
      <c r="Y828" s="2128"/>
      <c r="Z828" s="2128"/>
      <c r="AA828" s="2128"/>
      <c r="AB828" s="2128"/>
      <c r="AC828" s="1900"/>
      <c r="AD828" s="1901"/>
      <c r="AE828" s="1901"/>
      <c r="AF828" s="1902"/>
      <c r="AG828" s="1900"/>
      <c r="AH828" s="1901"/>
      <c r="AI828" s="1901"/>
      <c r="AJ828" s="19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1893" t="s">
        <v>2573</v>
      </c>
      <c r="G829" s="2022"/>
      <c r="H829" s="2022"/>
      <c r="I829" s="2022"/>
      <c r="J829" s="2022"/>
      <c r="K829" s="2022"/>
      <c r="L829" s="2023"/>
      <c r="M829" s="2128"/>
      <c r="N829" s="2128"/>
      <c r="O829" s="2128"/>
      <c r="P829" s="2128"/>
      <c r="Q829" s="2128">
        <v>10</v>
      </c>
      <c r="R829" s="2128"/>
      <c r="S829" s="2128"/>
      <c r="T829" s="2128"/>
      <c r="U829" s="2128">
        <v>17</v>
      </c>
      <c r="V829" s="2128"/>
      <c r="W829" s="2128"/>
      <c r="X829" s="2128"/>
      <c r="Y829" s="2128"/>
      <c r="Z829" s="2128"/>
      <c r="AA829" s="2128"/>
      <c r="AB829" s="2128"/>
      <c r="AC829" s="1900"/>
      <c r="AD829" s="1901"/>
      <c r="AE829" s="1901"/>
      <c r="AF829" s="1902"/>
      <c r="AG829" s="1900"/>
      <c r="AH829" s="1901"/>
      <c r="AI829" s="1901"/>
      <c r="AJ829" s="19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5"/>
      <c r="M830" s="2179">
        <f>SUM(M823:P829)</f>
        <v>0</v>
      </c>
      <c r="N830" s="2179"/>
      <c r="O830" s="2179"/>
      <c r="P830" s="2179"/>
      <c r="Q830" s="2179">
        <f>SUM(Q823:T829)</f>
        <v>52</v>
      </c>
      <c r="R830" s="2179"/>
      <c r="S830" s="2179"/>
      <c r="T830" s="2179"/>
      <c r="U830" s="2179">
        <f>SUM(U823:X829)</f>
        <v>78</v>
      </c>
      <c r="V830" s="2179"/>
      <c r="W830" s="2179"/>
      <c r="X830" s="2179"/>
      <c r="Y830" s="2179">
        <f>SUM(Y823:AB829)</f>
        <v>0</v>
      </c>
      <c r="Z830" s="2179"/>
      <c r="AA830" s="2179"/>
      <c r="AB830" s="2179"/>
      <c r="AC830" s="2179">
        <f>SUM(AC823:AF829)</f>
        <v>0</v>
      </c>
      <c r="AD830" s="2179"/>
      <c r="AE830" s="2179"/>
      <c r="AF830" s="2179"/>
      <c r="AG830" s="2179">
        <f>SUM(AG823:AJ829)</f>
        <v>0</v>
      </c>
      <c r="AH830" s="2179"/>
      <c r="AI830" s="2179"/>
      <c r="AJ830" s="21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45" t="s">
        <v>2572</v>
      </c>
      <c r="D835" s="2246"/>
      <c r="E835" s="2246"/>
      <c r="F835" s="2246"/>
      <c r="G835" s="2246"/>
      <c r="H835" s="2246"/>
      <c r="I835" s="2246"/>
      <c r="J835" s="2246"/>
      <c r="K835" s="2246"/>
      <c r="L835" s="2246"/>
      <c r="M835" s="2246"/>
      <c r="N835" s="2246"/>
      <c r="O835" s="2246"/>
      <c r="P835" s="2246"/>
      <c r="Q835" s="2246"/>
      <c r="R835" s="2246"/>
      <c r="S835" s="2246"/>
      <c r="T835" s="2246"/>
      <c r="U835" s="2246"/>
      <c r="V835" s="2246"/>
      <c r="W835" s="2246"/>
      <c r="X835" s="2246"/>
      <c r="Y835" s="2246"/>
      <c r="Z835" s="2246"/>
      <c r="AA835" s="2246"/>
      <c r="AB835" s="2246"/>
      <c r="AC835" s="2246"/>
      <c r="AD835" s="2246"/>
      <c r="AE835" s="2246"/>
      <c r="AF835" s="2246"/>
      <c r="AG835" s="2246"/>
      <c r="AH835" s="2246"/>
      <c r="AI835" s="2246"/>
      <c r="AJ835" s="22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1896">
        <v>1992</v>
      </c>
      <c r="X840" s="1896"/>
      <c r="Y840" s="1896"/>
      <c r="Z840" s="1896"/>
      <c r="AA840" s="1896"/>
      <c r="AB840" s="1896"/>
      <c r="AC840" s="18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1896"/>
      <c r="X841" s="1896"/>
      <c r="Y841" s="1896"/>
      <c r="Z841" s="1896"/>
      <c r="AA841" s="1896"/>
      <c r="AB841" s="1896"/>
      <c r="AC841" s="18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1896">
        <v>10000</v>
      </c>
      <c r="X842" s="1896"/>
      <c r="Y842" s="1896"/>
      <c r="Z842" s="1896"/>
      <c r="AA842" s="1896"/>
      <c r="AB842" s="1896"/>
      <c r="AC842" s="18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1896">
        <v>9960</v>
      </c>
      <c r="X843" s="1896"/>
      <c r="Y843" s="1896"/>
      <c r="Z843" s="1896"/>
      <c r="AA843" s="1896"/>
      <c r="AB843" s="1896"/>
      <c r="AC843" s="18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893" t="s">
        <v>888</v>
      </c>
      <c r="N844" s="2022"/>
      <c r="O844" s="2022"/>
      <c r="P844" s="2022"/>
      <c r="Q844" s="2022"/>
      <c r="R844" s="2022"/>
      <c r="S844" s="2022"/>
      <c r="T844" s="2022"/>
      <c r="U844" s="2022"/>
      <c r="V844" s="2023"/>
      <c r="W844" s="1896">
        <v>41500</v>
      </c>
      <c r="X844" s="1896"/>
      <c r="Y844" s="1896"/>
      <c r="Z844" s="1896"/>
      <c r="AA844" s="1896"/>
      <c r="AB844" s="1896"/>
      <c r="AC844" s="18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73">
        <f>ROUNDDOWN(BC932*2,2)</f>
        <v>0</v>
      </c>
      <c r="BJ844" s="2173"/>
      <c r="BK844" s="2173"/>
      <c r="BL844" s="2173"/>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88">
        <f>SUM(W840:AC844)</f>
        <v>63452</v>
      </c>
      <c r="X845" s="2189"/>
      <c r="Y845" s="2189"/>
      <c r="Z845" s="2189"/>
      <c r="AA845" s="2189"/>
      <c r="AB845" s="2189"/>
      <c r="AC845" s="219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83" t="s">
        <v>352</v>
      </c>
      <c r="K847" s="2184"/>
      <c r="L847" s="2184"/>
      <c r="M847" s="2184"/>
      <c r="N847" s="2184"/>
      <c r="O847" s="2184"/>
      <c r="P847" s="2184"/>
      <c r="Q847" s="2184"/>
      <c r="R847" s="2184"/>
      <c r="S847" s="2184"/>
      <c r="T847" s="2184"/>
      <c r="U847" s="2184"/>
      <c r="V847" s="2185"/>
      <c r="W847" s="1882">
        <v>104493</v>
      </c>
      <c r="X847" s="1883"/>
      <c r="Y847" s="1883"/>
      <c r="Z847" s="1883"/>
      <c r="AA847" s="1883"/>
      <c r="AB847" s="1883"/>
      <c r="AC847" s="1884"/>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102"/>
      <c r="X849" s="2102"/>
      <c r="Y849" s="2102"/>
      <c r="Z849" s="2102"/>
      <c r="AA849" s="2102"/>
      <c r="AB849" s="2102"/>
      <c r="AC849" s="21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102"/>
      <c r="X850" s="2102"/>
      <c r="Y850" s="2102"/>
      <c r="Z850" s="2102"/>
      <c r="AA850" s="2102"/>
      <c r="AB850" s="2102"/>
      <c r="AC850" s="21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102">
        <v>132800</v>
      </c>
      <c r="X851" s="2102"/>
      <c r="Y851" s="2102"/>
      <c r="Z851" s="2102"/>
      <c r="AA851" s="2102"/>
      <c r="AB851" s="2102"/>
      <c r="AC851" s="21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91"/>
      <c r="BH851" s="2191"/>
      <c r="BI851" s="2191"/>
      <c r="BJ851" s="2191"/>
      <c r="BK851" s="2191"/>
      <c r="BL851" s="2191"/>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102"/>
      <c r="X852" s="2102"/>
      <c r="Y852" s="2102"/>
      <c r="Z852" s="2102"/>
      <c r="AA852" s="2102"/>
      <c r="AB852" s="2102"/>
      <c r="AC852" s="21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9">
        <f>SUM(W849:AC852)</f>
        <v>132800</v>
      </c>
      <c r="X853" s="2259"/>
      <c r="Y853" s="2259"/>
      <c r="Z853" s="2259"/>
      <c r="AA853" s="2259"/>
      <c r="AB853" s="2259"/>
      <c r="AC853" s="225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6">
        <f>SUM(AZ821:AZ849)</f>
        <v>7.5000000000000011E-2</v>
      </c>
      <c r="BA854" s="2266"/>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30">
        <v>189628</v>
      </c>
      <c r="X855" s="2231"/>
      <c r="Y855" s="2231"/>
      <c r="Z855" s="2231"/>
      <c r="AA855" s="2231"/>
      <c r="AB855" s="2231"/>
      <c r="AC855" s="2232"/>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1868</v>
      </c>
      <c r="K856" s="77"/>
      <c r="L856" s="77"/>
      <c r="M856" s="77"/>
      <c r="N856" s="77"/>
      <c r="O856" s="77"/>
      <c r="P856" s="77"/>
      <c r="Q856" s="77"/>
      <c r="R856" s="77"/>
      <c r="S856" s="77"/>
      <c r="T856" s="2252">
        <v>4.5</v>
      </c>
      <c r="U856" s="2206"/>
      <c r="V856" s="2253"/>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30">
        <v>146364</v>
      </c>
      <c r="X857" s="2231"/>
      <c r="Y857" s="2231"/>
      <c r="Z857" s="2231"/>
      <c r="AA857" s="2231"/>
      <c r="AB857" s="2231"/>
      <c r="AC857" s="2232"/>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1869</v>
      </c>
      <c r="K858" s="77"/>
      <c r="L858" s="77"/>
      <c r="M858" s="77"/>
      <c r="N858" s="77"/>
      <c r="O858" s="77"/>
      <c r="P858" s="77"/>
      <c r="Q858" s="77"/>
      <c r="R858" s="77"/>
      <c r="S858" s="77"/>
      <c r="T858" s="2252"/>
      <c r="U858" s="2206"/>
      <c r="V858" s="2253"/>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893" t="s">
        <v>2575</v>
      </c>
      <c r="N859" s="2022"/>
      <c r="O859" s="2022"/>
      <c r="P859" s="2022"/>
      <c r="Q859" s="2022"/>
      <c r="R859" s="2022"/>
      <c r="S859" s="2022"/>
      <c r="T859" s="2022"/>
      <c r="U859" s="2022"/>
      <c r="V859" s="2023"/>
      <c r="W859" s="2230">
        <v>10795</v>
      </c>
      <c r="X859" s="2231"/>
      <c r="Y859" s="2231"/>
      <c r="Z859" s="2231"/>
      <c r="AA859" s="2231"/>
      <c r="AB859" s="2231"/>
      <c r="AC859" s="2232"/>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03">
        <f>SUM(W855:AC859)</f>
        <v>346787</v>
      </c>
      <c r="X860" s="2104"/>
      <c r="Y860" s="2104"/>
      <c r="Z860" s="2104"/>
      <c r="AA860" s="2104"/>
      <c r="AB860" s="2104"/>
      <c r="AC860" s="2105"/>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30">
        <v>61752</v>
      </c>
      <c r="X861" s="2231"/>
      <c r="Y861" s="2231"/>
      <c r="Z861" s="2231"/>
      <c r="AA861" s="2231"/>
      <c r="AB861" s="2231"/>
      <c r="AC861" s="2232"/>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1896">
        <v>4980</v>
      </c>
      <c r="X863" s="1896"/>
      <c r="Y863" s="1896"/>
      <c r="Z863" s="1896"/>
      <c r="AA863" s="1896"/>
      <c r="AB863" s="1896"/>
      <c r="AC863" s="189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1896">
        <v>49800</v>
      </c>
      <c r="X864" s="1896"/>
      <c r="Y864" s="1896"/>
      <c r="Z864" s="1896"/>
      <c r="AA864" s="1896"/>
      <c r="AB864" s="1896"/>
      <c r="AC864" s="189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1896"/>
      <c r="X865" s="1896"/>
      <c r="Y865" s="1896"/>
      <c r="Z865" s="1896"/>
      <c r="AA865" s="1896"/>
      <c r="AB865" s="1896"/>
      <c r="AC865" s="189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1896"/>
      <c r="X866" s="1896"/>
      <c r="Y866" s="1896"/>
      <c r="Z866" s="1896"/>
      <c r="AA866" s="1896"/>
      <c r="AB866" s="1896"/>
      <c r="AC866" s="1896"/>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1896">
        <v>33200</v>
      </c>
      <c r="X867" s="1896"/>
      <c r="Y867" s="1896"/>
      <c r="Z867" s="1896"/>
      <c r="AA867" s="1896"/>
      <c r="AB867" s="1896"/>
      <c r="AC867" s="18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1896"/>
      <c r="X868" s="1896"/>
      <c r="Y868" s="1896"/>
      <c r="Z868" s="1896"/>
      <c r="AA868" s="1896"/>
      <c r="AB868" s="1896"/>
      <c r="AC868" s="18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8" t="s">
        <v>340</v>
      </c>
      <c r="N869" s="2022"/>
      <c r="O869" s="2022"/>
      <c r="P869" s="2022"/>
      <c r="Q869" s="2022"/>
      <c r="R869" s="2022"/>
      <c r="S869" s="2022"/>
      <c r="T869" s="2022"/>
      <c r="U869" s="2022"/>
      <c r="V869" s="2023"/>
      <c r="W869" s="1896"/>
      <c r="X869" s="1896"/>
      <c r="Y869" s="1896"/>
      <c r="Z869" s="1896"/>
      <c r="AA869" s="1896"/>
      <c r="AB869" s="1896"/>
      <c r="AC869" s="189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23">
        <f>SUM(W863:AC869)</f>
        <v>87980</v>
      </c>
      <c r="X870" s="2223"/>
      <c r="Y870" s="2223"/>
      <c r="Z870" s="2223"/>
      <c r="AA870" s="2223"/>
      <c r="AB870" s="2223"/>
      <c r="AC870" s="222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1416</v>
      </c>
      <c r="J872" s="76" t="s">
        <v>175</v>
      </c>
      <c r="K872" s="77"/>
      <c r="L872" s="77"/>
      <c r="M872" s="1893" t="s">
        <v>2576</v>
      </c>
      <c r="N872" s="2022"/>
      <c r="O872" s="2022"/>
      <c r="P872" s="2022"/>
      <c r="Q872" s="2022"/>
      <c r="R872" s="2022"/>
      <c r="S872" s="2022"/>
      <c r="T872" s="2022"/>
      <c r="U872" s="2022"/>
      <c r="V872" s="2023"/>
      <c r="W872" s="1882">
        <v>4980</v>
      </c>
      <c r="X872" s="1883"/>
      <c r="Y872" s="1883"/>
      <c r="Z872" s="1883"/>
      <c r="AA872" s="1883"/>
      <c r="AB872" s="1883"/>
      <c r="AC872" s="1884"/>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1417</v>
      </c>
      <c r="J873" s="76" t="s">
        <v>175</v>
      </c>
      <c r="K873" s="77"/>
      <c r="L873" s="77"/>
      <c r="M873" s="1893" t="s">
        <v>2577</v>
      </c>
      <c r="N873" s="2022"/>
      <c r="O873" s="2022"/>
      <c r="P873" s="2022"/>
      <c r="Q873" s="2022"/>
      <c r="R873" s="2022"/>
      <c r="S873" s="2022"/>
      <c r="T873" s="2022"/>
      <c r="U873" s="2022"/>
      <c r="V873" s="2023"/>
      <c r="W873" s="1882">
        <v>2490</v>
      </c>
      <c r="X873" s="1883"/>
      <c r="Y873" s="1883"/>
      <c r="Z873" s="1883"/>
      <c r="AA873" s="1883"/>
      <c r="AB873" s="1883"/>
      <c r="AC873" s="1884"/>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893" t="s">
        <v>2578</v>
      </c>
      <c r="N874" s="2022"/>
      <c r="O874" s="2022"/>
      <c r="P874" s="2022"/>
      <c r="Q874" s="2022"/>
      <c r="R874" s="2022"/>
      <c r="S874" s="2022"/>
      <c r="T874" s="2022"/>
      <c r="U874" s="2022"/>
      <c r="V874" s="2023"/>
      <c r="W874" s="1882">
        <v>575820</v>
      </c>
      <c r="X874" s="1883"/>
      <c r="Y874" s="1883"/>
      <c r="Z874" s="1883"/>
      <c r="AA874" s="1883"/>
      <c r="AB874" s="1883"/>
      <c r="AC874" s="18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8" t="s">
        <v>340</v>
      </c>
      <c r="N875" s="2022"/>
      <c r="O875" s="2022"/>
      <c r="P875" s="2022"/>
      <c r="Q875" s="2022"/>
      <c r="R875" s="2022"/>
      <c r="S875" s="2022"/>
      <c r="T875" s="2022"/>
      <c r="U875" s="2022"/>
      <c r="V875" s="2023"/>
      <c r="W875" s="1882"/>
      <c r="X875" s="1883"/>
      <c r="Y875" s="1883"/>
      <c r="Z875" s="1883"/>
      <c r="AA875" s="1883"/>
      <c r="AB875" s="1883"/>
      <c r="AC875" s="18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58" t="s">
        <v>340</v>
      </c>
      <c r="N876" s="2022"/>
      <c r="O876" s="2022"/>
      <c r="P876" s="2022"/>
      <c r="Q876" s="2022"/>
      <c r="R876" s="2022"/>
      <c r="S876" s="2022"/>
      <c r="T876" s="2022"/>
      <c r="U876" s="2022"/>
      <c r="V876" s="2023"/>
      <c r="W876" s="1882"/>
      <c r="X876" s="1883"/>
      <c r="Y876" s="1883"/>
      <c r="Z876" s="1883"/>
      <c r="AA876" s="1883"/>
      <c r="AB876" s="1883"/>
      <c r="AC876" s="18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88">
        <f>SUM(W872:AC876)</f>
        <v>583290</v>
      </c>
      <c r="X877" s="2189"/>
      <c r="Y877" s="2189"/>
      <c r="Z877" s="2189"/>
      <c r="AA877" s="2189"/>
      <c r="AB877" s="2189"/>
      <c r="AC877" s="219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283</v>
      </c>
      <c r="AC881" s="2189">
        <f>W845+W853+W860+W861+W870+W877+W847</f>
        <v>1380554</v>
      </c>
      <c r="AD881" s="2189"/>
      <c r="AE881" s="2189"/>
      <c r="AF881" s="2189"/>
      <c r="AG881" s="2189"/>
      <c r="AH881" s="219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537</v>
      </c>
      <c r="AC882" s="2250">
        <f>O796+O776+G753</f>
        <v>166</v>
      </c>
      <c r="AD882" s="2250"/>
      <c r="AE882" s="2250"/>
      <c r="AF882" s="2250"/>
      <c r="AG882" s="2250"/>
      <c r="AH882" s="22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248" t="s">
        <v>33</v>
      </c>
      <c r="F883" s="2248"/>
      <c r="G883" s="2248"/>
      <c r="H883" s="2248"/>
      <c r="I883" s="2248"/>
      <c r="J883" s="2248"/>
      <c r="K883" s="2248"/>
      <c r="L883" s="2248"/>
      <c r="M883" s="2248"/>
      <c r="N883" s="2248"/>
      <c r="O883" s="2248"/>
      <c r="P883" s="2248"/>
      <c r="Q883" s="2248"/>
      <c r="R883" s="2248"/>
      <c r="S883" s="2248"/>
      <c r="T883" s="2248"/>
      <c r="U883" s="2248"/>
      <c r="V883" s="2248"/>
      <c r="W883" s="2248"/>
      <c r="X883" s="2248"/>
      <c r="Y883" s="2248"/>
      <c r="Z883" s="2248"/>
      <c r="AA883" s="2248"/>
      <c r="AB883" s="2249"/>
      <c r="AC883" s="2223">
        <f>IF(ISERROR((ROUNDDOWN(AC881/AC882,0))),0,(ROUNDDOWN(AC881/AC882,0)))</f>
        <v>8316</v>
      </c>
      <c r="AD883" s="2223"/>
      <c r="AE883" s="2223"/>
      <c r="AF883" s="2223"/>
      <c r="AG883" s="2223"/>
      <c r="AH883" s="222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804</v>
      </c>
      <c r="AC884" s="2271">
        <v>693989</v>
      </c>
      <c r="AD884" s="2272"/>
      <c r="AE884" s="2272"/>
      <c r="AF884" s="2272"/>
      <c r="AG884" s="2272"/>
      <c r="AH884" s="227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1323</v>
      </c>
      <c r="AC885" s="1884"/>
      <c r="AD885" s="1896"/>
      <c r="AE885" s="1896"/>
      <c r="AF885" s="1896"/>
      <c r="AG885" s="1896"/>
      <c r="AH885" s="18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536</v>
      </c>
      <c r="AC886" s="1883">
        <v>22000</v>
      </c>
      <c r="AD886" s="1883"/>
      <c r="AE886" s="1883"/>
      <c r="AF886" s="1883"/>
      <c r="AG886" s="1883"/>
      <c r="AH886" s="18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1883">
        <v>41500</v>
      </c>
      <c r="AD887" s="1883"/>
      <c r="AE887" s="1883"/>
      <c r="AF887" s="1883"/>
      <c r="AG887" s="1883"/>
      <c r="AH887" s="18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1995</v>
      </c>
      <c r="AC888" s="1900"/>
      <c r="AD888" s="1901"/>
      <c r="AE888" s="1901"/>
      <c r="AF888" s="1901"/>
      <c r="AG888" s="1901"/>
      <c r="AH888" s="19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1883"/>
      <c r="AD889" s="1883"/>
      <c r="AE889" s="1883"/>
      <c r="AF889" s="1883"/>
      <c r="AG889" s="1883"/>
      <c r="AH889" s="1884"/>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1870</v>
      </c>
      <c r="AC890" s="1883">
        <v>16840</v>
      </c>
      <c r="AD890" s="1883"/>
      <c r="AE890" s="1883"/>
      <c r="AF890" s="1883"/>
      <c r="AG890" s="1883"/>
      <c r="AH890" s="18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262" t="s">
        <v>1015</v>
      </c>
      <c r="D891" s="2263"/>
      <c r="E891" s="2263"/>
      <c r="F891" s="2263"/>
      <c r="G891" s="2263"/>
      <c r="H891" s="2263"/>
      <c r="I891" s="2263"/>
      <c r="J891" s="2263"/>
      <c r="K891" s="2263"/>
      <c r="L891" s="2263"/>
      <c r="M891" s="2263"/>
      <c r="N891" s="2263"/>
      <c r="O891" s="2263"/>
      <c r="P891" s="2263"/>
      <c r="Q891" s="2263"/>
      <c r="R891" s="2263"/>
      <c r="S891" s="2263"/>
      <c r="T891" s="2263"/>
      <c r="U891" s="2263"/>
      <c r="V891" s="2263"/>
      <c r="W891" s="2263"/>
      <c r="X891" s="2263"/>
      <c r="Y891" s="2263"/>
      <c r="Z891" s="2263"/>
      <c r="AA891" s="2263"/>
      <c r="AB891" s="2264"/>
      <c r="AC891" s="1896"/>
      <c r="AD891" s="1896"/>
      <c r="AE891" s="1896"/>
      <c r="AF891" s="1896"/>
      <c r="AG891" s="1896"/>
      <c r="AH891" s="18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2262" t="s">
        <v>1015</v>
      </c>
      <c r="D892" s="2263"/>
      <c r="E892" s="2263"/>
      <c r="F892" s="2263"/>
      <c r="G892" s="2263"/>
      <c r="H892" s="2263"/>
      <c r="I892" s="2263"/>
      <c r="J892" s="2263"/>
      <c r="K892" s="2263"/>
      <c r="L892" s="2263"/>
      <c r="M892" s="2263"/>
      <c r="N892" s="2263"/>
      <c r="O892" s="2263"/>
      <c r="P892" s="2263"/>
      <c r="Q892" s="2263"/>
      <c r="R892" s="2263"/>
      <c r="S892" s="2263"/>
      <c r="T892" s="2263"/>
      <c r="U892" s="2263"/>
      <c r="V892" s="2263"/>
      <c r="W892" s="2263"/>
      <c r="X892" s="2263"/>
      <c r="Y892" s="2263"/>
      <c r="Z892" s="2263"/>
      <c r="AA892" s="2263"/>
      <c r="AB892" s="2264"/>
      <c r="AC892" s="1896"/>
      <c r="AD892" s="1896"/>
      <c r="AE892" s="1896"/>
      <c r="AF892" s="1896"/>
      <c r="AG892" s="1896"/>
      <c r="AH892" s="18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882"/>
      <c r="AA896" s="1883"/>
      <c r="AB896" s="1883"/>
      <c r="AC896" s="1883"/>
      <c r="AD896" s="1883"/>
      <c r="AE896" s="1884"/>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882"/>
      <c r="AA897" s="1883"/>
      <c r="AB897" s="1883"/>
      <c r="AC897" s="1883"/>
      <c r="AD897" s="1883"/>
      <c r="AE897" s="18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882"/>
      <c r="AA898" s="1883"/>
      <c r="AB898" s="1883"/>
      <c r="AC898" s="1883"/>
      <c r="AD898" s="1883"/>
      <c r="AE898" s="18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88">
        <f>Z896-(Z897+Z898)</f>
        <v>0</v>
      </c>
      <c r="AA899" s="2189"/>
      <c r="AB899" s="2189"/>
      <c r="AC899" s="2189"/>
      <c r="AD899" s="2189"/>
      <c r="AE899" s="2190"/>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256"/>
      <c r="BE901" s="2256"/>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261"/>
      <c r="BE902" s="2261"/>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255"/>
      <c r="BE903" s="2255"/>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255"/>
      <c r="BE904" s="2255"/>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255"/>
      <c r="BE905" s="2255"/>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256"/>
      <c r="BE906" s="2255"/>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2135" t="s">
        <v>101</v>
      </c>
      <c r="B907" s="2135"/>
      <c r="C907" s="2135"/>
      <c r="D907" s="2135"/>
      <c r="E907" s="2135"/>
      <c r="F907" s="2135"/>
      <c r="G907" s="2135"/>
      <c r="H907" s="2135"/>
      <c r="I907" s="2135"/>
      <c r="J907" s="2135"/>
      <c r="K907" s="2135"/>
      <c r="L907" s="2135"/>
      <c r="M907" s="2135"/>
      <c r="N907" s="2135"/>
      <c r="O907" s="2135"/>
      <c r="P907" s="2135"/>
      <c r="Q907" s="2135"/>
      <c r="R907" s="2135"/>
      <c r="S907" s="2135"/>
      <c r="T907" s="2135"/>
      <c r="U907" s="2135"/>
      <c r="V907" s="2135"/>
      <c r="W907" s="2135"/>
      <c r="X907" s="2135"/>
      <c r="Y907" s="2135"/>
      <c r="Z907" s="2135"/>
      <c r="AA907" s="2135"/>
      <c r="AB907" s="2135"/>
      <c r="AC907" s="2135"/>
      <c r="AD907" s="2135"/>
      <c r="AE907" s="2135"/>
      <c r="AF907" s="2135"/>
      <c r="AG907" s="2135"/>
      <c r="AH907" s="2135"/>
      <c r="AI907" s="2135"/>
      <c r="AJ907" s="2135"/>
      <c r="AK907" s="2135"/>
      <c r="AL907" s="2135"/>
      <c r="AM907" s="144"/>
      <c r="AN907" s="144"/>
      <c r="AO907" s="144"/>
      <c r="AP907" s="144"/>
      <c r="AQ907" s="144"/>
      <c r="AR907" s="144"/>
      <c r="AS907" s="144"/>
      <c r="AT907" s="144"/>
      <c r="AU907" s="144"/>
      <c r="AV907" s="144"/>
      <c r="AW907" s="144"/>
      <c r="AX907" s="144"/>
      <c r="AY907" s="144"/>
      <c r="AZ907" s="61"/>
      <c r="BA907" s="25"/>
      <c r="BB907" s="127"/>
      <c r="BC907" s="972"/>
      <c r="BD907" s="2260"/>
      <c r="BE907" s="2260"/>
      <c r="BF907" s="2260"/>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2136"/>
      <c r="B908" s="2136"/>
      <c r="C908" s="2136"/>
      <c r="D908" s="2136"/>
      <c r="E908" s="2136"/>
      <c r="F908" s="2136"/>
      <c r="G908" s="2136"/>
      <c r="H908" s="2136"/>
      <c r="I908" s="2136"/>
      <c r="J908" s="2136"/>
      <c r="K908" s="2136"/>
      <c r="L908" s="2136"/>
      <c r="M908" s="2136"/>
      <c r="N908" s="2136"/>
      <c r="O908" s="2136"/>
      <c r="P908" s="2136"/>
      <c r="Q908" s="2136"/>
      <c r="R908" s="2136"/>
      <c r="S908" s="2136"/>
      <c r="T908" s="2136"/>
      <c r="U908" s="2136"/>
      <c r="V908" s="2136"/>
      <c r="W908" s="2136"/>
      <c r="X908" s="2136"/>
      <c r="Y908" s="2136"/>
      <c r="Z908" s="2136"/>
      <c r="AA908" s="2136"/>
      <c r="AB908" s="2136"/>
      <c r="AC908" s="2136"/>
      <c r="AD908" s="2136"/>
      <c r="AE908" s="2136"/>
      <c r="AF908" s="2136"/>
      <c r="AG908" s="2136"/>
      <c r="AH908" s="2136"/>
      <c r="AI908" s="2136"/>
      <c r="AJ908" s="2136"/>
      <c r="AK908" s="2136"/>
      <c r="AL908" s="2136"/>
      <c r="AM908" s="144"/>
      <c r="AN908" s="144"/>
      <c r="AO908" s="144"/>
      <c r="AP908" s="144"/>
      <c r="AQ908" s="144"/>
      <c r="AR908" s="144"/>
      <c r="AS908" s="144"/>
      <c r="AT908" s="144"/>
      <c r="AU908" s="144"/>
      <c r="AV908" s="144"/>
      <c r="AW908" s="144"/>
      <c r="AX908" s="144"/>
      <c r="AY908" s="144"/>
      <c r="AZ908" s="61"/>
      <c r="BA908" s="25"/>
      <c r="BB908" s="127"/>
      <c r="BC908" s="972"/>
      <c r="BD908" s="2265"/>
      <c r="BE908" s="2265"/>
      <c r="BF908" s="2265"/>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255"/>
      <c r="BE909" s="2255"/>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256"/>
      <c r="BE910" s="2255"/>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2" t="s">
        <v>834</v>
      </c>
      <c r="G912" s="2053"/>
      <c r="H912" s="2053"/>
      <c r="I912" s="2053"/>
      <c r="J912" s="2053"/>
      <c r="K912" s="2053"/>
      <c r="L912" s="2053"/>
      <c r="M912" s="2053"/>
      <c r="N912" s="2053"/>
      <c r="O912" s="2053"/>
      <c r="P912" s="2053"/>
      <c r="Q912" s="2053"/>
      <c r="R912" s="2053"/>
      <c r="S912" s="2053"/>
      <c r="T912" s="2054"/>
      <c r="U912" s="2034" t="s">
        <v>32</v>
      </c>
      <c r="V912" s="2035"/>
      <c r="W912" s="2035"/>
      <c r="X912" s="2035"/>
      <c r="Y912" s="2035"/>
      <c r="Z912" s="2035"/>
      <c r="AA912" s="73"/>
      <c r="AB912" s="161"/>
      <c r="AC912" s="161"/>
      <c r="AD912" s="161"/>
      <c r="AE912" s="161"/>
      <c r="AF912" s="162"/>
      <c r="AZ912" s="61"/>
      <c r="BA912" s="971"/>
      <c r="BB912" s="127"/>
      <c r="BC912" s="127"/>
      <c r="BD912" s="2256"/>
      <c r="BE912" s="2255"/>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2036" t="s">
        <v>863</v>
      </c>
      <c r="G913" s="2037"/>
      <c r="H913" s="2037"/>
      <c r="I913" s="2037"/>
      <c r="J913" s="2037"/>
      <c r="K913" s="2037"/>
      <c r="L913" s="2037"/>
      <c r="M913" s="2037"/>
      <c r="N913" s="2037"/>
      <c r="O913" s="2037"/>
      <c r="P913" s="2037"/>
      <c r="Q913" s="2037"/>
      <c r="R913" s="2037"/>
      <c r="S913" s="2037"/>
      <c r="T913" s="2200"/>
      <c r="U913" s="2036"/>
      <c r="V913" s="2037"/>
      <c r="W913" s="2037"/>
      <c r="X913" s="2037"/>
      <c r="Y913" s="2037"/>
      <c r="Z913" s="2037"/>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2038"/>
      <c r="G914" s="2039"/>
      <c r="H914" s="2039"/>
      <c r="I914" s="2039"/>
      <c r="J914" s="2039"/>
      <c r="K914" s="2039"/>
      <c r="L914" s="2039"/>
      <c r="M914" s="2039"/>
      <c r="N914" s="2039"/>
      <c r="O914" s="2039"/>
      <c r="P914" s="2039"/>
      <c r="Q914" s="2039"/>
      <c r="R914" s="2039"/>
      <c r="S914" s="2039"/>
      <c r="T914" s="2201"/>
      <c r="U914" s="2038"/>
      <c r="V914" s="2039"/>
      <c r="W914" s="2039"/>
      <c r="X914" s="2039"/>
      <c r="Y914" s="2039"/>
      <c r="Z914" s="2039"/>
      <c r="AA914" s="164"/>
      <c r="AB914" s="2257" t="s">
        <v>406</v>
      </c>
      <c r="AC914" s="2257"/>
      <c r="AD914" s="2257"/>
      <c r="AE914" s="2257"/>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031" t="s">
        <v>571</v>
      </c>
      <c r="V915" s="2032"/>
      <c r="W915" s="2032"/>
      <c r="X915" s="2032"/>
      <c r="Y915" s="2032"/>
      <c r="Z915" s="2033"/>
      <c r="AA915" s="2043">
        <v>29500000</v>
      </c>
      <c r="AB915" s="2044"/>
      <c r="AC915" s="2044"/>
      <c r="AD915" s="2044"/>
      <c r="AE915" s="2044"/>
      <c r="AF915" s="204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031" t="s">
        <v>571</v>
      </c>
      <c r="V916" s="2032"/>
      <c r="W916" s="2032"/>
      <c r="X916" s="2032"/>
      <c r="Y916" s="2032"/>
      <c r="Z916" s="2033"/>
      <c r="AA916" s="2043">
        <v>5800000</v>
      </c>
      <c r="AB916" s="2044"/>
      <c r="AC916" s="2044"/>
      <c r="AD916" s="2044"/>
      <c r="AE916" s="2044"/>
      <c r="AF916" s="204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31" t="s">
        <v>618</v>
      </c>
      <c r="V917" s="2032"/>
      <c r="W917" s="2032"/>
      <c r="X917" s="2032"/>
      <c r="Y917" s="2032"/>
      <c r="Z917" s="2033"/>
      <c r="AA917" s="2043"/>
      <c r="AB917" s="2044"/>
      <c r="AC917" s="2044"/>
      <c r="AD917" s="2044"/>
      <c r="AE917" s="2044"/>
      <c r="AF917" s="204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031" t="s">
        <v>618</v>
      </c>
      <c r="V918" s="2032"/>
      <c r="W918" s="2032"/>
      <c r="X918" s="2032"/>
      <c r="Y918" s="2032"/>
      <c r="Z918" s="2033"/>
      <c r="AA918" s="2043"/>
      <c r="AB918" s="2044"/>
      <c r="AC918" s="2044"/>
      <c r="AD918" s="2044"/>
      <c r="AE918" s="2044"/>
      <c r="AF918" s="204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31" t="s">
        <v>618</v>
      </c>
      <c r="V919" s="2032"/>
      <c r="W919" s="2032"/>
      <c r="X919" s="2032"/>
      <c r="Y919" s="2032"/>
      <c r="Z919" s="2033"/>
      <c r="AA919" s="2043"/>
      <c r="AB919" s="2044"/>
      <c r="AC919" s="2044"/>
      <c r="AD919" s="2044"/>
      <c r="AE919" s="2044"/>
      <c r="AF919" s="204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31" t="s">
        <v>618</v>
      </c>
      <c r="V920" s="2032"/>
      <c r="W920" s="2032"/>
      <c r="X920" s="2032"/>
      <c r="Y920" s="2032"/>
      <c r="Z920" s="2033"/>
      <c r="AA920" s="2043"/>
      <c r="AB920" s="2044"/>
      <c r="AC920" s="2044"/>
      <c r="AD920" s="2044"/>
      <c r="AE920" s="2044"/>
      <c r="AF920" s="204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31" t="s">
        <v>618</v>
      </c>
      <c r="V921" s="2032"/>
      <c r="W921" s="2032"/>
      <c r="X921" s="2032"/>
      <c r="Y921" s="2032"/>
      <c r="Z921" s="2033"/>
      <c r="AA921" s="2043"/>
      <c r="AB921" s="2044"/>
      <c r="AC921" s="2044"/>
      <c r="AD921" s="2044"/>
      <c r="AE921" s="2044"/>
      <c r="AF921" s="204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031" t="s">
        <v>618</v>
      </c>
      <c r="V922" s="2032"/>
      <c r="W922" s="2032"/>
      <c r="X922" s="2032"/>
      <c r="Y922" s="2032"/>
      <c r="Z922" s="2033"/>
      <c r="AA922" s="2043"/>
      <c r="AB922" s="2044"/>
      <c r="AC922" s="2044"/>
      <c r="AD922" s="2044"/>
      <c r="AE922" s="2044"/>
      <c r="AF922" s="204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031" t="s">
        <v>618</v>
      </c>
      <c r="V923" s="2032"/>
      <c r="W923" s="2032"/>
      <c r="X923" s="2032"/>
      <c r="Y923" s="2032"/>
      <c r="Z923" s="2033"/>
      <c r="AA923" s="2043"/>
      <c r="AB923" s="2044"/>
      <c r="AC923" s="2044"/>
      <c r="AD923" s="2044"/>
      <c r="AE923" s="2044"/>
      <c r="AF923" s="204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031" t="s">
        <v>618</v>
      </c>
      <c r="V924" s="2032"/>
      <c r="W924" s="2032"/>
      <c r="X924" s="2032"/>
      <c r="Y924" s="2032"/>
      <c r="Z924" s="2033"/>
      <c r="AA924" s="2043"/>
      <c r="AB924" s="2044"/>
      <c r="AC924" s="2044"/>
      <c r="AD924" s="2044"/>
      <c r="AE924" s="2044"/>
      <c r="AF924" s="204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1462</v>
      </c>
      <c r="G925" s="77"/>
      <c r="H925" s="77"/>
      <c r="I925" s="77"/>
      <c r="J925" s="77"/>
      <c r="K925" s="77"/>
      <c r="L925" s="77"/>
      <c r="M925" s="77"/>
      <c r="N925" s="77"/>
      <c r="O925" s="77"/>
      <c r="P925" s="77"/>
      <c r="Q925" s="77"/>
      <c r="R925" s="77"/>
      <c r="S925" s="77"/>
      <c r="T925" s="78"/>
      <c r="U925" s="2031" t="s">
        <v>618</v>
      </c>
      <c r="V925" s="2032"/>
      <c r="W925" s="2032"/>
      <c r="X925" s="2032"/>
      <c r="Y925" s="2032"/>
      <c r="Z925" s="2033"/>
      <c r="AA925" s="2043"/>
      <c r="AB925" s="2044"/>
      <c r="AC925" s="2044"/>
      <c r="AD925" s="2044"/>
      <c r="AE925" s="2044"/>
      <c r="AF925" s="204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31" t="s">
        <v>618</v>
      </c>
      <c r="V926" s="2032"/>
      <c r="W926" s="2032"/>
      <c r="X926" s="2032"/>
      <c r="Y926" s="2032"/>
      <c r="Z926" s="2033"/>
      <c r="AA926" s="2043"/>
      <c r="AB926" s="2044"/>
      <c r="AC926" s="2044"/>
      <c r="AD926" s="2044"/>
      <c r="AE926" s="2044"/>
      <c r="AF926" s="204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31" t="s">
        <v>618</v>
      </c>
      <c r="V927" s="2032"/>
      <c r="W927" s="2032"/>
      <c r="X927" s="2032"/>
      <c r="Y927" s="2032"/>
      <c r="Z927" s="2033"/>
      <c r="AA927" s="2043"/>
      <c r="AB927" s="2044"/>
      <c r="AC927" s="2044"/>
      <c r="AD927" s="2044"/>
      <c r="AE927" s="2044"/>
      <c r="AF927" s="204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1444</v>
      </c>
      <c r="G928" s="148"/>
      <c r="H928" s="148"/>
      <c r="I928" s="148"/>
      <c r="J928" s="148"/>
      <c r="K928" s="148"/>
      <c r="L928" s="148"/>
      <c r="M928" s="148"/>
      <c r="N928" s="148"/>
      <c r="O928" s="148"/>
      <c r="P928" s="148"/>
      <c r="Q928" s="148"/>
      <c r="R928" s="148"/>
      <c r="S928" s="148"/>
      <c r="T928" s="336"/>
      <c r="U928" s="2031" t="s">
        <v>618</v>
      </c>
      <c r="V928" s="2032"/>
      <c r="W928" s="2032"/>
      <c r="X928" s="2032"/>
      <c r="Y928" s="2032"/>
      <c r="Z928" s="2033"/>
      <c r="AA928" s="2043"/>
      <c r="AB928" s="2044"/>
      <c r="AC928" s="2044"/>
      <c r="AD928" s="2044"/>
      <c r="AE928" s="2044"/>
      <c r="AF928" s="204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1445</v>
      </c>
      <c r="G929" s="77"/>
      <c r="H929" s="77"/>
      <c r="I929" s="77"/>
      <c r="J929" s="77"/>
      <c r="K929" s="77"/>
      <c r="L929" s="77"/>
      <c r="M929" s="77"/>
      <c r="N929" s="77"/>
      <c r="O929" s="77"/>
      <c r="P929" s="148"/>
      <c r="Q929" s="148"/>
      <c r="R929" s="148"/>
      <c r="S929" s="148"/>
      <c r="T929" s="336"/>
      <c r="U929" s="2031" t="s">
        <v>618</v>
      </c>
      <c r="V929" s="2032"/>
      <c r="W929" s="2032"/>
      <c r="X929" s="2032"/>
      <c r="Y929" s="2032"/>
      <c r="Z929" s="2033"/>
      <c r="AA929" s="2043"/>
      <c r="AB929" s="2044"/>
      <c r="AC929" s="2044"/>
      <c r="AD929" s="2044"/>
      <c r="AE929" s="2044"/>
      <c r="AF929" s="204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31" t="s">
        <v>696</v>
      </c>
      <c r="Q930" s="2032"/>
      <c r="R930" s="2032"/>
      <c r="S930" s="2032"/>
      <c r="T930" s="2033"/>
      <c r="U930" s="2031" t="s">
        <v>618</v>
      </c>
      <c r="V930" s="2032"/>
      <c r="W930" s="2032"/>
      <c r="X930" s="2032"/>
      <c r="Y930" s="2032"/>
      <c r="Z930" s="2033"/>
      <c r="AA930" s="2043"/>
      <c r="AB930" s="2044"/>
      <c r="AC930" s="2044"/>
      <c r="AD930" s="2044"/>
      <c r="AE930" s="2044"/>
      <c r="AF930" s="204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49" t="s">
        <v>340</v>
      </c>
      <c r="J931" s="2050"/>
      <c r="K931" s="2050"/>
      <c r="L931" s="2050"/>
      <c r="M931" s="2050"/>
      <c r="N931" s="2050"/>
      <c r="O931" s="2050"/>
      <c r="P931" s="2050"/>
      <c r="Q931" s="2050"/>
      <c r="R931" s="2050"/>
      <c r="S931" s="2050"/>
      <c r="T931" s="2051"/>
      <c r="U931" s="2031" t="s">
        <v>618</v>
      </c>
      <c r="V931" s="2032"/>
      <c r="W931" s="2032"/>
      <c r="X931" s="2032"/>
      <c r="Y931" s="2032"/>
      <c r="Z931" s="2033"/>
      <c r="AA931" s="2043"/>
      <c r="AB931" s="2044"/>
      <c r="AC931" s="2044"/>
      <c r="AD931" s="2044"/>
      <c r="AE931" s="2044"/>
      <c r="AF931" s="204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55" t="s">
        <v>340</v>
      </c>
      <c r="J932" s="2056"/>
      <c r="K932" s="2056"/>
      <c r="L932" s="2056"/>
      <c r="M932" s="2056"/>
      <c r="N932" s="2056"/>
      <c r="O932" s="2056"/>
      <c r="P932" s="2056"/>
      <c r="Q932" s="2056"/>
      <c r="R932" s="2056"/>
      <c r="S932" s="2056"/>
      <c r="T932" s="2057"/>
      <c r="U932" s="2031" t="s">
        <v>618</v>
      </c>
      <c r="V932" s="2032"/>
      <c r="W932" s="2032"/>
      <c r="X932" s="2032"/>
      <c r="Y932" s="2032"/>
      <c r="Z932" s="2033"/>
      <c r="AA932" s="2043"/>
      <c r="AB932" s="2044"/>
      <c r="AC932" s="2044"/>
      <c r="AD932" s="2044"/>
      <c r="AE932" s="2044"/>
      <c r="AF932" s="204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049" t="s">
        <v>2574</v>
      </c>
      <c r="J933" s="2056"/>
      <c r="K933" s="2056"/>
      <c r="L933" s="2056"/>
      <c r="M933" s="2056"/>
      <c r="N933" s="2056"/>
      <c r="O933" s="2056"/>
      <c r="P933" s="2056"/>
      <c r="Q933" s="2056"/>
      <c r="R933" s="2056"/>
      <c r="S933" s="2056"/>
      <c r="T933" s="2057"/>
      <c r="U933" s="2031" t="s">
        <v>571</v>
      </c>
      <c r="V933" s="2032"/>
      <c r="W933" s="2032"/>
      <c r="X933" s="2032"/>
      <c r="Y933" s="2032"/>
      <c r="Z933" s="2033"/>
      <c r="AA933" s="2043">
        <f>AO639</f>
        <v>4476113</v>
      </c>
      <c r="AB933" s="2044"/>
      <c r="AC933" s="2044"/>
      <c r="AD933" s="2044"/>
      <c r="AE933" s="2044"/>
      <c r="AF933" s="204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055" t="s">
        <v>340</v>
      </c>
      <c r="J934" s="2056"/>
      <c r="K934" s="2056"/>
      <c r="L934" s="2056"/>
      <c r="M934" s="2056"/>
      <c r="N934" s="2056"/>
      <c r="O934" s="2056"/>
      <c r="P934" s="2056"/>
      <c r="Q934" s="2056"/>
      <c r="R934" s="2056"/>
      <c r="S934" s="2056"/>
      <c r="T934" s="2057"/>
      <c r="U934" s="2031" t="s">
        <v>618</v>
      </c>
      <c r="V934" s="2032"/>
      <c r="W934" s="2032"/>
      <c r="X934" s="2032"/>
      <c r="Y934" s="2032"/>
      <c r="Z934" s="2033"/>
      <c r="AA934" s="2043"/>
      <c r="AB934" s="2044"/>
      <c r="AC934" s="2044"/>
      <c r="AD934" s="2044"/>
      <c r="AE934" s="2044"/>
      <c r="AF934" s="204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7"/>
      <c r="N939" s="2060"/>
      <c r="O939" s="2060"/>
      <c r="P939" s="2060"/>
      <c r="Q939" s="2060"/>
      <c r="R939" s="2060"/>
      <c r="S939" s="2061"/>
      <c r="U939" s="103" t="s">
        <v>11</v>
      </c>
      <c r="V939" s="77"/>
      <c r="W939" s="77"/>
      <c r="X939" s="77"/>
      <c r="Y939" s="77"/>
      <c r="Z939" s="77"/>
      <c r="AA939" s="77"/>
      <c r="AB939" s="77"/>
      <c r="AC939" s="77"/>
      <c r="AD939" s="78"/>
      <c r="AE939" s="2227"/>
      <c r="AF939" s="2060"/>
      <c r="AG939" s="2060"/>
      <c r="AH939" s="2060"/>
      <c r="AI939" s="2060"/>
      <c r="AJ939" s="2060"/>
      <c r="AK939" s="20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32"/>
      <c r="N940" s="2133"/>
      <c r="O940" s="2133"/>
      <c r="P940" s="2133"/>
      <c r="Q940" s="2133"/>
      <c r="R940" s="2133"/>
      <c r="S940" s="2134"/>
      <c r="U940" s="103" t="s">
        <v>12</v>
      </c>
      <c r="V940" s="77"/>
      <c r="W940" s="77"/>
      <c r="X940" s="77"/>
      <c r="Y940" s="77"/>
      <c r="Z940" s="77"/>
      <c r="AA940" s="77"/>
      <c r="AB940" s="77"/>
      <c r="AC940" s="77"/>
      <c r="AD940" s="78"/>
      <c r="AE940" s="2132"/>
      <c r="AF940" s="2133"/>
      <c r="AG940" s="2133"/>
      <c r="AH940" s="2133"/>
      <c r="AI940" s="2133"/>
      <c r="AJ940" s="2133"/>
      <c r="AK940" s="213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236" t="s">
        <v>313</v>
      </c>
      <c r="K941" s="2237"/>
      <c r="L941" s="2237"/>
      <c r="M941" s="2237"/>
      <c r="N941" s="2237"/>
      <c r="O941" s="2237"/>
      <c r="P941" s="2237"/>
      <c r="Q941" s="2237"/>
      <c r="R941" s="2237"/>
      <c r="S941" s="2238"/>
      <c r="U941" s="103" t="s">
        <v>928</v>
      </c>
      <c r="V941" s="77"/>
      <c r="W941" s="77"/>
      <c r="AB941" s="2236" t="s">
        <v>313</v>
      </c>
      <c r="AC941" s="2237"/>
      <c r="AD941" s="2237"/>
      <c r="AE941" s="2237"/>
      <c r="AF941" s="2237"/>
      <c r="AG941" s="2237"/>
      <c r="AH941" s="2237"/>
      <c r="AI941" s="2237"/>
      <c r="AJ941" s="2237"/>
      <c r="AK941" s="22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27"/>
      <c r="N942" s="2028"/>
      <c r="O942" s="2028"/>
      <c r="P942" s="2028"/>
      <c r="Q942" s="2028"/>
      <c r="R942" s="2028"/>
      <c r="S942" s="2029"/>
      <c r="U942" s="103" t="s">
        <v>13</v>
      </c>
      <c r="V942" s="77"/>
      <c r="W942" s="77"/>
      <c r="X942" s="77"/>
      <c r="Y942" s="77"/>
      <c r="Z942" s="77"/>
      <c r="AA942" s="77"/>
      <c r="AB942" s="77"/>
      <c r="AC942" s="77"/>
      <c r="AD942" s="78"/>
      <c r="AE942" s="2254"/>
      <c r="AF942" s="2028"/>
      <c r="AG942" s="2028"/>
      <c r="AH942" s="2028"/>
      <c r="AI942" s="2028"/>
      <c r="AJ942" s="2028"/>
      <c r="AK942" s="20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3"/>
      <c r="N943" s="2234"/>
      <c r="O943" s="2234"/>
      <c r="P943" s="2234"/>
      <c r="Q943" s="2234"/>
      <c r="R943" s="2234"/>
      <c r="S943" s="2235"/>
      <c r="U943" s="103" t="s">
        <v>14</v>
      </c>
      <c r="V943" s="77"/>
      <c r="W943" s="77"/>
      <c r="X943" s="77"/>
      <c r="Y943" s="77"/>
      <c r="Z943" s="77"/>
      <c r="AA943" s="77"/>
      <c r="AB943" s="77"/>
      <c r="AC943" s="77"/>
      <c r="AD943" s="78"/>
      <c r="AE943" s="2233"/>
      <c r="AF943" s="2234"/>
      <c r="AG943" s="2234"/>
      <c r="AH943" s="2234"/>
      <c r="AI943" s="2234"/>
      <c r="AJ943" s="2234"/>
      <c r="AK943" s="22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43"/>
      <c r="N944" s="2044"/>
      <c r="O944" s="2044"/>
      <c r="P944" s="2044"/>
      <c r="Q944" s="2044"/>
      <c r="R944" s="2044"/>
      <c r="S944" s="2045"/>
      <c r="U944" s="103" t="s">
        <v>15</v>
      </c>
      <c r="V944" s="77"/>
      <c r="W944" s="77"/>
      <c r="X944" s="77"/>
      <c r="Y944" s="77"/>
      <c r="Z944" s="77"/>
      <c r="AA944" s="77"/>
      <c r="AB944" s="77"/>
      <c r="AC944" s="77"/>
      <c r="AD944" s="78"/>
      <c r="AE944" s="2043"/>
      <c r="AF944" s="2044"/>
      <c r="AG944" s="2044"/>
      <c r="AH944" s="2044"/>
      <c r="AI944" s="2044"/>
      <c r="AJ944" s="2044"/>
      <c r="AK944" s="204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43"/>
      <c r="N945" s="2044"/>
      <c r="O945" s="2044"/>
      <c r="P945" s="2044"/>
      <c r="Q945" s="2044"/>
      <c r="R945" s="2044"/>
      <c r="S945" s="2045"/>
      <c r="U945" s="103" t="s">
        <v>16</v>
      </c>
      <c r="V945" s="77"/>
      <c r="W945" s="77"/>
      <c r="X945" s="77"/>
      <c r="Y945" s="77"/>
      <c r="Z945" s="77"/>
      <c r="AA945" s="77"/>
      <c r="AB945" s="77"/>
      <c r="AC945" s="77"/>
      <c r="AD945" s="78"/>
      <c r="AE945" s="2043"/>
      <c r="AF945" s="2044"/>
      <c r="AG945" s="2044"/>
      <c r="AH945" s="2044"/>
      <c r="AI945" s="2044"/>
      <c r="AJ945" s="2044"/>
      <c r="AK945" s="204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1922"/>
      <c r="N946" s="1923"/>
      <c r="O946" s="1923"/>
      <c r="P946" s="1923"/>
      <c r="Q946" s="1923"/>
      <c r="R946" s="1923"/>
      <c r="S946" s="1924"/>
      <c r="U946" s="103" t="s">
        <v>597</v>
      </c>
      <c r="V946" s="77"/>
      <c r="W946" s="77"/>
      <c r="X946" s="77"/>
      <c r="Y946" s="77"/>
      <c r="Z946" s="77"/>
      <c r="AA946" s="77"/>
      <c r="AB946" s="77"/>
      <c r="AC946" s="77"/>
      <c r="AD946" s="78"/>
      <c r="AE946" s="1922"/>
      <c r="AF946" s="1923"/>
      <c r="AG946" s="1923"/>
      <c r="AH946" s="1923"/>
      <c r="AI946" s="1923"/>
      <c r="AJ946" s="1923"/>
      <c r="AK946" s="192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019"/>
      <c r="N951" s="2020"/>
      <c r="O951" s="2020"/>
      <c r="P951" s="2020"/>
      <c r="Q951" s="2020"/>
      <c r="R951" s="2020"/>
      <c r="S951" s="2021"/>
      <c r="T951" s="103" t="s">
        <v>832</v>
      </c>
      <c r="U951" s="77"/>
      <c r="V951" s="77"/>
      <c r="W951" s="77"/>
      <c r="X951" s="77"/>
      <c r="Y951" s="77"/>
      <c r="Z951" s="78"/>
      <c r="AA951" s="2019"/>
      <c r="AB951" s="2020"/>
      <c r="AC951" s="2020"/>
      <c r="AD951" s="2020"/>
      <c r="AE951" s="2020"/>
      <c r="AF951" s="2020"/>
      <c r="AG951" s="202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019"/>
      <c r="N952" s="2020"/>
      <c r="O952" s="2020"/>
      <c r="P952" s="2020"/>
      <c r="Q952" s="2020"/>
      <c r="R952" s="2020"/>
      <c r="S952" s="2021"/>
      <c r="T952" s="103" t="s">
        <v>831</v>
      </c>
      <c r="U952" s="77"/>
      <c r="V952" s="77"/>
      <c r="W952" s="77"/>
      <c r="X952" s="77"/>
      <c r="Y952" s="77"/>
      <c r="Z952" s="78"/>
      <c r="AA952" s="2019"/>
      <c r="AB952" s="2020"/>
      <c r="AC952" s="2020"/>
      <c r="AD952" s="2020"/>
      <c r="AE952" s="2020"/>
      <c r="AF952" s="2020"/>
      <c r="AG952" s="202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39" t="s">
        <v>618</v>
      </c>
      <c r="N953" s="2240"/>
      <c r="O953" s="2240"/>
      <c r="P953" s="2240"/>
      <c r="Q953" s="2240"/>
      <c r="R953" s="2240"/>
      <c r="S953" s="2241"/>
      <c r="T953" s="76" t="s">
        <v>343</v>
      </c>
      <c r="U953" s="77"/>
      <c r="V953" s="77"/>
      <c r="W953" s="77"/>
      <c r="X953" s="77"/>
      <c r="Y953" s="77"/>
      <c r="Z953" s="78"/>
      <c r="AA953" s="2019"/>
      <c r="AB953" s="2020"/>
      <c r="AC953" s="2020"/>
      <c r="AD953" s="2020"/>
      <c r="AE953" s="2020"/>
      <c r="AF953" s="2020"/>
      <c r="AG953" s="202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019"/>
      <c r="N954" s="2020"/>
      <c r="O954" s="2020"/>
      <c r="P954" s="2020"/>
      <c r="Q954" s="2020"/>
      <c r="R954" s="2020"/>
      <c r="S954" s="2021"/>
      <c r="T954" s="76" t="s">
        <v>344</v>
      </c>
      <c r="U954" s="77"/>
      <c r="V954" s="77"/>
      <c r="W954" s="77"/>
      <c r="X954" s="77"/>
      <c r="Y954" s="77"/>
      <c r="Z954" s="78"/>
      <c r="AA954" s="2019"/>
      <c r="AB954" s="2020"/>
      <c r="AC954" s="2020"/>
      <c r="AD954" s="2020"/>
      <c r="AE954" s="2020"/>
      <c r="AF954" s="2020"/>
      <c r="AG954" s="202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019"/>
      <c r="N955" s="2020"/>
      <c r="O955" s="2020"/>
      <c r="P955" s="2020"/>
      <c r="Q955" s="2020"/>
      <c r="R955" s="2020"/>
      <c r="S955" s="2021"/>
      <c r="T955" s="76" t="s">
        <v>391</v>
      </c>
      <c r="U955" s="77"/>
      <c r="V955" s="77"/>
      <c r="W955" s="77"/>
      <c r="X955" s="77"/>
      <c r="Y955" s="77"/>
      <c r="Z955" s="78"/>
      <c r="AA955" s="2019"/>
      <c r="AB955" s="2020"/>
      <c r="AC955" s="2020"/>
      <c r="AD955" s="2020"/>
      <c r="AE955" s="2020"/>
      <c r="AF955" s="2020"/>
      <c r="AG955" s="202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42" t="s">
        <v>313</v>
      </c>
      <c r="N956" s="2243"/>
      <c r="O956" s="2243"/>
      <c r="P956" s="2243"/>
      <c r="Q956" s="2243"/>
      <c r="R956" s="2243"/>
      <c r="S956" s="2244"/>
      <c r="T956" s="2046"/>
      <c r="U956" s="2047"/>
      <c r="V956" s="2047"/>
      <c r="W956" s="2047"/>
      <c r="X956" s="2047"/>
      <c r="Y956" s="2047"/>
      <c r="Z956" s="2048"/>
      <c r="AA956" s="2019"/>
      <c r="AB956" s="2020"/>
      <c r="AC956" s="2020"/>
      <c r="AD956" s="2020"/>
      <c r="AE956" s="2020"/>
      <c r="AF956" s="2020"/>
      <c r="AG956" s="202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019"/>
      <c r="N957" s="2020"/>
      <c r="O957" s="2020"/>
      <c r="P957" s="2020"/>
      <c r="Q957" s="2020"/>
      <c r="R957" s="2020"/>
      <c r="S957" s="2021"/>
      <c r="T957" s="2046"/>
      <c r="U957" s="2047"/>
      <c r="V957" s="2047"/>
      <c r="W957" s="2047"/>
      <c r="X957" s="2047"/>
      <c r="Y957" s="2047"/>
      <c r="Z957" s="2048"/>
      <c r="AA957" s="2019"/>
      <c r="AB957" s="2020"/>
      <c r="AC957" s="2020"/>
      <c r="AD957" s="2020"/>
      <c r="AE957" s="2020"/>
      <c r="AF957" s="2020"/>
      <c r="AG957" s="202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28" t="s">
        <v>696</v>
      </c>
      <c r="P958" s="2229"/>
      <c r="Q958" s="139"/>
      <c r="R958" s="139"/>
      <c r="S958" s="140"/>
      <c r="T958" s="71" t="s">
        <v>175</v>
      </c>
      <c r="U958" s="72"/>
      <c r="V958" s="72"/>
      <c r="W958" s="2058" t="s">
        <v>340</v>
      </c>
      <c r="X958" s="2022"/>
      <c r="Y958" s="2022"/>
      <c r="Z958" s="2022"/>
      <c r="AA958" s="2022"/>
      <c r="AB958" s="2022"/>
      <c r="AC958" s="2022"/>
      <c r="AD958" s="2022"/>
      <c r="AE958" s="2022"/>
      <c r="AF958" s="2022"/>
      <c r="AG958" s="20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084" t="s">
        <v>34</v>
      </c>
      <c r="G959" s="2085"/>
      <c r="H959" s="2085"/>
      <c r="I959" s="2085"/>
      <c r="J959" s="2085"/>
      <c r="K959" s="2085"/>
      <c r="L959" s="2085"/>
      <c r="M959" s="2019"/>
      <c r="N959" s="2020"/>
      <c r="O959" s="2020"/>
      <c r="P959" s="2020"/>
      <c r="Q959" s="2020"/>
      <c r="R959" s="2020"/>
      <c r="S959" s="2021"/>
      <c r="T959" s="79"/>
      <c r="U959" s="80"/>
      <c r="V959" s="80"/>
      <c r="W959" s="80"/>
      <c r="X959" s="80"/>
      <c r="Y959" s="80"/>
      <c r="Z959" s="188" t="s">
        <v>139</v>
      </c>
      <c r="AA959" s="2040"/>
      <c r="AB959" s="2041"/>
      <c r="AC959" s="2041"/>
      <c r="AD959" s="2041"/>
      <c r="AE959" s="2041"/>
      <c r="AF959" s="2041"/>
      <c r="AG959" s="204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106" t="s">
        <v>574</v>
      </c>
      <c r="B963" s="2106"/>
      <c r="C963" s="2106"/>
      <c r="D963" s="2106"/>
      <c r="E963" s="2106"/>
      <c r="F963" s="2106"/>
      <c r="G963" s="2106"/>
      <c r="H963" s="2106"/>
      <c r="I963" s="2106"/>
      <c r="J963" s="2106"/>
      <c r="K963" s="2106"/>
      <c r="L963" s="2106"/>
      <c r="M963" s="2106"/>
      <c r="N963" s="2106"/>
      <c r="O963" s="2106"/>
      <c r="P963" s="2106"/>
      <c r="Q963" s="2106"/>
      <c r="R963" s="2106"/>
      <c r="S963" s="2106"/>
      <c r="T963" s="2106"/>
      <c r="U963" s="2106"/>
      <c r="V963" s="2106"/>
      <c r="W963" s="2106"/>
      <c r="X963" s="2106"/>
      <c r="Y963" s="2106"/>
      <c r="Z963" s="2106"/>
      <c r="AA963" s="2106"/>
      <c r="AB963" s="2106"/>
      <c r="AC963" s="2106"/>
      <c r="AD963" s="2106"/>
      <c r="AE963" s="2106"/>
      <c r="AF963" s="2106"/>
      <c r="AG963" s="2106"/>
      <c r="AH963" s="2106"/>
      <c r="AI963" s="2106"/>
      <c r="AJ963" s="2106"/>
      <c r="AK963" s="2106"/>
      <c r="AL963" s="2106"/>
      <c r="AM963" s="2106"/>
      <c r="AN963" s="2106"/>
      <c r="AO963" s="2106"/>
      <c r="AP963" s="2106"/>
      <c r="AQ963" s="2106"/>
      <c r="AR963" s="2106"/>
      <c r="AS963" s="210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106"/>
      <c r="B964" s="2106"/>
      <c r="C964" s="2106"/>
      <c r="D964" s="2106"/>
      <c r="E964" s="2106"/>
      <c r="F964" s="2106"/>
      <c r="G964" s="2106"/>
      <c r="H964" s="2106"/>
      <c r="I964" s="2106"/>
      <c r="J964" s="2106"/>
      <c r="K964" s="2106"/>
      <c r="L964" s="2106"/>
      <c r="M964" s="2106"/>
      <c r="N964" s="2106"/>
      <c r="O964" s="2106"/>
      <c r="P964" s="2106"/>
      <c r="Q964" s="2106"/>
      <c r="R964" s="2106"/>
      <c r="S964" s="2106"/>
      <c r="T964" s="2106"/>
      <c r="U964" s="2106"/>
      <c r="V964" s="2106"/>
      <c r="W964" s="2106"/>
      <c r="X964" s="2106"/>
      <c r="Y964" s="2106"/>
      <c r="Z964" s="2106"/>
      <c r="AA964" s="2106"/>
      <c r="AB964" s="2106"/>
      <c r="AC964" s="2106"/>
      <c r="AD964" s="2106"/>
      <c r="AE964" s="2106"/>
      <c r="AF964" s="2106"/>
      <c r="AG964" s="2106"/>
      <c r="AH964" s="2106"/>
      <c r="AI964" s="2106"/>
      <c r="AJ964" s="2106"/>
      <c r="AK964" s="2106"/>
      <c r="AL964" s="2106"/>
      <c r="AM964" s="2106"/>
      <c r="AN964" s="2106"/>
      <c r="AO964" s="2106"/>
      <c r="AP964" s="2106"/>
      <c r="AQ964" s="2106"/>
      <c r="AR964" s="2106"/>
      <c r="AS964" s="210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91"/>
      <c r="BH965" s="2191"/>
      <c r="BI965" s="2191"/>
      <c r="BJ965" s="2191"/>
      <c r="BK965" s="2191"/>
      <c r="BL965" s="2191"/>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991"/>
      <c r="D968" s="1974" t="s">
        <v>665</v>
      </c>
      <c r="E968" s="1975"/>
      <c r="F968" s="1975"/>
      <c r="G968" s="1975"/>
      <c r="H968" s="1975"/>
      <c r="I968" s="1975"/>
      <c r="J968" s="1975"/>
      <c r="K968" s="1975"/>
      <c r="L968" s="1975"/>
      <c r="M968" s="1975"/>
      <c r="N968" s="1975"/>
      <c r="O968" s="1975"/>
      <c r="P968" s="1975"/>
      <c r="Q968" s="1976"/>
      <c r="R968" s="1974" t="s">
        <v>666</v>
      </c>
      <c r="S968" s="1975"/>
      <c r="T968" s="1975"/>
      <c r="U968" s="1975"/>
      <c r="V968" s="1975"/>
      <c r="W968" s="1975"/>
      <c r="X968" s="1975"/>
      <c r="Y968" s="1975"/>
      <c r="Z968" s="1975"/>
      <c r="AA968" s="1976"/>
      <c r="AB968" s="1974" t="s">
        <v>667</v>
      </c>
      <c r="AC968" s="1975"/>
      <c r="AD968" s="1975"/>
      <c r="AE968" s="1975"/>
      <c r="AF968" s="1975"/>
      <c r="AG968" s="1975"/>
      <c r="AH968" s="1975"/>
      <c r="AI968" s="1976"/>
      <c r="AJ968" s="1974" t="s">
        <v>668</v>
      </c>
      <c r="AK968" s="1975"/>
      <c r="AL968" s="1975"/>
      <c r="AM968" s="1975"/>
      <c r="AN968" s="1975"/>
      <c r="AO968" s="1975"/>
      <c r="AP968" s="1975"/>
      <c r="AQ968" s="1976"/>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2.75">
      <c r="B969" s="110"/>
      <c r="C969" s="992"/>
      <c r="D969" s="1971" t="s">
        <v>660</v>
      </c>
      <c r="E969" s="1972"/>
      <c r="F969" s="1972"/>
      <c r="G969" s="1972"/>
      <c r="H969" s="1972"/>
      <c r="I969" s="1972"/>
      <c r="J969" s="1972"/>
      <c r="K969" s="1972"/>
      <c r="L969" s="1972"/>
      <c r="M969" s="1972"/>
      <c r="N969" s="1972"/>
      <c r="O969" s="1972"/>
      <c r="P969" s="1972"/>
      <c r="Q969" s="1973"/>
      <c r="R969" s="2030">
        <f>IF(ISNA(IF($BN$799="4%",(INDEX($BP$809:$BT$866,MATCH($CB$799,$BO$809:$BO$866,0),MATCH(D969,$BP$808:$BT$808,0))),(INDEX($BW$809:$CA$866,MATCH($CB$799,$BV$809:$BV$866,0),MATCH(D969,$BW$808:$CA$808,0))))),0,IF($BN$799="4%",(INDEX($BP$809:$BT$866,MATCH($CB$799,$BO$809:$BO$866,0),MATCH(D969,$BP$808:$BT$808,0))),(INDEX($BW$809:$CA$866,MATCH($CB$799,$BV$809:$BV$866,0),MATCH(D969,$BW$808:$CA$808,0)))))</f>
        <v>308882</v>
      </c>
      <c r="S969" s="2030"/>
      <c r="T969" s="2030"/>
      <c r="U969" s="2030"/>
      <c r="V969" s="2030"/>
      <c r="W969" s="2030"/>
      <c r="X969" s="2030"/>
      <c r="Y969" s="2030"/>
      <c r="Z969" s="2030"/>
      <c r="AA969" s="2030"/>
      <c r="AB969" s="1919">
        <f>BN663</f>
        <v>0</v>
      </c>
      <c r="AC969" s="1920"/>
      <c r="AD969" s="1920"/>
      <c r="AE969" s="1920"/>
      <c r="AF969" s="1920"/>
      <c r="AG969" s="1920"/>
      <c r="AH969" s="1920"/>
      <c r="AI969" s="1921"/>
      <c r="AJ969" s="1952">
        <f>IF(ISERROR((R969*AB969)),0,(R969*AB969))</f>
        <v>0</v>
      </c>
      <c r="AK969" s="1953"/>
      <c r="AL969" s="1953"/>
      <c r="AM969" s="1953"/>
      <c r="AN969" s="1953"/>
      <c r="AO969" s="1953"/>
      <c r="AP969" s="1953"/>
      <c r="AQ969" s="1954"/>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2.75">
      <c r="B970" s="110"/>
      <c r="C970" s="993"/>
      <c r="D970" s="1971" t="s">
        <v>331</v>
      </c>
      <c r="E970" s="1972"/>
      <c r="F970" s="1972"/>
      <c r="G970" s="1972"/>
      <c r="H970" s="1972"/>
      <c r="I970" s="1972"/>
      <c r="J970" s="1972"/>
      <c r="K970" s="1972"/>
      <c r="L970" s="1972"/>
      <c r="M970" s="1972"/>
      <c r="N970" s="1972"/>
      <c r="O970" s="1972"/>
      <c r="P970" s="1972"/>
      <c r="Q970" s="1973"/>
      <c r="R970" s="2030">
        <f>IF(ISNA(IF($BN$799="4%",(INDEX($BP$809:$BT$866,MATCH($CB$799,$BO$809:$BO$866,0),MATCH(D970,$BP$808:$BT$808,0))),(INDEX($BW$809:$CA$866,MATCH($CB$799,$BV$809:$BV$866,0),MATCH(D970,$BW$808:$CA$808,0))))),0,IF($BN$799="4%",(INDEX($BP$809:$BT$866,MATCH($CB$799,$BO$809:$BO$866,0),MATCH(D970,$BP$808:$BT$808,0))),(INDEX($BW$809:$CA$866,MATCH($CB$799,$BV$809:$BV$866,0),MATCH(D970,$BW$808:$CA$808,0)))))</f>
        <v>356138</v>
      </c>
      <c r="S970" s="2030"/>
      <c r="T970" s="2030"/>
      <c r="U970" s="2030"/>
      <c r="V970" s="2030"/>
      <c r="W970" s="2030"/>
      <c r="X970" s="2030"/>
      <c r="Y970" s="2030"/>
      <c r="Z970" s="2030"/>
      <c r="AA970" s="2030"/>
      <c r="AB970" s="1919">
        <f>BS663</f>
        <v>111</v>
      </c>
      <c r="AC970" s="1920"/>
      <c r="AD970" s="1920"/>
      <c r="AE970" s="1920"/>
      <c r="AF970" s="1920"/>
      <c r="AG970" s="1920"/>
      <c r="AH970" s="1920"/>
      <c r="AI970" s="1921"/>
      <c r="AJ970" s="1952">
        <f>IF(ISERROR((R970*AB970)),0,(R970*AB970))</f>
        <v>39531318</v>
      </c>
      <c r="AK970" s="1953"/>
      <c r="AL970" s="1953"/>
      <c r="AM970" s="1953"/>
      <c r="AN970" s="1953"/>
      <c r="AO970" s="1953"/>
      <c r="AP970" s="1953"/>
      <c r="AQ970" s="1954"/>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1971" t="s">
        <v>168</v>
      </c>
      <c r="E971" s="1972"/>
      <c r="F971" s="1972"/>
      <c r="G971" s="1972"/>
      <c r="H971" s="1972"/>
      <c r="I971" s="1972"/>
      <c r="J971" s="1972"/>
      <c r="K971" s="1972"/>
      <c r="L971" s="1972"/>
      <c r="M971" s="1972"/>
      <c r="N971" s="1972"/>
      <c r="O971" s="1972"/>
      <c r="P971" s="1972"/>
      <c r="Q971" s="1973"/>
      <c r="R971" s="2030">
        <f>IF(ISNA(IF($BN$799="4%",(INDEX($BP$809:$BT$866,MATCH($CB$799,$BO$809:$BO$866,0),MATCH(D971,$BP$808:$BT$808,0))),(INDEX($BW$809:$CA$866,MATCH($CB$799,$BV$809:$BV$866,0),MATCH(D971,$BW$808:$CA$808,0))))),0,IF($BN$799="4%",(INDEX($BP$809:$BT$866,MATCH($CB$799,$BO$809:$BO$866,0),MATCH(D971,$BP$808:$BT$808,0))),(INDEX($BW$809:$CA$866,MATCH($CB$799,$BV$809:$BV$866,0),MATCH(D971,$BW$808:$CA$808,0)))))</f>
        <v>429600</v>
      </c>
      <c r="S971" s="2030"/>
      <c r="T971" s="2030"/>
      <c r="U971" s="2030"/>
      <c r="V971" s="2030"/>
      <c r="W971" s="2030"/>
      <c r="X971" s="2030"/>
      <c r="Y971" s="2030"/>
      <c r="Z971" s="2030"/>
      <c r="AA971" s="2030"/>
      <c r="AB971" s="1919">
        <f>BX663</f>
        <v>55</v>
      </c>
      <c r="AC971" s="1920"/>
      <c r="AD971" s="1920"/>
      <c r="AE971" s="1920"/>
      <c r="AF971" s="1920"/>
      <c r="AG971" s="1920"/>
      <c r="AH971" s="1920"/>
      <c r="AI971" s="1921"/>
      <c r="AJ971" s="1952">
        <f>IF(ISERROR((R971*AB971)),0,(R971*AB971))</f>
        <v>23628000</v>
      </c>
      <c r="AK971" s="1953"/>
      <c r="AL971" s="1953"/>
      <c r="AM971" s="1953"/>
      <c r="AN971" s="1953"/>
      <c r="AO971" s="1953"/>
      <c r="AP971" s="1953"/>
      <c r="AQ971" s="1954"/>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2.75">
      <c r="B972" s="110"/>
      <c r="C972" s="993"/>
      <c r="D972" s="1971" t="s">
        <v>169</v>
      </c>
      <c r="E972" s="1972"/>
      <c r="F972" s="1972"/>
      <c r="G972" s="1972"/>
      <c r="H972" s="1972"/>
      <c r="I972" s="1972"/>
      <c r="J972" s="1972"/>
      <c r="K972" s="1972"/>
      <c r="L972" s="1972"/>
      <c r="M972" s="1972"/>
      <c r="N972" s="1972"/>
      <c r="O972" s="1972"/>
      <c r="P972" s="1972"/>
      <c r="Q972" s="1973"/>
      <c r="R972" s="2030">
        <f>IF(ISNA(IF($BN$799="4%",(INDEX($BP$809:$BT$866,MATCH($CB$799,$BO$809:$BO$866,0),MATCH(D972,$BP$808:$BT$808,0))),(INDEX($BW$809:$CA$866,MATCH($CB$799,$BV$809:$BV$866,0),MATCH(D972,$BW$808:$CA$808,0))))),0,IF($BN$799="4%",(INDEX($BP$809:$BT$866,MATCH($CB$799,$BO$809:$BO$866,0),MATCH(D972,$BP$808:$BT$808,0))),(INDEX($BW$809:$CA$866,MATCH($CB$799,$BV$809:$BV$866,0),MATCH(D972,$BW$808:$CA$808,0)))))</f>
        <v>549888</v>
      </c>
      <c r="S972" s="2030"/>
      <c r="T972" s="2030"/>
      <c r="U972" s="2030"/>
      <c r="V972" s="2030"/>
      <c r="W972" s="2030"/>
      <c r="X972" s="2030"/>
      <c r="Y972" s="2030"/>
      <c r="Z972" s="2030"/>
      <c r="AA972" s="2030"/>
      <c r="AB972" s="1919">
        <f>CC663</f>
        <v>0</v>
      </c>
      <c r="AC972" s="1920"/>
      <c r="AD972" s="1920"/>
      <c r="AE972" s="1920"/>
      <c r="AF972" s="1920"/>
      <c r="AG972" s="1920"/>
      <c r="AH972" s="1920"/>
      <c r="AI972" s="1921"/>
      <c r="AJ972" s="1952">
        <f>IF(ISERROR((R972*AB972)),0,(R972*AB972))</f>
        <v>0</v>
      </c>
      <c r="AK972" s="1953"/>
      <c r="AL972" s="1953"/>
      <c r="AM972" s="1953"/>
      <c r="AN972" s="1953"/>
      <c r="AO972" s="1953"/>
      <c r="AP972" s="1953"/>
      <c r="AQ972" s="1954"/>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1971" t="s">
        <v>486</v>
      </c>
      <c r="E973" s="1972"/>
      <c r="F973" s="1972"/>
      <c r="G973" s="1972"/>
      <c r="H973" s="1972"/>
      <c r="I973" s="1972"/>
      <c r="J973" s="1972"/>
      <c r="K973" s="1972"/>
      <c r="L973" s="1972"/>
      <c r="M973" s="1972"/>
      <c r="N973" s="1972"/>
      <c r="O973" s="1972"/>
      <c r="P973" s="1972"/>
      <c r="Q973" s="1973"/>
      <c r="R973" s="2030">
        <f>IF(ISNA(IF($BN$799="4%",(INDEX($BP$809:$BT$866,MATCH($CB$799,$BO$809:$BO$866,0),MATCH(D973,$BP$808:$BT$808,0))),(INDEX($BW$809:$CA$866,MATCH($CB$799,$BV$809:$BV$866,0),MATCH(D973,$BW$808:$CA$808,0))))),0,IF($BN$799="4%",(INDEX($BP$809:$BT$866,MATCH($CB$799,$BO$809:$BO$866,0),MATCH(D973,$BP$808:$BT$808,0))),(INDEX($BW$809:$CA$866,MATCH($CB$799,$BV$809:$BV$866,0),MATCH(D973,$BW$808:$CA$808,0)))))</f>
        <v>612610</v>
      </c>
      <c r="S973" s="2030"/>
      <c r="T973" s="2030"/>
      <c r="U973" s="2030"/>
      <c r="V973" s="2030"/>
      <c r="W973" s="2030"/>
      <c r="X973" s="2030"/>
      <c r="Y973" s="2030"/>
      <c r="Z973" s="2030"/>
      <c r="AA973" s="2030"/>
      <c r="AB973" s="1919">
        <f>CM663+CH663</f>
        <v>0</v>
      </c>
      <c r="AC973" s="1920"/>
      <c r="AD973" s="1920"/>
      <c r="AE973" s="1920"/>
      <c r="AF973" s="1920"/>
      <c r="AG973" s="1920"/>
      <c r="AH973" s="1920"/>
      <c r="AI973" s="1921"/>
      <c r="AJ973" s="1952">
        <f>IF(ISERROR((R973*AB973)),0,(R973*AB973))</f>
        <v>0</v>
      </c>
      <c r="AK973" s="1953"/>
      <c r="AL973" s="1953"/>
      <c r="AM973" s="1953"/>
      <c r="AN973" s="1953"/>
      <c r="AO973" s="1953"/>
      <c r="AP973" s="1953"/>
      <c r="AQ973" s="1954"/>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001" t="s">
        <v>833</v>
      </c>
      <c r="C974" s="2002"/>
      <c r="D974" s="2002"/>
      <c r="E974" s="2002"/>
      <c r="F974" s="2002"/>
      <c r="G974" s="2002"/>
      <c r="H974" s="2002"/>
      <c r="I974" s="2002"/>
      <c r="J974" s="2002"/>
      <c r="K974" s="2002"/>
      <c r="L974" s="2002"/>
      <c r="M974" s="2002"/>
      <c r="N974" s="2002"/>
      <c r="O974" s="2002"/>
      <c r="P974" s="2002"/>
      <c r="Q974" s="2002"/>
      <c r="R974" s="2002"/>
      <c r="S974" s="2002"/>
      <c r="T974" s="2002"/>
      <c r="U974" s="2002"/>
      <c r="V974" s="2002"/>
      <c r="W974" s="2002"/>
      <c r="X974" s="2002"/>
      <c r="Y974" s="2002"/>
      <c r="Z974" s="2002"/>
      <c r="AA974" s="2003"/>
      <c r="AB974" s="1919">
        <f>SUM(AB969:AI973)</f>
        <v>166</v>
      </c>
      <c r="AC974" s="1920"/>
      <c r="AD974" s="1920"/>
      <c r="AE974" s="1920"/>
      <c r="AF974" s="1920"/>
      <c r="AG974" s="1920"/>
      <c r="AH974" s="1920"/>
      <c r="AI974" s="1921"/>
      <c r="AJ974" s="1952"/>
      <c r="AK974" s="1953"/>
      <c r="AL974" s="1953"/>
      <c r="AM974" s="1953"/>
      <c r="AN974" s="1953"/>
      <c r="AO974" s="1953"/>
      <c r="AP974" s="1953"/>
      <c r="AQ974" s="1954"/>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 customHeight="1">
      <c r="A975" s="51"/>
      <c r="B975" s="1949" t="s">
        <v>538</v>
      </c>
      <c r="C975" s="1950"/>
      <c r="D975" s="1950"/>
      <c r="E975" s="1950"/>
      <c r="F975" s="1950"/>
      <c r="G975" s="1950"/>
      <c r="H975" s="1950"/>
      <c r="I975" s="1950"/>
      <c r="J975" s="1950"/>
      <c r="K975" s="1950"/>
      <c r="L975" s="1950"/>
      <c r="M975" s="1950"/>
      <c r="N975" s="1950"/>
      <c r="O975" s="1950"/>
      <c r="P975" s="1950"/>
      <c r="Q975" s="1950"/>
      <c r="R975" s="1950"/>
      <c r="S975" s="1950"/>
      <c r="T975" s="1950"/>
      <c r="U975" s="1950"/>
      <c r="V975" s="1950"/>
      <c r="W975" s="1950"/>
      <c r="X975" s="1950"/>
      <c r="Y975" s="1950"/>
      <c r="Z975" s="1950"/>
      <c r="AA975" s="1950"/>
      <c r="AB975" s="1950"/>
      <c r="AC975" s="1950"/>
      <c r="AD975" s="1950"/>
      <c r="AE975" s="1950"/>
      <c r="AF975" s="1950"/>
      <c r="AG975" s="1950"/>
      <c r="AH975" s="1950"/>
      <c r="AI975" s="1951"/>
      <c r="AJ975" s="1952">
        <f>SUM(AJ969:AQ973)</f>
        <v>63159318</v>
      </c>
      <c r="AK975" s="1953"/>
      <c r="AL975" s="1953"/>
      <c r="AM975" s="1953"/>
      <c r="AN975" s="1953"/>
      <c r="AO975" s="1953"/>
      <c r="AP975" s="1953"/>
      <c r="AQ975" s="1954"/>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1955"/>
      <c r="C976" s="1956"/>
      <c r="D976" s="1956"/>
      <c r="E976" s="1956"/>
      <c r="F976" s="1956"/>
      <c r="G976" s="1956"/>
      <c r="H976" s="1956"/>
      <c r="I976" s="1956"/>
      <c r="J976" s="1956"/>
      <c r="K976" s="1956"/>
      <c r="L976" s="1956"/>
      <c r="M976" s="1956"/>
      <c r="N976" s="1956"/>
      <c r="O976" s="1956"/>
      <c r="P976" s="1956"/>
      <c r="Q976" s="1956"/>
      <c r="R976" s="1956"/>
      <c r="S976" s="1956"/>
      <c r="T976" s="1956"/>
      <c r="U976" s="1956"/>
      <c r="V976" s="1956"/>
      <c r="W976" s="1956"/>
      <c r="X976" s="1956"/>
      <c r="Y976" s="1956"/>
      <c r="Z976" s="1956"/>
      <c r="AA976" s="1956"/>
      <c r="AB976" s="1956"/>
      <c r="AC976" s="1956"/>
      <c r="AD976" s="1956"/>
      <c r="AE976" s="1957"/>
      <c r="AF976" s="1958" t="s">
        <v>693</v>
      </c>
      <c r="AG976" s="1959"/>
      <c r="AH976" s="1959"/>
      <c r="AI976" s="1960"/>
      <c r="AJ976" s="1955"/>
      <c r="AK976" s="1956"/>
      <c r="AL976" s="1956"/>
      <c r="AM976" s="1956"/>
      <c r="AN976" s="1956"/>
      <c r="AO976" s="1956"/>
      <c r="AP976" s="1956"/>
      <c r="AQ976" s="1957"/>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695</v>
      </c>
      <c r="D977" s="1965" t="s">
        <v>1388</v>
      </c>
      <c r="E977" s="1966"/>
      <c r="F977" s="1966"/>
      <c r="G977" s="1966"/>
      <c r="H977" s="1966"/>
      <c r="I977" s="1966"/>
      <c r="J977" s="1966"/>
      <c r="K977" s="1966"/>
      <c r="L977" s="1966"/>
      <c r="M977" s="1966"/>
      <c r="N977" s="1966"/>
      <c r="O977" s="1966"/>
      <c r="P977" s="1966"/>
      <c r="Q977" s="1966"/>
      <c r="R977" s="1966"/>
      <c r="S977" s="1966"/>
      <c r="T977" s="1966"/>
      <c r="U977" s="1966"/>
      <c r="V977" s="1966"/>
      <c r="W977" s="1966"/>
      <c r="X977" s="1966"/>
      <c r="Y977" s="1966"/>
      <c r="Z977" s="1966"/>
      <c r="AA977" s="1966"/>
      <c r="AB977" s="1966"/>
      <c r="AC977" s="1966"/>
      <c r="AD977" s="1966"/>
      <c r="AE977" s="1967"/>
      <c r="AF977" s="117"/>
      <c r="AG977" s="1961" t="s">
        <v>696</v>
      </c>
      <c r="AH977" s="1962"/>
      <c r="AI977" s="125"/>
      <c r="AJ977" s="1983">
        <f>ROUND(IF(AND(AG977="yes",D979&gt;0),AJ975*0.2,0),0)</f>
        <v>0</v>
      </c>
      <c r="AK977" s="1984"/>
      <c r="AL977" s="1984"/>
      <c r="AM977" s="1984"/>
      <c r="AN977" s="1984"/>
      <c r="AO977" s="1984"/>
      <c r="AP977" s="1984"/>
      <c r="AQ977" s="1985"/>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004" t="s">
        <v>1389</v>
      </c>
      <c r="E978" s="2005"/>
      <c r="F978" s="2005"/>
      <c r="G978" s="2005"/>
      <c r="H978" s="2005"/>
      <c r="I978" s="2005"/>
      <c r="J978" s="2005"/>
      <c r="K978" s="2005"/>
      <c r="L978" s="2005"/>
      <c r="M978" s="2005"/>
      <c r="N978" s="2005"/>
      <c r="O978" s="2005"/>
      <c r="P978" s="2005"/>
      <c r="Q978" s="2005"/>
      <c r="R978" s="2005"/>
      <c r="S978" s="2005"/>
      <c r="T978" s="2005"/>
      <c r="U978" s="2005"/>
      <c r="V978" s="2005"/>
      <c r="W978" s="2005"/>
      <c r="X978" s="2005"/>
      <c r="Y978" s="2005"/>
      <c r="Z978" s="2005"/>
      <c r="AA978" s="2005"/>
      <c r="AB978" s="2005"/>
      <c r="AC978" s="2005"/>
      <c r="AD978" s="2005"/>
      <c r="AE978" s="2006"/>
      <c r="AF978" s="110"/>
      <c r="AG978" s="112"/>
      <c r="AH978" s="112"/>
      <c r="AI978" s="121"/>
      <c r="AJ978" s="1986"/>
      <c r="AK978" s="1987"/>
      <c r="AL978" s="1987"/>
      <c r="AM978" s="1987"/>
      <c r="AN978" s="1987"/>
      <c r="AO978" s="1987"/>
      <c r="AP978" s="1987"/>
      <c r="AQ978" s="1988"/>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 customHeight="1">
      <c r="A979" s="51"/>
      <c r="B979" s="409"/>
      <c r="C979" s="408"/>
      <c r="D979" s="2007"/>
      <c r="E979" s="2008"/>
      <c r="F979" s="2008"/>
      <c r="G979" s="2008"/>
      <c r="H979" s="2008"/>
      <c r="I979" s="2008"/>
      <c r="J979" s="2008"/>
      <c r="K979" s="2008"/>
      <c r="L979" s="2008"/>
      <c r="M979" s="2008"/>
      <c r="N979" s="2008"/>
      <c r="O979" s="2008"/>
      <c r="P979" s="2008"/>
      <c r="Q979" s="2008"/>
      <c r="R979" s="2008"/>
      <c r="S979" s="2008"/>
      <c r="T979" s="2008"/>
      <c r="U979" s="2008"/>
      <c r="V979" s="2008"/>
      <c r="W979" s="2008"/>
      <c r="X979" s="2008"/>
      <c r="Y979" s="2008"/>
      <c r="Z979" s="2008"/>
      <c r="AA979" s="2008"/>
      <c r="AB979" s="2008"/>
      <c r="AC979" s="2008"/>
      <c r="AD979" s="2008"/>
      <c r="AE979" s="2009"/>
      <c r="AF979" s="115"/>
      <c r="AG979" s="11"/>
      <c r="AH979" s="11"/>
      <c r="AI979" s="116"/>
      <c r="AJ979" s="1989"/>
      <c r="AK979" s="1990"/>
      <c r="AL979" s="1990"/>
      <c r="AM979" s="1990"/>
      <c r="AN979" s="1990"/>
      <c r="AO979" s="1990"/>
      <c r="AP979" s="1990"/>
      <c r="AQ979" s="1991"/>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1946" t="s">
        <v>1479</v>
      </c>
      <c r="E980" s="1947"/>
      <c r="F980" s="1947"/>
      <c r="G980" s="1947"/>
      <c r="H980" s="1947"/>
      <c r="I980" s="1947"/>
      <c r="J980" s="1947"/>
      <c r="K980" s="1947"/>
      <c r="L980" s="1947"/>
      <c r="M980" s="1947"/>
      <c r="N980" s="1947"/>
      <c r="O980" s="1947"/>
      <c r="P980" s="1947"/>
      <c r="Q980" s="1947"/>
      <c r="R980" s="1947"/>
      <c r="S980" s="1947"/>
      <c r="T980" s="1947"/>
      <c r="U980" s="1947"/>
      <c r="V980" s="1947"/>
      <c r="W980" s="1947"/>
      <c r="X980" s="1947"/>
      <c r="Y980" s="1947"/>
      <c r="Z980" s="1947"/>
      <c r="AA980" s="1947"/>
      <c r="AB980" s="1947"/>
      <c r="AC980" s="1947"/>
      <c r="AD980" s="1947"/>
      <c r="AE980" s="1948"/>
      <c r="AF980" s="117"/>
      <c r="AG980" s="1963" t="s">
        <v>696</v>
      </c>
      <c r="AH980" s="1964"/>
      <c r="AI980" s="125"/>
      <c r="AJ980" s="1983">
        <f>ROUND(IF(AG980="yes",AJ975*0.05,0),0)</f>
        <v>0</v>
      </c>
      <c r="AK980" s="1984"/>
      <c r="AL980" s="1984"/>
      <c r="AM980" s="1984"/>
      <c r="AN980" s="1984"/>
      <c r="AO980" s="1984"/>
      <c r="AP980" s="1984"/>
      <c r="AQ980" s="1985"/>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 customHeight="1">
      <c r="A981" s="51"/>
      <c r="B981" s="409"/>
      <c r="C981" s="120"/>
      <c r="D981" s="2004" t="s">
        <v>1477</v>
      </c>
      <c r="E981" s="2005"/>
      <c r="F981" s="2005"/>
      <c r="G981" s="2005"/>
      <c r="H981" s="2005"/>
      <c r="I981" s="2005"/>
      <c r="J981" s="2005"/>
      <c r="K981" s="2005"/>
      <c r="L981" s="2005"/>
      <c r="M981" s="2005"/>
      <c r="N981" s="2005"/>
      <c r="O981" s="2005"/>
      <c r="P981" s="2005"/>
      <c r="Q981" s="2005"/>
      <c r="R981" s="2005"/>
      <c r="S981" s="2005"/>
      <c r="T981" s="2005"/>
      <c r="U981" s="2005"/>
      <c r="V981" s="2005"/>
      <c r="W981" s="2005"/>
      <c r="X981" s="2005"/>
      <c r="Y981" s="2005"/>
      <c r="Z981" s="2005"/>
      <c r="AA981" s="2005"/>
      <c r="AB981" s="2005"/>
      <c r="AC981" s="2005"/>
      <c r="AD981" s="2005"/>
      <c r="AE981" s="2006"/>
      <c r="AF981" s="110"/>
      <c r="AG981" s="112"/>
      <c r="AH981" s="112"/>
      <c r="AI981" s="121"/>
      <c r="AJ981" s="1986"/>
      <c r="AK981" s="1987"/>
      <c r="AL981" s="1987"/>
      <c r="AM981" s="1987"/>
      <c r="AN981" s="1987"/>
      <c r="AO981" s="1987"/>
      <c r="AP981" s="1987"/>
      <c r="AQ981" s="1988"/>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004"/>
      <c r="E982" s="2005"/>
      <c r="F982" s="2005"/>
      <c r="G982" s="2005"/>
      <c r="H982" s="2005"/>
      <c r="I982" s="2005"/>
      <c r="J982" s="2005"/>
      <c r="K982" s="2005"/>
      <c r="L982" s="2005"/>
      <c r="M982" s="2005"/>
      <c r="N982" s="2005"/>
      <c r="O982" s="2005"/>
      <c r="P982" s="2005"/>
      <c r="Q982" s="2005"/>
      <c r="R982" s="2005"/>
      <c r="S982" s="2005"/>
      <c r="T982" s="2005"/>
      <c r="U982" s="2005"/>
      <c r="V982" s="2005"/>
      <c r="W982" s="2005"/>
      <c r="X982" s="2005"/>
      <c r="Y982" s="2005"/>
      <c r="Z982" s="2005"/>
      <c r="AA982" s="2005"/>
      <c r="AB982" s="2005"/>
      <c r="AC982" s="2005"/>
      <c r="AD982" s="2005"/>
      <c r="AE982" s="2006"/>
      <c r="AF982" s="110"/>
      <c r="AG982" s="112"/>
      <c r="AH982" s="112"/>
      <c r="AI982" s="121"/>
      <c r="AJ982" s="1986"/>
      <c r="AK982" s="1987"/>
      <c r="AL982" s="1987"/>
      <c r="AM982" s="1987"/>
      <c r="AN982" s="1987"/>
      <c r="AO982" s="1987"/>
      <c r="AP982" s="1987"/>
      <c r="AQ982" s="1988"/>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004"/>
      <c r="E983" s="2005"/>
      <c r="F983" s="2005"/>
      <c r="G983" s="2005"/>
      <c r="H983" s="2005"/>
      <c r="I983" s="2005"/>
      <c r="J983" s="2005"/>
      <c r="K983" s="2005"/>
      <c r="L983" s="2005"/>
      <c r="M983" s="2005"/>
      <c r="N983" s="2005"/>
      <c r="O983" s="2005"/>
      <c r="P983" s="2005"/>
      <c r="Q983" s="2005"/>
      <c r="R983" s="2005"/>
      <c r="S983" s="2005"/>
      <c r="T983" s="2005"/>
      <c r="U983" s="2005"/>
      <c r="V983" s="2005"/>
      <c r="W983" s="2005"/>
      <c r="X983" s="2005"/>
      <c r="Y983" s="2005"/>
      <c r="Z983" s="2005"/>
      <c r="AA983" s="2005"/>
      <c r="AB983" s="2005"/>
      <c r="AC983" s="2005"/>
      <c r="AD983" s="2005"/>
      <c r="AE983" s="2006"/>
      <c r="AF983" s="110"/>
      <c r="AG983" s="112"/>
      <c r="AH983" s="112"/>
      <c r="AI983" s="121"/>
      <c r="AJ983" s="1986"/>
      <c r="AK983" s="1987"/>
      <c r="AL983" s="1987"/>
      <c r="AM983" s="1987"/>
      <c r="AN983" s="1987"/>
      <c r="AO983" s="1987"/>
      <c r="AP983" s="1987"/>
      <c r="AQ983" s="1988"/>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004"/>
      <c r="E984" s="2005"/>
      <c r="F984" s="2005"/>
      <c r="G984" s="2005"/>
      <c r="H984" s="2005"/>
      <c r="I984" s="2005"/>
      <c r="J984" s="2005"/>
      <c r="K984" s="2005"/>
      <c r="L984" s="2005"/>
      <c r="M984" s="2005"/>
      <c r="N984" s="2005"/>
      <c r="O984" s="2005"/>
      <c r="P984" s="2005"/>
      <c r="Q984" s="2005"/>
      <c r="R984" s="2005"/>
      <c r="S984" s="2005"/>
      <c r="T984" s="2005"/>
      <c r="U984" s="2005"/>
      <c r="V984" s="2005"/>
      <c r="W984" s="2005"/>
      <c r="X984" s="2005"/>
      <c r="Y984" s="2005"/>
      <c r="Z984" s="2005"/>
      <c r="AA984" s="2005"/>
      <c r="AB984" s="2005"/>
      <c r="AC984" s="2005"/>
      <c r="AD984" s="2005"/>
      <c r="AE984" s="2006"/>
      <c r="AF984" s="110"/>
      <c r="AG984" s="112"/>
      <c r="AH984" s="112"/>
      <c r="AI984" s="121"/>
      <c r="AJ984" s="1986"/>
      <c r="AK984" s="1987"/>
      <c r="AL984" s="1987"/>
      <c r="AM984" s="1987"/>
      <c r="AN984" s="1987"/>
      <c r="AO984" s="1987"/>
      <c r="AP984" s="1987"/>
      <c r="AQ984" s="1988"/>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010"/>
      <c r="E985" s="2011"/>
      <c r="F985" s="2011"/>
      <c r="G985" s="2011"/>
      <c r="H985" s="2011"/>
      <c r="I985" s="2011"/>
      <c r="J985" s="2011"/>
      <c r="K985" s="2011"/>
      <c r="L985" s="2011"/>
      <c r="M985" s="2011"/>
      <c r="N985" s="2011"/>
      <c r="O985" s="2011"/>
      <c r="P985" s="2011"/>
      <c r="Q985" s="2011"/>
      <c r="R985" s="2011"/>
      <c r="S985" s="2011"/>
      <c r="T985" s="2011"/>
      <c r="U985" s="2011"/>
      <c r="V985" s="2011"/>
      <c r="W985" s="2011"/>
      <c r="X985" s="2011"/>
      <c r="Y985" s="2011"/>
      <c r="Z985" s="2011"/>
      <c r="AA985" s="2011"/>
      <c r="AB985" s="2011"/>
      <c r="AC985" s="2011"/>
      <c r="AD985" s="2011"/>
      <c r="AE985" s="2012"/>
      <c r="AF985" s="115"/>
      <c r="AG985" s="11"/>
      <c r="AH985" s="11"/>
      <c r="AI985" s="116"/>
      <c r="AJ985" s="1989"/>
      <c r="AK985" s="1990"/>
      <c r="AL985" s="1990"/>
      <c r="AM985" s="1990"/>
      <c r="AN985" s="1990"/>
      <c r="AO985" s="1990"/>
      <c r="AP985" s="1990"/>
      <c r="AQ985" s="1991"/>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1946" t="s">
        <v>2001</v>
      </c>
      <c r="E986" s="1947"/>
      <c r="F986" s="1947"/>
      <c r="G986" s="1947"/>
      <c r="H986" s="1947"/>
      <c r="I986" s="1947"/>
      <c r="J986" s="1947"/>
      <c r="K986" s="1947"/>
      <c r="L986" s="1947"/>
      <c r="M986" s="1947"/>
      <c r="N986" s="1947"/>
      <c r="O986" s="1947"/>
      <c r="P986" s="1947"/>
      <c r="Q986" s="1947"/>
      <c r="R986" s="1947"/>
      <c r="S986" s="1947"/>
      <c r="T986" s="1947"/>
      <c r="U986" s="1947"/>
      <c r="V986" s="1947"/>
      <c r="W986" s="1947"/>
      <c r="X986" s="1947"/>
      <c r="Y986" s="1947"/>
      <c r="Z986" s="1947"/>
      <c r="AA986" s="1947"/>
      <c r="AB986" s="1947"/>
      <c r="AC986" s="1947"/>
      <c r="AD986" s="1947"/>
      <c r="AE986" s="1948"/>
      <c r="AF986" s="124"/>
      <c r="AG986" s="1963" t="s">
        <v>571</v>
      </c>
      <c r="AH986" s="1964"/>
      <c r="AI986" s="125"/>
      <c r="AJ986" s="1983">
        <f>ROUND(IF(AG986="yes",AJ975*0.1,0),0)</f>
        <v>6315932</v>
      </c>
      <c r="AK986" s="1984"/>
      <c r="AL986" s="1984"/>
      <c r="AM986" s="1984"/>
      <c r="AN986" s="1984"/>
      <c r="AO986" s="1984"/>
      <c r="AP986" s="1984"/>
      <c r="AQ986" s="1985"/>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1940" t="s">
        <v>1478</v>
      </c>
      <c r="E987" s="1941"/>
      <c r="F987" s="1941"/>
      <c r="G987" s="1941"/>
      <c r="H987" s="1941"/>
      <c r="I987" s="1941"/>
      <c r="J987" s="1941"/>
      <c r="K987" s="1941"/>
      <c r="L987" s="1941"/>
      <c r="M987" s="1941"/>
      <c r="N987" s="1941"/>
      <c r="O987" s="1941"/>
      <c r="P987" s="1941"/>
      <c r="Q987" s="1941"/>
      <c r="R987" s="1941"/>
      <c r="S987" s="1941"/>
      <c r="T987" s="1941"/>
      <c r="U987" s="1941"/>
      <c r="V987" s="1941"/>
      <c r="W987" s="1941"/>
      <c r="X987" s="1941"/>
      <c r="Y987" s="1941"/>
      <c r="Z987" s="1941"/>
      <c r="AA987" s="1941"/>
      <c r="AB987" s="1941"/>
      <c r="AC987" s="1941"/>
      <c r="AD987" s="1941"/>
      <c r="AE987" s="1942"/>
      <c r="AF987" s="110"/>
      <c r="AG987" s="25"/>
      <c r="AH987" s="25"/>
      <c r="AI987" s="121"/>
      <c r="AJ987" s="1986"/>
      <c r="AK987" s="1987"/>
      <c r="AL987" s="1987"/>
      <c r="AM987" s="1987"/>
      <c r="AN987" s="1987"/>
      <c r="AO987" s="1987"/>
      <c r="AP987" s="1987"/>
      <c r="AQ987" s="1988"/>
      <c r="AR987" s="961"/>
      <c r="AS987" s="961"/>
      <c r="AT987" s="961"/>
      <c r="AU987" s="961"/>
      <c r="AV987" s="961"/>
      <c r="AW987" s="961"/>
      <c r="AX987" s="961"/>
      <c r="AY987" s="961"/>
      <c r="AZ987" s="61"/>
      <c r="BA987" s="977">
        <f>G753+O796</f>
        <v>164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1940"/>
      <c r="E988" s="1941"/>
      <c r="F988" s="1941"/>
      <c r="G988" s="1941"/>
      <c r="H988" s="1941"/>
      <c r="I988" s="1941"/>
      <c r="J988" s="1941"/>
      <c r="K988" s="1941"/>
      <c r="L988" s="1941"/>
      <c r="M988" s="1941"/>
      <c r="N988" s="1941"/>
      <c r="O988" s="1941"/>
      <c r="P988" s="1941"/>
      <c r="Q988" s="1941"/>
      <c r="R988" s="1941"/>
      <c r="S988" s="1941"/>
      <c r="T988" s="1941"/>
      <c r="U988" s="1941"/>
      <c r="V988" s="1941"/>
      <c r="W988" s="1941"/>
      <c r="X988" s="1941"/>
      <c r="Y988" s="1941"/>
      <c r="Z988" s="1941"/>
      <c r="AA988" s="1941"/>
      <c r="AB988" s="1941"/>
      <c r="AC988" s="1941"/>
      <c r="AD988" s="1941"/>
      <c r="AE988" s="1942"/>
      <c r="AF988" s="110"/>
      <c r="AG988" s="112"/>
      <c r="AH988" s="112"/>
      <c r="AI988" s="121"/>
      <c r="AJ988" s="1986"/>
      <c r="AK988" s="1987"/>
      <c r="AL988" s="1987"/>
      <c r="AM988" s="1987"/>
      <c r="AN988" s="1987"/>
      <c r="AO988" s="1987"/>
      <c r="AP988" s="1987"/>
      <c r="AQ988" s="1988"/>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1968"/>
      <c r="E989" s="1969"/>
      <c r="F989" s="1969"/>
      <c r="G989" s="1969"/>
      <c r="H989" s="1969"/>
      <c r="I989" s="1969"/>
      <c r="J989" s="1969"/>
      <c r="K989" s="1969"/>
      <c r="L989" s="1969"/>
      <c r="M989" s="1969"/>
      <c r="N989" s="1969"/>
      <c r="O989" s="1969"/>
      <c r="P989" s="1969"/>
      <c r="Q989" s="1969"/>
      <c r="R989" s="1969"/>
      <c r="S989" s="1969"/>
      <c r="T989" s="1969"/>
      <c r="U989" s="1969"/>
      <c r="V989" s="1969"/>
      <c r="W989" s="1969"/>
      <c r="X989" s="1969"/>
      <c r="Y989" s="1969"/>
      <c r="Z989" s="1969"/>
      <c r="AA989" s="1969"/>
      <c r="AB989" s="1969"/>
      <c r="AC989" s="1969"/>
      <c r="AD989" s="1969"/>
      <c r="AE989" s="1970"/>
      <c r="AF989" s="115"/>
      <c r="AG989" s="11"/>
      <c r="AH989" s="11"/>
      <c r="AI989" s="116"/>
      <c r="AJ989" s="1989"/>
      <c r="AK989" s="1990"/>
      <c r="AL989" s="1990"/>
      <c r="AM989" s="1990"/>
      <c r="AN989" s="1990"/>
      <c r="AO989" s="1990"/>
      <c r="AP989" s="1990"/>
      <c r="AQ989" s="1991"/>
      <c r="AR989" s="961"/>
      <c r="AS989" s="961"/>
      <c r="AT989" s="961"/>
      <c r="AU989" s="961"/>
      <c r="AV989" s="961"/>
      <c r="AW989" s="961"/>
      <c r="AX989" s="961"/>
      <c r="AY989" s="961"/>
      <c r="AZ989" s="61"/>
      <c r="BA989" s="976">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1946" t="s">
        <v>1480</v>
      </c>
      <c r="E990" s="1947"/>
      <c r="F990" s="1947"/>
      <c r="G990" s="1947"/>
      <c r="H990" s="1947"/>
      <c r="I990" s="1947"/>
      <c r="J990" s="1947"/>
      <c r="K990" s="1947"/>
      <c r="L990" s="1947"/>
      <c r="M990" s="1947"/>
      <c r="N990" s="1947"/>
      <c r="O990" s="1947"/>
      <c r="P990" s="1947"/>
      <c r="Q990" s="1947"/>
      <c r="R990" s="1947"/>
      <c r="S990" s="1947"/>
      <c r="T990" s="1947"/>
      <c r="U990" s="1947"/>
      <c r="V990" s="1947"/>
      <c r="W990" s="1947"/>
      <c r="X990" s="1947"/>
      <c r="Y990" s="1947"/>
      <c r="Z990" s="1947"/>
      <c r="AA990" s="1947"/>
      <c r="AB990" s="1947"/>
      <c r="AC990" s="1947"/>
      <c r="AD990" s="1947"/>
      <c r="AE990" s="1948"/>
      <c r="AF990" s="117"/>
      <c r="AG990" s="1963" t="s">
        <v>696</v>
      </c>
      <c r="AH990" s="1964"/>
      <c r="AI990" s="125"/>
      <c r="AJ990" s="1983">
        <f>ROUND(IF(AG990="yes",AJ975*0.02,0),0)</f>
        <v>0</v>
      </c>
      <c r="AK990" s="1984"/>
      <c r="AL990" s="1984"/>
      <c r="AM990" s="1984"/>
      <c r="AN990" s="1984"/>
      <c r="AO990" s="1984"/>
      <c r="AP990" s="1984"/>
      <c r="AQ990" s="1985"/>
      <c r="AR990" s="961"/>
      <c r="AS990" s="961"/>
      <c r="AT990" s="961"/>
      <c r="AU990" s="961"/>
      <c r="AV990" s="961"/>
      <c r="AW990" s="961"/>
      <c r="AX990" s="961"/>
      <c r="AY990" s="961"/>
      <c r="AZ990" s="61"/>
      <c r="BA990" s="97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68" t="s">
        <v>1481</v>
      </c>
      <c r="E991" s="1969"/>
      <c r="F991" s="1969"/>
      <c r="G991" s="1969"/>
      <c r="H991" s="1969"/>
      <c r="I991" s="1969"/>
      <c r="J991" s="1969"/>
      <c r="K991" s="1969"/>
      <c r="L991" s="1969"/>
      <c r="M991" s="1969"/>
      <c r="N991" s="1969"/>
      <c r="O991" s="1969"/>
      <c r="P991" s="1969"/>
      <c r="Q991" s="1969"/>
      <c r="R991" s="1969"/>
      <c r="S991" s="1969"/>
      <c r="T991" s="1969"/>
      <c r="U991" s="1969"/>
      <c r="V991" s="1969"/>
      <c r="W991" s="1969"/>
      <c r="X991" s="1969"/>
      <c r="Y991" s="1969"/>
      <c r="Z991" s="1969"/>
      <c r="AA991" s="1969"/>
      <c r="AB991" s="1969"/>
      <c r="AC991" s="1969"/>
      <c r="AD991" s="1969"/>
      <c r="AE991" s="1970"/>
      <c r="AF991" s="115"/>
      <c r="AG991" s="11"/>
      <c r="AH991" s="11"/>
      <c r="AI991" s="116"/>
      <c r="AJ991" s="1989"/>
      <c r="AK991" s="1990"/>
      <c r="AL991" s="1990"/>
      <c r="AM991" s="1990"/>
      <c r="AN991" s="1990"/>
      <c r="AO991" s="1990"/>
      <c r="AP991" s="1990"/>
      <c r="AQ991" s="1991"/>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221</v>
      </c>
      <c r="D992" s="1946" t="s">
        <v>1482</v>
      </c>
      <c r="E992" s="1947"/>
      <c r="F992" s="1947"/>
      <c r="G992" s="1947"/>
      <c r="H992" s="1947"/>
      <c r="I992" s="1947"/>
      <c r="J992" s="1947"/>
      <c r="K992" s="1947"/>
      <c r="L992" s="1947"/>
      <c r="M992" s="1947"/>
      <c r="N992" s="1947"/>
      <c r="O992" s="1947"/>
      <c r="P992" s="1947"/>
      <c r="Q992" s="1947"/>
      <c r="R992" s="1947"/>
      <c r="S992" s="1947"/>
      <c r="T992" s="1947"/>
      <c r="U992" s="1947"/>
      <c r="V992" s="1947"/>
      <c r="W992" s="1947"/>
      <c r="X992" s="1947"/>
      <c r="Y992" s="1947"/>
      <c r="Z992" s="1947"/>
      <c r="AA992" s="1947"/>
      <c r="AB992" s="1947"/>
      <c r="AC992" s="1947"/>
      <c r="AD992" s="1947"/>
      <c r="AE992" s="1948"/>
      <c r="AF992" s="117"/>
      <c r="AG992" s="1963" t="s">
        <v>696</v>
      </c>
      <c r="AH992" s="1964"/>
      <c r="AI992" s="117"/>
      <c r="AJ992" s="1983">
        <f>ROUND(IF(AG992="yes",AJ975*0.02,0),0)</f>
        <v>0</v>
      </c>
      <c r="AK992" s="1984"/>
      <c r="AL992" s="1984"/>
      <c r="AM992" s="1984"/>
      <c r="AN992" s="1984"/>
      <c r="AO992" s="1984"/>
      <c r="AP992" s="1984"/>
      <c r="AQ992" s="1985"/>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1940" t="s">
        <v>1483</v>
      </c>
      <c r="E993" s="1941"/>
      <c r="F993" s="1941"/>
      <c r="G993" s="1941"/>
      <c r="H993" s="1941"/>
      <c r="I993" s="1941"/>
      <c r="J993" s="1941"/>
      <c r="K993" s="1941"/>
      <c r="L993" s="1941"/>
      <c r="M993" s="1941"/>
      <c r="N993" s="1941"/>
      <c r="O993" s="1941"/>
      <c r="P993" s="1941"/>
      <c r="Q993" s="1941"/>
      <c r="R993" s="1941"/>
      <c r="S993" s="1941"/>
      <c r="T993" s="1941"/>
      <c r="U993" s="1941"/>
      <c r="V993" s="1941"/>
      <c r="W993" s="1941"/>
      <c r="X993" s="1941"/>
      <c r="Y993" s="1941"/>
      <c r="Z993" s="1941"/>
      <c r="AA993" s="1941"/>
      <c r="AB993" s="1941"/>
      <c r="AC993" s="1941"/>
      <c r="AD993" s="1941"/>
      <c r="AE993" s="1942"/>
      <c r="AF993" s="110"/>
      <c r="AG993" s="25"/>
      <c r="AH993" s="25"/>
      <c r="AI993" s="112"/>
      <c r="AJ993" s="1986"/>
      <c r="AK993" s="1987"/>
      <c r="AL993" s="1987"/>
      <c r="AM993" s="1987"/>
      <c r="AN993" s="1987"/>
      <c r="AO993" s="1987"/>
      <c r="AP993" s="1987"/>
      <c r="AQ993" s="1988"/>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1968"/>
      <c r="E994" s="1969"/>
      <c r="F994" s="1969"/>
      <c r="G994" s="1969"/>
      <c r="H994" s="1969"/>
      <c r="I994" s="1969"/>
      <c r="J994" s="1969"/>
      <c r="K994" s="1969"/>
      <c r="L994" s="1969"/>
      <c r="M994" s="1969"/>
      <c r="N994" s="1969"/>
      <c r="O994" s="1969"/>
      <c r="P994" s="1969"/>
      <c r="Q994" s="1969"/>
      <c r="R994" s="1969"/>
      <c r="S994" s="1969"/>
      <c r="T994" s="1969"/>
      <c r="U994" s="1969"/>
      <c r="V994" s="1969"/>
      <c r="W994" s="1969"/>
      <c r="X994" s="1969"/>
      <c r="Y994" s="1969"/>
      <c r="Z994" s="1969"/>
      <c r="AA994" s="1969"/>
      <c r="AB994" s="1969"/>
      <c r="AC994" s="1969"/>
      <c r="AD994" s="1969"/>
      <c r="AE994" s="1970"/>
      <c r="AF994" s="115"/>
      <c r="AG994" s="11"/>
      <c r="AH994" s="11"/>
      <c r="AI994" s="116"/>
      <c r="AJ994" s="1989"/>
      <c r="AK994" s="1990"/>
      <c r="AL994" s="1990"/>
      <c r="AM994" s="1990"/>
      <c r="AN994" s="1990"/>
      <c r="AO994" s="1990"/>
      <c r="AP994" s="1990"/>
      <c r="AQ994" s="1991"/>
      <c r="AR994" s="961"/>
      <c r="AS994" s="961"/>
      <c r="AT994" s="961"/>
      <c r="AU994" s="961"/>
      <c r="AV994" s="961"/>
      <c r="AW994" s="961"/>
      <c r="AX994" s="961"/>
      <c r="AY994" s="961"/>
    </row>
    <row r="995" spans="1:96" s="711" customFormat="1" ht="12.75" customHeight="1">
      <c r="A995" s="51"/>
      <c r="B995" s="117"/>
      <c r="C995" s="118" t="s">
        <v>224</v>
      </c>
      <c r="D995" s="1965" t="s">
        <v>1484</v>
      </c>
      <c r="E995" s="1966"/>
      <c r="F995" s="1966"/>
      <c r="G995" s="1966"/>
      <c r="H995" s="1966"/>
      <c r="I995" s="1966"/>
      <c r="J995" s="1966"/>
      <c r="K995" s="1966"/>
      <c r="L995" s="1966"/>
      <c r="M995" s="1966"/>
      <c r="N995" s="1966"/>
      <c r="O995" s="1966"/>
      <c r="P995" s="1966"/>
      <c r="Q995" s="1966"/>
      <c r="R995" s="1966"/>
      <c r="S995" s="1966"/>
      <c r="T995" s="1966"/>
      <c r="U995" s="1966"/>
      <c r="V995" s="1966"/>
      <c r="W995" s="1966"/>
      <c r="X995" s="1966"/>
      <c r="Y995" s="1966"/>
      <c r="Z995" s="1966"/>
      <c r="AA995" s="1966"/>
      <c r="AB995" s="1966"/>
      <c r="AC995" s="1966"/>
      <c r="AD995" s="1966"/>
      <c r="AE995" s="1967"/>
      <c r="AF995" s="117"/>
      <c r="AG995" s="1963" t="s">
        <v>696</v>
      </c>
      <c r="AH995" s="1964"/>
      <c r="AI995" s="125"/>
      <c r="AJ995" s="1983">
        <f>IF(AG995="yes",AJ975*BA995,0)</f>
        <v>0</v>
      </c>
      <c r="AK995" s="1984"/>
      <c r="AL995" s="1984"/>
      <c r="AM995" s="1984"/>
      <c r="AN995" s="1984"/>
      <c r="AO995" s="1984"/>
      <c r="AP995" s="1984"/>
      <c r="AQ995" s="1985"/>
      <c r="AR995" s="961"/>
      <c r="AS995" s="961"/>
      <c r="AT995" s="961"/>
      <c r="AU995" s="961"/>
      <c r="AV995" s="961"/>
      <c r="AW995" s="961"/>
      <c r="AX995" s="961"/>
      <c r="AY995" s="961"/>
      <c r="BA995" s="322">
        <f>IF(SUM(BA997:BA1005)&lt;=0.1,SUM(BA997:BA1005),0.1)</f>
        <v>0</v>
      </c>
      <c r="CR995" s="25"/>
    </row>
    <row r="996" spans="1:96" ht="12.75" customHeight="1">
      <c r="A996" s="51"/>
      <c r="B996" s="110"/>
      <c r="C996" s="111"/>
      <c r="D996" s="1940" t="s">
        <v>1485</v>
      </c>
      <c r="E996" s="1941"/>
      <c r="F996" s="1941"/>
      <c r="G996" s="1941"/>
      <c r="H996" s="1941"/>
      <c r="I996" s="1941"/>
      <c r="J996" s="1941"/>
      <c r="K996" s="1941"/>
      <c r="L996" s="1941"/>
      <c r="M996" s="1941"/>
      <c r="N996" s="1941"/>
      <c r="O996" s="1941"/>
      <c r="P996" s="1941"/>
      <c r="Q996" s="1941"/>
      <c r="R996" s="1941"/>
      <c r="S996" s="1941"/>
      <c r="T996" s="1941"/>
      <c r="U996" s="1941"/>
      <c r="V996" s="1941"/>
      <c r="W996" s="1941"/>
      <c r="X996" s="1941"/>
      <c r="Y996" s="1941"/>
      <c r="Z996" s="1941"/>
      <c r="AA996" s="1941"/>
      <c r="AB996" s="1941"/>
      <c r="AC996" s="1941"/>
      <c r="AD996" s="1941"/>
      <c r="AE996" s="1942"/>
      <c r="AF996" s="110"/>
      <c r="AG996" s="112"/>
      <c r="AH996" s="112"/>
      <c r="AI996" s="121"/>
      <c r="AJ996" s="1986"/>
      <c r="AK996" s="1987"/>
      <c r="AL996" s="1987"/>
      <c r="AM996" s="1987"/>
      <c r="AN996" s="1987"/>
      <c r="AO996" s="1987"/>
      <c r="AP996" s="1987"/>
      <c r="AQ996" s="1988"/>
      <c r="AR996" s="961"/>
      <c r="AS996" s="961"/>
      <c r="AT996" s="961"/>
      <c r="AU996" s="961"/>
      <c r="AV996" s="961"/>
      <c r="AW996" s="961"/>
      <c r="AX996" s="961"/>
      <c r="AY996" s="961"/>
    </row>
    <row r="997" spans="1:96" ht="12.75" customHeight="1">
      <c r="A997" s="51"/>
      <c r="B997" s="110"/>
      <c r="C997" s="111"/>
      <c r="D997" s="1940"/>
      <c r="E997" s="1941"/>
      <c r="F997" s="1941"/>
      <c r="G997" s="1941"/>
      <c r="H997" s="1941"/>
      <c r="I997" s="1941"/>
      <c r="J997" s="1941"/>
      <c r="K997" s="1941"/>
      <c r="L997" s="1941"/>
      <c r="M997" s="1941"/>
      <c r="N997" s="1941"/>
      <c r="O997" s="1941"/>
      <c r="P997" s="1941"/>
      <c r="Q997" s="1941"/>
      <c r="R997" s="1941"/>
      <c r="S997" s="1941"/>
      <c r="T997" s="1941"/>
      <c r="U997" s="1941"/>
      <c r="V997" s="1941"/>
      <c r="W997" s="1941"/>
      <c r="X997" s="1941"/>
      <c r="Y997" s="1941"/>
      <c r="Z997" s="1941"/>
      <c r="AA997" s="1941"/>
      <c r="AB997" s="1941"/>
      <c r="AC997" s="1941"/>
      <c r="AD997" s="1941"/>
      <c r="AE997" s="1942"/>
      <c r="AF997" s="110"/>
      <c r="AG997" s="112"/>
      <c r="AH997" s="112"/>
      <c r="AI997" s="121"/>
      <c r="AJ997" s="1986"/>
      <c r="AK997" s="1987"/>
      <c r="AL997" s="1987"/>
      <c r="AM997" s="1987"/>
      <c r="AN997" s="1987"/>
      <c r="AO997" s="1987"/>
      <c r="AP997" s="1987"/>
      <c r="AQ997" s="1988"/>
      <c r="AR997" s="961"/>
      <c r="AS997" s="961"/>
      <c r="AT997" s="961"/>
      <c r="AU997" s="961"/>
      <c r="AV997" s="961"/>
      <c r="AW997" s="961"/>
      <c r="AX997" s="961"/>
      <c r="AY997" s="961"/>
      <c r="BA997" s="320">
        <f>IF(A1044="Yes",0.05,0)</f>
        <v>0</v>
      </c>
    </row>
    <row r="998" spans="1:96" ht="15" customHeight="1">
      <c r="A998" s="51"/>
      <c r="B998" s="119"/>
      <c r="C998" s="120"/>
      <c r="D998" s="1968"/>
      <c r="E998" s="1969"/>
      <c r="F998" s="1969"/>
      <c r="G998" s="1969"/>
      <c r="H998" s="1969"/>
      <c r="I998" s="1969"/>
      <c r="J998" s="1969"/>
      <c r="K998" s="1969"/>
      <c r="L998" s="1969"/>
      <c r="M998" s="1969"/>
      <c r="N998" s="1969"/>
      <c r="O998" s="1969"/>
      <c r="P998" s="1969"/>
      <c r="Q998" s="1969"/>
      <c r="R998" s="1969"/>
      <c r="S998" s="1969"/>
      <c r="T998" s="1969"/>
      <c r="U998" s="1969"/>
      <c r="V998" s="1969"/>
      <c r="W998" s="1969"/>
      <c r="X998" s="1969"/>
      <c r="Y998" s="1969"/>
      <c r="Z998" s="1969"/>
      <c r="AA998" s="1969"/>
      <c r="AB998" s="1969"/>
      <c r="AC998" s="1969"/>
      <c r="AD998" s="1969"/>
      <c r="AE998" s="1970"/>
      <c r="AF998" s="115"/>
      <c r="AG998" s="11"/>
      <c r="AH998" s="11"/>
      <c r="AI998" s="116"/>
      <c r="AJ998" s="1989"/>
      <c r="AK998" s="1990"/>
      <c r="AL998" s="1990"/>
      <c r="AM998" s="1990"/>
      <c r="AN998" s="1990"/>
      <c r="AO998" s="1990"/>
      <c r="AP998" s="1990"/>
      <c r="AQ998" s="1991"/>
      <c r="AR998" s="961"/>
      <c r="AS998" s="961"/>
      <c r="AT998" s="961"/>
      <c r="AU998" s="961"/>
      <c r="AV998" s="961"/>
      <c r="AW998" s="961"/>
      <c r="AX998" s="961"/>
      <c r="AY998" s="961"/>
      <c r="BA998" s="320">
        <f>IF(A1050="Yes",0.02,0)</f>
        <v>0</v>
      </c>
    </row>
    <row r="999" spans="1:96" s="711" customFormat="1" ht="15" customHeight="1">
      <c r="A999" s="51"/>
      <c r="B999" s="117"/>
      <c r="C999" s="118" t="s">
        <v>229</v>
      </c>
      <c r="D999" s="1934" t="s">
        <v>1486</v>
      </c>
      <c r="E999" s="1935"/>
      <c r="F999" s="1935"/>
      <c r="G999" s="1935"/>
      <c r="H999" s="1935"/>
      <c r="I999" s="1935"/>
      <c r="J999" s="1935"/>
      <c r="K999" s="1935"/>
      <c r="L999" s="1935"/>
      <c r="M999" s="1935"/>
      <c r="N999" s="1935"/>
      <c r="O999" s="1935"/>
      <c r="P999" s="1935"/>
      <c r="Q999" s="1935"/>
      <c r="R999" s="1935"/>
      <c r="S999" s="1935"/>
      <c r="T999" s="1935"/>
      <c r="U999" s="1935"/>
      <c r="V999" s="1935"/>
      <c r="W999" s="1935"/>
      <c r="X999" s="1935"/>
      <c r="Y999" s="1935"/>
      <c r="Z999" s="1935"/>
      <c r="AA999" s="1935"/>
      <c r="AB999" s="1935"/>
      <c r="AC999" s="1935"/>
      <c r="AD999" s="1935"/>
      <c r="AE999" s="1936"/>
      <c r="AF999" s="117"/>
      <c r="AG999" s="1963" t="s">
        <v>696</v>
      </c>
      <c r="AH999" s="1964"/>
      <c r="AI999" s="125"/>
      <c r="AJ999" s="1992"/>
      <c r="AK999" s="1993"/>
      <c r="AL999" s="1993"/>
      <c r="AM999" s="1993"/>
      <c r="AN999" s="1993"/>
      <c r="AO999" s="1993"/>
      <c r="AP999" s="1993"/>
      <c r="AQ999" s="1994"/>
      <c r="AR999" s="961"/>
      <c r="AS999" s="961"/>
      <c r="AT999" s="961"/>
      <c r="AU999" s="961"/>
      <c r="AV999" s="961"/>
      <c r="AW999" s="961"/>
      <c r="AX999" s="961"/>
      <c r="AY999" s="961"/>
      <c r="BA999" s="320">
        <f>IF(A1056="Yes",0.04,0)</f>
        <v>0</v>
      </c>
      <c r="CR999" s="25"/>
    </row>
    <row r="1000" spans="1:96" ht="12.75">
      <c r="A1000" s="51"/>
      <c r="B1000" s="119"/>
      <c r="C1000" s="122"/>
      <c r="D1000" s="1937"/>
      <c r="E1000" s="1938"/>
      <c r="F1000" s="1938"/>
      <c r="G1000" s="1938"/>
      <c r="H1000" s="1938"/>
      <c r="I1000" s="1938"/>
      <c r="J1000" s="1938"/>
      <c r="K1000" s="1938"/>
      <c r="L1000" s="1938"/>
      <c r="M1000" s="1938"/>
      <c r="N1000" s="1938"/>
      <c r="O1000" s="1938"/>
      <c r="P1000" s="1938"/>
      <c r="Q1000" s="1938"/>
      <c r="R1000" s="1938"/>
      <c r="S1000" s="1938"/>
      <c r="T1000" s="1938"/>
      <c r="U1000" s="1938"/>
      <c r="V1000" s="1938"/>
      <c r="W1000" s="1938"/>
      <c r="X1000" s="1938"/>
      <c r="Y1000" s="1938"/>
      <c r="Z1000" s="1938"/>
      <c r="AA1000" s="1938"/>
      <c r="AB1000" s="1938"/>
      <c r="AC1000" s="1938"/>
      <c r="AD1000" s="1938"/>
      <c r="AE1000" s="1939"/>
      <c r="AF1000" s="2013">
        <f>IF(AG999="yes","Please Select Type and Enter Amount:",0)</f>
        <v>0</v>
      </c>
      <c r="AG1000" s="2014"/>
      <c r="AH1000" s="2014"/>
      <c r="AI1000" s="2015"/>
      <c r="AJ1000" s="1995"/>
      <c r="AK1000" s="1996"/>
      <c r="AL1000" s="1996"/>
      <c r="AM1000" s="1996"/>
      <c r="AN1000" s="1996"/>
      <c r="AO1000" s="1996"/>
      <c r="AP1000" s="1996"/>
      <c r="AQ1000" s="1997"/>
      <c r="AR1000" s="961"/>
      <c r="AS1000" s="961"/>
      <c r="AT1000" s="961"/>
      <c r="AU1000" s="961"/>
      <c r="AV1000" s="961"/>
      <c r="AW1000" s="961"/>
      <c r="AX1000" s="961"/>
      <c r="AY1000" s="961"/>
      <c r="BA1000" s="320">
        <f>IF(A1063="Yes",0.04,0)</f>
        <v>0</v>
      </c>
    </row>
    <row r="1001" spans="1:96" ht="12.75" customHeight="1">
      <c r="A1001" s="51"/>
      <c r="B1001" s="119"/>
      <c r="C1001" s="122"/>
      <c r="D1001" s="1940" t="s">
        <v>1487</v>
      </c>
      <c r="E1001" s="1941"/>
      <c r="F1001" s="1941"/>
      <c r="G1001" s="1941"/>
      <c r="H1001" s="1941"/>
      <c r="I1001" s="1941"/>
      <c r="J1001" s="1941"/>
      <c r="K1001" s="1941"/>
      <c r="L1001" s="1941"/>
      <c r="M1001" s="1941"/>
      <c r="N1001" s="1941"/>
      <c r="O1001" s="1941"/>
      <c r="P1001" s="1941"/>
      <c r="Q1001" s="1941"/>
      <c r="R1001" s="1941"/>
      <c r="S1001" s="1941"/>
      <c r="T1001" s="1941"/>
      <c r="U1001" s="1941"/>
      <c r="V1001" s="1941"/>
      <c r="W1001" s="1941"/>
      <c r="X1001" s="1941"/>
      <c r="Y1001" s="1941"/>
      <c r="Z1001" s="1941"/>
      <c r="AA1001" s="1941"/>
      <c r="AB1001" s="1941"/>
      <c r="AC1001" s="1941"/>
      <c r="AD1001" s="1941"/>
      <c r="AE1001" s="1942"/>
      <c r="AF1001" s="2013"/>
      <c r="AG1001" s="2014"/>
      <c r="AH1001" s="2014"/>
      <c r="AI1001" s="2015"/>
      <c r="AJ1001" s="1995"/>
      <c r="AK1001" s="1996"/>
      <c r="AL1001" s="1996"/>
      <c r="AM1001" s="1996"/>
      <c r="AN1001" s="1996"/>
      <c r="AO1001" s="1996"/>
      <c r="AP1001" s="1996"/>
      <c r="AQ1001" s="1997"/>
      <c r="AR1001" s="961"/>
      <c r="AS1001" s="961"/>
      <c r="AT1001" s="961"/>
      <c r="AU1001" s="961"/>
      <c r="AV1001" s="961"/>
      <c r="AW1001" s="961"/>
      <c r="AX1001" s="961"/>
      <c r="AY1001" s="961"/>
      <c r="BA1001" s="320">
        <f>IF(A1066="Yes",0.01,0)</f>
        <v>0</v>
      </c>
    </row>
    <row r="1002" spans="1:96" ht="12.75" customHeight="1">
      <c r="A1002" s="51"/>
      <c r="B1002" s="119"/>
      <c r="C1002" s="122"/>
      <c r="D1002" s="1940"/>
      <c r="E1002" s="1941"/>
      <c r="F1002" s="1941"/>
      <c r="G1002" s="1941"/>
      <c r="H1002" s="1941"/>
      <c r="I1002" s="1941"/>
      <c r="J1002" s="1941"/>
      <c r="K1002" s="1941"/>
      <c r="L1002" s="1941"/>
      <c r="M1002" s="1941"/>
      <c r="N1002" s="1941"/>
      <c r="O1002" s="1941"/>
      <c r="P1002" s="1941"/>
      <c r="Q1002" s="1941"/>
      <c r="R1002" s="1941"/>
      <c r="S1002" s="1941"/>
      <c r="T1002" s="1941"/>
      <c r="U1002" s="1941"/>
      <c r="V1002" s="1941"/>
      <c r="W1002" s="1941"/>
      <c r="X1002" s="1941"/>
      <c r="Y1002" s="1941"/>
      <c r="Z1002" s="1941"/>
      <c r="AA1002" s="1941"/>
      <c r="AB1002" s="1941"/>
      <c r="AC1002" s="1941"/>
      <c r="AD1002" s="1941"/>
      <c r="AE1002" s="1942"/>
      <c r="AF1002" s="2013"/>
      <c r="AG1002" s="2014"/>
      <c r="AH1002" s="2014"/>
      <c r="AI1002" s="2015"/>
      <c r="AJ1002" s="1995"/>
      <c r="AK1002" s="1996"/>
      <c r="AL1002" s="1996"/>
      <c r="AM1002" s="1996"/>
      <c r="AN1002" s="1996"/>
      <c r="AO1002" s="1996"/>
      <c r="AP1002" s="1996"/>
      <c r="AQ1002" s="1997"/>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366</v>
      </c>
      <c r="E1003" s="133"/>
      <c r="F1003" s="133"/>
      <c r="G1003" s="160"/>
      <c r="H1003" s="160"/>
      <c r="I1003" s="81"/>
      <c r="J1003" s="1943" t="s">
        <v>618</v>
      </c>
      <c r="K1003" s="1944"/>
      <c r="L1003" s="1944"/>
      <c r="M1003" s="1944"/>
      <c r="N1003" s="1944"/>
      <c r="O1003" s="1944"/>
      <c r="P1003" s="1944"/>
      <c r="Q1003" s="1944"/>
      <c r="R1003" s="1944"/>
      <c r="S1003" s="1944"/>
      <c r="T1003" s="1944"/>
      <c r="U1003" s="1944"/>
      <c r="V1003" s="1944"/>
      <c r="W1003" s="1944"/>
      <c r="X1003" s="1944"/>
      <c r="Y1003" s="1944"/>
      <c r="Z1003" s="1944"/>
      <c r="AA1003" s="1944"/>
      <c r="AB1003" s="1944"/>
      <c r="AC1003" s="1944"/>
      <c r="AD1003" s="1944"/>
      <c r="AE1003" s="1945"/>
      <c r="AF1003" s="2016"/>
      <c r="AG1003" s="2017"/>
      <c r="AH1003" s="2017"/>
      <c r="AI1003" s="2018"/>
      <c r="AJ1003" s="1998"/>
      <c r="AK1003" s="1999"/>
      <c r="AL1003" s="1999"/>
      <c r="AM1003" s="1999"/>
      <c r="AN1003" s="1999"/>
      <c r="AO1003" s="1999"/>
      <c r="AP1003" s="1999"/>
      <c r="AQ1003" s="2000"/>
      <c r="AR1003" s="961"/>
      <c r="AS1003" s="961"/>
      <c r="AT1003" s="961"/>
      <c r="AU1003" s="961"/>
      <c r="AV1003" s="961"/>
      <c r="AW1003" s="961"/>
      <c r="AX1003" s="961"/>
      <c r="AY1003" s="961"/>
      <c r="BA1003" s="320">
        <f>IF(A1074="Yes",0.01,0)</f>
        <v>0</v>
      </c>
      <c r="CR1003" s="25"/>
    </row>
    <row r="1004" spans="1:96" ht="12.75" customHeight="1">
      <c r="A1004" s="51"/>
      <c r="B1004" s="117"/>
      <c r="C1004" s="118" t="s">
        <v>235</v>
      </c>
      <c r="D1004" s="1946" t="s">
        <v>1488</v>
      </c>
      <c r="E1004" s="1947"/>
      <c r="F1004" s="1947"/>
      <c r="G1004" s="1947"/>
      <c r="H1004" s="1947"/>
      <c r="I1004" s="1947"/>
      <c r="J1004" s="1947"/>
      <c r="K1004" s="1947"/>
      <c r="L1004" s="1947"/>
      <c r="M1004" s="1947"/>
      <c r="N1004" s="1947"/>
      <c r="O1004" s="1947"/>
      <c r="P1004" s="1947"/>
      <c r="Q1004" s="1947"/>
      <c r="R1004" s="1947"/>
      <c r="S1004" s="1947"/>
      <c r="T1004" s="1947"/>
      <c r="U1004" s="1947"/>
      <c r="V1004" s="1947"/>
      <c r="W1004" s="1947"/>
      <c r="X1004" s="1947"/>
      <c r="Y1004" s="1947"/>
      <c r="Z1004" s="1947"/>
      <c r="AA1004" s="1947"/>
      <c r="AB1004" s="1947"/>
      <c r="AC1004" s="1947"/>
      <c r="AD1004" s="1947"/>
      <c r="AE1004" s="1948"/>
      <c r="AF1004" s="117"/>
      <c r="AG1004" s="1963" t="s">
        <v>571</v>
      </c>
      <c r="AH1004" s="1964"/>
      <c r="AI1004" s="125"/>
      <c r="AJ1004" s="1992">
        <v>3835784</v>
      </c>
      <c r="AK1004" s="1993"/>
      <c r="AL1004" s="1993"/>
      <c r="AM1004" s="1993"/>
      <c r="AN1004" s="1993"/>
      <c r="AO1004" s="1993"/>
      <c r="AP1004" s="1993"/>
      <c r="AQ1004" s="1994"/>
      <c r="AR1004" s="961"/>
      <c r="AS1004" s="961"/>
      <c r="AT1004" s="961"/>
      <c r="AU1004" s="961"/>
      <c r="AV1004" s="961"/>
      <c r="AW1004" s="961"/>
      <c r="AX1004" s="961"/>
      <c r="AY1004" s="961"/>
      <c r="BA1004" s="320">
        <f>IF(A1078="Yes",0.02,0)</f>
        <v>0</v>
      </c>
    </row>
    <row r="1005" spans="1:96" ht="12.75" customHeight="1">
      <c r="A1005" s="51"/>
      <c r="B1005" s="110"/>
      <c r="C1005" s="111"/>
      <c r="D1005" s="1940" t="s">
        <v>2008</v>
      </c>
      <c r="E1005" s="1941"/>
      <c r="F1005" s="1941"/>
      <c r="G1005" s="1941"/>
      <c r="H1005" s="1941"/>
      <c r="I1005" s="1941"/>
      <c r="J1005" s="1941"/>
      <c r="K1005" s="1941"/>
      <c r="L1005" s="1941"/>
      <c r="M1005" s="1941"/>
      <c r="N1005" s="1941"/>
      <c r="O1005" s="1941"/>
      <c r="P1005" s="1941"/>
      <c r="Q1005" s="1941"/>
      <c r="R1005" s="1941"/>
      <c r="S1005" s="1941"/>
      <c r="T1005" s="1941"/>
      <c r="U1005" s="1941"/>
      <c r="V1005" s="1941"/>
      <c r="W1005" s="1941"/>
      <c r="X1005" s="1941"/>
      <c r="Y1005" s="1941"/>
      <c r="Z1005" s="1941"/>
      <c r="AA1005" s="1941"/>
      <c r="AB1005" s="1941"/>
      <c r="AC1005" s="1941"/>
      <c r="AD1005" s="1941"/>
      <c r="AE1005" s="1942"/>
      <c r="AF1005" s="1928" t="str">
        <f>IF(AG1004="yes","Please Enter Amount:",0)</f>
        <v>Please Enter Amount:</v>
      </c>
      <c r="AG1005" s="1929"/>
      <c r="AH1005" s="1929"/>
      <c r="AI1005" s="1930"/>
      <c r="AJ1005" s="1995"/>
      <c r="AK1005" s="1996"/>
      <c r="AL1005" s="1996"/>
      <c r="AM1005" s="1996"/>
      <c r="AN1005" s="1996"/>
      <c r="AO1005" s="1996"/>
      <c r="AP1005" s="1996"/>
      <c r="AQ1005" s="1997"/>
      <c r="AR1005" s="961"/>
      <c r="AS1005" s="961"/>
      <c r="AT1005" s="961"/>
      <c r="AU1005" s="961"/>
      <c r="AV1005" s="961"/>
      <c r="AW1005" s="961"/>
      <c r="AX1005" s="961"/>
      <c r="AY1005" s="961"/>
      <c r="BA1005" s="321">
        <f>IF(A1082="Yes",0.02,0)</f>
        <v>0</v>
      </c>
    </row>
    <row r="1006" spans="1:96" ht="12.75" customHeight="1">
      <c r="A1006" s="51"/>
      <c r="B1006" s="110"/>
      <c r="C1006" s="111"/>
      <c r="D1006" s="1940"/>
      <c r="E1006" s="1941"/>
      <c r="F1006" s="1941"/>
      <c r="G1006" s="1941"/>
      <c r="H1006" s="1941"/>
      <c r="I1006" s="1941"/>
      <c r="J1006" s="1941"/>
      <c r="K1006" s="1941"/>
      <c r="L1006" s="1941"/>
      <c r="M1006" s="1941"/>
      <c r="N1006" s="1941"/>
      <c r="O1006" s="1941"/>
      <c r="P1006" s="1941"/>
      <c r="Q1006" s="1941"/>
      <c r="R1006" s="1941"/>
      <c r="S1006" s="1941"/>
      <c r="T1006" s="1941"/>
      <c r="U1006" s="1941"/>
      <c r="V1006" s="1941"/>
      <c r="W1006" s="1941"/>
      <c r="X1006" s="1941"/>
      <c r="Y1006" s="1941"/>
      <c r="Z1006" s="1941"/>
      <c r="AA1006" s="1941"/>
      <c r="AB1006" s="1941"/>
      <c r="AC1006" s="1941"/>
      <c r="AD1006" s="1941"/>
      <c r="AE1006" s="1942"/>
      <c r="AF1006" s="1928"/>
      <c r="AG1006" s="1929"/>
      <c r="AH1006" s="1929"/>
      <c r="AI1006" s="1930"/>
      <c r="AJ1006" s="1995"/>
      <c r="AK1006" s="1996"/>
      <c r="AL1006" s="1996"/>
      <c r="AM1006" s="1996"/>
      <c r="AN1006" s="1996"/>
      <c r="AO1006" s="1996"/>
      <c r="AP1006" s="1996"/>
      <c r="AQ1006" s="1997"/>
      <c r="AR1006" s="961"/>
      <c r="AS1006" s="961"/>
      <c r="AT1006" s="961"/>
      <c r="AU1006" s="961"/>
      <c r="AV1006" s="961"/>
      <c r="AW1006" s="961"/>
      <c r="AX1006" s="961"/>
      <c r="AY1006" s="961"/>
    </row>
    <row r="1007" spans="1:96" ht="12.75" customHeight="1">
      <c r="A1007" s="51"/>
      <c r="B1007" s="123"/>
      <c r="C1007" s="122"/>
      <c r="D1007" s="1968"/>
      <c r="E1007" s="1969"/>
      <c r="F1007" s="1969"/>
      <c r="G1007" s="1969"/>
      <c r="H1007" s="1969"/>
      <c r="I1007" s="1969"/>
      <c r="J1007" s="1969"/>
      <c r="K1007" s="1969"/>
      <c r="L1007" s="1969"/>
      <c r="M1007" s="1969"/>
      <c r="N1007" s="1969"/>
      <c r="O1007" s="1969"/>
      <c r="P1007" s="1969"/>
      <c r="Q1007" s="1969"/>
      <c r="R1007" s="1969"/>
      <c r="S1007" s="1969"/>
      <c r="T1007" s="1969"/>
      <c r="U1007" s="1969"/>
      <c r="V1007" s="1969"/>
      <c r="W1007" s="1969"/>
      <c r="X1007" s="1969"/>
      <c r="Y1007" s="1969"/>
      <c r="Z1007" s="1969"/>
      <c r="AA1007" s="1969"/>
      <c r="AB1007" s="1969"/>
      <c r="AC1007" s="1969"/>
      <c r="AD1007" s="1969"/>
      <c r="AE1007" s="1970"/>
      <c r="AF1007" s="1931"/>
      <c r="AG1007" s="1932"/>
      <c r="AH1007" s="1932"/>
      <c r="AI1007" s="1933"/>
      <c r="AJ1007" s="1998"/>
      <c r="AK1007" s="1999"/>
      <c r="AL1007" s="1999"/>
      <c r="AM1007" s="1999"/>
      <c r="AN1007" s="1999"/>
      <c r="AO1007" s="1999"/>
      <c r="AP1007" s="1999"/>
      <c r="AQ1007" s="2000"/>
      <c r="AR1007" s="961"/>
      <c r="AS1007" s="961"/>
      <c r="AT1007" s="961"/>
      <c r="AU1007" s="961"/>
      <c r="AV1007" s="961"/>
      <c r="AW1007" s="961"/>
      <c r="AX1007" s="961"/>
      <c r="AY1007" s="961"/>
    </row>
    <row r="1008" spans="1:96" s="711" customFormat="1" ht="12.75" customHeight="1">
      <c r="A1008" s="51"/>
      <c r="B1008" s="117"/>
      <c r="C1008" s="118" t="s">
        <v>240</v>
      </c>
      <c r="D1008" s="1965" t="s">
        <v>1489</v>
      </c>
      <c r="E1008" s="1966"/>
      <c r="F1008" s="1966"/>
      <c r="G1008" s="1966"/>
      <c r="H1008" s="1966"/>
      <c r="I1008" s="1966"/>
      <c r="J1008" s="1966"/>
      <c r="K1008" s="1966"/>
      <c r="L1008" s="1966"/>
      <c r="M1008" s="1966"/>
      <c r="N1008" s="1966"/>
      <c r="O1008" s="1966"/>
      <c r="P1008" s="1966"/>
      <c r="Q1008" s="1966"/>
      <c r="R1008" s="1966"/>
      <c r="S1008" s="1966"/>
      <c r="T1008" s="1966"/>
      <c r="U1008" s="1966"/>
      <c r="V1008" s="1966"/>
      <c r="W1008" s="1966"/>
      <c r="X1008" s="1966"/>
      <c r="Y1008" s="1966"/>
      <c r="Z1008" s="1966"/>
      <c r="AA1008" s="1966"/>
      <c r="AB1008" s="1966"/>
      <c r="AC1008" s="1966"/>
      <c r="AD1008" s="1966"/>
      <c r="AE1008" s="1967"/>
      <c r="AF1008" s="117"/>
      <c r="AG1008" s="1963" t="s">
        <v>571</v>
      </c>
      <c r="AH1008" s="1964"/>
      <c r="AI1008" s="125"/>
      <c r="AJ1008" s="1983">
        <f>ROUND(IF(AG1008="yes",(AJ975*0.1),0),0)</f>
        <v>6315932</v>
      </c>
      <c r="AK1008" s="1984"/>
      <c r="AL1008" s="1984"/>
      <c r="AM1008" s="1984"/>
      <c r="AN1008" s="1984"/>
      <c r="AO1008" s="1984"/>
      <c r="AP1008" s="1984"/>
      <c r="AQ1008" s="1985"/>
      <c r="AR1008" s="961"/>
      <c r="AS1008" s="961"/>
      <c r="AT1008" s="961"/>
      <c r="AU1008" s="961"/>
      <c r="AV1008" s="961"/>
      <c r="AW1008" s="961"/>
      <c r="AX1008" s="961"/>
      <c r="AY1008" s="961"/>
      <c r="CR1008" s="25"/>
    </row>
    <row r="1009" spans="1:96" ht="12.75" customHeight="1">
      <c r="A1009" s="51"/>
      <c r="B1009" s="110"/>
      <c r="C1009" s="111"/>
      <c r="D1009" s="1940" t="s">
        <v>1490</v>
      </c>
      <c r="E1009" s="1941"/>
      <c r="F1009" s="1941"/>
      <c r="G1009" s="1941"/>
      <c r="H1009" s="1941"/>
      <c r="I1009" s="1941"/>
      <c r="J1009" s="1941"/>
      <c r="K1009" s="1941"/>
      <c r="L1009" s="1941"/>
      <c r="M1009" s="1941"/>
      <c r="N1009" s="1941"/>
      <c r="O1009" s="1941"/>
      <c r="P1009" s="1941"/>
      <c r="Q1009" s="1941"/>
      <c r="R1009" s="1941"/>
      <c r="S1009" s="1941"/>
      <c r="T1009" s="1941"/>
      <c r="U1009" s="1941"/>
      <c r="V1009" s="1941"/>
      <c r="W1009" s="1941"/>
      <c r="X1009" s="1941"/>
      <c r="Y1009" s="1941"/>
      <c r="Z1009" s="1941"/>
      <c r="AA1009" s="1941"/>
      <c r="AB1009" s="1941"/>
      <c r="AC1009" s="1941"/>
      <c r="AD1009" s="1941"/>
      <c r="AE1009" s="1942"/>
      <c r="AF1009" s="110"/>
      <c r="AG1009" s="112"/>
      <c r="AH1009" s="112"/>
      <c r="AI1009" s="121"/>
      <c r="AJ1009" s="1986"/>
      <c r="AK1009" s="1987"/>
      <c r="AL1009" s="1987"/>
      <c r="AM1009" s="1987"/>
      <c r="AN1009" s="1987"/>
      <c r="AO1009" s="1987"/>
      <c r="AP1009" s="1987"/>
      <c r="AQ1009" s="1988"/>
      <c r="AR1009" s="961"/>
      <c r="AS1009" s="961"/>
      <c r="AT1009" s="961"/>
      <c r="AU1009" s="961"/>
      <c r="AV1009" s="961"/>
      <c r="AW1009" s="961"/>
      <c r="AX1009" s="961"/>
      <c r="AY1009" s="961"/>
    </row>
    <row r="1010" spans="1:96" ht="12.75" customHeight="1">
      <c r="A1010" s="51"/>
      <c r="B1010" s="115"/>
      <c r="C1010" s="111"/>
      <c r="D1010" s="1968"/>
      <c r="E1010" s="1969"/>
      <c r="F1010" s="1969"/>
      <c r="G1010" s="1969"/>
      <c r="H1010" s="1969"/>
      <c r="I1010" s="1969"/>
      <c r="J1010" s="1969"/>
      <c r="K1010" s="1969"/>
      <c r="L1010" s="1969"/>
      <c r="M1010" s="1969"/>
      <c r="N1010" s="1969"/>
      <c r="O1010" s="1969"/>
      <c r="P1010" s="1969"/>
      <c r="Q1010" s="1969"/>
      <c r="R1010" s="1969"/>
      <c r="S1010" s="1969"/>
      <c r="T1010" s="1969"/>
      <c r="U1010" s="1969"/>
      <c r="V1010" s="1969"/>
      <c r="W1010" s="1969"/>
      <c r="X1010" s="1969"/>
      <c r="Y1010" s="1969"/>
      <c r="Z1010" s="1969"/>
      <c r="AA1010" s="1969"/>
      <c r="AB1010" s="1969"/>
      <c r="AC1010" s="1969"/>
      <c r="AD1010" s="1969"/>
      <c r="AE1010" s="1970"/>
      <c r="AF1010" s="110"/>
      <c r="AG1010" s="112"/>
      <c r="AH1010" s="112"/>
      <c r="AI1010" s="121"/>
      <c r="AJ1010" s="1989"/>
      <c r="AK1010" s="1990"/>
      <c r="AL1010" s="1990"/>
      <c r="AM1010" s="1990"/>
      <c r="AN1010" s="1990"/>
      <c r="AO1010" s="1990"/>
      <c r="AP1010" s="1990"/>
      <c r="AQ1010" s="1991"/>
      <c r="AR1010" s="961"/>
      <c r="AS1010" s="961"/>
      <c r="AT1010" s="961"/>
      <c r="AU1010" s="961"/>
      <c r="AV1010" s="961"/>
      <c r="AW1010" s="961"/>
      <c r="AX1010" s="961"/>
      <c r="AY1010" s="961"/>
    </row>
    <row r="1011" spans="1:96" s="711" customFormat="1" ht="12.75" customHeight="1">
      <c r="A1011" s="51"/>
      <c r="B1011" s="110"/>
      <c r="C1011" s="524" t="s">
        <v>715</v>
      </c>
      <c r="D1011" s="1946" t="s">
        <v>2004</v>
      </c>
      <c r="E1011" s="1947"/>
      <c r="F1011" s="1947"/>
      <c r="G1011" s="1947"/>
      <c r="H1011" s="1947"/>
      <c r="I1011" s="1947"/>
      <c r="J1011" s="1947"/>
      <c r="K1011" s="1947"/>
      <c r="L1011" s="1947"/>
      <c r="M1011" s="1947"/>
      <c r="N1011" s="1947"/>
      <c r="O1011" s="1947"/>
      <c r="P1011" s="1947"/>
      <c r="Q1011" s="1947"/>
      <c r="R1011" s="1947"/>
      <c r="S1011" s="1947"/>
      <c r="T1011" s="1947"/>
      <c r="U1011" s="1947"/>
      <c r="V1011" s="1947"/>
      <c r="W1011" s="1947"/>
      <c r="X1011" s="1947"/>
      <c r="Y1011" s="1947"/>
      <c r="Z1011" s="1947"/>
      <c r="AA1011" s="1947"/>
      <c r="AB1011" s="1947"/>
      <c r="AC1011" s="1947"/>
      <c r="AD1011" s="1947"/>
      <c r="AE1011" s="1948"/>
      <c r="AF1011" s="117"/>
      <c r="AG1011" s="1963" t="s">
        <v>696</v>
      </c>
      <c r="AH1011" s="1964"/>
      <c r="AI1011" s="125"/>
      <c r="AJ1011" s="1983">
        <f>ROUND(IF(AG1011="yes",(AJ975*0.15),0),0)</f>
        <v>0</v>
      </c>
      <c r="AK1011" s="1984"/>
      <c r="AL1011" s="1984"/>
      <c r="AM1011" s="1984"/>
      <c r="AN1011" s="1984"/>
      <c r="AO1011" s="1984"/>
      <c r="AP1011" s="1984"/>
      <c r="AQ1011" s="1985"/>
      <c r="AR1011" s="961"/>
      <c r="AS1011" s="961"/>
      <c r="AT1011" s="961"/>
      <c r="AU1011" s="961"/>
      <c r="AV1011" s="961"/>
      <c r="AW1011" s="961"/>
      <c r="AX1011" s="961"/>
      <c r="AY1011" s="961"/>
      <c r="CR1011" s="25"/>
    </row>
    <row r="1012" spans="1:96" s="711" customFormat="1" ht="12.75" customHeight="1">
      <c r="A1012" s="51"/>
      <c r="B1012" s="110"/>
      <c r="C1012" s="111"/>
      <c r="D1012" s="1977" t="s">
        <v>2005</v>
      </c>
      <c r="E1012" s="1978"/>
      <c r="F1012" s="1978"/>
      <c r="G1012" s="1978"/>
      <c r="H1012" s="1978"/>
      <c r="I1012" s="1978"/>
      <c r="J1012" s="1978"/>
      <c r="K1012" s="1978"/>
      <c r="L1012" s="1978"/>
      <c r="M1012" s="1978"/>
      <c r="N1012" s="1978"/>
      <c r="O1012" s="1978"/>
      <c r="P1012" s="1978"/>
      <c r="Q1012" s="1978"/>
      <c r="R1012" s="1978"/>
      <c r="S1012" s="1978"/>
      <c r="T1012" s="1978"/>
      <c r="U1012" s="1978"/>
      <c r="V1012" s="1978"/>
      <c r="W1012" s="1978"/>
      <c r="X1012" s="1978"/>
      <c r="Y1012" s="1978"/>
      <c r="Z1012" s="1978"/>
      <c r="AA1012" s="1978"/>
      <c r="AB1012" s="1978"/>
      <c r="AC1012" s="1978"/>
      <c r="AD1012" s="1978"/>
      <c r="AE1012" s="1979"/>
      <c r="AF1012" s="978"/>
      <c r="AG1012" s="979"/>
      <c r="AH1012" s="979"/>
      <c r="AI1012" s="980"/>
      <c r="AJ1012" s="1986"/>
      <c r="AK1012" s="1987"/>
      <c r="AL1012" s="1987"/>
      <c r="AM1012" s="1987"/>
      <c r="AN1012" s="1987"/>
      <c r="AO1012" s="1987"/>
      <c r="AP1012" s="1987"/>
      <c r="AQ1012" s="1988"/>
      <c r="AR1012" s="961"/>
      <c r="AS1012" s="961"/>
      <c r="AT1012" s="961"/>
      <c r="AU1012" s="961"/>
      <c r="AV1012" s="961"/>
      <c r="AW1012" s="961"/>
      <c r="AX1012" s="961"/>
      <c r="AY1012" s="961"/>
      <c r="CR1012" s="25"/>
    </row>
    <row r="1013" spans="1:96" s="711" customFormat="1" ht="12.75" customHeight="1">
      <c r="A1013" s="51"/>
      <c r="B1013" s="110"/>
      <c r="C1013" s="111"/>
      <c r="D1013" s="1977"/>
      <c r="E1013" s="1978"/>
      <c r="F1013" s="1978"/>
      <c r="G1013" s="1978"/>
      <c r="H1013" s="1978"/>
      <c r="I1013" s="1978"/>
      <c r="J1013" s="1978"/>
      <c r="K1013" s="1978"/>
      <c r="L1013" s="1978"/>
      <c r="M1013" s="1978"/>
      <c r="N1013" s="1978"/>
      <c r="O1013" s="1978"/>
      <c r="P1013" s="1978"/>
      <c r="Q1013" s="1978"/>
      <c r="R1013" s="1978"/>
      <c r="S1013" s="1978"/>
      <c r="T1013" s="1978"/>
      <c r="U1013" s="1978"/>
      <c r="V1013" s="1978"/>
      <c r="W1013" s="1978"/>
      <c r="X1013" s="1978"/>
      <c r="Y1013" s="1978"/>
      <c r="Z1013" s="1978"/>
      <c r="AA1013" s="1978"/>
      <c r="AB1013" s="1978"/>
      <c r="AC1013" s="1978"/>
      <c r="AD1013" s="1978"/>
      <c r="AE1013" s="1979"/>
      <c r="AF1013" s="978"/>
      <c r="AG1013" s="979"/>
      <c r="AH1013" s="979"/>
      <c r="AI1013" s="980"/>
      <c r="AJ1013" s="1986"/>
      <c r="AK1013" s="1987"/>
      <c r="AL1013" s="1987"/>
      <c r="AM1013" s="1987"/>
      <c r="AN1013" s="1987"/>
      <c r="AO1013" s="1987"/>
      <c r="AP1013" s="1987"/>
      <c r="AQ1013" s="1988"/>
      <c r="AR1013" s="961"/>
      <c r="AS1013" s="961"/>
      <c r="AT1013" s="961"/>
      <c r="AU1013" s="961"/>
      <c r="AV1013" s="961"/>
      <c r="AW1013" s="961"/>
      <c r="AX1013" s="961"/>
      <c r="AY1013" s="961"/>
      <c r="CR1013" s="25"/>
    </row>
    <row r="1014" spans="1:96" s="711" customFormat="1" ht="12.75" customHeight="1">
      <c r="A1014" s="51"/>
      <c r="B1014" s="110"/>
      <c r="C1014" s="111"/>
      <c r="D1014" s="1980"/>
      <c r="E1014" s="1981"/>
      <c r="F1014" s="1981"/>
      <c r="G1014" s="1981"/>
      <c r="H1014" s="1981"/>
      <c r="I1014" s="1981"/>
      <c r="J1014" s="1981"/>
      <c r="K1014" s="1981"/>
      <c r="L1014" s="1981"/>
      <c r="M1014" s="1981"/>
      <c r="N1014" s="1981"/>
      <c r="O1014" s="1981"/>
      <c r="P1014" s="1981"/>
      <c r="Q1014" s="1981"/>
      <c r="R1014" s="1981"/>
      <c r="S1014" s="1981"/>
      <c r="T1014" s="1981"/>
      <c r="U1014" s="1981"/>
      <c r="V1014" s="1981"/>
      <c r="W1014" s="1981"/>
      <c r="X1014" s="1981"/>
      <c r="Y1014" s="1981"/>
      <c r="Z1014" s="1981"/>
      <c r="AA1014" s="1981"/>
      <c r="AB1014" s="1981"/>
      <c r="AC1014" s="1981"/>
      <c r="AD1014" s="1981"/>
      <c r="AE1014" s="1982"/>
      <c r="AF1014" s="981"/>
      <c r="AG1014" s="982"/>
      <c r="AH1014" s="982"/>
      <c r="AI1014" s="983"/>
      <c r="AJ1014" s="1989"/>
      <c r="AK1014" s="1990"/>
      <c r="AL1014" s="1990"/>
      <c r="AM1014" s="1990"/>
      <c r="AN1014" s="1990"/>
      <c r="AO1014" s="1990"/>
      <c r="AP1014" s="1990"/>
      <c r="AQ1014" s="1991"/>
      <c r="AR1014" s="961"/>
      <c r="AS1014" s="961"/>
      <c r="AT1014" s="961"/>
      <c r="AU1014" s="961"/>
      <c r="AV1014" s="961"/>
      <c r="AW1014" s="961"/>
      <c r="AX1014" s="961"/>
      <c r="AY1014" s="961"/>
      <c r="CR1014" s="25"/>
    </row>
    <row r="1015" spans="1:96" s="711" customFormat="1" ht="12.75" customHeight="1">
      <c r="A1015" s="51"/>
      <c r="B1015" s="110"/>
      <c r="C1015" s="524" t="s">
        <v>715</v>
      </c>
      <c r="D1015" s="1965" t="s">
        <v>2006</v>
      </c>
      <c r="E1015" s="1966"/>
      <c r="F1015" s="1966"/>
      <c r="G1015" s="1966"/>
      <c r="H1015" s="1966"/>
      <c r="I1015" s="1966"/>
      <c r="J1015" s="1966"/>
      <c r="K1015" s="1966"/>
      <c r="L1015" s="1966"/>
      <c r="M1015" s="1966"/>
      <c r="N1015" s="1966"/>
      <c r="O1015" s="1966"/>
      <c r="P1015" s="1966"/>
      <c r="Q1015" s="1966"/>
      <c r="R1015" s="1966"/>
      <c r="S1015" s="1966"/>
      <c r="T1015" s="1966"/>
      <c r="U1015" s="1966"/>
      <c r="V1015" s="1966"/>
      <c r="W1015" s="1966"/>
      <c r="X1015" s="1966"/>
      <c r="Y1015" s="1966"/>
      <c r="Z1015" s="1966"/>
      <c r="AA1015" s="1966"/>
      <c r="AB1015" s="1966"/>
      <c r="AC1015" s="1966"/>
      <c r="AD1015" s="1966"/>
      <c r="AE1015" s="1967"/>
      <c r="AF1015" s="110"/>
      <c r="AG1015" s="2070" t="s">
        <v>696</v>
      </c>
      <c r="AH1015" s="2071"/>
      <c r="AI1015" s="121"/>
      <c r="AJ1015" s="1983">
        <f>ROUND(IF(AND(AG1015="yes",AJ1011=0),(AJ975*0.1),0),0)</f>
        <v>0</v>
      </c>
      <c r="AK1015" s="1984"/>
      <c r="AL1015" s="1984"/>
      <c r="AM1015" s="1984"/>
      <c r="AN1015" s="1984"/>
      <c r="AO1015" s="1984"/>
      <c r="AP1015" s="1984"/>
      <c r="AQ1015" s="1985"/>
      <c r="AR1015" s="961"/>
      <c r="AS1015" s="961"/>
      <c r="AT1015" s="961"/>
      <c r="AU1015" s="961"/>
      <c r="AV1015" s="961"/>
      <c r="AW1015" s="961"/>
      <c r="AX1015" s="961"/>
      <c r="AY1015" s="961"/>
      <c r="CR1015" s="25"/>
    </row>
    <row r="1016" spans="1:96" s="711" customFormat="1" ht="12.75" customHeight="1">
      <c r="A1016" s="51"/>
      <c r="B1016" s="110"/>
      <c r="C1016" s="111"/>
      <c r="D1016" s="1977" t="s">
        <v>2007</v>
      </c>
      <c r="E1016" s="1978"/>
      <c r="F1016" s="1978"/>
      <c r="G1016" s="1978"/>
      <c r="H1016" s="1978"/>
      <c r="I1016" s="1978"/>
      <c r="J1016" s="1978"/>
      <c r="K1016" s="1978"/>
      <c r="L1016" s="1978"/>
      <c r="M1016" s="1978"/>
      <c r="N1016" s="1978"/>
      <c r="O1016" s="1978"/>
      <c r="P1016" s="1978"/>
      <c r="Q1016" s="1978"/>
      <c r="R1016" s="1978"/>
      <c r="S1016" s="1978"/>
      <c r="T1016" s="1978"/>
      <c r="U1016" s="1978"/>
      <c r="V1016" s="1978"/>
      <c r="W1016" s="1978"/>
      <c r="X1016" s="1978"/>
      <c r="Y1016" s="1978"/>
      <c r="Z1016" s="1978"/>
      <c r="AA1016" s="1978"/>
      <c r="AB1016" s="1978"/>
      <c r="AC1016" s="1978"/>
      <c r="AD1016" s="1978"/>
      <c r="AE1016" s="1979"/>
      <c r="AF1016" s="110"/>
      <c r="AG1016" s="112"/>
      <c r="AH1016" s="112"/>
      <c r="AI1016" s="121"/>
      <c r="AJ1016" s="1986"/>
      <c r="AK1016" s="1987"/>
      <c r="AL1016" s="1987"/>
      <c r="AM1016" s="1987"/>
      <c r="AN1016" s="1987"/>
      <c r="AO1016" s="1987"/>
      <c r="AP1016" s="1987"/>
      <c r="AQ1016" s="1988"/>
      <c r="AR1016" s="961"/>
      <c r="AS1016" s="961"/>
      <c r="AT1016" s="961"/>
      <c r="AU1016" s="961"/>
      <c r="AV1016" s="961"/>
      <c r="AW1016" s="961"/>
      <c r="AX1016" s="961"/>
      <c r="AY1016" s="961"/>
      <c r="CR1016" s="25"/>
    </row>
    <row r="1017" spans="1:96" s="711" customFormat="1" ht="12.75" customHeight="1">
      <c r="A1017" s="51"/>
      <c r="B1017" s="110"/>
      <c r="C1017" s="111"/>
      <c r="D1017" s="1977"/>
      <c r="E1017" s="1978"/>
      <c r="F1017" s="1978"/>
      <c r="G1017" s="1978"/>
      <c r="H1017" s="1978"/>
      <c r="I1017" s="1978"/>
      <c r="J1017" s="1978"/>
      <c r="K1017" s="1978"/>
      <c r="L1017" s="1978"/>
      <c r="M1017" s="1978"/>
      <c r="N1017" s="1978"/>
      <c r="O1017" s="1978"/>
      <c r="P1017" s="1978"/>
      <c r="Q1017" s="1978"/>
      <c r="R1017" s="1978"/>
      <c r="S1017" s="1978"/>
      <c r="T1017" s="1978"/>
      <c r="U1017" s="1978"/>
      <c r="V1017" s="1978"/>
      <c r="W1017" s="1978"/>
      <c r="X1017" s="1978"/>
      <c r="Y1017" s="1978"/>
      <c r="Z1017" s="1978"/>
      <c r="AA1017" s="1978"/>
      <c r="AB1017" s="1978"/>
      <c r="AC1017" s="1978"/>
      <c r="AD1017" s="1978"/>
      <c r="AE1017" s="1979"/>
      <c r="AF1017" s="110"/>
      <c r="AG1017" s="112"/>
      <c r="AH1017" s="112"/>
      <c r="AI1017" s="121"/>
      <c r="AJ1017" s="1986"/>
      <c r="AK1017" s="1987"/>
      <c r="AL1017" s="1987"/>
      <c r="AM1017" s="1987"/>
      <c r="AN1017" s="1987"/>
      <c r="AO1017" s="1987"/>
      <c r="AP1017" s="1987"/>
      <c r="AQ1017" s="1988"/>
      <c r="AR1017" s="961"/>
      <c r="AS1017" s="961"/>
      <c r="AT1017" s="961"/>
      <c r="AU1017" s="961"/>
      <c r="AV1017" s="961"/>
      <c r="AW1017" s="961"/>
      <c r="AX1017" s="961"/>
      <c r="AY1017" s="961"/>
      <c r="CR1017" s="25"/>
    </row>
    <row r="1018" spans="1:96" s="711" customFormat="1" ht="12.75" customHeight="1">
      <c r="A1018" s="51"/>
      <c r="B1018" s="110"/>
      <c r="C1018" s="111"/>
      <c r="D1018" s="1977"/>
      <c r="E1018" s="1978"/>
      <c r="F1018" s="1978"/>
      <c r="G1018" s="1978"/>
      <c r="H1018" s="1978"/>
      <c r="I1018" s="1978"/>
      <c r="J1018" s="1978"/>
      <c r="K1018" s="1978"/>
      <c r="L1018" s="1978"/>
      <c r="M1018" s="1978"/>
      <c r="N1018" s="1978"/>
      <c r="O1018" s="1978"/>
      <c r="P1018" s="1978"/>
      <c r="Q1018" s="1978"/>
      <c r="R1018" s="1978"/>
      <c r="S1018" s="1978"/>
      <c r="T1018" s="1978"/>
      <c r="U1018" s="1978"/>
      <c r="V1018" s="1978"/>
      <c r="W1018" s="1978"/>
      <c r="X1018" s="1978"/>
      <c r="Y1018" s="1978"/>
      <c r="Z1018" s="1978"/>
      <c r="AA1018" s="1978"/>
      <c r="AB1018" s="1978"/>
      <c r="AC1018" s="1978"/>
      <c r="AD1018" s="1978"/>
      <c r="AE1018" s="1979"/>
      <c r="AF1018" s="110"/>
      <c r="AG1018" s="112"/>
      <c r="AH1018" s="112"/>
      <c r="AI1018" s="121"/>
      <c r="AJ1018" s="1986"/>
      <c r="AK1018" s="1987"/>
      <c r="AL1018" s="1987"/>
      <c r="AM1018" s="1987"/>
      <c r="AN1018" s="1987"/>
      <c r="AO1018" s="1987"/>
      <c r="AP1018" s="1987"/>
      <c r="AQ1018" s="1988"/>
      <c r="AR1018" s="961"/>
      <c r="AS1018" s="961"/>
      <c r="AT1018" s="961"/>
      <c r="AU1018" s="961"/>
      <c r="AV1018" s="961"/>
      <c r="AW1018" s="961"/>
      <c r="AX1018" s="961"/>
      <c r="AY1018" s="961"/>
      <c r="CR1018" s="25"/>
    </row>
    <row r="1019" spans="1:96" s="711" customFormat="1" ht="12.75" customHeight="1">
      <c r="A1019" s="51"/>
      <c r="B1019" s="110"/>
      <c r="C1019" s="111"/>
      <c r="D1019" s="1980"/>
      <c r="E1019" s="1981"/>
      <c r="F1019" s="1981"/>
      <c r="G1019" s="1981"/>
      <c r="H1019" s="1981"/>
      <c r="I1019" s="1981"/>
      <c r="J1019" s="1981"/>
      <c r="K1019" s="1981"/>
      <c r="L1019" s="1981"/>
      <c r="M1019" s="1981"/>
      <c r="N1019" s="1981"/>
      <c r="O1019" s="1981"/>
      <c r="P1019" s="1981"/>
      <c r="Q1019" s="1981"/>
      <c r="R1019" s="1981"/>
      <c r="S1019" s="1981"/>
      <c r="T1019" s="1981"/>
      <c r="U1019" s="1981"/>
      <c r="V1019" s="1981"/>
      <c r="W1019" s="1981"/>
      <c r="X1019" s="1981"/>
      <c r="Y1019" s="1981"/>
      <c r="Z1019" s="1981"/>
      <c r="AA1019" s="1981"/>
      <c r="AB1019" s="1981"/>
      <c r="AC1019" s="1981"/>
      <c r="AD1019" s="1981"/>
      <c r="AE1019" s="1982"/>
      <c r="AF1019" s="110"/>
      <c r="AG1019" s="112"/>
      <c r="AH1019" s="112"/>
      <c r="AI1019" s="121"/>
      <c r="AJ1019" s="1986"/>
      <c r="AK1019" s="1987"/>
      <c r="AL1019" s="1987"/>
      <c r="AM1019" s="1987"/>
      <c r="AN1019" s="1987"/>
      <c r="AO1019" s="1987"/>
      <c r="AP1019" s="1987"/>
      <c r="AQ1019" s="1988"/>
      <c r="AR1019" s="961"/>
      <c r="AS1019" s="961"/>
      <c r="AT1019" s="961"/>
      <c r="AU1019" s="961"/>
      <c r="AV1019" s="961"/>
      <c r="AW1019" s="961"/>
      <c r="AX1019" s="961"/>
      <c r="AY1019" s="961"/>
      <c r="CR1019" s="25"/>
    </row>
    <row r="1020" spans="1:96" s="711" customFormat="1" ht="12.75" customHeight="1">
      <c r="A1020" s="51"/>
      <c r="B1020" s="117"/>
      <c r="C1020" s="198" t="s">
        <v>1087</v>
      </c>
      <c r="D1020" s="1946" t="s">
        <v>1491</v>
      </c>
      <c r="E1020" s="1947"/>
      <c r="F1020" s="1947"/>
      <c r="G1020" s="1947"/>
      <c r="H1020" s="1947"/>
      <c r="I1020" s="1947"/>
      <c r="J1020" s="1947"/>
      <c r="K1020" s="1947"/>
      <c r="L1020" s="1947"/>
      <c r="M1020" s="1947"/>
      <c r="N1020" s="1947"/>
      <c r="O1020" s="1947"/>
      <c r="P1020" s="1947"/>
      <c r="Q1020" s="1947"/>
      <c r="R1020" s="1947"/>
      <c r="S1020" s="1947"/>
      <c r="T1020" s="1947"/>
      <c r="U1020" s="1947"/>
      <c r="V1020" s="1947"/>
      <c r="W1020" s="1947"/>
      <c r="X1020" s="1947"/>
      <c r="Y1020" s="1947"/>
      <c r="Z1020" s="1947"/>
      <c r="AA1020" s="1947"/>
      <c r="AB1020" s="1947"/>
      <c r="AC1020" s="1947"/>
      <c r="AD1020" s="1947"/>
      <c r="AE1020" s="1948"/>
      <c r="AF1020" s="117"/>
      <c r="AG1020" s="1963" t="s">
        <v>696</v>
      </c>
      <c r="AH1020" s="1964"/>
      <c r="AI1020" s="125"/>
      <c r="AJ1020" s="1983">
        <f>ROUND(IF(AG1020="yes",(AJ975*0.1),0),0)</f>
        <v>0</v>
      </c>
      <c r="AK1020" s="1984"/>
      <c r="AL1020" s="1984"/>
      <c r="AM1020" s="1984"/>
      <c r="AN1020" s="1984"/>
      <c r="AO1020" s="1984"/>
      <c r="AP1020" s="1984"/>
      <c r="AQ1020" s="1985"/>
      <c r="AR1020" s="961"/>
      <c r="AS1020" s="961"/>
      <c r="AT1020" s="961"/>
      <c r="AU1020" s="961"/>
      <c r="AV1020" s="961"/>
      <c r="AW1020" s="961"/>
      <c r="AX1020" s="961"/>
      <c r="AY1020" s="961"/>
      <c r="CR1020" s="25"/>
    </row>
    <row r="1021" spans="1:96" ht="12.75" customHeight="1">
      <c r="A1021" s="51"/>
      <c r="B1021" s="110"/>
      <c r="C1021" s="111"/>
      <c r="D1021" s="1940" t="s">
        <v>2648</v>
      </c>
      <c r="E1021" s="1941"/>
      <c r="F1021" s="1941"/>
      <c r="G1021" s="1941"/>
      <c r="H1021" s="1941"/>
      <c r="I1021" s="1941"/>
      <c r="J1021" s="1941"/>
      <c r="K1021" s="1941"/>
      <c r="L1021" s="1941"/>
      <c r="M1021" s="1941"/>
      <c r="N1021" s="1941"/>
      <c r="O1021" s="1941"/>
      <c r="P1021" s="1941"/>
      <c r="Q1021" s="1941"/>
      <c r="R1021" s="1941"/>
      <c r="S1021" s="1941"/>
      <c r="T1021" s="1941"/>
      <c r="U1021" s="1941"/>
      <c r="V1021" s="1941"/>
      <c r="W1021" s="1941"/>
      <c r="X1021" s="1941"/>
      <c r="Y1021" s="1941"/>
      <c r="Z1021" s="1941"/>
      <c r="AA1021" s="1941"/>
      <c r="AB1021" s="1941"/>
      <c r="AC1021" s="1941"/>
      <c r="AD1021" s="1941"/>
      <c r="AE1021" s="1942"/>
      <c r="AF1021" s="110"/>
      <c r="AG1021" s="112"/>
      <c r="AH1021" s="112"/>
      <c r="AI1021" s="121"/>
      <c r="AJ1021" s="1986"/>
      <c r="AK1021" s="1987"/>
      <c r="AL1021" s="1987"/>
      <c r="AM1021" s="1987"/>
      <c r="AN1021" s="1987"/>
      <c r="AO1021" s="1987"/>
      <c r="AP1021" s="1987"/>
      <c r="AQ1021" s="1988"/>
      <c r="AR1021" s="961"/>
      <c r="AS1021" s="961"/>
      <c r="AT1021" s="961"/>
      <c r="AU1021" s="961"/>
      <c r="AV1021" s="961"/>
      <c r="AW1021" s="961"/>
      <c r="AX1021" s="961"/>
      <c r="AY1021" s="961"/>
    </row>
    <row r="1022" spans="1:96" ht="12.75" customHeight="1">
      <c r="A1022" s="51"/>
      <c r="B1022" s="110"/>
      <c r="C1022" s="111"/>
      <c r="D1022" s="1940"/>
      <c r="E1022" s="1941"/>
      <c r="F1022" s="1941"/>
      <c r="G1022" s="1941"/>
      <c r="H1022" s="1941"/>
      <c r="I1022" s="1941"/>
      <c r="J1022" s="1941"/>
      <c r="K1022" s="1941"/>
      <c r="L1022" s="1941"/>
      <c r="M1022" s="1941"/>
      <c r="N1022" s="1941"/>
      <c r="O1022" s="1941"/>
      <c r="P1022" s="1941"/>
      <c r="Q1022" s="1941"/>
      <c r="R1022" s="1941"/>
      <c r="S1022" s="1941"/>
      <c r="T1022" s="1941"/>
      <c r="U1022" s="1941"/>
      <c r="V1022" s="1941"/>
      <c r="W1022" s="1941"/>
      <c r="X1022" s="1941"/>
      <c r="Y1022" s="1941"/>
      <c r="Z1022" s="1941"/>
      <c r="AA1022" s="1941"/>
      <c r="AB1022" s="1941"/>
      <c r="AC1022" s="1941"/>
      <c r="AD1022" s="1941"/>
      <c r="AE1022" s="1942"/>
      <c r="AF1022" s="110"/>
      <c r="AG1022" s="112"/>
      <c r="AH1022" s="112"/>
      <c r="AI1022" s="121"/>
      <c r="AJ1022" s="1986"/>
      <c r="AK1022" s="1987"/>
      <c r="AL1022" s="1987"/>
      <c r="AM1022" s="1987"/>
      <c r="AN1022" s="1987"/>
      <c r="AO1022" s="1987"/>
      <c r="AP1022" s="1987"/>
      <c r="AQ1022" s="1988"/>
      <c r="AR1022" s="961"/>
      <c r="AS1022" s="961"/>
      <c r="AT1022" s="961"/>
      <c r="AU1022" s="961"/>
      <c r="AV1022" s="961"/>
      <c r="AW1022" s="961"/>
      <c r="AX1022" s="961"/>
      <c r="AY1022" s="961"/>
    </row>
    <row r="1023" spans="1:96" s="674" customFormat="1" ht="12.75" customHeight="1">
      <c r="A1023" s="51"/>
      <c r="B1023" s="110"/>
      <c r="C1023" s="111"/>
      <c r="D1023" s="1968"/>
      <c r="E1023" s="1969"/>
      <c r="F1023" s="1969"/>
      <c r="G1023" s="1969"/>
      <c r="H1023" s="1969"/>
      <c r="I1023" s="1969"/>
      <c r="J1023" s="1969"/>
      <c r="K1023" s="1969"/>
      <c r="L1023" s="1969"/>
      <c r="M1023" s="1969"/>
      <c r="N1023" s="1969"/>
      <c r="O1023" s="1969"/>
      <c r="P1023" s="1969"/>
      <c r="Q1023" s="1969"/>
      <c r="R1023" s="1969"/>
      <c r="S1023" s="1969"/>
      <c r="T1023" s="1969"/>
      <c r="U1023" s="1969"/>
      <c r="V1023" s="1969"/>
      <c r="W1023" s="1969"/>
      <c r="X1023" s="1969"/>
      <c r="Y1023" s="1969"/>
      <c r="Z1023" s="1969"/>
      <c r="AA1023" s="1969"/>
      <c r="AB1023" s="1969"/>
      <c r="AC1023" s="1969"/>
      <c r="AD1023" s="1969"/>
      <c r="AE1023" s="1970"/>
      <c r="AF1023" s="110"/>
      <c r="AG1023" s="112"/>
      <c r="AH1023" s="112"/>
      <c r="AI1023" s="121"/>
      <c r="AJ1023" s="1989"/>
      <c r="AK1023" s="1990"/>
      <c r="AL1023" s="1990"/>
      <c r="AM1023" s="1990"/>
      <c r="AN1023" s="1990"/>
      <c r="AO1023" s="1990"/>
      <c r="AP1023" s="1990"/>
      <c r="AQ1023" s="1991"/>
      <c r="AR1023" s="961"/>
      <c r="AS1023" s="961"/>
      <c r="AT1023" s="961"/>
      <c r="AU1023" s="961"/>
      <c r="AV1023" s="961"/>
      <c r="AW1023" s="961"/>
      <c r="AX1023" s="961"/>
      <c r="AY1023" s="961"/>
      <c r="CR1023" s="25"/>
    </row>
    <row r="1024" spans="1:96" ht="12.75" customHeight="1">
      <c r="A1024" s="51"/>
      <c r="B1024" s="117"/>
      <c r="C1024" s="198" t="s">
        <v>2002</v>
      </c>
      <c r="D1024" s="1965" t="s">
        <v>2197</v>
      </c>
      <c r="E1024" s="1966"/>
      <c r="F1024" s="1966"/>
      <c r="G1024" s="1966"/>
      <c r="H1024" s="1966"/>
      <c r="I1024" s="1966"/>
      <c r="J1024" s="1966"/>
      <c r="K1024" s="1966"/>
      <c r="L1024" s="1966"/>
      <c r="M1024" s="1966"/>
      <c r="N1024" s="1966"/>
      <c r="O1024" s="1966"/>
      <c r="P1024" s="1966"/>
      <c r="Q1024" s="1966"/>
      <c r="R1024" s="1966"/>
      <c r="S1024" s="1966"/>
      <c r="T1024" s="1966"/>
      <c r="U1024" s="1966"/>
      <c r="V1024" s="1966"/>
      <c r="W1024" s="1966"/>
      <c r="X1024" s="1966"/>
      <c r="Y1024" s="1966"/>
      <c r="Z1024" s="1966"/>
      <c r="AA1024" s="1966"/>
      <c r="AB1024" s="1966"/>
      <c r="AC1024" s="1966"/>
      <c r="AD1024" s="1966"/>
      <c r="AE1024" s="1967"/>
      <c r="AF1024" s="117"/>
      <c r="AG1024" s="2068" t="str">
        <f>IF(X1027&gt;0,"Yes","No")</f>
        <v>Yes</v>
      </c>
      <c r="AH1024" s="2069"/>
      <c r="AI1024" s="125"/>
      <c r="AJ1024" s="2072">
        <f>IF((X1027=0),0,BA989*AJ975)</f>
        <v>12631863.600000001</v>
      </c>
      <c r="AK1024" s="2073"/>
      <c r="AL1024" s="2073"/>
      <c r="AM1024" s="2073"/>
      <c r="AN1024" s="2073"/>
      <c r="AO1024" s="2073"/>
      <c r="AP1024" s="2073"/>
      <c r="AQ1024" s="2074"/>
      <c r="AR1024" s="961"/>
      <c r="AS1024" s="961"/>
      <c r="AT1024" s="961"/>
      <c r="AU1024" s="961"/>
      <c r="AV1024" s="961"/>
      <c r="AW1024" s="961"/>
      <c r="AX1024" s="961"/>
      <c r="AY1024" s="961"/>
    </row>
    <row r="1025" spans="1:96" ht="12.75" customHeight="1">
      <c r="A1025" s="51"/>
      <c r="B1025" s="110"/>
      <c r="C1025" s="694"/>
      <c r="D1025" s="1940" t="s">
        <v>1493</v>
      </c>
      <c r="E1025" s="1941"/>
      <c r="F1025" s="1941"/>
      <c r="G1025" s="1941"/>
      <c r="H1025" s="1941"/>
      <c r="I1025" s="1941"/>
      <c r="J1025" s="1941"/>
      <c r="K1025" s="1941"/>
      <c r="L1025" s="1941"/>
      <c r="M1025" s="1941"/>
      <c r="N1025" s="1941"/>
      <c r="O1025" s="1941"/>
      <c r="P1025" s="1941"/>
      <c r="Q1025" s="1941"/>
      <c r="R1025" s="1941"/>
      <c r="S1025" s="1941"/>
      <c r="T1025" s="1941"/>
      <c r="U1025" s="1941"/>
      <c r="V1025" s="1941"/>
      <c r="W1025" s="1941"/>
      <c r="X1025" s="1941"/>
      <c r="Y1025" s="1941"/>
      <c r="Z1025" s="1941"/>
      <c r="AA1025" s="1941"/>
      <c r="AB1025" s="1941"/>
      <c r="AC1025" s="1941"/>
      <c r="AD1025" s="1941"/>
      <c r="AE1025" s="1942"/>
      <c r="AF1025" s="110"/>
      <c r="AG1025" s="695"/>
      <c r="AH1025" s="695"/>
      <c r="AI1025" s="121"/>
      <c r="AJ1025" s="2075"/>
      <c r="AK1025" s="2076"/>
      <c r="AL1025" s="2076"/>
      <c r="AM1025" s="2076"/>
      <c r="AN1025" s="2076"/>
      <c r="AO1025" s="2076"/>
      <c r="AP1025" s="2076"/>
      <c r="AQ1025" s="2077"/>
      <c r="AR1025" s="961"/>
      <c r="AS1025" s="961"/>
      <c r="AT1025" s="961"/>
      <c r="AU1025" s="961"/>
      <c r="AV1025" s="961"/>
      <c r="AW1025" s="961"/>
      <c r="AX1025" s="961"/>
      <c r="AY1025" s="961"/>
    </row>
    <row r="1026" spans="1:96" ht="12.75" customHeight="1">
      <c r="A1026" s="51"/>
      <c r="B1026" s="110"/>
      <c r="C1026" s="694"/>
      <c r="D1026" s="1940"/>
      <c r="E1026" s="1941"/>
      <c r="F1026" s="1941"/>
      <c r="G1026" s="1941"/>
      <c r="H1026" s="1941"/>
      <c r="I1026" s="1941"/>
      <c r="J1026" s="1941"/>
      <c r="K1026" s="1941"/>
      <c r="L1026" s="1941"/>
      <c r="M1026" s="1941"/>
      <c r="N1026" s="1941"/>
      <c r="O1026" s="1941"/>
      <c r="P1026" s="1941"/>
      <c r="Q1026" s="1941"/>
      <c r="R1026" s="1941"/>
      <c r="S1026" s="1941"/>
      <c r="T1026" s="1941"/>
      <c r="U1026" s="1941"/>
      <c r="V1026" s="1941"/>
      <c r="W1026" s="1941"/>
      <c r="X1026" s="1941"/>
      <c r="Y1026" s="1941"/>
      <c r="Z1026" s="1941"/>
      <c r="AA1026" s="1941"/>
      <c r="AB1026" s="1941"/>
      <c r="AC1026" s="1941"/>
      <c r="AD1026" s="1941"/>
      <c r="AE1026" s="1942"/>
      <c r="AF1026" s="110"/>
      <c r="AG1026" s="695"/>
      <c r="AH1026" s="695"/>
      <c r="AI1026" s="121"/>
      <c r="AJ1026" s="2075"/>
      <c r="AK1026" s="2076"/>
      <c r="AL1026" s="2076"/>
      <c r="AM1026" s="2076"/>
      <c r="AN1026" s="2076"/>
      <c r="AO1026" s="2076"/>
      <c r="AP1026" s="2076"/>
      <c r="AQ1026" s="2077"/>
      <c r="AR1026" s="961"/>
      <c r="AS1026" s="961"/>
      <c r="AT1026" s="961"/>
      <c r="AU1026" s="961"/>
      <c r="AV1026" s="961"/>
      <c r="AW1026" s="961"/>
      <c r="AX1026" s="961"/>
      <c r="AY1026" s="961"/>
    </row>
    <row r="1027" spans="1:96" s="711" customFormat="1" ht="12.75" customHeight="1">
      <c r="A1027" s="51"/>
      <c r="B1027" s="115"/>
      <c r="C1027" s="116"/>
      <c r="D1027" s="199" t="s">
        <v>1031</v>
      </c>
      <c r="E1027" s="200"/>
      <c r="F1027" s="200"/>
      <c r="G1027" s="200"/>
      <c r="H1027" s="200"/>
      <c r="I1027" s="2066">
        <f>BA987</f>
        <v>164</v>
      </c>
      <c r="J1027" s="2067"/>
      <c r="K1027" s="11"/>
      <c r="L1027" s="200"/>
      <c r="M1027" s="200"/>
      <c r="N1027" s="200"/>
      <c r="O1027" s="200"/>
      <c r="P1027" s="200"/>
      <c r="Q1027" s="200"/>
      <c r="R1027" s="200"/>
      <c r="S1027" s="200"/>
      <c r="T1027" s="200"/>
      <c r="U1027" s="200"/>
      <c r="V1027" s="201" t="s">
        <v>1032</v>
      </c>
      <c r="W1027" s="80"/>
      <c r="X1027" s="2064">
        <f>BG635</f>
        <v>33</v>
      </c>
      <c r="Y1027" s="2065"/>
      <c r="Z1027" s="80"/>
      <c r="AA1027" s="80"/>
      <c r="AB1027" s="80"/>
      <c r="AC1027" s="80"/>
      <c r="AD1027" s="80"/>
      <c r="AE1027" s="81"/>
      <c r="AF1027" s="987"/>
      <c r="AG1027" s="988"/>
      <c r="AH1027" s="988"/>
      <c r="AI1027" s="989"/>
      <c r="AJ1027" s="2078"/>
      <c r="AK1027" s="2079"/>
      <c r="AL1027" s="2079"/>
      <c r="AM1027" s="2079"/>
      <c r="AN1027" s="2079"/>
      <c r="AO1027" s="2079"/>
      <c r="AP1027" s="2079"/>
      <c r="AQ1027" s="2080"/>
      <c r="AR1027" s="961"/>
      <c r="AS1027" s="961"/>
      <c r="AT1027" s="961"/>
      <c r="AU1027" s="961"/>
      <c r="AV1027" s="961"/>
      <c r="AW1027" s="961"/>
      <c r="AX1027" s="961"/>
      <c r="AY1027" s="961"/>
      <c r="CR1027" s="25"/>
    </row>
    <row r="1028" spans="1:96" ht="12.75" customHeight="1">
      <c r="A1028" s="51"/>
      <c r="B1028" s="117"/>
      <c r="C1028" s="198" t="s">
        <v>2003</v>
      </c>
      <c r="D1028" s="1946" t="s">
        <v>2198</v>
      </c>
      <c r="E1028" s="1947"/>
      <c r="F1028" s="1947"/>
      <c r="G1028" s="1947"/>
      <c r="H1028" s="1947"/>
      <c r="I1028" s="1947"/>
      <c r="J1028" s="1947"/>
      <c r="K1028" s="1947"/>
      <c r="L1028" s="1947"/>
      <c r="M1028" s="1947"/>
      <c r="N1028" s="1947"/>
      <c r="O1028" s="1947"/>
      <c r="P1028" s="1947"/>
      <c r="Q1028" s="1947"/>
      <c r="R1028" s="1947"/>
      <c r="S1028" s="1947"/>
      <c r="T1028" s="1947"/>
      <c r="U1028" s="1947"/>
      <c r="V1028" s="1947"/>
      <c r="W1028" s="1947"/>
      <c r="X1028" s="1947"/>
      <c r="Y1028" s="1947"/>
      <c r="Z1028" s="1947"/>
      <c r="AA1028" s="1947"/>
      <c r="AB1028" s="1947"/>
      <c r="AC1028" s="1947"/>
      <c r="AD1028" s="1947"/>
      <c r="AE1028" s="1948"/>
      <c r="AF1028" s="110"/>
      <c r="AG1028" s="2068" t="str">
        <f>IF(X1031&gt;0,"Yes","No")</f>
        <v>Yes</v>
      </c>
      <c r="AH1028" s="2069"/>
      <c r="AI1028" s="121"/>
      <c r="AJ1028" s="2072">
        <f>IF((X1031=0),0,(2*BA990)*AJ975)</f>
        <v>12631863.600000001</v>
      </c>
      <c r="AK1028" s="2073"/>
      <c r="AL1028" s="2073"/>
      <c r="AM1028" s="2073"/>
      <c r="AN1028" s="2073"/>
      <c r="AO1028" s="2073"/>
      <c r="AP1028" s="2073"/>
      <c r="AQ1028" s="2074"/>
      <c r="AR1028" s="961"/>
      <c r="AS1028" s="961"/>
      <c r="AT1028" s="961"/>
      <c r="AU1028" s="961"/>
      <c r="AV1028" s="961"/>
      <c r="AW1028" s="961"/>
      <c r="AX1028" s="961"/>
      <c r="AY1028" s="961"/>
    </row>
    <row r="1029" spans="1:96" ht="12.75" customHeight="1">
      <c r="A1029" s="51"/>
      <c r="B1029" s="110"/>
      <c r="C1029" s="694"/>
      <c r="D1029" s="1940" t="s">
        <v>1492</v>
      </c>
      <c r="E1029" s="1941"/>
      <c r="F1029" s="1941"/>
      <c r="G1029" s="1941"/>
      <c r="H1029" s="1941"/>
      <c r="I1029" s="1941"/>
      <c r="J1029" s="1941"/>
      <c r="K1029" s="1941"/>
      <c r="L1029" s="1941"/>
      <c r="M1029" s="1941"/>
      <c r="N1029" s="1941"/>
      <c r="O1029" s="1941"/>
      <c r="P1029" s="1941"/>
      <c r="Q1029" s="1941"/>
      <c r="R1029" s="1941"/>
      <c r="S1029" s="1941"/>
      <c r="T1029" s="1941"/>
      <c r="U1029" s="1941"/>
      <c r="V1029" s="1941"/>
      <c r="W1029" s="1941"/>
      <c r="X1029" s="1941"/>
      <c r="Y1029" s="1941"/>
      <c r="Z1029" s="1941"/>
      <c r="AA1029" s="1941"/>
      <c r="AB1029" s="1941"/>
      <c r="AC1029" s="1941"/>
      <c r="AD1029" s="1941"/>
      <c r="AE1029" s="1942"/>
      <c r="AF1029" s="110"/>
      <c r="AG1029" s="695"/>
      <c r="AH1029" s="695"/>
      <c r="AI1029" s="121"/>
      <c r="AJ1029" s="2075"/>
      <c r="AK1029" s="2076"/>
      <c r="AL1029" s="2076"/>
      <c r="AM1029" s="2076"/>
      <c r="AN1029" s="2076"/>
      <c r="AO1029" s="2076"/>
      <c r="AP1029" s="2076"/>
      <c r="AQ1029" s="2077"/>
      <c r="AR1029" s="961"/>
      <c r="AS1029" s="961"/>
      <c r="AT1029" s="961"/>
      <c r="AU1029" s="961"/>
      <c r="AV1029" s="961"/>
      <c r="AW1029" s="961"/>
      <c r="AX1029" s="961"/>
      <c r="AY1029" s="961"/>
    </row>
    <row r="1030" spans="1:96" ht="12.75" customHeight="1">
      <c r="A1030" s="51"/>
      <c r="B1030" s="110"/>
      <c r="C1030" s="121"/>
      <c r="D1030" s="1940"/>
      <c r="E1030" s="1941"/>
      <c r="F1030" s="1941"/>
      <c r="G1030" s="1941"/>
      <c r="H1030" s="1941"/>
      <c r="I1030" s="1941"/>
      <c r="J1030" s="1941"/>
      <c r="K1030" s="1941"/>
      <c r="L1030" s="1941"/>
      <c r="M1030" s="1941"/>
      <c r="N1030" s="1941"/>
      <c r="O1030" s="1941"/>
      <c r="P1030" s="1941"/>
      <c r="Q1030" s="1941"/>
      <c r="R1030" s="1941"/>
      <c r="S1030" s="1941"/>
      <c r="T1030" s="1941"/>
      <c r="U1030" s="1941"/>
      <c r="V1030" s="1941"/>
      <c r="W1030" s="1941"/>
      <c r="X1030" s="1941"/>
      <c r="Y1030" s="1941"/>
      <c r="Z1030" s="1941"/>
      <c r="AA1030" s="1941"/>
      <c r="AB1030" s="1941"/>
      <c r="AC1030" s="1941"/>
      <c r="AD1030" s="1941"/>
      <c r="AE1030" s="1942"/>
      <c r="AF1030" s="984"/>
      <c r="AG1030" s="985"/>
      <c r="AH1030" s="985"/>
      <c r="AI1030" s="986"/>
      <c r="AJ1030" s="2075"/>
      <c r="AK1030" s="2076"/>
      <c r="AL1030" s="2076"/>
      <c r="AM1030" s="2076"/>
      <c r="AN1030" s="2076"/>
      <c r="AO1030" s="2076"/>
      <c r="AP1030" s="2076"/>
      <c r="AQ1030" s="2077"/>
      <c r="AR1030" s="961"/>
      <c r="AS1030" s="961"/>
      <c r="AT1030" s="961"/>
      <c r="AU1030" s="961"/>
      <c r="AV1030" s="961"/>
      <c r="AW1030" s="961"/>
      <c r="AX1030" s="961"/>
      <c r="AY1030" s="961"/>
    </row>
    <row r="1031" spans="1:96" s="711" customFormat="1" ht="12.75" customHeight="1">
      <c r="A1031" s="51"/>
      <c r="B1031" s="115"/>
      <c r="C1031" s="116"/>
      <c r="D1031" s="199" t="s">
        <v>1031</v>
      </c>
      <c r="E1031" s="200"/>
      <c r="F1031" s="200"/>
      <c r="G1031" s="200"/>
      <c r="H1031" s="200"/>
      <c r="I1031" s="2066">
        <f>BA987</f>
        <v>164</v>
      </c>
      <c r="J1031" s="2067"/>
      <c r="K1031" s="51"/>
      <c r="L1031" s="200"/>
      <c r="M1031" s="200"/>
      <c r="N1031" s="200"/>
      <c r="O1031" s="200"/>
      <c r="P1031" s="200"/>
      <c r="Q1031" s="200"/>
      <c r="R1031" s="200"/>
      <c r="S1031" s="200"/>
      <c r="T1031" s="200"/>
      <c r="U1031" s="200"/>
      <c r="V1031" s="201" t="s">
        <v>1033</v>
      </c>
      <c r="X1031" s="2064">
        <f>BK635</f>
        <v>17</v>
      </c>
      <c r="Y1031" s="2065"/>
      <c r="AF1031" s="987"/>
      <c r="AG1031" s="988"/>
      <c r="AH1031" s="988"/>
      <c r="AI1031" s="989"/>
      <c r="AJ1031" s="2078"/>
      <c r="AK1031" s="2079"/>
      <c r="AL1031" s="2079"/>
      <c r="AM1031" s="2079"/>
      <c r="AN1031" s="2079"/>
      <c r="AO1031" s="2079"/>
      <c r="AP1031" s="2079"/>
      <c r="AQ1031" s="2080"/>
      <c r="AR1031" s="961"/>
      <c r="AS1031" s="961"/>
      <c r="AT1031" s="961"/>
      <c r="AU1031" s="961"/>
      <c r="AV1031" s="961"/>
      <c r="AW1031" s="961"/>
      <c r="AX1031" s="961"/>
      <c r="AY1031" s="961"/>
      <c r="CR1031" s="25"/>
    </row>
    <row r="1032" spans="1:96" ht="12.75" customHeight="1">
      <c r="A1032" s="51"/>
      <c r="B1032" s="158"/>
      <c r="C1032" s="159"/>
      <c r="D1032" s="2062" t="s">
        <v>539</v>
      </c>
      <c r="E1032" s="2062"/>
      <c r="F1032" s="2062"/>
      <c r="G1032" s="2062"/>
      <c r="H1032" s="2062"/>
      <c r="I1032" s="2062"/>
      <c r="J1032" s="2062"/>
      <c r="K1032" s="2062"/>
      <c r="L1032" s="2062"/>
      <c r="M1032" s="2062"/>
      <c r="N1032" s="2062"/>
      <c r="O1032" s="2062"/>
      <c r="P1032" s="2062"/>
      <c r="Q1032" s="2062"/>
      <c r="R1032" s="2062"/>
      <c r="S1032" s="2062"/>
      <c r="T1032" s="2062"/>
      <c r="U1032" s="2062"/>
      <c r="V1032" s="2062"/>
      <c r="W1032" s="2062"/>
      <c r="X1032" s="2062"/>
      <c r="Y1032" s="2062"/>
      <c r="Z1032" s="2062"/>
      <c r="AA1032" s="2062"/>
      <c r="AB1032" s="2062"/>
      <c r="AC1032" s="2062"/>
      <c r="AD1032" s="2062"/>
      <c r="AE1032" s="2062"/>
      <c r="AF1032" s="2062"/>
      <c r="AG1032" s="2062"/>
      <c r="AH1032" s="2062"/>
      <c r="AI1032" s="2063"/>
      <c r="AJ1032" s="2081">
        <f>SUM(AJ975:AQ1031)</f>
        <v>104890693.19999999</v>
      </c>
      <c r="AK1032" s="2082"/>
      <c r="AL1032" s="2082"/>
      <c r="AM1032" s="2082"/>
      <c r="AN1032" s="2082"/>
      <c r="AO1032" s="2082"/>
      <c r="AP1032" s="2082"/>
      <c r="AQ1032" s="2083"/>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186">
        <f>IF(ISNA(IF((AJ999&gt;(AJ975*0.15)),"(f) cannot be greater than 15% of unadjusted eligible basis.",0)),"",(IF((AJ999&gt;(AJ975*0.15)),"(f) cannot be greater than 15% of unadjusted eligible basis.",0)))</f>
        <v>0</v>
      </c>
      <c r="C1039" s="2186"/>
      <c r="D1039" s="2186"/>
      <c r="E1039" s="2186"/>
      <c r="F1039" s="2186"/>
      <c r="G1039" s="2186"/>
      <c r="H1039" s="2186"/>
      <c r="I1039" s="2186"/>
      <c r="J1039" s="2186"/>
      <c r="K1039" s="2186"/>
      <c r="L1039" s="2186"/>
      <c r="M1039" s="2186"/>
      <c r="N1039" s="2186"/>
      <c r="O1039" s="2186"/>
      <c r="P1039" s="2186"/>
      <c r="Q1039" s="2186"/>
      <c r="R1039" s="2186"/>
      <c r="S1039" s="2186"/>
      <c r="T1039" s="2186"/>
      <c r="U1039" s="2186"/>
      <c r="V1039" s="2186"/>
      <c r="W1039" s="2186"/>
      <c r="X1039" s="2186"/>
      <c r="Y1039" s="2186"/>
      <c r="Z1039" s="2186"/>
      <c r="AA1039" s="2186"/>
      <c r="AB1039" s="2186"/>
      <c r="AC1039" s="2186"/>
      <c r="AD1039" s="2186"/>
      <c r="AE1039" s="2186"/>
      <c r="AF1039" s="2186"/>
      <c r="AG1039" s="2186"/>
      <c r="AH1039" s="2186"/>
      <c r="AI1039" s="2186"/>
      <c r="AJ1039" s="2186"/>
      <c r="AK1039" s="2186"/>
      <c r="AL1039" s="105"/>
      <c r="AM1039" s="961"/>
      <c r="AN1039" s="961"/>
      <c r="AO1039" s="961"/>
      <c r="AP1039" s="961"/>
      <c r="AQ1039" s="961"/>
      <c r="AR1039" s="961"/>
      <c r="AS1039" s="961"/>
      <c r="AT1039" s="961"/>
      <c r="AU1039" s="961"/>
      <c r="AV1039" s="961"/>
      <c r="AW1039" s="961"/>
      <c r="AX1039" s="961"/>
      <c r="AY1039" s="961"/>
    </row>
    <row r="1040" spans="1:96" ht="12.6" customHeight="1" thickBot="1">
      <c r="A1040" s="2226" t="s">
        <v>836</v>
      </c>
      <c r="B1040" s="2226"/>
      <c r="C1040" s="2226"/>
      <c r="D1040" s="2226"/>
      <c r="E1040" s="2226"/>
      <c r="F1040" s="2226"/>
      <c r="G1040" s="2226"/>
      <c r="H1040" s="2226"/>
      <c r="I1040" s="2226"/>
      <c r="J1040" s="2226"/>
      <c r="K1040" s="2226"/>
      <c r="L1040" s="2226"/>
      <c r="M1040" s="2226"/>
      <c r="N1040" s="2226"/>
      <c r="O1040" s="2226"/>
      <c r="P1040" s="2226"/>
      <c r="Q1040" s="2226"/>
      <c r="R1040" s="2226"/>
      <c r="S1040" s="2226"/>
      <c r="T1040" s="2226"/>
      <c r="U1040" s="2226"/>
      <c r="V1040" s="2226"/>
      <c r="W1040" s="2226"/>
      <c r="X1040" s="2226"/>
      <c r="Y1040" s="2226"/>
      <c r="Z1040" s="2226"/>
      <c r="AA1040" s="2226"/>
      <c r="AB1040" s="2226"/>
      <c r="AC1040" s="2226"/>
      <c r="AD1040" s="2226"/>
      <c r="AE1040" s="2226"/>
      <c r="AF1040" s="2226"/>
      <c r="AG1040" s="2226"/>
      <c r="AH1040" s="2226"/>
      <c r="AI1040" s="2226"/>
      <c r="AJ1040" s="2226"/>
      <c r="AK1040" s="2226"/>
      <c r="AL1040" s="222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75" t="s">
        <v>618</v>
      </c>
      <c r="B1044" s="1875"/>
      <c r="C1044" s="13">
        <v>1</v>
      </c>
      <c r="D1044" s="1744" t="s">
        <v>1191</v>
      </c>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4"/>
      <c r="AF1044" s="1744"/>
      <c r="AG1044" s="1744"/>
      <c r="AH1044" s="1744"/>
      <c r="AI1044" s="1744"/>
      <c r="AJ1044" s="1744"/>
      <c r="AK1044" s="1744"/>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44"/>
      <c r="E1045" s="1744"/>
      <c r="F1045" s="1744"/>
      <c r="G1045" s="1744"/>
      <c r="H1045" s="1744"/>
      <c r="I1045" s="1744"/>
      <c r="J1045" s="1744"/>
      <c r="K1045" s="1744"/>
      <c r="L1045" s="1744"/>
      <c r="M1045" s="1744"/>
      <c r="N1045" s="1744"/>
      <c r="O1045" s="1744"/>
      <c r="P1045" s="1744"/>
      <c r="Q1045" s="1744"/>
      <c r="R1045" s="1744"/>
      <c r="S1045" s="1744"/>
      <c r="T1045" s="1744"/>
      <c r="U1045" s="1744"/>
      <c r="V1045" s="1744"/>
      <c r="W1045" s="1744"/>
      <c r="X1045" s="1744"/>
      <c r="Y1045" s="1744"/>
      <c r="Z1045" s="1744"/>
      <c r="AA1045" s="1744"/>
      <c r="AB1045" s="1744"/>
      <c r="AC1045" s="1744"/>
      <c r="AD1045" s="1744"/>
      <c r="AE1045" s="1744"/>
      <c r="AF1045" s="1744"/>
      <c r="AG1045" s="1744"/>
      <c r="AH1045" s="1744"/>
      <c r="AI1045" s="1744"/>
      <c r="AJ1045" s="1744"/>
      <c r="AK1045" s="1744"/>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44"/>
      <c r="E1046" s="1744"/>
      <c r="F1046" s="1744"/>
      <c r="G1046" s="1744"/>
      <c r="H1046" s="1744"/>
      <c r="I1046" s="1744"/>
      <c r="J1046" s="1744"/>
      <c r="K1046" s="1744"/>
      <c r="L1046" s="1744"/>
      <c r="M1046" s="1744"/>
      <c r="N1046" s="1744"/>
      <c r="O1046" s="1744"/>
      <c r="P1046" s="1744"/>
      <c r="Q1046" s="1744"/>
      <c r="R1046" s="1744"/>
      <c r="S1046" s="1744"/>
      <c r="T1046" s="1744"/>
      <c r="U1046" s="1744"/>
      <c r="V1046" s="1744"/>
      <c r="W1046" s="1744"/>
      <c r="X1046" s="1744"/>
      <c r="Y1046" s="1744"/>
      <c r="Z1046" s="1744"/>
      <c r="AA1046" s="1744"/>
      <c r="AB1046" s="1744"/>
      <c r="AC1046" s="1744"/>
      <c r="AD1046" s="1744"/>
      <c r="AE1046" s="1744"/>
      <c r="AF1046" s="1744"/>
      <c r="AG1046" s="1744"/>
      <c r="AH1046" s="1744"/>
      <c r="AI1046" s="1744"/>
      <c r="AJ1046" s="1744"/>
      <c r="AK1046" s="1744"/>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44"/>
      <c r="E1047" s="1744"/>
      <c r="F1047" s="1744"/>
      <c r="G1047" s="1744"/>
      <c r="H1047" s="1744"/>
      <c r="I1047" s="1744"/>
      <c r="J1047" s="1744"/>
      <c r="K1047" s="1744"/>
      <c r="L1047" s="1744"/>
      <c r="M1047" s="1744"/>
      <c r="N1047" s="1744"/>
      <c r="O1047" s="1744"/>
      <c r="P1047" s="1744"/>
      <c r="Q1047" s="1744"/>
      <c r="R1047" s="1744"/>
      <c r="S1047" s="1744"/>
      <c r="T1047" s="1744"/>
      <c r="U1047" s="1744"/>
      <c r="V1047" s="1744"/>
      <c r="W1047" s="1744"/>
      <c r="X1047" s="1744"/>
      <c r="Y1047" s="1744"/>
      <c r="Z1047" s="1744"/>
      <c r="AA1047" s="1744"/>
      <c r="AB1047" s="1744"/>
      <c r="AC1047" s="1744"/>
      <c r="AD1047" s="1744"/>
      <c r="AE1047" s="1744"/>
      <c r="AF1047" s="1744"/>
      <c r="AG1047" s="1744"/>
      <c r="AH1047" s="1744"/>
      <c r="AI1047" s="1744"/>
      <c r="AJ1047" s="1744"/>
      <c r="AK1047" s="1744"/>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44"/>
      <c r="E1048" s="1744"/>
      <c r="F1048" s="1744"/>
      <c r="G1048" s="1744"/>
      <c r="H1048" s="1744"/>
      <c r="I1048" s="1744"/>
      <c r="J1048" s="1744"/>
      <c r="K1048" s="1744"/>
      <c r="L1048" s="1744"/>
      <c r="M1048" s="1744"/>
      <c r="N1048" s="1744"/>
      <c r="O1048" s="1744"/>
      <c r="P1048" s="1744"/>
      <c r="Q1048" s="1744"/>
      <c r="R1048" s="1744"/>
      <c r="S1048" s="1744"/>
      <c r="T1048" s="1744"/>
      <c r="U1048" s="1744"/>
      <c r="V1048" s="1744"/>
      <c r="W1048" s="1744"/>
      <c r="X1048" s="1744"/>
      <c r="Y1048" s="1744"/>
      <c r="Z1048" s="1744"/>
      <c r="AA1048" s="1744"/>
      <c r="AB1048" s="1744"/>
      <c r="AC1048" s="1744"/>
      <c r="AD1048" s="1744"/>
      <c r="AE1048" s="1744"/>
      <c r="AF1048" s="1744"/>
      <c r="AG1048" s="1744"/>
      <c r="AH1048" s="1744"/>
      <c r="AI1048" s="1744"/>
      <c r="AJ1048" s="1744"/>
      <c r="AK1048" s="1744"/>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44"/>
      <c r="E1049" s="1744"/>
      <c r="F1049" s="1744"/>
      <c r="G1049" s="1744"/>
      <c r="H1049" s="1744"/>
      <c r="I1049" s="1744"/>
      <c r="J1049" s="1744"/>
      <c r="K1049" s="1744"/>
      <c r="L1049" s="1744"/>
      <c r="M1049" s="1744"/>
      <c r="N1049" s="1744"/>
      <c r="O1049" s="1744"/>
      <c r="P1049" s="1744"/>
      <c r="Q1049" s="1744"/>
      <c r="R1049" s="1744"/>
      <c r="S1049" s="1744"/>
      <c r="T1049" s="1744"/>
      <c r="U1049" s="1744"/>
      <c r="V1049" s="1744"/>
      <c r="W1049" s="1744"/>
      <c r="X1049" s="1744"/>
      <c r="Y1049" s="1744"/>
      <c r="Z1049" s="1744"/>
      <c r="AA1049" s="1744"/>
      <c r="AB1049" s="1744"/>
      <c r="AC1049" s="1744"/>
      <c r="AD1049" s="1744"/>
      <c r="AE1049" s="1744"/>
      <c r="AF1049" s="1744"/>
      <c r="AG1049" s="1744"/>
      <c r="AH1049" s="1744"/>
      <c r="AI1049" s="1744"/>
      <c r="AJ1049" s="1744"/>
      <c r="AK1049" s="1744"/>
      <c r="AL1049" s="105"/>
      <c r="AM1049" s="961"/>
      <c r="AN1049" s="961"/>
      <c r="AO1049" s="961"/>
      <c r="AP1049" s="961"/>
      <c r="AQ1049" s="961"/>
      <c r="AR1049" s="961"/>
      <c r="AS1049" s="961"/>
      <c r="AT1049" s="961"/>
      <c r="AU1049" s="961"/>
      <c r="AV1049" s="961"/>
      <c r="AW1049" s="961"/>
      <c r="AX1049" s="961"/>
      <c r="AY1049" s="961"/>
    </row>
    <row r="1050" spans="1:51" ht="12.6" customHeight="1">
      <c r="A1050" s="1875" t="s">
        <v>618</v>
      </c>
      <c r="B1050" s="1875"/>
      <c r="C1050" s="13">
        <v>2</v>
      </c>
      <c r="D1050" s="1744" t="s">
        <v>1190</v>
      </c>
      <c r="E1050" s="1744"/>
      <c r="F1050" s="1744"/>
      <c r="G1050" s="1744"/>
      <c r="H1050" s="1744"/>
      <c r="I1050" s="1744"/>
      <c r="J1050" s="1744"/>
      <c r="K1050" s="1744"/>
      <c r="L1050" s="1744"/>
      <c r="M1050" s="1744"/>
      <c r="N1050" s="1744"/>
      <c r="O1050" s="1744"/>
      <c r="P1050" s="1744"/>
      <c r="Q1050" s="1744"/>
      <c r="R1050" s="1744"/>
      <c r="S1050" s="1744"/>
      <c r="T1050" s="1744"/>
      <c r="U1050" s="1744"/>
      <c r="V1050" s="1744"/>
      <c r="W1050" s="1744"/>
      <c r="X1050" s="1744"/>
      <c r="Y1050" s="1744"/>
      <c r="Z1050" s="1744"/>
      <c r="AA1050" s="1744"/>
      <c r="AB1050" s="1744"/>
      <c r="AC1050" s="1744"/>
      <c r="AD1050" s="1744"/>
      <c r="AE1050" s="1744"/>
      <c r="AF1050" s="1744"/>
      <c r="AG1050" s="1744"/>
      <c r="AH1050" s="1744"/>
      <c r="AI1050" s="1744"/>
      <c r="AJ1050" s="1744"/>
      <c r="AK1050" s="1744"/>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44"/>
      <c r="E1051" s="1744"/>
      <c r="F1051" s="1744"/>
      <c r="G1051" s="1744"/>
      <c r="H1051" s="1744"/>
      <c r="I1051" s="1744"/>
      <c r="J1051" s="1744"/>
      <c r="K1051" s="1744"/>
      <c r="L1051" s="1744"/>
      <c r="M1051" s="1744"/>
      <c r="N1051" s="1744"/>
      <c r="O1051" s="1744"/>
      <c r="P1051" s="1744"/>
      <c r="Q1051" s="1744"/>
      <c r="R1051" s="1744"/>
      <c r="S1051" s="1744"/>
      <c r="T1051" s="1744"/>
      <c r="U1051" s="1744"/>
      <c r="V1051" s="1744"/>
      <c r="W1051" s="1744"/>
      <c r="X1051" s="1744"/>
      <c r="Y1051" s="1744"/>
      <c r="Z1051" s="1744"/>
      <c r="AA1051" s="1744"/>
      <c r="AB1051" s="1744"/>
      <c r="AC1051" s="1744"/>
      <c r="AD1051" s="1744"/>
      <c r="AE1051" s="1744"/>
      <c r="AF1051" s="1744"/>
      <c r="AG1051" s="1744"/>
      <c r="AH1051" s="1744"/>
      <c r="AI1051" s="1744"/>
      <c r="AJ1051" s="1744"/>
      <c r="AK1051" s="1744"/>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44"/>
      <c r="E1052" s="1744"/>
      <c r="F1052" s="1744"/>
      <c r="G1052" s="1744"/>
      <c r="H1052" s="1744"/>
      <c r="I1052" s="1744"/>
      <c r="J1052" s="1744"/>
      <c r="K1052" s="1744"/>
      <c r="L1052" s="1744"/>
      <c r="M1052" s="1744"/>
      <c r="N1052" s="1744"/>
      <c r="O1052" s="1744"/>
      <c r="P1052" s="1744"/>
      <c r="Q1052" s="1744"/>
      <c r="R1052" s="1744"/>
      <c r="S1052" s="1744"/>
      <c r="T1052" s="1744"/>
      <c r="U1052" s="1744"/>
      <c r="V1052" s="1744"/>
      <c r="W1052" s="1744"/>
      <c r="X1052" s="1744"/>
      <c r="Y1052" s="1744"/>
      <c r="Z1052" s="1744"/>
      <c r="AA1052" s="1744"/>
      <c r="AB1052" s="1744"/>
      <c r="AC1052" s="1744"/>
      <c r="AD1052" s="1744"/>
      <c r="AE1052" s="1744"/>
      <c r="AF1052" s="1744"/>
      <c r="AG1052" s="1744"/>
      <c r="AH1052" s="1744"/>
      <c r="AI1052" s="1744"/>
      <c r="AJ1052" s="1744"/>
      <c r="AK1052" s="1744"/>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44"/>
      <c r="E1053" s="1744"/>
      <c r="F1053" s="1744"/>
      <c r="G1053" s="1744"/>
      <c r="H1053" s="1744"/>
      <c r="I1053" s="1744"/>
      <c r="J1053" s="1744"/>
      <c r="K1053" s="1744"/>
      <c r="L1053" s="1744"/>
      <c r="M1053" s="1744"/>
      <c r="N1053" s="1744"/>
      <c r="O1053" s="1744"/>
      <c r="P1053" s="1744"/>
      <c r="Q1053" s="1744"/>
      <c r="R1053" s="1744"/>
      <c r="S1053" s="1744"/>
      <c r="T1053" s="1744"/>
      <c r="U1053" s="1744"/>
      <c r="V1053" s="1744"/>
      <c r="W1053" s="1744"/>
      <c r="X1053" s="1744"/>
      <c r="Y1053" s="1744"/>
      <c r="Z1053" s="1744"/>
      <c r="AA1053" s="1744"/>
      <c r="AB1053" s="1744"/>
      <c r="AC1053" s="1744"/>
      <c r="AD1053" s="1744"/>
      <c r="AE1053" s="1744"/>
      <c r="AF1053" s="1744"/>
      <c r="AG1053" s="1744"/>
      <c r="AH1053" s="1744"/>
      <c r="AI1053" s="1744"/>
      <c r="AJ1053" s="1744"/>
      <c r="AK1053" s="1744"/>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44"/>
      <c r="E1054" s="1744"/>
      <c r="F1054" s="1744"/>
      <c r="G1054" s="1744"/>
      <c r="H1054" s="1744"/>
      <c r="I1054" s="1744"/>
      <c r="J1054" s="1744"/>
      <c r="K1054" s="1744"/>
      <c r="L1054" s="1744"/>
      <c r="M1054" s="1744"/>
      <c r="N1054" s="1744"/>
      <c r="O1054" s="1744"/>
      <c r="P1054" s="1744"/>
      <c r="Q1054" s="1744"/>
      <c r="R1054" s="1744"/>
      <c r="S1054" s="1744"/>
      <c r="T1054" s="1744"/>
      <c r="U1054" s="1744"/>
      <c r="V1054" s="1744"/>
      <c r="W1054" s="1744"/>
      <c r="X1054" s="1744"/>
      <c r="Y1054" s="1744"/>
      <c r="Z1054" s="1744"/>
      <c r="AA1054" s="1744"/>
      <c r="AB1054" s="1744"/>
      <c r="AC1054" s="1744"/>
      <c r="AD1054" s="1744"/>
      <c r="AE1054" s="1744"/>
      <c r="AF1054" s="1744"/>
      <c r="AG1054" s="1744"/>
      <c r="AH1054" s="1744"/>
      <c r="AI1054" s="1744"/>
      <c r="AJ1054" s="1744"/>
      <c r="AK1054" s="1744"/>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44"/>
      <c r="E1055" s="1744"/>
      <c r="F1055" s="1744"/>
      <c r="G1055" s="1744"/>
      <c r="H1055" s="1744"/>
      <c r="I1055" s="1744"/>
      <c r="J1055" s="1744"/>
      <c r="K1055" s="1744"/>
      <c r="L1055" s="1744"/>
      <c r="M1055" s="1744"/>
      <c r="N1055" s="1744"/>
      <c r="O1055" s="1744"/>
      <c r="P1055" s="1744"/>
      <c r="Q1055" s="1744"/>
      <c r="R1055" s="1744"/>
      <c r="S1055" s="1744"/>
      <c r="T1055" s="1744"/>
      <c r="U1055" s="1744"/>
      <c r="V1055" s="1744"/>
      <c r="W1055" s="1744"/>
      <c r="X1055" s="1744"/>
      <c r="Y1055" s="1744"/>
      <c r="Z1055" s="1744"/>
      <c r="AA1055" s="1744"/>
      <c r="AB1055" s="1744"/>
      <c r="AC1055" s="1744"/>
      <c r="AD1055" s="1744"/>
      <c r="AE1055" s="1744"/>
      <c r="AF1055" s="1744"/>
      <c r="AG1055" s="1744"/>
      <c r="AH1055" s="1744"/>
      <c r="AI1055" s="1744"/>
      <c r="AJ1055" s="1744"/>
      <c r="AK1055" s="1744"/>
    </row>
    <row r="1056" spans="1:51" ht="12.6" customHeight="1">
      <c r="A1056" s="1875" t="s">
        <v>618</v>
      </c>
      <c r="B1056" s="1875"/>
      <c r="C1056" s="13">
        <v>3</v>
      </c>
      <c r="D1056" s="1744" t="s">
        <v>1476</v>
      </c>
      <c r="E1056" s="1744"/>
      <c r="F1056" s="1744"/>
      <c r="G1056" s="1744"/>
      <c r="H1056" s="1744"/>
      <c r="I1056" s="1744"/>
      <c r="J1056" s="1744"/>
      <c r="K1056" s="1744"/>
      <c r="L1056" s="1744"/>
      <c r="M1056" s="1744"/>
      <c r="N1056" s="1744"/>
      <c r="O1056" s="1744"/>
      <c r="P1056" s="1744"/>
      <c r="Q1056" s="1744"/>
      <c r="R1056" s="1744"/>
      <c r="S1056" s="1744"/>
      <c r="T1056" s="1744"/>
      <c r="U1056" s="1744"/>
      <c r="V1056" s="1744"/>
      <c r="W1056" s="1744"/>
      <c r="X1056" s="1744"/>
      <c r="Y1056" s="1744"/>
      <c r="Z1056" s="1744"/>
      <c r="AA1056" s="1744"/>
      <c r="AB1056" s="1744"/>
      <c r="AC1056" s="1744"/>
      <c r="AD1056" s="1744"/>
      <c r="AE1056" s="1744"/>
      <c r="AF1056" s="1744"/>
      <c r="AG1056" s="1744"/>
      <c r="AH1056" s="1744"/>
      <c r="AI1056" s="1744"/>
      <c r="AJ1056" s="1744"/>
      <c r="AK1056" s="1744"/>
    </row>
    <row r="1057" spans="1:96" ht="12.6" customHeight="1">
      <c r="A1057" s="130"/>
      <c r="B1057" s="130"/>
      <c r="C1057" s="13"/>
      <c r="D1057" s="1744"/>
      <c r="E1057" s="1744"/>
      <c r="F1057" s="1744"/>
      <c r="G1057" s="1744"/>
      <c r="H1057" s="1744"/>
      <c r="I1057" s="1744"/>
      <c r="J1057" s="1744"/>
      <c r="K1057" s="1744"/>
      <c r="L1057" s="1744"/>
      <c r="M1057" s="1744"/>
      <c r="N1057" s="1744"/>
      <c r="O1057" s="1744"/>
      <c r="P1057" s="1744"/>
      <c r="Q1057" s="1744"/>
      <c r="R1057" s="1744"/>
      <c r="S1057" s="1744"/>
      <c r="T1057" s="1744"/>
      <c r="U1057" s="1744"/>
      <c r="V1057" s="1744"/>
      <c r="W1057" s="1744"/>
      <c r="X1057" s="1744"/>
      <c r="Y1057" s="1744"/>
      <c r="Z1057" s="1744"/>
      <c r="AA1057" s="1744"/>
      <c r="AB1057" s="1744"/>
      <c r="AC1057" s="1744"/>
      <c r="AD1057" s="1744"/>
      <c r="AE1057" s="1744"/>
      <c r="AF1057" s="1744"/>
      <c r="AG1057" s="1744"/>
      <c r="AH1057" s="1744"/>
      <c r="AI1057" s="1744"/>
      <c r="AJ1057" s="1744"/>
      <c r="AK1057" s="1744"/>
      <c r="AL1057" s="711"/>
    </row>
    <row r="1058" spans="1:96" ht="12.6" customHeight="1">
      <c r="A1058" s="130"/>
      <c r="B1058" s="130"/>
      <c r="C1058" s="13"/>
      <c r="D1058" s="1744"/>
      <c r="E1058" s="1744"/>
      <c r="F1058" s="1744"/>
      <c r="G1058" s="1744"/>
      <c r="H1058" s="1744"/>
      <c r="I1058" s="1744"/>
      <c r="J1058" s="1744"/>
      <c r="K1058" s="1744"/>
      <c r="L1058" s="1744"/>
      <c r="M1058" s="1744"/>
      <c r="N1058" s="1744"/>
      <c r="O1058" s="1744"/>
      <c r="P1058" s="1744"/>
      <c r="Q1058" s="1744"/>
      <c r="R1058" s="1744"/>
      <c r="S1058" s="1744"/>
      <c r="T1058" s="1744"/>
      <c r="U1058" s="1744"/>
      <c r="V1058" s="1744"/>
      <c r="W1058" s="1744"/>
      <c r="X1058" s="1744"/>
      <c r="Y1058" s="1744"/>
      <c r="Z1058" s="1744"/>
      <c r="AA1058" s="1744"/>
      <c r="AB1058" s="1744"/>
      <c r="AC1058" s="1744"/>
      <c r="AD1058" s="1744"/>
      <c r="AE1058" s="1744"/>
      <c r="AF1058" s="1744"/>
      <c r="AG1058" s="1744"/>
      <c r="AH1058" s="1744"/>
      <c r="AI1058" s="1744"/>
      <c r="AJ1058" s="1744"/>
      <c r="AK1058" s="1744"/>
    </row>
    <row r="1059" spans="1:96" s="711" customFormat="1" ht="12.6" customHeight="1">
      <c r="A1059" s="62"/>
      <c r="B1059" s="66"/>
      <c r="C1059" s="13"/>
      <c r="D1059" s="1744"/>
      <c r="E1059" s="1744"/>
      <c r="F1059" s="1744"/>
      <c r="G1059" s="1744"/>
      <c r="H1059" s="1744"/>
      <c r="I1059" s="1744"/>
      <c r="J1059" s="1744"/>
      <c r="K1059" s="1744"/>
      <c r="L1059" s="1744"/>
      <c r="M1059" s="1744"/>
      <c r="N1059" s="1744"/>
      <c r="O1059" s="1744"/>
      <c r="P1059" s="1744"/>
      <c r="Q1059" s="1744"/>
      <c r="R1059" s="1744"/>
      <c r="S1059" s="1744"/>
      <c r="T1059" s="1744"/>
      <c r="U1059" s="1744"/>
      <c r="V1059" s="1744"/>
      <c r="W1059" s="1744"/>
      <c r="X1059" s="1744"/>
      <c r="Y1059" s="1744"/>
      <c r="Z1059" s="1744"/>
      <c r="AA1059" s="1744"/>
      <c r="AB1059" s="1744"/>
      <c r="AC1059" s="1744"/>
      <c r="AD1059" s="1744"/>
      <c r="AE1059" s="1744"/>
      <c r="AF1059" s="1744"/>
      <c r="AG1059" s="1744"/>
      <c r="AH1059" s="1744"/>
      <c r="AI1059" s="1744"/>
      <c r="AJ1059" s="1744"/>
      <c r="AK1059" s="174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44"/>
      <c r="E1060" s="1744"/>
      <c r="F1060" s="1744"/>
      <c r="G1060" s="1744"/>
      <c r="H1060" s="1744"/>
      <c r="I1060" s="1744"/>
      <c r="J1060" s="1744"/>
      <c r="K1060" s="1744"/>
      <c r="L1060" s="1744"/>
      <c r="M1060" s="1744"/>
      <c r="N1060" s="1744"/>
      <c r="O1060" s="1744"/>
      <c r="P1060" s="1744"/>
      <c r="Q1060" s="1744"/>
      <c r="R1060" s="1744"/>
      <c r="S1060" s="1744"/>
      <c r="T1060" s="1744"/>
      <c r="U1060" s="1744"/>
      <c r="V1060" s="1744"/>
      <c r="W1060" s="1744"/>
      <c r="X1060" s="1744"/>
      <c r="Y1060" s="1744"/>
      <c r="Z1060" s="1744"/>
      <c r="AA1060" s="1744"/>
      <c r="AB1060" s="1744"/>
      <c r="AC1060" s="1744"/>
      <c r="AD1060" s="1744"/>
      <c r="AE1060" s="1744"/>
      <c r="AF1060" s="1744"/>
      <c r="AG1060" s="1744"/>
      <c r="AH1060" s="1744"/>
      <c r="AI1060" s="1744"/>
      <c r="AJ1060" s="1744"/>
      <c r="AK1060" s="1744"/>
    </row>
    <row r="1061" spans="1:96" ht="12.6" customHeight="1">
      <c r="A1061" s="62"/>
      <c r="B1061" s="66"/>
      <c r="C1061" s="13"/>
      <c r="D1061" s="1744"/>
      <c r="E1061" s="1744"/>
      <c r="F1061" s="1744"/>
      <c r="G1061" s="1744"/>
      <c r="H1061" s="1744"/>
      <c r="I1061" s="1744"/>
      <c r="J1061" s="1744"/>
      <c r="K1061" s="1744"/>
      <c r="L1061" s="1744"/>
      <c r="M1061" s="1744"/>
      <c r="N1061" s="1744"/>
      <c r="O1061" s="1744"/>
      <c r="P1061" s="1744"/>
      <c r="Q1061" s="1744"/>
      <c r="R1061" s="1744"/>
      <c r="S1061" s="1744"/>
      <c r="T1061" s="1744"/>
      <c r="U1061" s="1744"/>
      <c r="V1061" s="1744"/>
      <c r="W1061" s="1744"/>
      <c r="X1061" s="1744"/>
      <c r="Y1061" s="1744"/>
      <c r="Z1061" s="1744"/>
      <c r="AA1061" s="1744"/>
      <c r="AB1061" s="1744"/>
      <c r="AC1061" s="1744"/>
      <c r="AD1061" s="1744"/>
      <c r="AE1061" s="1744"/>
      <c r="AF1061" s="1744"/>
      <c r="AG1061" s="1744"/>
      <c r="AH1061" s="1744"/>
      <c r="AI1061" s="1744"/>
      <c r="AJ1061" s="1744"/>
      <c r="AK1061" s="1744"/>
    </row>
    <row r="1062" spans="1:96" ht="12.6" customHeight="1">
      <c r="A1062" s="62"/>
      <c r="B1062" s="66"/>
      <c r="C1062" s="13"/>
      <c r="D1062" s="1744"/>
      <c r="E1062" s="1744"/>
      <c r="F1062" s="1744"/>
      <c r="G1062" s="1744"/>
      <c r="H1062" s="1744"/>
      <c r="I1062" s="1744"/>
      <c r="J1062" s="1744"/>
      <c r="K1062" s="1744"/>
      <c r="L1062" s="1744"/>
      <c r="M1062" s="1744"/>
      <c r="N1062" s="1744"/>
      <c r="O1062" s="1744"/>
      <c r="P1062" s="1744"/>
      <c r="Q1062" s="1744"/>
      <c r="R1062" s="1744"/>
      <c r="S1062" s="1744"/>
      <c r="T1062" s="1744"/>
      <c r="U1062" s="1744"/>
      <c r="V1062" s="1744"/>
      <c r="W1062" s="1744"/>
      <c r="X1062" s="1744"/>
      <c r="Y1062" s="1744"/>
      <c r="Z1062" s="1744"/>
      <c r="AA1062" s="1744"/>
      <c r="AB1062" s="1744"/>
      <c r="AC1062" s="1744"/>
      <c r="AD1062" s="1744"/>
      <c r="AE1062" s="1744"/>
      <c r="AF1062" s="1744"/>
      <c r="AG1062" s="1744"/>
      <c r="AH1062" s="1744"/>
      <c r="AI1062" s="1744"/>
      <c r="AJ1062" s="1744"/>
      <c r="AK1062" s="1744"/>
    </row>
    <row r="1063" spans="1:96" ht="12.6" customHeight="1">
      <c r="A1063" s="1875" t="s">
        <v>618</v>
      </c>
      <c r="B1063" s="1875"/>
      <c r="C1063" s="13">
        <v>4</v>
      </c>
      <c r="D1063" s="1744" t="s">
        <v>1176</v>
      </c>
      <c r="E1063" s="1744"/>
      <c r="F1063" s="1744"/>
      <c r="G1063" s="1744"/>
      <c r="H1063" s="1744"/>
      <c r="I1063" s="1744"/>
      <c r="J1063" s="1744"/>
      <c r="K1063" s="1744"/>
      <c r="L1063" s="1744"/>
      <c r="M1063" s="1744"/>
      <c r="N1063" s="1744"/>
      <c r="O1063" s="1744"/>
      <c r="P1063" s="1744"/>
      <c r="Q1063" s="1744"/>
      <c r="R1063" s="1744"/>
      <c r="S1063" s="1744"/>
      <c r="T1063" s="1744"/>
      <c r="U1063" s="1744"/>
      <c r="V1063" s="1744"/>
      <c r="W1063" s="1744"/>
      <c r="X1063" s="1744"/>
      <c r="Y1063" s="1744"/>
      <c r="Z1063" s="1744"/>
      <c r="AA1063" s="1744"/>
      <c r="AB1063" s="1744"/>
      <c r="AC1063" s="1744"/>
      <c r="AD1063" s="1744"/>
      <c r="AE1063" s="1744"/>
      <c r="AF1063" s="1744"/>
      <c r="AG1063" s="1744"/>
      <c r="AH1063" s="1744"/>
      <c r="AI1063" s="1744"/>
      <c r="AJ1063" s="1744"/>
      <c r="AK1063" s="1744"/>
    </row>
    <row r="1064" spans="1:96" ht="12.6" customHeight="1">
      <c r="A1064" s="235"/>
      <c r="B1064" s="235"/>
      <c r="C1064" s="13"/>
      <c r="D1064" s="1744"/>
      <c r="E1064" s="1744"/>
      <c r="F1064" s="1744"/>
      <c r="G1064" s="1744"/>
      <c r="H1064" s="1744"/>
      <c r="I1064" s="1744"/>
      <c r="J1064" s="1744"/>
      <c r="K1064" s="1744"/>
      <c r="L1064" s="1744"/>
      <c r="M1064" s="1744"/>
      <c r="N1064" s="1744"/>
      <c r="O1064" s="1744"/>
      <c r="P1064" s="1744"/>
      <c r="Q1064" s="1744"/>
      <c r="R1064" s="1744"/>
      <c r="S1064" s="1744"/>
      <c r="T1064" s="1744"/>
      <c r="U1064" s="1744"/>
      <c r="V1064" s="1744"/>
      <c r="W1064" s="1744"/>
      <c r="X1064" s="1744"/>
      <c r="Y1064" s="1744"/>
      <c r="Z1064" s="1744"/>
      <c r="AA1064" s="1744"/>
      <c r="AB1064" s="1744"/>
      <c r="AC1064" s="1744"/>
      <c r="AD1064" s="1744"/>
      <c r="AE1064" s="1744"/>
      <c r="AF1064" s="1744"/>
      <c r="AG1064" s="1744"/>
      <c r="AH1064" s="1744"/>
      <c r="AI1064" s="1744"/>
      <c r="AJ1064" s="1744"/>
      <c r="AK1064" s="1744"/>
    </row>
    <row r="1065" spans="1:96" ht="12.6" customHeight="1">
      <c r="A1065" s="62"/>
      <c r="B1065" s="66"/>
      <c r="C1065" s="13"/>
      <c r="D1065" s="1744"/>
      <c r="E1065" s="1744"/>
      <c r="F1065" s="1744"/>
      <c r="G1065" s="1744"/>
      <c r="H1065" s="1744"/>
      <c r="I1065" s="1744"/>
      <c r="J1065" s="1744"/>
      <c r="K1065" s="1744"/>
      <c r="L1065" s="1744"/>
      <c r="M1065" s="1744"/>
      <c r="N1065" s="1744"/>
      <c r="O1065" s="1744"/>
      <c r="P1065" s="1744"/>
      <c r="Q1065" s="1744"/>
      <c r="R1065" s="1744"/>
      <c r="S1065" s="1744"/>
      <c r="T1065" s="1744"/>
      <c r="U1065" s="1744"/>
      <c r="V1065" s="1744"/>
      <c r="W1065" s="1744"/>
      <c r="X1065" s="1744"/>
      <c r="Y1065" s="1744"/>
      <c r="Z1065" s="1744"/>
      <c r="AA1065" s="1744"/>
      <c r="AB1065" s="1744"/>
      <c r="AC1065" s="1744"/>
      <c r="AD1065" s="1744"/>
      <c r="AE1065" s="1744"/>
      <c r="AF1065" s="1744"/>
      <c r="AG1065" s="1744"/>
      <c r="AH1065" s="1744"/>
      <c r="AI1065" s="1744"/>
      <c r="AJ1065" s="1744"/>
      <c r="AK1065" s="1744"/>
    </row>
    <row r="1066" spans="1:96" s="674" customFormat="1" ht="12.6" customHeight="1">
      <c r="A1066" s="1875" t="s">
        <v>618</v>
      </c>
      <c r="B1066" s="1875"/>
      <c r="C1066" s="13">
        <v>5</v>
      </c>
      <c r="D1066" s="1744" t="s">
        <v>1375</v>
      </c>
      <c r="E1066" s="1744"/>
      <c r="F1066" s="1744"/>
      <c r="G1066" s="1744"/>
      <c r="H1066" s="1744"/>
      <c r="I1066" s="1744"/>
      <c r="J1066" s="1744"/>
      <c r="K1066" s="1744"/>
      <c r="L1066" s="1744"/>
      <c r="M1066" s="1744"/>
      <c r="N1066" s="1744"/>
      <c r="O1066" s="1744"/>
      <c r="P1066" s="1744"/>
      <c r="Q1066" s="1744"/>
      <c r="R1066" s="1744"/>
      <c r="S1066" s="1744"/>
      <c r="T1066" s="1744"/>
      <c r="U1066" s="1744"/>
      <c r="V1066" s="1744"/>
      <c r="W1066" s="1744"/>
      <c r="X1066" s="1744"/>
      <c r="Y1066" s="1744"/>
      <c r="Z1066" s="1744"/>
      <c r="AA1066" s="1744"/>
      <c r="AB1066" s="1744"/>
      <c r="AC1066" s="1744"/>
      <c r="AD1066" s="1744"/>
      <c r="AE1066" s="1744"/>
      <c r="AF1066" s="1744"/>
      <c r="AG1066" s="1744"/>
      <c r="AH1066" s="1744"/>
      <c r="AI1066" s="1744"/>
      <c r="AJ1066" s="1744"/>
      <c r="AK1066" s="174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44"/>
      <c r="E1067" s="1744"/>
      <c r="F1067" s="1744"/>
      <c r="G1067" s="1744"/>
      <c r="H1067" s="1744"/>
      <c r="I1067" s="1744"/>
      <c r="J1067" s="1744"/>
      <c r="K1067" s="1744"/>
      <c r="L1067" s="1744"/>
      <c r="M1067" s="1744"/>
      <c r="N1067" s="1744"/>
      <c r="O1067" s="1744"/>
      <c r="P1067" s="1744"/>
      <c r="Q1067" s="1744"/>
      <c r="R1067" s="1744"/>
      <c r="S1067" s="1744"/>
      <c r="T1067" s="1744"/>
      <c r="U1067" s="1744"/>
      <c r="V1067" s="1744"/>
      <c r="W1067" s="1744"/>
      <c r="X1067" s="1744"/>
      <c r="Y1067" s="1744"/>
      <c r="Z1067" s="1744"/>
      <c r="AA1067" s="1744"/>
      <c r="AB1067" s="1744"/>
      <c r="AC1067" s="1744"/>
      <c r="AD1067" s="1744"/>
      <c r="AE1067" s="1744"/>
      <c r="AF1067" s="1744"/>
      <c r="AG1067" s="1744"/>
      <c r="AH1067" s="1744"/>
      <c r="AI1067" s="1744"/>
      <c r="AJ1067" s="1744"/>
      <c r="AK1067" s="1744"/>
    </row>
    <row r="1068" spans="1:96" ht="12.6" customHeight="1">
      <c r="A1068" s="235"/>
      <c r="B1068" s="235"/>
      <c r="C1068" s="13"/>
      <c r="D1068" s="1744"/>
      <c r="E1068" s="1744"/>
      <c r="F1068" s="1744"/>
      <c r="G1068" s="1744"/>
      <c r="H1068" s="1744"/>
      <c r="I1068" s="1744"/>
      <c r="J1068" s="1744"/>
      <c r="K1068" s="1744"/>
      <c r="L1068" s="1744"/>
      <c r="M1068" s="1744"/>
      <c r="N1068" s="1744"/>
      <c r="O1068" s="1744"/>
      <c r="P1068" s="1744"/>
      <c r="Q1068" s="1744"/>
      <c r="R1068" s="1744"/>
      <c r="S1068" s="1744"/>
      <c r="T1068" s="1744"/>
      <c r="U1068" s="1744"/>
      <c r="V1068" s="1744"/>
      <c r="W1068" s="1744"/>
      <c r="X1068" s="1744"/>
      <c r="Y1068" s="1744"/>
      <c r="Z1068" s="1744"/>
      <c r="AA1068" s="1744"/>
      <c r="AB1068" s="1744"/>
      <c r="AC1068" s="1744"/>
      <c r="AD1068" s="1744"/>
      <c r="AE1068" s="1744"/>
      <c r="AF1068" s="1744"/>
      <c r="AG1068" s="1744"/>
      <c r="AH1068" s="1744"/>
      <c r="AI1068" s="1744"/>
      <c r="AJ1068" s="1744"/>
      <c r="AK1068" s="1744"/>
    </row>
    <row r="1069" spans="1:96" ht="12.6" customHeight="1">
      <c r="A1069" s="235"/>
      <c r="B1069" s="235"/>
      <c r="C1069" s="13"/>
      <c r="D1069" s="1744"/>
      <c r="E1069" s="1744"/>
      <c r="F1069" s="1744"/>
      <c r="G1069" s="1744"/>
      <c r="H1069" s="1744"/>
      <c r="I1069" s="1744"/>
      <c r="J1069" s="1744"/>
      <c r="K1069" s="1744"/>
      <c r="L1069" s="1744"/>
      <c r="M1069" s="1744"/>
      <c r="N1069" s="1744"/>
      <c r="O1069" s="1744"/>
      <c r="P1069" s="1744"/>
      <c r="Q1069" s="1744"/>
      <c r="R1069" s="1744"/>
      <c r="S1069" s="1744"/>
      <c r="T1069" s="1744"/>
      <c r="U1069" s="1744"/>
      <c r="V1069" s="1744"/>
      <c r="W1069" s="1744"/>
      <c r="X1069" s="1744"/>
      <c r="Y1069" s="1744"/>
      <c r="Z1069" s="1744"/>
      <c r="AA1069" s="1744"/>
      <c r="AB1069" s="1744"/>
      <c r="AC1069" s="1744"/>
      <c r="AD1069" s="1744"/>
      <c r="AE1069" s="1744"/>
      <c r="AF1069" s="1744"/>
      <c r="AG1069" s="1744"/>
      <c r="AH1069" s="1744"/>
      <c r="AI1069" s="1744"/>
      <c r="AJ1069" s="1744"/>
      <c r="AK1069" s="1744"/>
      <c r="AL1069" s="674"/>
    </row>
    <row r="1070" spans="1:96" ht="12.6" customHeight="1">
      <c r="A1070" s="62"/>
      <c r="B1070" s="66"/>
      <c r="C1070" s="13"/>
      <c r="D1070" s="1744"/>
      <c r="E1070" s="1744"/>
      <c r="F1070" s="1744"/>
      <c r="G1070" s="1744"/>
      <c r="H1070" s="1744"/>
      <c r="I1070" s="1744"/>
      <c r="J1070" s="1744"/>
      <c r="K1070" s="1744"/>
      <c r="L1070" s="1744"/>
      <c r="M1070" s="1744"/>
      <c r="N1070" s="1744"/>
      <c r="O1070" s="1744"/>
      <c r="P1070" s="1744"/>
      <c r="Q1070" s="1744"/>
      <c r="R1070" s="1744"/>
      <c r="S1070" s="1744"/>
      <c r="T1070" s="1744"/>
      <c r="U1070" s="1744"/>
      <c r="V1070" s="1744"/>
      <c r="W1070" s="1744"/>
      <c r="X1070" s="1744"/>
      <c r="Y1070" s="1744"/>
      <c r="Z1070" s="1744"/>
      <c r="AA1070" s="1744"/>
      <c r="AB1070" s="1744"/>
      <c r="AC1070" s="1744"/>
      <c r="AD1070" s="1744"/>
      <c r="AE1070" s="1744"/>
      <c r="AF1070" s="1744"/>
      <c r="AG1070" s="1744"/>
      <c r="AH1070" s="1744"/>
      <c r="AI1070" s="1744"/>
      <c r="AJ1070" s="1744"/>
      <c r="AK1070" s="1744"/>
    </row>
    <row r="1071" spans="1:96" ht="12.6" customHeight="1">
      <c r="A1071" s="1875" t="s">
        <v>618</v>
      </c>
      <c r="B1071" s="1875"/>
      <c r="C1071" s="13">
        <v>6</v>
      </c>
      <c r="D1071" s="1744" t="s">
        <v>1177</v>
      </c>
      <c r="E1071" s="1744"/>
      <c r="F1071" s="1744"/>
      <c r="G1071" s="1744"/>
      <c r="H1071" s="1744"/>
      <c r="I1071" s="1744"/>
      <c r="J1071" s="1744"/>
      <c r="K1071" s="1744"/>
      <c r="L1071" s="1744"/>
      <c r="M1071" s="1744"/>
      <c r="N1071" s="1744"/>
      <c r="O1071" s="1744"/>
      <c r="P1071" s="1744"/>
      <c r="Q1071" s="1744"/>
      <c r="R1071" s="1744"/>
      <c r="S1071" s="1744"/>
      <c r="T1071" s="1744"/>
      <c r="U1071" s="1744"/>
      <c r="V1071" s="1744"/>
      <c r="W1071" s="1744"/>
      <c r="X1071" s="1744"/>
      <c r="Y1071" s="1744"/>
      <c r="Z1071" s="1744"/>
      <c r="AA1071" s="1744"/>
      <c r="AB1071" s="1744"/>
      <c r="AC1071" s="1744"/>
      <c r="AD1071" s="1744"/>
      <c r="AE1071" s="1744"/>
      <c r="AF1071" s="1744"/>
      <c r="AG1071" s="1744"/>
      <c r="AH1071" s="1744"/>
      <c r="AI1071" s="1744"/>
      <c r="AJ1071" s="1744"/>
      <c r="AK1071" s="1744"/>
    </row>
    <row r="1072" spans="1:96" ht="12.6" customHeight="1">
      <c r="A1072" s="62"/>
      <c r="B1072" s="317"/>
      <c r="C1072" s="13"/>
      <c r="D1072" s="1744"/>
      <c r="E1072" s="1744"/>
      <c r="F1072" s="1744"/>
      <c r="G1072" s="1744"/>
      <c r="H1072" s="1744"/>
      <c r="I1072" s="1744"/>
      <c r="J1072" s="1744"/>
      <c r="K1072" s="1744"/>
      <c r="L1072" s="1744"/>
      <c r="M1072" s="1744"/>
      <c r="N1072" s="1744"/>
      <c r="O1072" s="1744"/>
      <c r="P1072" s="1744"/>
      <c r="Q1072" s="1744"/>
      <c r="R1072" s="1744"/>
      <c r="S1072" s="1744"/>
      <c r="T1072" s="1744"/>
      <c r="U1072" s="1744"/>
      <c r="V1072" s="1744"/>
      <c r="W1072" s="1744"/>
      <c r="X1072" s="1744"/>
      <c r="Y1072" s="1744"/>
      <c r="Z1072" s="1744"/>
      <c r="AA1072" s="1744"/>
      <c r="AB1072" s="1744"/>
      <c r="AC1072" s="1744"/>
      <c r="AD1072" s="1744"/>
      <c r="AE1072" s="1744"/>
      <c r="AF1072" s="1744"/>
      <c r="AG1072" s="1744"/>
      <c r="AH1072" s="1744"/>
      <c r="AI1072" s="1744"/>
      <c r="AJ1072" s="1744"/>
      <c r="AK1072" s="1744"/>
    </row>
    <row r="1073" spans="1:96" ht="12.6" customHeight="1">
      <c r="A1073" s="62"/>
      <c r="B1073" s="66"/>
      <c r="C1073" s="13"/>
      <c r="D1073" s="1744"/>
      <c r="E1073" s="1744"/>
      <c r="F1073" s="1744"/>
      <c r="G1073" s="1744"/>
      <c r="H1073" s="1744"/>
      <c r="I1073" s="1744"/>
      <c r="J1073" s="1744"/>
      <c r="K1073" s="1744"/>
      <c r="L1073" s="1744"/>
      <c r="M1073" s="1744"/>
      <c r="N1073" s="1744"/>
      <c r="O1073" s="1744"/>
      <c r="P1073" s="1744"/>
      <c r="Q1073" s="1744"/>
      <c r="R1073" s="1744"/>
      <c r="S1073" s="1744"/>
      <c r="T1073" s="1744"/>
      <c r="U1073" s="1744"/>
      <c r="V1073" s="1744"/>
      <c r="W1073" s="1744"/>
      <c r="X1073" s="1744"/>
      <c r="Y1073" s="1744"/>
      <c r="Z1073" s="1744"/>
      <c r="AA1073" s="1744"/>
      <c r="AB1073" s="1744"/>
      <c r="AC1073" s="1744"/>
      <c r="AD1073" s="1744"/>
      <c r="AE1073" s="1744"/>
      <c r="AF1073" s="1744"/>
      <c r="AG1073" s="1744"/>
      <c r="AH1073" s="1744"/>
      <c r="AI1073" s="1744"/>
      <c r="AJ1073" s="1744"/>
      <c r="AK1073" s="1744"/>
    </row>
    <row r="1074" spans="1:96" ht="12.6" customHeight="1">
      <c r="A1074" s="1875" t="s">
        <v>618</v>
      </c>
      <c r="B1074" s="1875"/>
      <c r="C1074" s="318">
        <v>7</v>
      </c>
      <c r="D1074" s="1744" t="s">
        <v>1179</v>
      </c>
      <c r="E1074" s="1744"/>
      <c r="F1074" s="1744"/>
      <c r="G1074" s="1744"/>
      <c r="H1074" s="1744"/>
      <c r="I1074" s="1744"/>
      <c r="J1074" s="1744"/>
      <c r="K1074" s="1744"/>
      <c r="L1074" s="1744"/>
      <c r="M1074" s="1744"/>
      <c r="N1074" s="1744"/>
      <c r="O1074" s="1744"/>
      <c r="P1074" s="1744"/>
      <c r="Q1074" s="1744"/>
      <c r="R1074" s="1744"/>
      <c r="S1074" s="1744"/>
      <c r="T1074" s="1744"/>
      <c r="U1074" s="1744"/>
      <c r="V1074" s="1744"/>
      <c r="W1074" s="1744"/>
      <c r="X1074" s="1744"/>
      <c r="Y1074" s="1744"/>
      <c r="Z1074" s="1744"/>
      <c r="AA1074" s="1744"/>
      <c r="AB1074" s="1744"/>
      <c r="AC1074" s="1744"/>
      <c r="AD1074" s="1744"/>
      <c r="AE1074" s="1744"/>
      <c r="AF1074" s="1744"/>
      <c r="AG1074" s="1744"/>
      <c r="AH1074" s="1744"/>
      <c r="AI1074" s="1744"/>
      <c r="AJ1074" s="1744"/>
      <c r="AK1074" s="1744"/>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44"/>
      <c r="E1075" s="1744"/>
      <c r="F1075" s="1744"/>
      <c r="G1075" s="1744"/>
      <c r="H1075" s="1744"/>
      <c r="I1075" s="1744"/>
      <c r="J1075" s="1744"/>
      <c r="K1075" s="1744"/>
      <c r="L1075" s="1744"/>
      <c r="M1075" s="1744"/>
      <c r="N1075" s="1744"/>
      <c r="O1075" s="1744"/>
      <c r="P1075" s="1744"/>
      <c r="Q1075" s="1744"/>
      <c r="R1075" s="1744"/>
      <c r="S1075" s="1744"/>
      <c r="T1075" s="1744"/>
      <c r="U1075" s="1744"/>
      <c r="V1075" s="1744"/>
      <c r="W1075" s="1744"/>
      <c r="X1075" s="1744"/>
      <c r="Y1075" s="1744"/>
      <c r="Z1075" s="1744"/>
      <c r="AA1075" s="1744"/>
      <c r="AB1075" s="1744"/>
      <c r="AC1075" s="1744"/>
      <c r="AD1075" s="1744"/>
      <c r="AE1075" s="1744"/>
      <c r="AF1075" s="1744"/>
      <c r="AG1075" s="1744"/>
      <c r="AH1075" s="1744"/>
      <c r="AI1075" s="1744"/>
      <c r="AJ1075" s="1744"/>
      <c r="AK1075" s="1744"/>
    </row>
    <row r="1076" spans="1:96" ht="12.6" customHeight="1">
      <c r="A1076" s="235"/>
      <c r="B1076" s="235"/>
      <c r="C1076" s="319"/>
      <c r="D1076" s="1744"/>
      <c r="E1076" s="1744"/>
      <c r="F1076" s="1744"/>
      <c r="G1076" s="1744"/>
      <c r="H1076" s="1744"/>
      <c r="I1076" s="1744"/>
      <c r="J1076" s="1744"/>
      <c r="K1076" s="1744"/>
      <c r="L1076" s="1744"/>
      <c r="M1076" s="1744"/>
      <c r="N1076" s="1744"/>
      <c r="O1076" s="1744"/>
      <c r="P1076" s="1744"/>
      <c r="Q1076" s="1744"/>
      <c r="R1076" s="1744"/>
      <c r="S1076" s="1744"/>
      <c r="T1076" s="1744"/>
      <c r="U1076" s="1744"/>
      <c r="V1076" s="1744"/>
      <c r="W1076" s="1744"/>
      <c r="X1076" s="1744"/>
      <c r="Y1076" s="1744"/>
      <c r="Z1076" s="1744"/>
      <c r="AA1076" s="1744"/>
      <c r="AB1076" s="1744"/>
      <c r="AC1076" s="1744"/>
      <c r="AD1076" s="1744"/>
      <c r="AE1076" s="1744"/>
      <c r="AF1076" s="1744"/>
      <c r="AG1076" s="1744"/>
      <c r="AH1076" s="1744"/>
      <c r="AI1076" s="1744"/>
      <c r="AJ1076" s="1744"/>
      <c r="AK1076" s="1744"/>
    </row>
    <row r="1077" spans="1:96" s="674" customFormat="1" ht="12.6" customHeight="1">
      <c r="A1077" s="62"/>
      <c r="B1077" s="66"/>
      <c r="C1077" s="318"/>
      <c r="D1077" s="1744"/>
      <c r="E1077" s="1744"/>
      <c r="F1077" s="1744"/>
      <c r="G1077" s="1744"/>
      <c r="H1077" s="1744"/>
      <c r="I1077" s="1744"/>
      <c r="J1077" s="1744"/>
      <c r="K1077" s="1744"/>
      <c r="L1077" s="1744"/>
      <c r="M1077" s="1744"/>
      <c r="N1077" s="1744"/>
      <c r="O1077" s="1744"/>
      <c r="P1077" s="1744"/>
      <c r="Q1077" s="1744"/>
      <c r="R1077" s="1744"/>
      <c r="S1077" s="1744"/>
      <c r="T1077" s="1744"/>
      <c r="U1077" s="1744"/>
      <c r="V1077" s="1744"/>
      <c r="W1077" s="1744"/>
      <c r="X1077" s="1744"/>
      <c r="Y1077" s="1744"/>
      <c r="Z1077" s="1744"/>
      <c r="AA1077" s="1744"/>
      <c r="AB1077" s="1744"/>
      <c r="AC1077" s="1744"/>
      <c r="AD1077" s="1744"/>
      <c r="AE1077" s="1744"/>
      <c r="AF1077" s="1744"/>
      <c r="AG1077" s="1744"/>
      <c r="AH1077" s="1744"/>
      <c r="AI1077" s="1744"/>
      <c r="AJ1077" s="1744"/>
      <c r="AK1077" s="1744"/>
      <c r="AL1077" s="12"/>
      <c r="AM1077" s="39"/>
      <c r="AN1077" s="39"/>
      <c r="AO1077" s="39"/>
      <c r="AP1077" s="39"/>
      <c r="AQ1077" s="39"/>
      <c r="AR1077" s="39"/>
      <c r="AS1077" s="39"/>
      <c r="AT1077" s="39"/>
      <c r="AU1077" s="39"/>
      <c r="AV1077" s="39"/>
      <c r="AW1077" s="39"/>
      <c r="AX1077" s="39"/>
      <c r="AY1077" s="39"/>
      <c r="CR1077" s="25"/>
    </row>
    <row r="1078" spans="1:96" ht="12.6" customHeight="1">
      <c r="A1078" s="1875" t="s">
        <v>618</v>
      </c>
      <c r="B1078" s="1875"/>
      <c r="C1078" s="318">
        <v>8</v>
      </c>
      <c r="D1078" s="2187" t="s">
        <v>2000</v>
      </c>
      <c r="E1078" s="2187"/>
      <c r="F1078" s="2187"/>
      <c r="G1078" s="2187"/>
      <c r="H1078" s="2187"/>
      <c r="I1078" s="2187"/>
      <c r="J1078" s="2187"/>
      <c r="K1078" s="2187"/>
      <c r="L1078" s="2187"/>
      <c r="M1078" s="2187"/>
      <c r="N1078" s="2187"/>
      <c r="O1078" s="2187"/>
      <c r="P1078" s="2187"/>
      <c r="Q1078" s="2187"/>
      <c r="R1078" s="2187"/>
      <c r="S1078" s="2187"/>
      <c r="T1078" s="2187"/>
      <c r="U1078" s="2187"/>
      <c r="V1078" s="2187"/>
      <c r="W1078" s="2187"/>
      <c r="X1078" s="2187"/>
      <c r="Y1078" s="2187"/>
      <c r="Z1078" s="2187"/>
      <c r="AA1078" s="2187"/>
      <c r="AB1078" s="2187"/>
      <c r="AC1078" s="2187"/>
      <c r="AD1078" s="2187"/>
      <c r="AE1078" s="2187"/>
      <c r="AF1078" s="2187"/>
      <c r="AG1078" s="2187"/>
      <c r="AH1078" s="2187"/>
      <c r="AI1078" s="2187"/>
      <c r="AJ1078" s="2187"/>
      <c r="AK1078" s="2187"/>
    </row>
    <row r="1079" spans="1:96" ht="12.6" customHeight="1">
      <c r="A1079" s="235"/>
      <c r="B1079" s="235"/>
      <c r="C1079" s="318"/>
      <c r="D1079" s="2187"/>
      <c r="E1079" s="2187"/>
      <c r="F1079" s="2187"/>
      <c r="G1079" s="2187"/>
      <c r="H1079" s="2187"/>
      <c r="I1079" s="2187"/>
      <c r="J1079" s="2187"/>
      <c r="K1079" s="2187"/>
      <c r="L1079" s="2187"/>
      <c r="M1079" s="2187"/>
      <c r="N1079" s="2187"/>
      <c r="O1079" s="2187"/>
      <c r="P1079" s="2187"/>
      <c r="Q1079" s="2187"/>
      <c r="R1079" s="2187"/>
      <c r="S1079" s="2187"/>
      <c r="T1079" s="2187"/>
      <c r="U1079" s="2187"/>
      <c r="V1079" s="2187"/>
      <c r="W1079" s="2187"/>
      <c r="X1079" s="2187"/>
      <c r="Y1079" s="2187"/>
      <c r="Z1079" s="2187"/>
      <c r="AA1079" s="2187"/>
      <c r="AB1079" s="2187"/>
      <c r="AC1079" s="2187"/>
      <c r="AD1079" s="2187"/>
      <c r="AE1079" s="2187"/>
      <c r="AF1079" s="2187"/>
      <c r="AG1079" s="2187"/>
      <c r="AH1079" s="2187"/>
      <c r="AI1079" s="2187"/>
      <c r="AJ1079" s="2187"/>
      <c r="AK1079" s="2187"/>
    </row>
    <row r="1080" spans="1:96" ht="12.6" customHeight="1">
      <c r="A1080" s="235"/>
      <c r="B1080" s="235"/>
      <c r="C1080" s="318"/>
      <c r="D1080" s="2187"/>
      <c r="E1080" s="2187"/>
      <c r="F1080" s="2187"/>
      <c r="G1080" s="2187"/>
      <c r="H1080" s="2187"/>
      <c r="I1080" s="2187"/>
      <c r="J1080" s="2187"/>
      <c r="K1080" s="2187"/>
      <c r="L1080" s="2187"/>
      <c r="M1080" s="2187"/>
      <c r="N1080" s="2187"/>
      <c r="O1080" s="2187"/>
      <c r="P1080" s="2187"/>
      <c r="Q1080" s="2187"/>
      <c r="R1080" s="2187"/>
      <c r="S1080" s="2187"/>
      <c r="T1080" s="2187"/>
      <c r="U1080" s="2187"/>
      <c r="V1080" s="2187"/>
      <c r="W1080" s="2187"/>
      <c r="X1080" s="2187"/>
      <c r="Y1080" s="2187"/>
      <c r="Z1080" s="2187"/>
      <c r="AA1080" s="2187"/>
      <c r="AB1080" s="2187"/>
      <c r="AC1080" s="2187"/>
      <c r="AD1080" s="2187"/>
      <c r="AE1080" s="2187"/>
      <c r="AF1080" s="2187"/>
      <c r="AG1080" s="2187"/>
      <c r="AH1080" s="2187"/>
      <c r="AI1080" s="2187"/>
      <c r="AJ1080" s="2187"/>
      <c r="AK1080" s="2187"/>
      <c r="AL1080" s="674"/>
    </row>
    <row r="1081" spans="1:96" ht="12" customHeight="1">
      <c r="A1081" s="62"/>
      <c r="B1081" s="66"/>
      <c r="C1081" s="318"/>
      <c r="D1081" s="2187"/>
      <c r="E1081" s="2187"/>
      <c r="F1081" s="2187"/>
      <c r="G1081" s="2187"/>
      <c r="H1081" s="2187"/>
      <c r="I1081" s="2187"/>
      <c r="J1081" s="2187"/>
      <c r="K1081" s="2187"/>
      <c r="L1081" s="2187"/>
      <c r="M1081" s="2187"/>
      <c r="N1081" s="2187"/>
      <c r="O1081" s="2187"/>
      <c r="P1081" s="2187"/>
      <c r="Q1081" s="2187"/>
      <c r="R1081" s="2187"/>
      <c r="S1081" s="2187"/>
      <c r="T1081" s="2187"/>
      <c r="U1081" s="2187"/>
      <c r="V1081" s="2187"/>
      <c r="W1081" s="2187"/>
      <c r="X1081" s="2187"/>
      <c r="Y1081" s="2187"/>
      <c r="Z1081" s="2187"/>
      <c r="AA1081" s="2187"/>
      <c r="AB1081" s="2187"/>
      <c r="AC1081" s="2187"/>
      <c r="AD1081" s="2187"/>
      <c r="AE1081" s="2187"/>
      <c r="AF1081" s="2187"/>
      <c r="AG1081" s="2187"/>
      <c r="AH1081" s="2187"/>
      <c r="AI1081" s="2187"/>
      <c r="AJ1081" s="2187"/>
      <c r="AK1081" s="2187"/>
    </row>
    <row r="1082" spans="1:96" ht="12.6" customHeight="1">
      <c r="A1082" s="1875" t="s">
        <v>618</v>
      </c>
      <c r="B1082" s="1875"/>
      <c r="C1082" s="318">
        <v>9</v>
      </c>
      <c r="D1082" s="1744" t="s">
        <v>1178</v>
      </c>
      <c r="E1082" s="1744"/>
      <c r="F1082" s="1744"/>
      <c r="G1082" s="1744"/>
      <c r="H1082" s="1744"/>
      <c r="I1082" s="1744"/>
      <c r="J1082" s="1744"/>
      <c r="K1082" s="1744"/>
      <c r="L1082" s="1744"/>
      <c r="M1082" s="1744"/>
      <c r="N1082" s="1744"/>
      <c r="O1082" s="1744"/>
      <c r="P1082" s="1744"/>
      <c r="Q1082" s="1744"/>
      <c r="R1082" s="1744"/>
      <c r="S1082" s="1744"/>
      <c r="T1082" s="1744"/>
      <c r="U1082" s="1744"/>
      <c r="V1082" s="1744"/>
      <c r="W1082" s="1744"/>
      <c r="X1082" s="1744"/>
      <c r="Y1082" s="1744"/>
      <c r="Z1082" s="1744"/>
      <c r="AA1082" s="1744"/>
      <c r="AB1082" s="1744"/>
      <c r="AC1082" s="1744"/>
      <c r="AD1082" s="1744"/>
      <c r="AE1082" s="1744"/>
      <c r="AF1082" s="1744"/>
      <c r="AG1082" s="1744"/>
      <c r="AH1082" s="1744"/>
      <c r="AI1082" s="1744"/>
      <c r="AJ1082" s="1744"/>
      <c r="AK1082" s="1744"/>
    </row>
    <row r="1083" spans="1:96" ht="15" customHeight="1">
      <c r="A1083" s="62"/>
      <c r="B1083" s="66"/>
      <c r="C1083" s="318"/>
      <c r="D1083" s="1744"/>
      <c r="E1083" s="1744"/>
      <c r="F1083" s="1744"/>
      <c r="G1083" s="1744"/>
      <c r="H1083" s="1744"/>
      <c r="I1083" s="1744"/>
      <c r="J1083" s="1744"/>
      <c r="K1083" s="1744"/>
      <c r="L1083" s="1744"/>
      <c r="M1083" s="1744"/>
      <c r="N1083" s="1744"/>
      <c r="O1083" s="1744"/>
      <c r="P1083" s="1744"/>
      <c r="Q1083" s="1744"/>
      <c r="R1083" s="1744"/>
      <c r="S1083" s="1744"/>
      <c r="T1083" s="1744"/>
      <c r="U1083" s="1744"/>
      <c r="V1083" s="1744"/>
      <c r="W1083" s="1744"/>
      <c r="X1083" s="1744"/>
      <c r="Y1083" s="1744"/>
      <c r="Z1083" s="1744"/>
      <c r="AA1083" s="1744"/>
      <c r="AB1083" s="1744"/>
      <c r="AC1083" s="1744"/>
      <c r="AD1083" s="1744"/>
      <c r="AE1083" s="1744"/>
      <c r="AF1083" s="1744"/>
      <c r="AG1083" s="1744"/>
      <c r="AH1083" s="1744"/>
      <c r="AI1083" s="1744"/>
      <c r="AJ1083" s="1744"/>
      <c r="AK1083" s="1744"/>
    </row>
    <row r="1084" spans="1:96" ht="15" customHeight="1">
      <c r="D1084" s="1744"/>
      <c r="E1084" s="1744"/>
      <c r="F1084" s="1744"/>
      <c r="G1084" s="1744"/>
      <c r="H1084" s="1744"/>
      <c r="I1084" s="1744"/>
      <c r="J1084" s="1744"/>
      <c r="K1084" s="1744"/>
      <c r="L1084" s="1744"/>
      <c r="M1084" s="1744"/>
      <c r="N1084" s="1744"/>
      <c r="O1084" s="1744"/>
      <c r="P1084" s="1744"/>
      <c r="Q1084" s="1744"/>
      <c r="R1084" s="1744"/>
      <c r="S1084" s="1744"/>
      <c r="T1084" s="1744"/>
      <c r="U1084" s="1744"/>
      <c r="V1084" s="1744"/>
      <c r="W1084" s="1744"/>
      <c r="X1084" s="1744"/>
      <c r="Y1084" s="1744"/>
      <c r="Z1084" s="1744"/>
      <c r="AA1084" s="1744"/>
      <c r="AB1084" s="1744"/>
      <c r="AC1084" s="1744"/>
      <c r="AD1084" s="1744"/>
      <c r="AE1084" s="1744"/>
      <c r="AF1084" s="1744"/>
      <c r="AG1084" s="1744"/>
      <c r="AH1084" s="1744"/>
      <c r="AI1084" s="1744"/>
      <c r="AJ1084" s="1744"/>
      <c r="AK1084" s="1744"/>
    </row>
    <row r="1085" spans="1:96" ht="15" customHeight="1"/>
    <row r="1086" spans="1:96" ht="15" hidden="1" customHeight="1"/>
    <row r="1087" spans="1:96" ht="15" hidden="1" customHeight="1"/>
  </sheetData>
  <sheetProtection algorithmName="SHA-512" hashValue="MrJ/ZueR1nRtMVfNmea4o3ErSBKkbRMTfp8VcbsrNvxirLxAHEOJAcc077tXU0PaNuA/TQkrskDR+aHkCIKJFA==" saltValue="tm+FHJQALdKWWevLZbC4H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W466:Y466"/>
    <mergeCell ref="AD491:AH491"/>
    <mergeCell ref="AG447:AJ447"/>
    <mergeCell ref="Z597:AK597"/>
    <mergeCell ref="C569:P569"/>
    <mergeCell ref="C570:P570"/>
    <mergeCell ref="D448:AF448"/>
    <mergeCell ref="Z596:AK596"/>
    <mergeCell ref="AH550:AK550"/>
    <mergeCell ref="O547:AA547"/>
    <mergeCell ref="AH548:AK548"/>
    <mergeCell ref="AH535:AK535"/>
    <mergeCell ref="AC534:AF534"/>
    <mergeCell ref="T569:V569"/>
    <mergeCell ref="AD495:AH495"/>
    <mergeCell ref="W470:Y470"/>
    <mergeCell ref="W465:Y465"/>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87:R587"/>
    <mergeCell ref="G604:R604"/>
    <mergeCell ref="J386:U386"/>
    <mergeCell ref="S376:T376"/>
    <mergeCell ref="K402:AJ402"/>
    <mergeCell ref="AD489:AH48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J387:U387"/>
    <mergeCell ref="AG394:AJ394"/>
    <mergeCell ref="AI569:AL569"/>
    <mergeCell ref="T565:V565"/>
    <mergeCell ref="T566:V566"/>
    <mergeCell ref="AE564:AH564"/>
    <mergeCell ref="L520:AB520"/>
    <mergeCell ref="C566:P566"/>
    <mergeCell ref="Z566:AD566"/>
    <mergeCell ref="AI565:AL565"/>
    <mergeCell ref="Y486:AC486"/>
    <mergeCell ref="T487:X487"/>
    <mergeCell ref="Y488:AC488"/>
    <mergeCell ref="G598:R598"/>
    <mergeCell ref="AI566:AL566"/>
    <mergeCell ref="W568:Y568"/>
    <mergeCell ref="Q567:S567"/>
    <mergeCell ref="Q568:S568"/>
    <mergeCell ref="AE573:AH573"/>
    <mergeCell ref="W574:Y574"/>
    <mergeCell ref="AD488:AH488"/>
    <mergeCell ref="Z578:AK578"/>
    <mergeCell ref="Z580:AK580"/>
    <mergeCell ref="T573:V573"/>
    <mergeCell ref="Z571:AD571"/>
    <mergeCell ref="O532:AA532"/>
    <mergeCell ref="AI567:AL567"/>
    <mergeCell ref="AH527:AK527"/>
    <mergeCell ref="AC540:AF540"/>
    <mergeCell ref="O541:AA541"/>
    <mergeCell ref="Q500:AK500"/>
    <mergeCell ref="Q505:AK505"/>
    <mergeCell ref="AD494:AH494"/>
    <mergeCell ref="AC514:AF514"/>
    <mergeCell ref="T483:AH483"/>
    <mergeCell ref="W471:Y471"/>
    <mergeCell ref="D468:V468"/>
    <mergeCell ref="T488:X488"/>
    <mergeCell ref="AD490:AH490"/>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Q498:AK498"/>
    <mergeCell ref="Q497:AK497"/>
    <mergeCell ref="AC525:AF525"/>
    <mergeCell ref="AH525:AK525"/>
    <mergeCell ref="AC528:AF528"/>
    <mergeCell ref="AH528:AK528"/>
    <mergeCell ref="AC537:AF537"/>
    <mergeCell ref="T492:X492"/>
    <mergeCell ref="T495:X495"/>
    <mergeCell ref="Q499:AK499"/>
    <mergeCell ref="T494:X494"/>
    <mergeCell ref="Y495:AC495"/>
    <mergeCell ref="AC511:AK511"/>
    <mergeCell ref="B501:P502"/>
    <mergeCell ref="Q501:R502"/>
    <mergeCell ref="Z605:AK605"/>
    <mergeCell ref="Z591:AE591"/>
    <mergeCell ref="X789:AB789"/>
    <mergeCell ref="X790:AB790"/>
    <mergeCell ref="AE571:AH571"/>
    <mergeCell ref="AH544:AK544"/>
    <mergeCell ref="T570:V570"/>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X788:AB788"/>
    <mergeCell ref="AG617:AH617"/>
    <mergeCell ref="X787:AB787"/>
    <mergeCell ref="H616:R616"/>
    <mergeCell ref="P615:R615"/>
    <mergeCell ref="AI599:AK599"/>
    <mergeCell ref="Z587:AK587"/>
    <mergeCell ref="G612:R612"/>
    <mergeCell ref="G607:L607"/>
    <mergeCell ref="AA608:AK608"/>
    <mergeCell ref="C573:P573"/>
    <mergeCell ref="C574:P574"/>
    <mergeCell ref="C575:P57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M823:P823"/>
    <mergeCell ref="X791:AB791"/>
    <mergeCell ref="X792:AB792"/>
    <mergeCell ref="AC768:AG771"/>
    <mergeCell ref="AI572:AL572"/>
    <mergeCell ref="W567:Y567"/>
    <mergeCell ref="AI570:AL570"/>
    <mergeCell ref="B753:F753"/>
    <mergeCell ref="AG827:AJ827"/>
    <mergeCell ref="AG825:AJ825"/>
    <mergeCell ref="M824:P824"/>
    <mergeCell ref="Z431:AA431"/>
    <mergeCell ref="AD484:AH485"/>
    <mergeCell ref="AC552:AF552"/>
    <mergeCell ref="AC551:AF551"/>
    <mergeCell ref="AH529:AK529"/>
    <mergeCell ref="AH533:AK533"/>
    <mergeCell ref="AC529:AF529"/>
    <mergeCell ref="AC513:AF513"/>
    <mergeCell ref="T493:X493"/>
    <mergeCell ref="D443:AF443"/>
    <mergeCell ref="D467:V467"/>
    <mergeCell ref="D436:AF436"/>
    <mergeCell ref="AH540:AK540"/>
    <mergeCell ref="B526:H528"/>
    <mergeCell ref="AC542:AF542"/>
    <mergeCell ref="O538:AA538"/>
    <mergeCell ref="AC544:AF544"/>
    <mergeCell ref="A478:AL479"/>
    <mergeCell ref="AH538:AK538"/>
    <mergeCell ref="AC545:AF545"/>
    <mergeCell ref="AH545:AK545"/>
    <mergeCell ref="AH547:AK547"/>
    <mergeCell ref="AH517:AK517"/>
    <mergeCell ref="B515:H520"/>
    <mergeCell ref="AC520:AF520"/>
    <mergeCell ref="Y492:AC492"/>
    <mergeCell ref="AC532:AF532"/>
    <mergeCell ref="AG448:AJ448"/>
    <mergeCell ref="D464:V464"/>
    <mergeCell ref="W467:Y467"/>
    <mergeCell ref="Y484:AC485"/>
    <mergeCell ref="Y490:AC490"/>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M572:AS572"/>
    <mergeCell ref="Z607:AE607"/>
    <mergeCell ref="Z598:AK598"/>
    <mergeCell ref="AH513:AK513"/>
    <mergeCell ref="Z574:AD574"/>
    <mergeCell ref="Z575:AD575"/>
    <mergeCell ref="Z611:AK611"/>
    <mergeCell ref="AG609:AH609"/>
    <mergeCell ref="AI607:AK607"/>
    <mergeCell ref="AC518:AF518"/>
    <mergeCell ref="W571:Y571"/>
    <mergeCell ref="W572:Y572"/>
    <mergeCell ref="W573:Y573"/>
    <mergeCell ref="AH532:AK532"/>
    <mergeCell ref="AE569:AH569"/>
    <mergeCell ref="AH546:AK546"/>
    <mergeCell ref="AH549:AK549"/>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S643:BW643"/>
    <mergeCell ref="BX642:CB642"/>
    <mergeCell ref="BX643:CB643"/>
    <mergeCell ref="CC643:CG643"/>
    <mergeCell ref="CH643:CL643"/>
    <mergeCell ref="BN642:BR642"/>
    <mergeCell ref="BN643:BR643"/>
    <mergeCell ref="BS644:BW644"/>
    <mergeCell ref="BN663:BR663"/>
    <mergeCell ref="CM620:CQ620"/>
    <mergeCell ref="CC642:CG642"/>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X648:CB648"/>
    <mergeCell ref="BX641:CB641"/>
    <mergeCell ref="BS642:BW642"/>
    <mergeCell ref="CM643:CQ643"/>
    <mergeCell ref="BN644:BR64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G635:BH635"/>
    <mergeCell ref="BK635:BL635"/>
    <mergeCell ref="BN635:BR635"/>
    <mergeCell ref="BI625:BJ625"/>
    <mergeCell ref="CH629:CL629"/>
    <mergeCell ref="BK633:BL633"/>
    <mergeCell ref="BK625:BL625"/>
    <mergeCell ref="BG625:BH625"/>
    <mergeCell ref="BN625:BR625"/>
    <mergeCell ref="BK626:BL62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19:CL619"/>
    <mergeCell ref="CC616:CG616"/>
    <mergeCell ref="CH616:CL616"/>
    <mergeCell ref="BG614:BH614"/>
    <mergeCell ref="BI614:BJ614"/>
    <mergeCell ref="BI612:BJ612"/>
    <mergeCell ref="BG616:BH616"/>
    <mergeCell ref="BG613:BH613"/>
    <mergeCell ref="BI613:BJ613"/>
    <mergeCell ref="BK615:BL615"/>
    <mergeCell ref="BX613:CB613"/>
    <mergeCell ref="CC618:CG618"/>
    <mergeCell ref="BS615:BW615"/>
    <mergeCell ref="BX615:CB615"/>
    <mergeCell ref="CH617:CL617"/>
    <mergeCell ref="BI620:BJ620"/>
    <mergeCell ref="BK620:BL620"/>
    <mergeCell ref="BN620:BR620"/>
    <mergeCell ref="BS620:BW620"/>
    <mergeCell ref="BX616:CB616"/>
    <mergeCell ref="BK613:BL613"/>
    <mergeCell ref="CC620:CG620"/>
    <mergeCell ref="BS621:BW621"/>
    <mergeCell ref="BN621:BR621"/>
    <mergeCell ref="BI617:BJ617"/>
    <mergeCell ref="BN615:BR615"/>
    <mergeCell ref="BS619:BW619"/>
    <mergeCell ref="BK618:BL618"/>
    <mergeCell ref="BS614:BW614"/>
    <mergeCell ref="BX614:CB614"/>
    <mergeCell ref="CC613:CG613"/>
    <mergeCell ref="BN614:BR614"/>
    <mergeCell ref="BG618:BH618"/>
    <mergeCell ref="BX621:CB621"/>
    <mergeCell ref="BG621:BH621"/>
    <mergeCell ref="BI616:BJ616"/>
    <mergeCell ref="BG619:BH619"/>
    <mergeCell ref="BN616:BR616"/>
    <mergeCell ref="BN619:BR619"/>
    <mergeCell ref="CC622:CG622"/>
    <mergeCell ref="CC619:CG619"/>
    <mergeCell ref="BX620:CB620"/>
    <mergeCell ref="BS611:BW611"/>
    <mergeCell ref="BS612:BW612"/>
    <mergeCell ref="BK616:BL616"/>
    <mergeCell ref="CC611:CG611"/>
    <mergeCell ref="BS613:BW613"/>
    <mergeCell ref="BS622:BW622"/>
    <mergeCell ref="BX622:CB622"/>
    <mergeCell ref="CC621:CG621"/>
    <mergeCell ref="BI621:BJ621"/>
    <mergeCell ref="AM565:AS565"/>
    <mergeCell ref="C565:P565"/>
    <mergeCell ref="T571:V571"/>
    <mergeCell ref="T572:V572"/>
    <mergeCell ref="CH612:CL612"/>
    <mergeCell ref="BX609:CB609"/>
    <mergeCell ref="BX612:CB612"/>
    <mergeCell ref="BG609:BH609"/>
    <mergeCell ref="BN610:BR610"/>
    <mergeCell ref="BG610:BH610"/>
    <mergeCell ref="BI610:BJ610"/>
    <mergeCell ref="BK609:BL609"/>
    <mergeCell ref="CH609:CL609"/>
    <mergeCell ref="AM576:AS576"/>
    <mergeCell ref="AM571:AS571"/>
    <mergeCell ref="AM569:AS569"/>
    <mergeCell ref="AM566:AS566"/>
    <mergeCell ref="W569:Y569"/>
    <mergeCell ref="W570:Y570"/>
    <mergeCell ref="W575:Y575"/>
    <mergeCell ref="BE611:BF611"/>
    <mergeCell ref="BG611:BH611"/>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BE610:BF610"/>
    <mergeCell ref="H583:R583"/>
    <mergeCell ref="AM573:AS573"/>
    <mergeCell ref="AM568:AS568"/>
    <mergeCell ref="C568:P568"/>
    <mergeCell ref="AM575:AS575"/>
    <mergeCell ref="AI582:AK582"/>
    <mergeCell ref="AE574:AH574"/>
    <mergeCell ref="AM574:AS574"/>
    <mergeCell ref="B576:AL576"/>
    <mergeCell ref="T575:V575"/>
    <mergeCell ref="AE575:AH575"/>
    <mergeCell ref="AE566:AH566"/>
    <mergeCell ref="T568:V568"/>
    <mergeCell ref="G580:R580"/>
    <mergeCell ref="B529:H531"/>
    <mergeCell ref="AC517:AF517"/>
    <mergeCell ref="AH520:AK520"/>
    <mergeCell ref="M507:P507"/>
    <mergeCell ref="AH507:AK507"/>
    <mergeCell ref="AH541:AK541"/>
    <mergeCell ref="AC515:AF515"/>
    <mergeCell ref="AC546:AF546"/>
    <mergeCell ref="AC541:AF541"/>
    <mergeCell ref="AI563:AL563"/>
    <mergeCell ref="A556:AS557"/>
    <mergeCell ref="AC553:AF553"/>
    <mergeCell ref="AC550:AF550"/>
    <mergeCell ref="AH539:AK539"/>
    <mergeCell ref="O544:AA544"/>
    <mergeCell ref="AC549:AF549"/>
    <mergeCell ref="B532:H554"/>
    <mergeCell ref="AC554:AF554"/>
    <mergeCell ref="AC530:AF530"/>
    <mergeCell ref="AH536:AK536"/>
    <mergeCell ref="AH537:AK537"/>
    <mergeCell ref="Q506:AK506"/>
    <mergeCell ref="N609:O609"/>
    <mergeCell ref="G581:R581"/>
    <mergeCell ref="G595:R595"/>
    <mergeCell ref="AG585:AH58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S391:U391"/>
    <mergeCell ref="Q428:R428"/>
    <mergeCell ref="T489:X489"/>
    <mergeCell ref="D466:V466"/>
    <mergeCell ref="AD486:AH486"/>
    <mergeCell ref="AH514:AK514"/>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AC455:AF455"/>
    <mergeCell ref="Y487:AC487"/>
    <mergeCell ref="S404:AJ404"/>
    <mergeCell ref="V376:W376"/>
    <mergeCell ref="P290:R290"/>
    <mergeCell ref="L273:AJ273"/>
    <mergeCell ref="AA306:AF306"/>
    <mergeCell ref="H288:R288"/>
    <mergeCell ref="H290:M290"/>
    <mergeCell ref="H298:M298"/>
    <mergeCell ref="H299:M299"/>
    <mergeCell ref="H300:R300"/>
    <mergeCell ref="AA256:AK256"/>
    <mergeCell ref="H310:R310"/>
    <mergeCell ref="AI322:AK322"/>
    <mergeCell ref="AA319:AK319"/>
    <mergeCell ref="AA336:AK336"/>
    <mergeCell ref="H326:R326"/>
    <mergeCell ref="AA332:AK332"/>
    <mergeCell ref="H313:R313"/>
    <mergeCell ref="H312:R312"/>
    <mergeCell ref="H311:R311"/>
    <mergeCell ref="AH261:AK261"/>
    <mergeCell ref="M262:R262"/>
    <mergeCell ref="M264:T264"/>
    <mergeCell ref="H294:R294"/>
    <mergeCell ref="AA295:AK295"/>
    <mergeCell ref="AA288:AK288"/>
    <mergeCell ref="P322:R322"/>
    <mergeCell ref="AA314:AF314"/>
    <mergeCell ref="AA316:AK316"/>
    <mergeCell ref="L279:AD279"/>
    <mergeCell ref="L274:AD274"/>
    <mergeCell ref="H289:R289"/>
    <mergeCell ref="H297:R297"/>
    <mergeCell ref="H304:R304"/>
    <mergeCell ref="M254:R254"/>
    <mergeCell ref="P204:U204"/>
    <mergeCell ref="M238:AE238"/>
    <mergeCell ref="M252:T252"/>
    <mergeCell ref="M251:AE251"/>
    <mergeCell ref="AA304:AK304"/>
    <mergeCell ref="AA290:AF290"/>
    <mergeCell ref="AI290:AK290"/>
    <mergeCell ref="H291:M291"/>
    <mergeCell ref="AA292:AK292"/>
    <mergeCell ref="V275:W27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W260:X260"/>
    <mergeCell ref="U262:W262"/>
    <mergeCell ref="M256:T256"/>
    <mergeCell ref="M244:T244"/>
    <mergeCell ref="D207:M207"/>
    <mergeCell ref="Z246:AE246"/>
    <mergeCell ref="T193:AI193"/>
    <mergeCell ref="D204:M204"/>
    <mergeCell ref="Y132:AK132"/>
    <mergeCell ref="R177:S177"/>
    <mergeCell ref="U235:W235"/>
    <mergeCell ref="M242:AE242"/>
    <mergeCell ref="M248:T248"/>
    <mergeCell ref="D219:Z219"/>
    <mergeCell ref="AA237:AK237"/>
    <mergeCell ref="A169:AL170"/>
    <mergeCell ref="M237:T237"/>
    <mergeCell ref="Z203:AF205"/>
    <mergeCell ref="AC244:AE244"/>
    <mergeCell ref="M245:AE245"/>
    <mergeCell ref="T189:AE189"/>
    <mergeCell ref="T194:U194"/>
    <mergeCell ref="E187:AE188"/>
    <mergeCell ref="I189:P189"/>
    <mergeCell ref="Y198:Z198"/>
    <mergeCell ref="AC233:AE233"/>
    <mergeCell ref="F150:T150"/>
    <mergeCell ref="M246:R246"/>
    <mergeCell ref="M253:AE253"/>
    <mergeCell ref="J173:S173"/>
    <mergeCell ref="M255:AE255"/>
    <mergeCell ref="AA299:AF299"/>
    <mergeCell ref="H305:R30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L275:S275"/>
    <mergeCell ref="L277:Q277"/>
    <mergeCell ref="AF242:AK242"/>
    <mergeCell ref="T195:U195"/>
    <mergeCell ref="A13:AL14"/>
    <mergeCell ref="A12:AL12"/>
    <mergeCell ref="G122:H122"/>
    <mergeCell ref="L122:N122"/>
    <mergeCell ref="Y129:AK129"/>
    <mergeCell ref="M26:Q26"/>
    <mergeCell ref="H16:AJ16"/>
    <mergeCell ref="A21:AL21"/>
    <mergeCell ref="A11:AL11"/>
    <mergeCell ref="O155:AH155"/>
    <mergeCell ref="O153:AH153"/>
    <mergeCell ref="O154:AH154"/>
    <mergeCell ref="O156:AH156"/>
    <mergeCell ref="O157:X157"/>
    <mergeCell ref="O158:R158"/>
    <mergeCell ref="W159:X159"/>
    <mergeCell ref="O159:T159"/>
    <mergeCell ref="AH253:AK253"/>
    <mergeCell ref="W244:X244"/>
    <mergeCell ref="U246:W246"/>
    <mergeCell ref="M236:AE236"/>
    <mergeCell ref="AI226:AJ226"/>
    <mergeCell ref="U175:V175"/>
    <mergeCell ref="I184:AE184"/>
    <mergeCell ref="A221:AL222"/>
    <mergeCell ref="X176:Y176"/>
    <mergeCell ref="X180:Y180"/>
    <mergeCell ref="W252:X252"/>
    <mergeCell ref="M250:AE250"/>
    <mergeCell ref="AH196:AI196"/>
    <mergeCell ref="AI228:AJ228"/>
    <mergeCell ref="I185:AE185"/>
    <mergeCell ref="M235:R235"/>
    <mergeCell ref="Z235:AE235"/>
    <mergeCell ref="AF250:AK250"/>
    <mergeCell ref="M243:AE243"/>
    <mergeCell ref="I190:N190"/>
    <mergeCell ref="AI338:AK338"/>
    <mergeCell ref="H339:M339"/>
    <mergeCell ref="O122:R122"/>
    <mergeCell ref="AI178:AK178"/>
    <mergeCell ref="J174:Z174"/>
    <mergeCell ref="M233:T233"/>
    <mergeCell ref="W233:X233"/>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P417:R417"/>
    <mergeCell ref="H338:M338"/>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07:M307"/>
    <mergeCell ref="P306:R306"/>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Y828:AB828"/>
    <mergeCell ref="U919:Z919"/>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O782:S785"/>
    <mergeCell ref="O756:R756"/>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AA917:AF917"/>
    <mergeCell ref="O744:S744"/>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X739:AB739"/>
    <mergeCell ref="X735:AB735"/>
    <mergeCell ref="X738:AB738"/>
    <mergeCell ref="X740:AB740"/>
    <mergeCell ref="X741:AB74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H749:AJ749"/>
    <mergeCell ref="AH735:AJ735"/>
    <mergeCell ref="AC734:AG734"/>
    <mergeCell ref="AK732:AO732"/>
    <mergeCell ref="AC732:AG732"/>
    <mergeCell ref="T729:W729"/>
    <mergeCell ref="G724:J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B731:F731"/>
    <mergeCell ref="AK729:AO729"/>
    <mergeCell ref="BG622:BH62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BN626:BR626"/>
    <mergeCell ref="AG756:AJ756"/>
    <mergeCell ref="Y799:AC799"/>
    <mergeCell ref="J782:N785"/>
    <mergeCell ref="BK619:BL619"/>
    <mergeCell ref="BG620:BH620"/>
    <mergeCell ref="BK621:BL621"/>
    <mergeCell ref="BI618:BJ618"/>
    <mergeCell ref="BS623:BW623"/>
    <mergeCell ref="BG617:BH617"/>
    <mergeCell ref="AK730:AO730"/>
    <mergeCell ref="AK731:AO731"/>
    <mergeCell ref="K729:N729"/>
    <mergeCell ref="AG699:AH699"/>
    <mergeCell ref="AE703:AF703"/>
    <mergeCell ref="AE704:AF704"/>
    <mergeCell ref="AA682:AK682"/>
    <mergeCell ref="Z694:AK694"/>
    <mergeCell ref="Z697:AE697"/>
    <mergeCell ref="G694:R694"/>
    <mergeCell ref="AH728:AJ728"/>
    <mergeCell ref="T731:W731"/>
    <mergeCell ref="G680:R680"/>
    <mergeCell ref="AC728:AG728"/>
    <mergeCell ref="Z685:AK685"/>
    <mergeCell ref="BI619:BJ619"/>
    <mergeCell ref="BG626:BH626"/>
    <mergeCell ref="BK628:BL628"/>
    <mergeCell ref="BG623:BH623"/>
    <mergeCell ref="BE622:BF622"/>
    <mergeCell ref="BE620:BF620"/>
    <mergeCell ref="BE621:BF621"/>
    <mergeCell ref="BS624:BW624"/>
    <mergeCell ref="AA690:AK690"/>
    <mergeCell ref="G681:L681"/>
    <mergeCell ref="X729:AB729"/>
    <mergeCell ref="G615:L615"/>
    <mergeCell ref="U639:W639"/>
    <mergeCell ref="X637:AB637"/>
    <mergeCell ref="Z663:AK663"/>
    <mergeCell ref="Z657:AE657"/>
    <mergeCell ref="Z662:AK662"/>
    <mergeCell ref="P657:R657"/>
    <mergeCell ref="AI657:AK657"/>
    <mergeCell ref="AO634:AS636"/>
    <mergeCell ref="U646:W646"/>
    <mergeCell ref="U647:W647"/>
    <mergeCell ref="AC643:AE643"/>
    <mergeCell ref="AC644:AE644"/>
    <mergeCell ref="AC645:AE645"/>
    <mergeCell ref="X646:AB646"/>
    <mergeCell ref="X647:AB647"/>
    <mergeCell ref="BE617:BF617"/>
    <mergeCell ref="BE626:BF626"/>
    <mergeCell ref="BE624:BF624"/>
    <mergeCell ref="BE623:BF623"/>
    <mergeCell ref="R645:T645"/>
    <mergeCell ref="R637:T637"/>
    <mergeCell ref="R638:T638"/>
    <mergeCell ref="R639:T639"/>
    <mergeCell ref="R642:T642"/>
    <mergeCell ref="R634:T636"/>
    <mergeCell ref="O647:Q647"/>
    <mergeCell ref="O648:Q648"/>
    <mergeCell ref="R640:T640"/>
    <mergeCell ref="BE619:BF619"/>
    <mergeCell ref="BE615:BF615"/>
    <mergeCell ref="BX624:CB624"/>
    <mergeCell ref="BX627:CB627"/>
    <mergeCell ref="BS626:BW626"/>
    <mergeCell ref="BI624:BJ624"/>
    <mergeCell ref="BX625:CB625"/>
    <mergeCell ref="CC625:CG625"/>
    <mergeCell ref="BS627:BW627"/>
    <mergeCell ref="BE630:BF630"/>
    <mergeCell ref="G663:R663"/>
    <mergeCell ref="BN613:BR613"/>
    <mergeCell ref="CC615:CG615"/>
    <mergeCell ref="BS617:BW617"/>
    <mergeCell ref="G685:R685"/>
    <mergeCell ref="AK724:AO727"/>
    <mergeCell ref="BS628:BW628"/>
    <mergeCell ref="BX628:CB628"/>
    <mergeCell ref="CC623:CG623"/>
    <mergeCell ref="BK623:BL623"/>
    <mergeCell ref="P689:R689"/>
    <mergeCell ref="AE712:AF712"/>
    <mergeCell ref="Z665:AE665"/>
    <mergeCell ref="AA666:AK666"/>
    <mergeCell ref="Z673:AE673"/>
    <mergeCell ref="AG683:AH683"/>
    <mergeCell ref="AG675:AH675"/>
    <mergeCell ref="BK622:BL622"/>
    <mergeCell ref="CC624:CG624"/>
    <mergeCell ref="BS625:BW625"/>
    <mergeCell ref="H658:R658"/>
    <mergeCell ref="G657:L657"/>
    <mergeCell ref="Z686:AK686"/>
    <mergeCell ref="AI697:AK69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CC628:CG628"/>
    <mergeCell ref="BK632:BL632"/>
    <mergeCell ref="BK627:BL627"/>
    <mergeCell ref="BI626:BJ626"/>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CC614:CG614"/>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M619:CQ619"/>
    <mergeCell ref="CX620:DB620"/>
    <mergeCell ref="G665:L665"/>
    <mergeCell ref="CH641:CL641"/>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Z613:AK613"/>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H744:AJ744"/>
    <mergeCell ref="AC735:AG735"/>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K728:AO728"/>
    <mergeCell ref="Z677:AK677"/>
    <mergeCell ref="K728:N728"/>
    <mergeCell ref="K724:N72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H632:EL632"/>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52:EG652"/>
    <mergeCell ref="EH653:EL653"/>
    <mergeCell ref="EM653:EQ653"/>
    <mergeCell ref="EH646:EL646"/>
    <mergeCell ref="EM646:EQ646"/>
    <mergeCell ref="EC651:EG651"/>
    <mergeCell ref="DX646:EB646"/>
    <mergeCell ref="EH644:EL644"/>
    <mergeCell ref="EC648:EG648"/>
    <mergeCell ref="ER647:EV647"/>
    <mergeCell ref="EW647:FA647"/>
    <mergeCell ref="EC644:EG644"/>
    <mergeCell ref="EC646:EG646"/>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EM640:EQ640"/>
    <mergeCell ref="DX644:EB644"/>
    <mergeCell ref="AK644:AN644"/>
    <mergeCell ref="AK645:AN645"/>
    <mergeCell ref="AK646:AN646"/>
    <mergeCell ref="AK647:AN647"/>
    <mergeCell ref="AK648:AN648"/>
    <mergeCell ref="CM644:CQ644"/>
    <mergeCell ref="CC640:CG640"/>
    <mergeCell ref="BX644:CB644"/>
    <mergeCell ref="CC644:CG644"/>
    <mergeCell ref="AO644:AS644"/>
    <mergeCell ref="EW642:FA642"/>
    <mergeCell ref="DX643:EB643"/>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CC633:CG633"/>
    <mergeCell ref="BX635:CB635"/>
    <mergeCell ref="DR633:DV633"/>
    <mergeCell ref="DH633:DL633"/>
    <mergeCell ref="DM631:DQ631"/>
    <mergeCell ref="DR631:DV631"/>
    <mergeCell ref="DM632:DQ632"/>
    <mergeCell ref="DR632:DV632"/>
    <mergeCell ref="DR630:DV630"/>
    <mergeCell ref="CM642:CQ642"/>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BX640:CB640"/>
    <mergeCell ref="CM641:CQ641"/>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H654:DL654"/>
    <mergeCell ref="DM654:DQ654"/>
    <mergeCell ref="BN658:BR658"/>
    <mergeCell ref="BX651:CB651"/>
    <mergeCell ref="CM653:CQ653"/>
    <mergeCell ref="Z679:AK679"/>
    <mergeCell ref="AO650:AS650"/>
    <mergeCell ref="BX655:CB655"/>
    <mergeCell ref="CC658:CG658"/>
    <mergeCell ref="CH658:CL658"/>
    <mergeCell ref="CM658:CQ658"/>
    <mergeCell ref="DR660:DV660"/>
    <mergeCell ref="CS658:CW658"/>
    <mergeCell ref="DH655:DL655"/>
    <mergeCell ref="Z695:AK695"/>
    <mergeCell ref="BN654:BR654"/>
    <mergeCell ref="CM663:CQ663"/>
    <mergeCell ref="CM652:CQ652"/>
    <mergeCell ref="DH652:DL652"/>
    <mergeCell ref="DM652:DQ652"/>
    <mergeCell ref="DR652:DV652"/>
    <mergeCell ref="CS654:CW654"/>
    <mergeCell ref="CX654:DB654"/>
    <mergeCell ref="DC654:DG654"/>
    <mergeCell ref="DM655:DQ655"/>
    <mergeCell ref="DR655:DV655"/>
    <mergeCell ref="CS656:CW656"/>
    <mergeCell ref="CX656:DB656"/>
    <mergeCell ref="DC656:DG656"/>
    <mergeCell ref="DH656:DL656"/>
    <mergeCell ref="BS656:BW656"/>
    <mergeCell ref="CX651:DB651"/>
    <mergeCell ref="EC663:EG663"/>
    <mergeCell ref="EH663:EL663"/>
    <mergeCell ref="EM663:EQ663"/>
    <mergeCell ref="DX656:EB656"/>
    <mergeCell ref="EC656:EG656"/>
    <mergeCell ref="AI673:AK673"/>
    <mergeCell ref="Z671:AK671"/>
    <mergeCell ref="X730:AB730"/>
    <mergeCell ref="X731:AB731"/>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H654:EL654"/>
    <mergeCell ref="EM655:EQ655"/>
    <mergeCell ref="DX659:EB659"/>
    <mergeCell ref="EC659:EG659"/>
    <mergeCell ref="EH659:EL659"/>
    <mergeCell ref="EM659:EQ659"/>
    <mergeCell ref="BS658:BW658"/>
    <mergeCell ref="BX658:CB658"/>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DM656:DQ656"/>
    <mergeCell ref="DR656:DV656"/>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D44A7-84E1-450F-9B16-91542FA608B1}">
  <dimension ref="A1:CC2092"/>
  <sheetViews>
    <sheetView showGridLines="0" zoomScaleNormal="100" zoomScaleSheetLayoutView="100" workbookViewId="0">
      <selection activeCell="A183" sqref="A183:XFD183"/>
    </sheetView>
  </sheetViews>
  <sheetFormatPr defaultColWidth="0" defaultRowHeight="12.75" zeroHeight="1"/>
  <cols>
    <col min="1" max="1" width="2.7109375" style="1206" customWidth="1"/>
    <col min="2" max="3" width="2.42578125" style="1206" customWidth="1"/>
    <col min="4" max="4" width="3.140625" style="1206" customWidth="1"/>
    <col min="5" max="5" width="3.42578125" style="1206" customWidth="1"/>
    <col min="6" max="6" width="2.85546875" style="1206" customWidth="1"/>
    <col min="7" max="14" width="2.42578125" style="1206" customWidth="1"/>
    <col min="15" max="15" width="2.85546875" style="1206" customWidth="1"/>
    <col min="16" max="16" width="2.42578125" style="1206" customWidth="1"/>
    <col min="17" max="17" width="3.85546875" style="1206" customWidth="1"/>
    <col min="18" max="18" width="4.5703125" style="1206" customWidth="1"/>
    <col min="19" max="19" width="3.28515625" style="1206" customWidth="1"/>
    <col min="20" max="26" width="2.42578125" style="1206" customWidth="1"/>
    <col min="27" max="30" width="2.5703125" style="1206" customWidth="1"/>
    <col min="31" max="32" width="2.42578125" style="1206" customWidth="1"/>
    <col min="33" max="33" width="3.42578125" style="1206" customWidth="1"/>
    <col min="34" max="36" width="2.42578125" style="1206" customWidth="1"/>
    <col min="37" max="37" width="5.5703125" style="1206" customWidth="1"/>
    <col min="38" max="38" width="2.42578125" style="1206" customWidth="1"/>
    <col min="39" max="39" width="3.42578125" style="1206" customWidth="1"/>
    <col min="40" max="40" width="5.5703125" style="1204" customWidth="1"/>
    <col min="41" max="41" width="5.5703125" style="1205" hidden="1" customWidth="1"/>
    <col min="42" max="45" width="5.5703125" style="1206" hidden="1" customWidth="1"/>
    <col min="46" max="46" width="10.85546875" style="1206" hidden="1" customWidth="1"/>
    <col min="47" max="48" width="5.5703125" style="1206" hidden="1" customWidth="1"/>
    <col min="49" max="49" width="8.7109375" style="1206" hidden="1" customWidth="1"/>
    <col min="50" max="50" width="7.42578125" style="1206" hidden="1" customWidth="1"/>
    <col min="51" max="55" width="5.5703125" style="1206" hidden="1" customWidth="1"/>
    <col min="56" max="60" width="5.5703125" style="1370" hidden="1" customWidth="1"/>
    <col min="61" max="81" width="5.5703125" style="1206" hidden="1" customWidth="1"/>
    <col min="82" max="16384" width="0.85546875" style="1206" hidden="1"/>
  </cols>
  <sheetData>
    <row r="1" spans="1:42" ht="15.75" customHeight="1">
      <c r="A1" s="2662" t="s">
        <v>1501</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row>
    <row r="2" spans="1:42" s="1208" customFormat="1" ht="12.75"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1207"/>
    </row>
    <row r="3" spans="1:42" s="1208" customFormat="1" ht="12.75" customHeight="1" thickTop="1">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7"/>
    </row>
    <row r="4" spans="1:42" s="1208" customFormat="1" ht="12.75" customHeight="1">
      <c r="A4" s="1210" t="s">
        <v>1502</v>
      </c>
      <c r="B4" s="1211" t="s">
        <v>1503</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07"/>
    </row>
    <row r="5" spans="1:42" s="1208" customFormat="1" ht="12.75" customHeight="1" thickBot="1">
      <c r="A5" s="1210"/>
      <c r="B5" s="1211"/>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c r="AL5" s="1212"/>
      <c r="AM5" s="1212"/>
      <c r="AN5" s="1207"/>
    </row>
    <row r="6" spans="1:42" s="1208" customFormat="1" ht="12.75" customHeight="1" thickTop="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4"/>
      <c r="AN6" s="1207"/>
    </row>
    <row r="7" spans="1:42" s="1208" customFormat="1" ht="12.75" customHeight="1">
      <c r="A7" s="1210" t="s">
        <v>1504</v>
      </c>
      <c r="B7" s="1211" t="s">
        <v>1505</v>
      </c>
      <c r="C7" s="1211"/>
      <c r="D7" s="1211"/>
      <c r="E7" s="1211"/>
      <c r="F7" s="1211"/>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2478" t="s">
        <v>1506</v>
      </c>
      <c r="AF7" s="2478"/>
      <c r="AG7" s="2478"/>
      <c r="AH7" s="2478"/>
      <c r="AI7" s="2478"/>
      <c r="AJ7" s="2478"/>
      <c r="AK7" s="2478"/>
      <c r="AL7" s="1212"/>
      <c r="AM7" s="1212"/>
      <c r="AN7" s="1207"/>
    </row>
    <row r="8" spans="1:42" s="1208" customFormat="1" ht="12.75" customHeight="1">
      <c r="A8" s="1210"/>
      <c r="B8" s="1211" t="s">
        <v>2049</v>
      </c>
      <c r="C8" s="1211"/>
      <c r="D8" s="1211"/>
      <c r="E8" s="1211"/>
      <c r="F8" s="1211"/>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5"/>
      <c r="AF8" s="1215"/>
      <c r="AG8" s="1215"/>
      <c r="AH8" s="1215"/>
      <c r="AI8" s="1215"/>
      <c r="AJ8" s="1215"/>
      <c r="AK8" s="1215"/>
      <c r="AL8" s="1212"/>
      <c r="AM8" s="1212"/>
      <c r="AN8" s="1207"/>
    </row>
    <row r="9" spans="1:42" s="1208" customFormat="1" ht="12.75" customHeight="1">
      <c r="A9" s="1210"/>
      <c r="B9" s="1211"/>
      <c r="C9" s="1211"/>
      <c r="D9" s="1211"/>
      <c r="E9" s="1211"/>
      <c r="F9" s="1211"/>
      <c r="G9" s="121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5"/>
      <c r="AF9" s="1215"/>
      <c r="AG9" s="1215"/>
      <c r="AH9" s="1215"/>
      <c r="AI9" s="1215"/>
      <c r="AJ9" s="1215"/>
      <c r="AK9" s="1215"/>
      <c r="AL9" s="1212"/>
      <c r="AM9" s="1212"/>
      <c r="AN9" s="1207"/>
    </row>
    <row r="10" spans="1:42" s="1208" customFormat="1" ht="12.75" customHeight="1">
      <c r="A10" s="1210"/>
      <c r="B10" s="1211" t="s">
        <v>2660</v>
      </c>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5"/>
      <c r="AF10" s="1215"/>
      <c r="AG10" s="1215"/>
      <c r="AH10" s="1215"/>
      <c r="AI10" s="1215"/>
      <c r="AJ10" s="1215"/>
      <c r="AK10" s="1215"/>
      <c r="AL10" s="1212"/>
      <c r="AM10" s="1212"/>
      <c r="AN10" s="1207"/>
    </row>
    <row r="11" spans="1:42" s="1208" customFormat="1" ht="12.75" customHeight="1">
      <c r="A11" s="1212"/>
      <c r="C11" s="1216" t="s">
        <v>2661</v>
      </c>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2"/>
      <c r="AL11" s="1212"/>
      <c r="AM11" s="1212"/>
      <c r="AN11" s="1207"/>
      <c r="AO11" s="1217"/>
      <c r="AP11" s="1218"/>
    </row>
    <row r="12" spans="1:42" s="1208" customFormat="1" ht="12.75" customHeight="1">
      <c r="A12" s="1212"/>
      <c r="B12" s="1219"/>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07"/>
      <c r="AP12" s="1206"/>
    </row>
    <row r="13" spans="1:42" s="1208" customFormat="1" ht="12.75" customHeight="1">
      <c r="A13" s="1212"/>
      <c r="B13" s="2634" t="s">
        <v>618</v>
      </c>
      <c r="C13" s="2634"/>
      <c r="D13" s="1220"/>
      <c r="E13" s="1221" t="s">
        <v>1507</v>
      </c>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2664"/>
      <c r="AH13" s="2664"/>
      <c r="AI13" s="2664"/>
      <c r="AJ13" s="2665"/>
      <c r="AK13" s="1212"/>
      <c r="AL13" s="1212"/>
      <c r="AM13" s="1212"/>
      <c r="AN13" s="1207"/>
      <c r="AO13" s="1223">
        <f>IF($B13="yes",20,0)</f>
        <v>0</v>
      </c>
      <c r="AP13" s="1206"/>
    </row>
    <row r="14" spans="1:42" s="1208" customFormat="1" ht="12.75" customHeight="1">
      <c r="A14" s="1212"/>
      <c r="B14" s="1212"/>
      <c r="C14" s="1212"/>
      <c r="D14" s="1206"/>
      <c r="E14" s="1212"/>
      <c r="F14" s="1212"/>
      <c r="G14" s="1212"/>
      <c r="H14" s="1212"/>
      <c r="I14" s="1212"/>
      <c r="J14" s="1212"/>
      <c r="K14" s="1212"/>
      <c r="L14" s="1212"/>
      <c r="M14" s="1212"/>
      <c r="N14" s="1212"/>
      <c r="O14" s="1212"/>
      <c r="P14" s="1212"/>
      <c r="Q14" s="1212"/>
      <c r="R14" s="1212"/>
      <c r="S14" s="1212"/>
      <c r="T14" s="1212"/>
      <c r="U14" s="1212"/>
      <c r="V14" s="1212"/>
      <c r="W14" s="1212"/>
      <c r="X14" s="1212"/>
      <c r="Y14" s="1212"/>
      <c r="Z14" s="1212"/>
      <c r="AA14" s="1212"/>
      <c r="AB14" s="1212"/>
      <c r="AC14" s="1212"/>
      <c r="AD14" s="1212"/>
      <c r="AE14" s="1212"/>
      <c r="AF14" s="1212"/>
      <c r="AG14" s="1212"/>
      <c r="AH14" s="1212"/>
      <c r="AI14" s="1212"/>
      <c r="AJ14" s="1212"/>
      <c r="AK14" s="1212"/>
      <c r="AL14" s="1212"/>
      <c r="AM14" s="1212"/>
      <c r="AN14" s="1207"/>
      <c r="AO14" s="1223">
        <f>IF(AND($B16="yes",E20&gt;0),20,0)</f>
        <v>0</v>
      </c>
      <c r="AP14" s="1206"/>
    </row>
    <row r="15" spans="1:42" s="1208" customFormat="1" ht="12.75" customHeight="1">
      <c r="A15" s="1212"/>
      <c r="B15" s="1212"/>
      <c r="C15" s="1212"/>
      <c r="D15" s="1223"/>
      <c r="E15" s="1212"/>
      <c r="F15" s="1212"/>
      <c r="G15" s="1212"/>
      <c r="H15" s="1212"/>
      <c r="I15" s="1212"/>
      <c r="J15" s="1212"/>
      <c r="K15" s="1212"/>
      <c r="L15" s="1212"/>
      <c r="M15" s="1212"/>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12"/>
      <c r="AK15" s="1212"/>
      <c r="AL15" s="1212"/>
      <c r="AM15" s="1212"/>
      <c r="AN15" s="1207"/>
      <c r="AO15" s="1223">
        <f>IF($B22="yes",20,0)</f>
        <v>0</v>
      </c>
      <c r="AP15" s="1206"/>
    </row>
    <row r="16" spans="1:42" s="1208" customFormat="1" ht="12.75" customHeight="1">
      <c r="A16" s="1212"/>
      <c r="B16" s="2634" t="s">
        <v>618</v>
      </c>
      <c r="C16" s="2634"/>
      <c r="D16" s="1220"/>
      <c r="E16" s="2635" t="s">
        <v>1508</v>
      </c>
      <c r="F16" s="2636"/>
      <c r="G16" s="2636"/>
      <c r="H16" s="2636"/>
      <c r="I16" s="2636"/>
      <c r="J16" s="2636"/>
      <c r="K16" s="2636"/>
      <c r="L16" s="2636"/>
      <c r="M16" s="2636"/>
      <c r="N16" s="2636"/>
      <c r="O16" s="2636"/>
      <c r="P16" s="2636"/>
      <c r="Q16" s="2636"/>
      <c r="R16" s="2636"/>
      <c r="S16" s="2636"/>
      <c r="T16" s="2636"/>
      <c r="U16" s="2636"/>
      <c r="V16" s="2636"/>
      <c r="W16" s="2636"/>
      <c r="X16" s="2636"/>
      <c r="Y16" s="2636"/>
      <c r="Z16" s="2636"/>
      <c r="AA16" s="2636"/>
      <c r="AB16" s="2636"/>
      <c r="AC16" s="2636"/>
      <c r="AD16" s="2636"/>
      <c r="AE16" s="2636"/>
      <c r="AF16" s="2636"/>
      <c r="AG16" s="2636"/>
      <c r="AH16" s="2636"/>
      <c r="AI16" s="2636"/>
      <c r="AJ16" s="2637"/>
      <c r="AK16" s="1212"/>
      <c r="AL16" s="1212"/>
      <c r="AM16" s="1212"/>
      <c r="AN16" s="1207"/>
      <c r="AO16" s="1223">
        <f>IF($B25="yes",20,0)</f>
        <v>0</v>
      </c>
      <c r="AP16" s="1206"/>
    </row>
    <row r="17" spans="1:42" s="1208" customFormat="1" ht="12.75" customHeight="1">
      <c r="A17" s="1212"/>
      <c r="B17" s="1212"/>
      <c r="C17" s="1212"/>
      <c r="D17" s="1224"/>
      <c r="E17" s="2638"/>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40"/>
      <c r="AK17" s="1212"/>
      <c r="AL17" s="1212"/>
      <c r="AM17" s="1212"/>
      <c r="AN17" s="1207"/>
      <c r="AO17" s="1208">
        <f>IF(SUM(AO13:AO16)&gt;20,20,(SUM(AO13:AO16)))</f>
        <v>0</v>
      </c>
      <c r="AP17" s="1208" t="s">
        <v>1509</v>
      </c>
    </row>
    <row r="18" spans="1:42" s="1208" customFormat="1" ht="12.75" customHeight="1">
      <c r="A18" s="1212"/>
      <c r="B18" s="1212"/>
      <c r="C18" s="1212"/>
      <c r="D18" s="1224"/>
      <c r="E18" s="2638"/>
      <c r="F18" s="2639"/>
      <c r="G18" s="2639"/>
      <c r="H18" s="2639"/>
      <c r="I18" s="2639"/>
      <c r="J18" s="2639"/>
      <c r="K18" s="2639"/>
      <c r="L18" s="2639"/>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40"/>
      <c r="AK18" s="1212"/>
      <c r="AL18" s="1212"/>
      <c r="AM18" s="1212"/>
      <c r="AN18" s="1207"/>
    </row>
    <row r="19" spans="1:42" s="1208" customFormat="1" ht="12.75" customHeight="1">
      <c r="A19" s="1212"/>
      <c r="B19" s="1212"/>
      <c r="C19" s="1212"/>
      <c r="D19" s="1224"/>
      <c r="E19" s="1225" t="s">
        <v>1510</v>
      </c>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7"/>
      <c r="AK19" s="1212"/>
      <c r="AL19" s="1212"/>
      <c r="AM19" s="1212"/>
      <c r="AN19" s="1207"/>
    </row>
    <row r="20" spans="1:42" s="1208" customFormat="1" ht="12.75" customHeight="1">
      <c r="A20" s="1212"/>
      <c r="B20" s="1212"/>
      <c r="C20" s="1212"/>
      <c r="D20" s="1224"/>
      <c r="E20" s="2653"/>
      <c r="F20" s="2654"/>
      <c r="G20" s="2654"/>
      <c r="H20" s="2654"/>
      <c r="I20" s="2654"/>
      <c r="J20" s="2654"/>
      <c r="K20" s="2654"/>
      <c r="L20" s="2654"/>
      <c r="M20" s="2654"/>
      <c r="N20" s="2654"/>
      <c r="O20" s="2654"/>
      <c r="P20" s="2654"/>
      <c r="Q20" s="2654"/>
      <c r="R20" s="2654"/>
      <c r="S20" s="2654"/>
      <c r="T20" s="2654"/>
      <c r="U20" s="2654"/>
      <c r="V20" s="2654"/>
      <c r="W20" s="2654"/>
      <c r="X20" s="2654"/>
      <c r="Y20" s="2654"/>
      <c r="Z20" s="2654"/>
      <c r="AA20" s="2654"/>
      <c r="AB20" s="2654"/>
      <c r="AC20" s="2654"/>
      <c r="AD20" s="2654"/>
      <c r="AE20" s="2654"/>
      <c r="AF20" s="2654"/>
      <c r="AG20" s="2654"/>
      <c r="AH20" s="2654"/>
      <c r="AI20" s="2654"/>
      <c r="AJ20" s="2655"/>
      <c r="AK20" s="1212"/>
      <c r="AL20" s="1212"/>
      <c r="AM20" s="1212"/>
      <c r="AN20" s="1207"/>
      <c r="AO20" s="1223">
        <f>IF($B30="yes",14,0)</f>
        <v>0</v>
      </c>
    </row>
    <row r="21" spans="1:42" s="1208" customFormat="1" ht="12.75" customHeight="1">
      <c r="A21" s="1212"/>
      <c r="B21" s="1212"/>
      <c r="C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07"/>
      <c r="AO21" s="1223">
        <f>IF($B33="yes",14,0)</f>
        <v>0</v>
      </c>
      <c r="AP21" s="1206"/>
    </row>
    <row r="22" spans="1:42" s="1208" customFormat="1" ht="12.75" customHeight="1">
      <c r="A22" s="1212"/>
      <c r="B22" s="2634" t="s">
        <v>618</v>
      </c>
      <c r="C22" s="2634"/>
      <c r="D22" s="1220"/>
      <c r="E22" s="2656" t="s">
        <v>1511</v>
      </c>
      <c r="F22" s="2657"/>
      <c r="G22" s="2657"/>
      <c r="H22" s="2657"/>
      <c r="I22" s="2657"/>
      <c r="J22" s="2657"/>
      <c r="K22" s="2657"/>
      <c r="L22" s="2657"/>
      <c r="M22" s="2657"/>
      <c r="N22" s="2657"/>
      <c r="O22" s="2657"/>
      <c r="P22" s="2657"/>
      <c r="Q22" s="2657"/>
      <c r="R22" s="2657"/>
      <c r="S22" s="2657"/>
      <c r="T22" s="2657"/>
      <c r="U22" s="2657"/>
      <c r="V22" s="2657"/>
      <c r="W22" s="2657"/>
      <c r="X22" s="2657"/>
      <c r="Y22" s="2657"/>
      <c r="Z22" s="2657"/>
      <c r="AA22" s="2657"/>
      <c r="AB22" s="2657"/>
      <c r="AC22" s="2657"/>
      <c r="AD22" s="2657"/>
      <c r="AE22" s="2657"/>
      <c r="AF22" s="2657"/>
      <c r="AG22" s="2657"/>
      <c r="AH22" s="2657"/>
      <c r="AI22" s="2657"/>
      <c r="AJ22" s="2658"/>
      <c r="AK22" s="1212"/>
      <c r="AL22" s="1212"/>
      <c r="AM22" s="1212"/>
      <c r="AN22" s="1207"/>
      <c r="AO22" s="1208">
        <f>IF(SUM(AO20:AO21)&gt;14,14,SUM(AO20:AO21))</f>
        <v>0</v>
      </c>
      <c r="AP22" s="1208" t="s">
        <v>1509</v>
      </c>
    </row>
    <row r="23" spans="1:42" s="1208" customFormat="1" ht="12.75" customHeight="1">
      <c r="A23" s="1212"/>
      <c r="B23" s="1212"/>
      <c r="C23" s="1212"/>
      <c r="D23" s="1223"/>
      <c r="E23" s="2659"/>
      <c r="F23" s="2660"/>
      <c r="G23" s="2660"/>
      <c r="H23" s="2660"/>
      <c r="I23" s="2660"/>
      <c r="J23" s="2660"/>
      <c r="K23" s="2660"/>
      <c r="L23" s="2660"/>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1"/>
      <c r="AK23" s="1212"/>
      <c r="AL23" s="1212"/>
      <c r="AM23" s="1212"/>
      <c r="AN23" s="1207"/>
    </row>
    <row r="24" spans="1:42" s="1208" customFormat="1" ht="12.75" customHeight="1">
      <c r="A24" s="1212"/>
      <c r="B24" s="1212"/>
      <c r="C24" s="1212"/>
      <c r="D24" s="1224"/>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07"/>
      <c r="AO24" s="1223">
        <f>IF($B39="yes",6,0)</f>
        <v>0</v>
      </c>
    </row>
    <row r="25" spans="1:42" s="1208" customFormat="1" ht="12.75" customHeight="1">
      <c r="A25" s="1212"/>
      <c r="B25" s="2634" t="s">
        <v>618</v>
      </c>
      <c r="C25" s="2634"/>
      <c r="D25" s="1220"/>
      <c r="E25" s="2551" t="s">
        <v>2662</v>
      </c>
      <c r="F25" s="2552"/>
      <c r="G25" s="2552"/>
      <c r="H25" s="2552"/>
      <c r="I25" s="2552"/>
      <c r="J25" s="2552"/>
      <c r="K25" s="2552"/>
      <c r="L25" s="2552"/>
      <c r="M25" s="2552"/>
      <c r="N25" s="2552"/>
      <c r="O25" s="2552"/>
      <c r="P25" s="2552"/>
      <c r="Q25" s="2552"/>
      <c r="R25" s="2552"/>
      <c r="S25" s="2552"/>
      <c r="T25" s="2552"/>
      <c r="U25" s="2552"/>
      <c r="V25" s="2552"/>
      <c r="W25" s="2552"/>
      <c r="X25" s="2552"/>
      <c r="Y25" s="2552"/>
      <c r="Z25" s="2552"/>
      <c r="AA25" s="2552"/>
      <c r="AB25" s="2552"/>
      <c r="AC25" s="2552"/>
      <c r="AD25" s="2552"/>
      <c r="AE25" s="2552"/>
      <c r="AF25" s="2552"/>
      <c r="AG25" s="2552"/>
      <c r="AH25" s="2552"/>
      <c r="AI25" s="2552"/>
      <c r="AJ25" s="2553"/>
      <c r="AK25" s="1212"/>
      <c r="AL25" s="1212"/>
      <c r="AM25" s="1212"/>
      <c r="AN25" s="1207"/>
      <c r="AO25" s="1208">
        <f>IF(AO24&gt;6,6,AO24)</f>
        <v>0</v>
      </c>
      <c r="AP25" s="1208" t="s">
        <v>1509</v>
      </c>
    </row>
    <row r="26" spans="1:42" s="1208" customFormat="1" ht="12.75" customHeight="1">
      <c r="A26" s="1212"/>
      <c r="B26" s="1212"/>
      <c r="C26" s="1212"/>
      <c r="D26" s="1223"/>
      <c r="E26" s="2558"/>
      <c r="F26" s="2559"/>
      <c r="G26" s="2559"/>
      <c r="H26" s="2559"/>
      <c r="I26" s="2559"/>
      <c r="J26" s="2559"/>
      <c r="K26" s="2559"/>
      <c r="L26" s="2559"/>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60"/>
      <c r="AK26" s="1212"/>
      <c r="AL26" s="1212"/>
      <c r="AM26" s="1212"/>
      <c r="AN26" s="1207"/>
      <c r="AO26" s="1223"/>
    </row>
    <row r="27" spans="1:42" s="1208" customFormat="1" ht="12.75" customHeight="1">
      <c r="A27" s="1212"/>
      <c r="B27" s="1212"/>
      <c r="C27" s="1212"/>
      <c r="D27" s="1223"/>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07"/>
      <c r="AO27" s="1223"/>
    </row>
    <row r="28" spans="1:42" s="1208" customFormat="1" ht="12.75" customHeight="1">
      <c r="A28" s="1212"/>
      <c r="C28" s="1228" t="s">
        <v>2663</v>
      </c>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07"/>
      <c r="AO28" s="1223">
        <f>IF(AND(B46="Yes",B50="Yes",B52="Yes"),20,0)</f>
        <v>0</v>
      </c>
    </row>
    <row r="29" spans="1:42" s="1208" customFormat="1" ht="12.75" customHeight="1">
      <c r="A29" s="1212"/>
      <c r="B29" s="1212"/>
      <c r="C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07"/>
      <c r="AO29" s="1208">
        <f>IF(AO28&gt;6,6,AO28)</f>
        <v>0</v>
      </c>
      <c r="AP29" s="1208" t="s">
        <v>1509</v>
      </c>
    </row>
    <row r="30" spans="1:42" s="1208" customFormat="1" ht="12.75" customHeight="1">
      <c r="A30" s="1212"/>
      <c r="B30" s="2634" t="s">
        <v>618</v>
      </c>
      <c r="C30" s="2634"/>
      <c r="D30" s="1220"/>
      <c r="E30" s="2656" t="s">
        <v>2664</v>
      </c>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8"/>
      <c r="AK30" s="1212"/>
      <c r="AL30" s="1212"/>
      <c r="AM30" s="1212"/>
      <c r="AN30" s="1207"/>
      <c r="AO30" s="1223"/>
    </row>
    <row r="31" spans="1:42" s="1208" customFormat="1" ht="12.75" customHeight="1">
      <c r="A31" s="1212"/>
      <c r="B31" s="1212"/>
      <c r="C31" s="1212"/>
      <c r="E31" s="2659"/>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1"/>
      <c r="AK31" s="1212"/>
      <c r="AL31" s="1212"/>
      <c r="AM31" s="1212"/>
      <c r="AN31" s="1207"/>
    </row>
    <row r="32" spans="1:42" s="1208" customFormat="1" ht="12.75" customHeight="1">
      <c r="A32" s="1212"/>
      <c r="B32" s="1212"/>
      <c r="C32" s="1212"/>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12"/>
      <c r="AL32" s="1212"/>
      <c r="AM32" s="1212"/>
      <c r="AN32" s="1207"/>
    </row>
    <row r="33" spans="1:41" s="1208" customFormat="1" ht="12.75" customHeight="1">
      <c r="A33" s="1212"/>
      <c r="B33" s="2634" t="s">
        <v>618</v>
      </c>
      <c r="C33" s="2634"/>
      <c r="D33" s="1220"/>
      <c r="E33" s="2551" t="s">
        <v>2665</v>
      </c>
      <c r="F33" s="2552"/>
      <c r="G33" s="2552"/>
      <c r="H33" s="2552"/>
      <c r="I33" s="2552"/>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3"/>
      <c r="AK33" s="1212"/>
      <c r="AL33" s="1212"/>
      <c r="AM33" s="1212"/>
      <c r="AN33" s="1207"/>
    </row>
    <row r="34" spans="1:41" s="1208" customFormat="1" ht="12.75" customHeight="1">
      <c r="A34" s="1212"/>
      <c r="B34" s="1212"/>
      <c r="C34" s="1212"/>
      <c r="E34" s="2554"/>
      <c r="F34" s="2555"/>
      <c r="G34" s="2555"/>
      <c r="H34" s="2555"/>
      <c r="I34" s="2555"/>
      <c r="J34" s="2555"/>
      <c r="K34" s="2555"/>
      <c r="L34" s="2555"/>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6"/>
      <c r="AK34" s="1212"/>
      <c r="AL34" s="1212"/>
      <c r="AM34" s="1212"/>
      <c r="AN34" s="1207"/>
    </row>
    <row r="35" spans="1:41" s="1208" customFormat="1" ht="12.75" customHeight="1">
      <c r="A35" s="1212"/>
      <c r="B35" s="1212"/>
      <c r="C35" s="1212"/>
      <c r="E35" s="2558"/>
      <c r="F35" s="2559"/>
      <c r="G35" s="2559"/>
      <c r="H35" s="2559"/>
      <c r="I35" s="2559"/>
      <c r="J35" s="2559"/>
      <c r="K35" s="2559"/>
      <c r="L35" s="2559"/>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60"/>
      <c r="AK35" s="1212"/>
      <c r="AL35" s="1212"/>
      <c r="AM35" s="1212"/>
      <c r="AN35" s="1207"/>
    </row>
    <row r="36" spans="1:41" s="1208" customFormat="1" ht="12.75" customHeight="1">
      <c r="A36" s="1212"/>
      <c r="B36" s="1212"/>
      <c r="C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07"/>
      <c r="AO36" s="1208">
        <f>MAX(AO17,AO22,AO25,AO29)</f>
        <v>0</v>
      </c>
    </row>
    <row r="37" spans="1:41" s="1208" customFormat="1" ht="12.75" customHeight="1">
      <c r="A37" s="1212"/>
      <c r="C37" s="1228" t="s">
        <v>2666</v>
      </c>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07"/>
    </row>
    <row r="38" spans="1:41" s="1208" customFormat="1" ht="12.75" customHeight="1">
      <c r="A38" s="1212"/>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12"/>
      <c r="AM38" s="1212"/>
      <c r="AN38" s="1207"/>
    </row>
    <row r="39" spans="1:41" s="1208" customFormat="1" ht="12.75" customHeight="1">
      <c r="A39" s="1212"/>
      <c r="B39" s="2634" t="s">
        <v>618</v>
      </c>
      <c r="C39" s="2634"/>
      <c r="D39" s="1230"/>
      <c r="E39" s="2551" t="s">
        <v>2667</v>
      </c>
      <c r="F39" s="2552"/>
      <c r="G39" s="2552"/>
      <c r="H39" s="2552"/>
      <c r="I39" s="2552"/>
      <c r="J39" s="2552"/>
      <c r="K39" s="2552"/>
      <c r="L39" s="2552"/>
      <c r="M39" s="2552"/>
      <c r="N39" s="2552"/>
      <c r="O39" s="2552"/>
      <c r="P39" s="2552"/>
      <c r="Q39" s="2552"/>
      <c r="R39" s="2552"/>
      <c r="S39" s="2552"/>
      <c r="T39" s="2552"/>
      <c r="U39" s="2552"/>
      <c r="V39" s="2552"/>
      <c r="W39" s="2552"/>
      <c r="X39" s="2552"/>
      <c r="Y39" s="2552"/>
      <c r="Z39" s="2552"/>
      <c r="AA39" s="2552"/>
      <c r="AB39" s="2552"/>
      <c r="AC39" s="2552"/>
      <c r="AD39" s="2552"/>
      <c r="AE39" s="2552"/>
      <c r="AF39" s="2552"/>
      <c r="AG39" s="2552"/>
      <c r="AH39" s="2552"/>
      <c r="AI39" s="2552"/>
      <c r="AJ39" s="2553"/>
      <c r="AK39" s="1230"/>
      <c r="AL39" s="1212"/>
      <c r="AM39" s="1212"/>
      <c r="AN39" s="1207"/>
    </row>
    <row r="40" spans="1:41" s="1208" customFormat="1" ht="12.75" customHeight="1">
      <c r="A40" s="1212"/>
      <c r="B40" s="1212"/>
      <c r="C40" s="1212"/>
      <c r="E40" s="2554"/>
      <c r="F40" s="2555"/>
      <c r="G40" s="2555"/>
      <c r="H40" s="2555"/>
      <c r="I40" s="2555"/>
      <c r="J40" s="2555"/>
      <c r="K40" s="2555"/>
      <c r="L40" s="2555"/>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6"/>
      <c r="AK40" s="1212"/>
      <c r="AL40" s="1212"/>
      <c r="AM40" s="1212"/>
      <c r="AN40" s="1207"/>
    </row>
    <row r="41" spans="1:41" s="1208" customFormat="1" ht="12.75" customHeight="1">
      <c r="A41" s="1212"/>
      <c r="D41" s="1220"/>
      <c r="E41" s="2558"/>
      <c r="F41" s="2559"/>
      <c r="G41" s="2559"/>
      <c r="H41" s="2559"/>
      <c r="I41" s="2559"/>
      <c r="J41" s="2559"/>
      <c r="K41" s="2559"/>
      <c r="L41" s="2559"/>
      <c r="M41" s="2559"/>
      <c r="N41" s="2559"/>
      <c r="O41" s="2559"/>
      <c r="P41" s="2559"/>
      <c r="Q41" s="2559"/>
      <c r="R41" s="2559"/>
      <c r="S41" s="2559"/>
      <c r="T41" s="2559"/>
      <c r="U41" s="2559"/>
      <c r="V41" s="2559"/>
      <c r="W41" s="2559"/>
      <c r="X41" s="2559"/>
      <c r="Y41" s="2559"/>
      <c r="Z41" s="2559"/>
      <c r="AA41" s="2559"/>
      <c r="AB41" s="2559"/>
      <c r="AC41" s="2559"/>
      <c r="AD41" s="2559"/>
      <c r="AE41" s="2559"/>
      <c r="AF41" s="2559"/>
      <c r="AG41" s="2559"/>
      <c r="AH41" s="2559"/>
      <c r="AI41" s="2559"/>
      <c r="AJ41" s="2560"/>
      <c r="AK41" s="1212"/>
      <c r="AL41" s="1212"/>
      <c r="AM41" s="1212"/>
      <c r="AN41" s="1207"/>
      <c r="AO41" s="1231"/>
    </row>
    <row r="42" spans="1:41" s="1208" customFormat="1" ht="12.75" customHeight="1">
      <c r="A42" s="1212"/>
      <c r="B42" s="1212"/>
      <c r="C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212"/>
      <c r="AJ42" s="1212"/>
      <c r="AK42" s="1212"/>
      <c r="AL42" s="1212"/>
      <c r="AM42" s="1212"/>
      <c r="AN42" s="1207"/>
      <c r="AO42" s="1231"/>
    </row>
    <row r="43" spans="1:41" s="1208" customFormat="1" ht="12.75" customHeight="1">
      <c r="A43" s="1211"/>
      <c r="B43" s="1211" t="s">
        <v>2668</v>
      </c>
      <c r="C43" s="1220"/>
      <c r="D43" s="1220"/>
      <c r="E43" s="123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07"/>
      <c r="AO43" s="1231"/>
    </row>
    <row r="44" spans="1:41" s="1208" customFormat="1" ht="12.75" customHeight="1">
      <c r="A44" s="1212"/>
      <c r="B44" s="1212"/>
      <c r="C44" s="1216" t="s">
        <v>2669</v>
      </c>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2"/>
      <c r="AA44" s="1212"/>
      <c r="AB44" s="1212"/>
      <c r="AC44" s="1212"/>
      <c r="AD44" s="1212"/>
      <c r="AE44" s="1212"/>
      <c r="AF44" s="1212"/>
      <c r="AG44" s="1212"/>
      <c r="AH44" s="1212"/>
      <c r="AI44" s="1212"/>
      <c r="AJ44" s="1212"/>
      <c r="AK44" s="1212"/>
      <c r="AL44" s="1212"/>
      <c r="AM44" s="1212"/>
      <c r="AN44" s="1207"/>
      <c r="AO44" s="1231"/>
    </row>
    <row r="45" spans="1:41" s="1208" customFormat="1" ht="12.75" customHeight="1">
      <c r="A45" s="1220"/>
      <c r="B45" s="1220"/>
      <c r="C45" s="1220"/>
      <c r="D45" s="1220"/>
      <c r="E45" s="1233"/>
      <c r="F45" s="1212"/>
      <c r="G45" s="1212"/>
      <c r="H45" s="1212"/>
      <c r="I45" s="1212"/>
      <c r="J45" s="1212"/>
      <c r="K45" s="1212"/>
      <c r="L45" s="1212"/>
      <c r="M45" s="1212"/>
      <c r="N45" s="1212"/>
      <c r="O45" s="1212"/>
      <c r="P45" s="1212"/>
      <c r="Q45" s="1212"/>
      <c r="R45" s="1212"/>
      <c r="S45" s="1212"/>
      <c r="T45" s="1212"/>
      <c r="U45" s="1212"/>
      <c r="V45" s="1212"/>
      <c r="W45" s="1212"/>
      <c r="X45" s="1212"/>
      <c r="Y45" s="1212"/>
      <c r="Z45" s="1212"/>
      <c r="AA45" s="1212"/>
      <c r="AB45" s="1212"/>
      <c r="AC45" s="1212"/>
      <c r="AD45" s="1212"/>
      <c r="AE45" s="1212"/>
      <c r="AF45" s="1212"/>
      <c r="AG45" s="1212"/>
      <c r="AH45" s="1212"/>
      <c r="AI45" s="1212"/>
      <c r="AJ45" s="1212"/>
      <c r="AK45" s="1212"/>
      <c r="AL45" s="1212"/>
      <c r="AM45" s="1212"/>
      <c r="AN45" s="1207"/>
      <c r="AO45" s="1231"/>
    </row>
    <row r="46" spans="1:41" s="1208" customFormat="1" ht="12.75" customHeight="1">
      <c r="A46" s="1212"/>
      <c r="B46" s="2634" t="s">
        <v>618</v>
      </c>
      <c r="C46" s="2634"/>
      <c r="D46" s="1212"/>
      <c r="E46" s="2551" t="s">
        <v>2670</v>
      </c>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1212"/>
      <c r="AL46" s="1212"/>
      <c r="AM46" s="1212"/>
      <c r="AN46" s="1207"/>
      <c r="AO46" s="1234"/>
    </row>
    <row r="47" spans="1:41" s="1208" customFormat="1" ht="12.75" customHeight="1">
      <c r="A47" s="1212"/>
      <c r="D47" s="1220"/>
      <c r="E47" s="2554"/>
      <c r="F47" s="2555"/>
      <c r="G47" s="2555"/>
      <c r="H47" s="2555"/>
      <c r="I47" s="2555"/>
      <c r="J47" s="2555"/>
      <c r="K47" s="2555"/>
      <c r="L47" s="2555"/>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6"/>
      <c r="AK47" s="1212"/>
      <c r="AL47" s="1212"/>
      <c r="AM47" s="1212"/>
      <c r="AN47" s="1207"/>
      <c r="AO47" s="1234"/>
    </row>
    <row r="48" spans="1:41" s="1208" customFormat="1" ht="12.75" customHeight="1">
      <c r="A48" s="1212"/>
      <c r="D48" s="1212"/>
      <c r="E48" s="2558"/>
      <c r="F48" s="2559"/>
      <c r="G48" s="2559"/>
      <c r="H48" s="2559"/>
      <c r="I48" s="2559"/>
      <c r="J48" s="2559"/>
      <c r="K48" s="2559"/>
      <c r="L48" s="2559"/>
      <c r="M48" s="2559"/>
      <c r="N48" s="2559"/>
      <c r="O48" s="2559"/>
      <c r="P48" s="2559"/>
      <c r="Q48" s="2559"/>
      <c r="R48" s="2559"/>
      <c r="S48" s="2559"/>
      <c r="T48" s="2559"/>
      <c r="U48" s="2559"/>
      <c r="V48" s="2559"/>
      <c r="W48" s="2559"/>
      <c r="X48" s="2559"/>
      <c r="Y48" s="2559"/>
      <c r="Z48" s="2559"/>
      <c r="AA48" s="2559"/>
      <c r="AB48" s="2559"/>
      <c r="AC48" s="2559"/>
      <c r="AD48" s="2559"/>
      <c r="AE48" s="2559"/>
      <c r="AF48" s="2559"/>
      <c r="AG48" s="2559"/>
      <c r="AH48" s="2559"/>
      <c r="AI48" s="2559"/>
      <c r="AJ48" s="2560"/>
      <c r="AK48" s="1212"/>
      <c r="AL48" s="1212"/>
      <c r="AM48" s="1212"/>
      <c r="AN48" s="1207"/>
    </row>
    <row r="49" spans="1:50" s="1208" customFormat="1" ht="12.75" customHeight="1">
      <c r="A49" s="1212"/>
      <c r="B49" s="1212"/>
      <c r="C49" s="1212"/>
      <c r="D49" s="1220"/>
      <c r="E49" s="1233"/>
      <c r="F49" s="1231"/>
      <c r="G49" s="1231"/>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c r="AN49" s="1207"/>
    </row>
    <row r="50" spans="1:50" s="1208" customFormat="1" ht="12.75" customHeight="1">
      <c r="A50" s="1212"/>
      <c r="B50" s="2634" t="s">
        <v>618</v>
      </c>
      <c r="C50" s="2634"/>
      <c r="D50" s="1212"/>
      <c r="E50" s="2650" t="s">
        <v>2671</v>
      </c>
      <c r="F50" s="2651"/>
      <c r="G50" s="2651"/>
      <c r="H50" s="2651"/>
      <c r="I50" s="2651"/>
      <c r="J50" s="2651"/>
      <c r="K50" s="2651"/>
      <c r="L50" s="2651"/>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2"/>
      <c r="AK50" s="1212"/>
      <c r="AL50" s="1212"/>
      <c r="AM50" s="1212"/>
      <c r="AN50" s="1207"/>
    </row>
    <row r="51" spans="1:50" s="1208" customFormat="1" ht="12.75" customHeight="1">
      <c r="A51" s="1212"/>
      <c r="B51" s="1212"/>
      <c r="C51" s="1212"/>
      <c r="D51" s="1220"/>
      <c r="E51" s="1235"/>
      <c r="F51" s="1231"/>
      <c r="G51" s="1231"/>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c r="AD51" s="1212"/>
      <c r="AE51" s="1212"/>
      <c r="AF51" s="1212"/>
      <c r="AG51" s="1212"/>
      <c r="AH51" s="1212"/>
      <c r="AI51" s="1212"/>
      <c r="AJ51" s="1212"/>
      <c r="AK51" s="1212"/>
      <c r="AL51" s="1212"/>
      <c r="AM51" s="1212"/>
      <c r="AN51" s="1207"/>
    </row>
    <row r="52" spans="1:50" s="1208" customFormat="1" ht="12.75" customHeight="1">
      <c r="A52" s="1212"/>
      <c r="B52" s="2634" t="s">
        <v>618</v>
      </c>
      <c r="C52" s="2634"/>
      <c r="D52" s="1212"/>
      <c r="E52" s="2551" t="s">
        <v>2672</v>
      </c>
      <c r="F52" s="2552"/>
      <c r="G52" s="2552"/>
      <c r="H52" s="2552"/>
      <c r="I52" s="2552"/>
      <c r="J52" s="2552"/>
      <c r="K52" s="2552"/>
      <c r="L52" s="2552"/>
      <c r="M52" s="2552"/>
      <c r="N52" s="2552"/>
      <c r="O52" s="2552"/>
      <c r="P52" s="2552"/>
      <c r="Q52" s="2552"/>
      <c r="R52" s="2552"/>
      <c r="S52" s="2552"/>
      <c r="T52" s="2552"/>
      <c r="U52" s="2552"/>
      <c r="V52" s="2552"/>
      <c r="W52" s="2552"/>
      <c r="X52" s="2552"/>
      <c r="Y52" s="2552"/>
      <c r="Z52" s="2552"/>
      <c r="AA52" s="2552"/>
      <c r="AB52" s="2552"/>
      <c r="AC52" s="2552"/>
      <c r="AD52" s="2552"/>
      <c r="AE52" s="2552"/>
      <c r="AF52" s="2552"/>
      <c r="AG52" s="2552"/>
      <c r="AH52" s="2552"/>
      <c r="AI52" s="2552"/>
      <c r="AJ52" s="2553"/>
      <c r="AK52" s="1212"/>
      <c r="AL52" s="1212"/>
      <c r="AM52" s="1212"/>
      <c r="AN52" s="1207"/>
    </row>
    <row r="53" spans="1:50" s="1208" customFormat="1" ht="12.75" customHeight="1">
      <c r="A53" s="1212"/>
      <c r="B53" s="1220"/>
      <c r="C53" s="1220"/>
      <c r="D53" s="1220"/>
      <c r="E53" s="2558"/>
      <c r="F53" s="2559"/>
      <c r="G53" s="2559"/>
      <c r="H53" s="2559"/>
      <c r="I53" s="2559"/>
      <c r="J53" s="2559"/>
      <c r="K53" s="2559"/>
      <c r="L53" s="2559"/>
      <c r="M53" s="2559"/>
      <c r="N53" s="2559"/>
      <c r="O53" s="2559"/>
      <c r="P53" s="2559"/>
      <c r="Q53" s="2559"/>
      <c r="R53" s="2559"/>
      <c r="S53" s="2559"/>
      <c r="T53" s="2559"/>
      <c r="U53" s="2559"/>
      <c r="V53" s="2559"/>
      <c r="W53" s="2559"/>
      <c r="X53" s="2559"/>
      <c r="Y53" s="2559"/>
      <c r="Z53" s="2559"/>
      <c r="AA53" s="2559"/>
      <c r="AB53" s="2559"/>
      <c r="AC53" s="2559"/>
      <c r="AD53" s="2559"/>
      <c r="AE53" s="2559"/>
      <c r="AF53" s="2559"/>
      <c r="AG53" s="2559"/>
      <c r="AH53" s="2559"/>
      <c r="AI53" s="2559"/>
      <c r="AJ53" s="2560"/>
      <c r="AK53" s="1212"/>
      <c r="AL53" s="1212"/>
      <c r="AM53" s="1212"/>
      <c r="AN53" s="1207"/>
      <c r="AX53" s="1211"/>
    </row>
    <row r="54" spans="1:50" s="1208" customFormat="1" ht="12.75" customHeight="1">
      <c r="A54" s="1212"/>
      <c r="B54" s="1220"/>
      <c r="C54" s="1220"/>
      <c r="D54" s="1220"/>
      <c r="E54" s="1235"/>
      <c r="F54" s="1212"/>
      <c r="G54" s="1212"/>
      <c r="H54" s="1212"/>
      <c r="I54" s="1212"/>
      <c r="J54" s="1212"/>
      <c r="K54" s="1212"/>
      <c r="L54" s="1212"/>
      <c r="M54" s="1212"/>
      <c r="N54" s="1212"/>
      <c r="O54" s="1212"/>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07"/>
      <c r="AX54" s="1211"/>
    </row>
    <row r="55" spans="1:50" s="1208" customFormat="1" ht="12.75" customHeight="1">
      <c r="A55" s="1212"/>
      <c r="B55" s="1212"/>
      <c r="C55" s="1212"/>
      <c r="D55" s="1212"/>
      <c r="E55" s="1212"/>
      <c r="F55" s="1212"/>
      <c r="G55" s="1212"/>
      <c r="H55" s="1212"/>
      <c r="I55" s="1212"/>
      <c r="J55" s="1212"/>
      <c r="K55" s="1212"/>
      <c r="L55" s="1212"/>
      <c r="M55" s="1212"/>
      <c r="N55" s="1212"/>
      <c r="O55" s="1212"/>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07"/>
    </row>
    <row r="56" spans="1:50" s="1208" customFormat="1" ht="12.75" customHeight="1">
      <c r="A56" s="1236"/>
      <c r="B56" s="1237"/>
      <c r="C56" s="1237"/>
      <c r="D56" s="1237"/>
      <c r="E56" s="1237"/>
      <c r="F56" s="1237"/>
      <c r="G56" s="1238"/>
      <c r="H56" s="1239"/>
      <c r="I56" s="1239"/>
      <c r="J56" s="1239"/>
      <c r="K56" s="1239"/>
      <c r="L56" s="1239"/>
      <c r="M56" s="1239"/>
      <c r="N56" s="1239"/>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40"/>
      <c r="AJ56" s="1240" t="s">
        <v>1512</v>
      </c>
      <c r="AK56" s="2617">
        <f>AO36</f>
        <v>0</v>
      </c>
      <c r="AL56" s="2618"/>
      <c r="AM56" s="2619"/>
      <c r="AN56" s="1207"/>
    </row>
    <row r="57" spans="1:50" s="1208" customFormat="1" ht="12.75" customHeight="1" thickBot="1">
      <c r="A57" s="1241"/>
      <c r="B57" s="1242"/>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4"/>
      <c r="AN57" s="1207"/>
    </row>
    <row r="58" spans="1:50" s="1208" customFormat="1" ht="12.75" customHeight="1" thickTop="1">
      <c r="B58" s="914"/>
      <c r="C58" s="915"/>
      <c r="D58" s="915"/>
      <c r="E58" s="915"/>
      <c r="F58" s="915"/>
      <c r="G58" s="915"/>
      <c r="H58" s="915"/>
      <c r="I58" s="1245"/>
      <c r="J58" s="1245"/>
      <c r="K58" s="1245"/>
      <c r="L58" s="1245"/>
      <c r="M58" s="1245"/>
      <c r="N58" s="1245"/>
      <c r="O58" s="1245"/>
      <c r="P58" s="1245"/>
      <c r="Q58" s="1245"/>
      <c r="S58" s="1211"/>
      <c r="T58" s="1211"/>
      <c r="U58" s="1211"/>
      <c r="V58" s="1211"/>
      <c r="W58" s="1211"/>
      <c r="X58" s="1211"/>
      <c r="Y58" s="1211"/>
      <c r="Z58" s="1211"/>
      <c r="AA58" s="1211"/>
      <c r="AB58" s="1211"/>
      <c r="AC58" s="1211"/>
      <c r="AD58" s="1211"/>
      <c r="AE58" s="1211"/>
      <c r="AG58" s="1211"/>
      <c r="AH58" s="1211"/>
      <c r="AI58" s="1211"/>
      <c r="AJ58" s="1211"/>
      <c r="AK58" s="1223"/>
      <c r="AL58" s="1223"/>
      <c r="AM58" s="1223"/>
      <c r="AN58" s="1207"/>
    </row>
    <row r="59" spans="1:50" s="1208" customFormat="1" ht="12.75" customHeight="1">
      <c r="A59" s="1210" t="s">
        <v>1513</v>
      </c>
      <c r="B59" s="1211" t="s">
        <v>1514</v>
      </c>
      <c r="C59" s="1211"/>
      <c r="D59" s="1211"/>
      <c r="E59" s="1211"/>
      <c r="F59" s="1211"/>
      <c r="G59" s="1211"/>
      <c r="H59" s="12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2478" t="s">
        <v>1515</v>
      </c>
      <c r="AF59" s="2478"/>
      <c r="AG59" s="2478"/>
      <c r="AH59" s="2478"/>
      <c r="AI59" s="2478"/>
      <c r="AJ59" s="2478"/>
      <c r="AK59" s="2478"/>
      <c r="AL59" s="1212"/>
      <c r="AM59" s="1212"/>
      <c r="AN59" s="1207"/>
    </row>
    <row r="60" spans="1:50" s="1208" customFormat="1" ht="12.75" customHeight="1">
      <c r="A60" s="1210"/>
      <c r="B60" s="1211" t="s">
        <v>2048</v>
      </c>
      <c r="C60" s="1211"/>
      <c r="D60" s="1211"/>
      <c r="E60" s="1211"/>
      <c r="F60" s="1211"/>
      <c r="G60" s="1211"/>
      <c r="H60" s="12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5"/>
      <c r="AF60" s="1215"/>
      <c r="AG60" s="1215"/>
      <c r="AH60" s="1215"/>
      <c r="AI60" s="1215"/>
      <c r="AJ60" s="1215"/>
      <c r="AK60" s="1215"/>
      <c r="AL60" s="1212"/>
      <c r="AM60" s="1212"/>
      <c r="AN60" s="1207"/>
    </row>
    <row r="61" spans="1:50" s="1208" customFormat="1" ht="12.75" customHeight="1">
      <c r="A61" s="1210"/>
      <c r="B61" s="1211"/>
      <c r="C61" s="1211"/>
      <c r="D61" s="1211"/>
      <c r="E61" s="1211"/>
      <c r="F61" s="1211"/>
      <c r="G61" s="1211"/>
      <c r="H61" s="12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5"/>
      <c r="AF61" s="1215"/>
      <c r="AG61" s="1215"/>
      <c r="AH61" s="1215"/>
      <c r="AI61" s="1215"/>
      <c r="AJ61" s="1215"/>
      <c r="AK61" s="1215"/>
      <c r="AL61" s="1212"/>
      <c r="AM61" s="1212"/>
      <c r="AN61" s="1207"/>
    </row>
    <row r="62" spans="1:50" s="1208" customFormat="1" ht="12.75" customHeight="1">
      <c r="A62" s="1210"/>
      <c r="B62" s="2634" t="s">
        <v>571</v>
      </c>
      <c r="C62" s="2634"/>
      <c r="D62" s="1220" t="s">
        <v>1516</v>
      </c>
      <c r="E62" s="2635" t="s">
        <v>2673</v>
      </c>
      <c r="F62" s="2636"/>
      <c r="G62" s="2636"/>
      <c r="H62" s="2636"/>
      <c r="I62" s="2636"/>
      <c r="J62" s="2636"/>
      <c r="K62" s="2636"/>
      <c r="L62" s="2636"/>
      <c r="M62" s="2636"/>
      <c r="N62" s="2636"/>
      <c r="O62" s="2636"/>
      <c r="P62" s="2636"/>
      <c r="Q62" s="2636"/>
      <c r="R62" s="2636"/>
      <c r="S62" s="2636"/>
      <c r="T62" s="2636"/>
      <c r="U62" s="2636"/>
      <c r="V62" s="2636"/>
      <c r="W62" s="2636"/>
      <c r="X62" s="2636"/>
      <c r="Y62" s="2636"/>
      <c r="Z62" s="2636"/>
      <c r="AA62" s="2636"/>
      <c r="AB62" s="2636"/>
      <c r="AC62" s="2636"/>
      <c r="AD62" s="2636"/>
      <c r="AE62" s="2636"/>
      <c r="AF62" s="2636"/>
      <c r="AG62" s="2636"/>
      <c r="AH62" s="2636"/>
      <c r="AI62" s="2636"/>
      <c r="AJ62" s="2637"/>
      <c r="AK62" s="1215"/>
      <c r="AL62" s="1212"/>
      <c r="AM62" s="1212"/>
      <c r="AN62" s="1207"/>
      <c r="AO62" s="1223">
        <f>IF($B62="yes",10,0)</f>
        <v>10</v>
      </c>
    </row>
    <row r="63" spans="1:50" s="1208" customFormat="1" ht="12.75" customHeight="1">
      <c r="A63" s="1210"/>
      <c r="B63" s="1212"/>
      <c r="C63" s="1212"/>
      <c r="D63" s="1224"/>
      <c r="E63" s="2638"/>
      <c r="F63" s="2639"/>
      <c r="G63" s="2639"/>
      <c r="H63" s="2639"/>
      <c r="I63" s="2639"/>
      <c r="J63" s="2639"/>
      <c r="K63" s="2639"/>
      <c r="L63" s="2639"/>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40"/>
      <c r="AK63" s="1215"/>
      <c r="AL63" s="1212"/>
      <c r="AM63" s="1212"/>
      <c r="AN63" s="1207"/>
      <c r="AO63" s="1223">
        <f>IF($B68="yes",10,0)</f>
        <v>0</v>
      </c>
    </row>
    <row r="64" spans="1:50" s="1208" customFormat="1" ht="12.75" customHeight="1">
      <c r="A64" s="1210"/>
      <c r="B64" s="1212"/>
      <c r="C64" s="1212"/>
      <c r="D64" s="1224"/>
      <c r="E64" s="2638"/>
      <c r="F64" s="2639"/>
      <c r="G64" s="2639"/>
      <c r="H64" s="2639"/>
      <c r="I64" s="2639"/>
      <c r="J64" s="2639"/>
      <c r="K64" s="2639"/>
      <c r="L64" s="2639"/>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40"/>
      <c r="AK64" s="1215"/>
      <c r="AL64" s="1212"/>
      <c r="AM64" s="1212"/>
      <c r="AN64" s="1207"/>
      <c r="AO64" s="1223">
        <f>IF($B75="yes",10,0)</f>
        <v>0</v>
      </c>
    </row>
    <row r="65" spans="1:42" s="1208" customFormat="1" ht="12.75" customHeight="1">
      <c r="A65" s="1210"/>
      <c r="B65" s="1212"/>
      <c r="C65" s="1212"/>
      <c r="D65" s="1224"/>
      <c r="E65" s="2638"/>
      <c r="F65" s="2639"/>
      <c r="G65" s="2639"/>
      <c r="H65" s="2639"/>
      <c r="I65" s="2639"/>
      <c r="J65" s="2639"/>
      <c r="K65" s="2639"/>
      <c r="L65" s="2639"/>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40"/>
      <c r="AK65" s="1215"/>
      <c r="AL65" s="1212"/>
      <c r="AM65" s="1212"/>
      <c r="AN65" s="1207"/>
      <c r="AO65" s="1208">
        <f>IF(SUM(AO62:AO64)&gt;10,10,(SUM(AO62:AO64)))</f>
        <v>10</v>
      </c>
      <c r="AP65" s="1246" t="s">
        <v>1517</v>
      </c>
    </row>
    <row r="66" spans="1:42" s="1208" customFormat="1" ht="12.75" customHeight="1">
      <c r="A66" s="1210"/>
      <c r="B66" s="1212"/>
      <c r="C66" s="1212"/>
      <c r="D66" s="1224"/>
      <c r="E66" s="2645"/>
      <c r="F66" s="2646"/>
      <c r="G66" s="2646"/>
      <c r="H66" s="2646"/>
      <c r="I66" s="2646"/>
      <c r="J66" s="2646"/>
      <c r="K66" s="2646"/>
      <c r="L66" s="2646"/>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7"/>
      <c r="AK66" s="1215"/>
      <c r="AL66" s="1212"/>
      <c r="AM66" s="1212"/>
      <c r="AN66" s="1207"/>
    </row>
    <row r="67" spans="1:42" s="1208" customFormat="1" ht="12.75" customHeight="1">
      <c r="A67" s="1210"/>
      <c r="B67" s="1212"/>
      <c r="C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5"/>
      <c r="AL67" s="1212"/>
      <c r="AM67" s="1212"/>
      <c r="AN67" s="1207"/>
    </row>
    <row r="68" spans="1:42" s="1208" customFormat="1" ht="12.75" customHeight="1">
      <c r="A68" s="1210"/>
      <c r="B68" s="2634" t="s">
        <v>618</v>
      </c>
      <c r="C68" s="2634"/>
      <c r="D68" s="1220" t="s">
        <v>1518</v>
      </c>
      <c r="E68" s="1247" t="s">
        <v>2044</v>
      </c>
      <c r="F68" s="1248"/>
      <c r="G68" s="1248"/>
      <c r="H68" s="1248"/>
      <c r="I68" s="1248"/>
      <c r="J68" s="1248"/>
      <c r="K68" s="1248"/>
      <c r="L68" s="1248"/>
      <c r="M68" s="1248"/>
      <c r="N68" s="1248"/>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9"/>
      <c r="AK68" s="1215"/>
      <c r="AL68" s="1212"/>
      <c r="AM68" s="1212"/>
      <c r="AN68" s="1207"/>
    </row>
    <row r="69" spans="1:42" s="1208" customFormat="1" ht="12.75" customHeight="1">
      <c r="A69" s="1210"/>
      <c r="B69" s="1212"/>
      <c r="C69" s="1212"/>
      <c r="D69" s="1223"/>
      <c r="E69" s="2644" t="s">
        <v>618</v>
      </c>
      <c r="F69" s="2634"/>
      <c r="G69" s="1250"/>
      <c r="H69" s="1233" t="s">
        <v>1519</v>
      </c>
      <c r="I69" s="1251"/>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2"/>
      <c r="AK69" s="1215"/>
      <c r="AL69" s="1212"/>
      <c r="AM69" s="1212"/>
      <c r="AN69" s="1207"/>
    </row>
    <row r="70" spans="1:42" s="1208" customFormat="1" ht="12.75" customHeight="1">
      <c r="A70" s="1210"/>
      <c r="B70" s="1212"/>
      <c r="C70" s="1212"/>
      <c r="D70" s="1223"/>
      <c r="E70" s="2648" t="s">
        <v>618</v>
      </c>
      <c r="F70" s="2649"/>
      <c r="G70" s="1250"/>
      <c r="H70" s="1233" t="s">
        <v>1520</v>
      </c>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2"/>
      <c r="AK70" s="1215"/>
      <c r="AL70" s="1212"/>
      <c r="AM70" s="1212"/>
      <c r="AN70" s="1207"/>
    </row>
    <row r="71" spans="1:42" s="1208" customFormat="1" ht="12.75" customHeight="1">
      <c r="A71" s="1210"/>
      <c r="B71" s="1212"/>
      <c r="C71" s="1212"/>
      <c r="D71" s="1223"/>
      <c r="E71" s="2648" t="s">
        <v>618</v>
      </c>
      <c r="F71" s="2649"/>
      <c r="G71" s="1250"/>
      <c r="H71" s="1233" t="s">
        <v>2059</v>
      </c>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2"/>
      <c r="AK71" s="1215"/>
      <c r="AL71" s="1212"/>
      <c r="AM71" s="1212"/>
      <c r="AN71" s="1207"/>
    </row>
    <row r="72" spans="1:42" s="1208" customFormat="1" ht="12.75" customHeight="1">
      <c r="A72" s="1210"/>
      <c r="B72" s="1212"/>
      <c r="C72" s="1212"/>
      <c r="D72" s="1223"/>
      <c r="E72" s="1253"/>
      <c r="F72" s="1250"/>
      <c r="G72" s="1250"/>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2"/>
      <c r="AK72" s="1215"/>
      <c r="AL72" s="1212"/>
      <c r="AM72" s="1212"/>
      <c r="AN72" s="1207"/>
    </row>
    <row r="73" spans="1:42" s="1208" customFormat="1" ht="12.75" customHeight="1">
      <c r="A73" s="1210"/>
      <c r="B73" s="1212"/>
      <c r="C73" s="1212"/>
      <c r="D73" s="1223"/>
      <c r="E73" s="2644" t="s">
        <v>618</v>
      </c>
      <c r="F73" s="2634"/>
      <c r="G73" s="1229"/>
      <c r="H73" s="1014" t="s">
        <v>2058</v>
      </c>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54"/>
      <c r="AK73" s="1215"/>
      <c r="AL73" s="1212"/>
      <c r="AM73" s="1212"/>
      <c r="AN73" s="1207"/>
    </row>
    <row r="74" spans="1:42" s="1208" customFormat="1" ht="12.75" customHeight="1">
      <c r="A74" s="1210"/>
      <c r="B74" s="1212"/>
      <c r="C74" s="1212"/>
      <c r="D74" s="1224"/>
      <c r="E74" s="1212"/>
      <c r="F74" s="1212"/>
      <c r="G74" s="1212"/>
      <c r="H74" s="1212"/>
      <c r="I74" s="1212"/>
      <c r="J74" s="1212"/>
      <c r="K74" s="1212"/>
      <c r="L74" s="1212"/>
      <c r="M74" s="1212"/>
      <c r="N74" s="1212"/>
      <c r="O74" s="1212"/>
      <c r="P74" s="1212"/>
      <c r="Q74" s="1212"/>
      <c r="R74" s="1212"/>
      <c r="S74" s="1212"/>
      <c r="T74" s="1212"/>
      <c r="U74" s="1212"/>
      <c r="V74" s="1212"/>
      <c r="W74" s="1212"/>
      <c r="X74" s="1212"/>
      <c r="Y74" s="1212"/>
      <c r="Z74" s="1212"/>
      <c r="AA74" s="1212"/>
      <c r="AB74" s="1212"/>
      <c r="AC74" s="1212"/>
      <c r="AD74" s="1212"/>
      <c r="AE74" s="1212"/>
      <c r="AF74" s="1212"/>
      <c r="AG74" s="1212"/>
      <c r="AH74" s="1212"/>
      <c r="AI74" s="1212"/>
      <c r="AJ74" s="1212"/>
      <c r="AK74" s="1215"/>
      <c r="AL74" s="1212"/>
      <c r="AM74" s="1212"/>
      <c r="AN74" s="1207"/>
    </row>
    <row r="75" spans="1:42" s="1208" customFormat="1" ht="12.75" customHeight="1">
      <c r="A75" s="1210"/>
      <c r="B75" s="2634" t="s">
        <v>618</v>
      </c>
      <c r="C75" s="2634"/>
      <c r="D75" s="1220" t="s">
        <v>1521</v>
      </c>
      <c r="E75" s="2551" t="s">
        <v>2060</v>
      </c>
      <c r="F75" s="2552"/>
      <c r="G75" s="2552"/>
      <c r="H75" s="2552"/>
      <c r="I75" s="2552"/>
      <c r="J75" s="2552"/>
      <c r="K75" s="2552"/>
      <c r="L75" s="2552"/>
      <c r="M75" s="2552"/>
      <c r="N75" s="2552"/>
      <c r="O75" s="2552"/>
      <c r="P75" s="2552"/>
      <c r="Q75" s="2552"/>
      <c r="R75" s="2552"/>
      <c r="S75" s="2552"/>
      <c r="T75" s="2552"/>
      <c r="U75" s="2552"/>
      <c r="V75" s="2552"/>
      <c r="W75" s="2552"/>
      <c r="X75" s="2552"/>
      <c r="Y75" s="2552"/>
      <c r="Z75" s="2552"/>
      <c r="AA75" s="2552"/>
      <c r="AB75" s="2552"/>
      <c r="AC75" s="2552"/>
      <c r="AD75" s="2552"/>
      <c r="AE75" s="2552"/>
      <c r="AF75" s="2552"/>
      <c r="AG75" s="2552"/>
      <c r="AH75" s="2552"/>
      <c r="AI75" s="2552"/>
      <c r="AJ75" s="2553"/>
      <c r="AK75" s="1215"/>
      <c r="AL75" s="1212"/>
      <c r="AM75" s="1212"/>
      <c r="AN75" s="1207"/>
    </row>
    <row r="76" spans="1:42" s="1208" customFormat="1" ht="12.75" customHeight="1">
      <c r="A76" s="1210"/>
      <c r="B76" s="1212"/>
      <c r="C76" s="1212"/>
      <c r="D76" s="1223"/>
      <c r="E76" s="2558"/>
      <c r="F76" s="2559"/>
      <c r="G76" s="2559"/>
      <c r="H76" s="2559"/>
      <c r="I76" s="2559"/>
      <c r="J76" s="2559"/>
      <c r="K76" s="2559"/>
      <c r="L76" s="2559"/>
      <c r="M76" s="2559"/>
      <c r="N76" s="2559"/>
      <c r="O76" s="2559"/>
      <c r="P76" s="2559"/>
      <c r="Q76" s="2559"/>
      <c r="R76" s="2559"/>
      <c r="S76" s="2559"/>
      <c r="T76" s="2559"/>
      <c r="U76" s="2559"/>
      <c r="V76" s="2559"/>
      <c r="W76" s="2559"/>
      <c r="X76" s="2559"/>
      <c r="Y76" s="2559"/>
      <c r="Z76" s="2559"/>
      <c r="AA76" s="2559"/>
      <c r="AB76" s="2559"/>
      <c r="AC76" s="2559"/>
      <c r="AD76" s="2559"/>
      <c r="AE76" s="2559"/>
      <c r="AF76" s="2559"/>
      <c r="AG76" s="2559"/>
      <c r="AH76" s="2559"/>
      <c r="AI76" s="2559"/>
      <c r="AJ76" s="2560"/>
      <c r="AK76" s="1215"/>
      <c r="AL76" s="1212"/>
      <c r="AM76" s="1212"/>
      <c r="AN76" s="1207"/>
    </row>
    <row r="77" spans="1:42" s="1208" customFormat="1" ht="12.75" customHeight="1">
      <c r="A77" s="1210"/>
      <c r="B77" s="1212"/>
      <c r="C77" s="1212"/>
      <c r="D77" s="1223"/>
      <c r="E77" s="1212"/>
      <c r="F77" s="1212"/>
      <c r="G77" s="1212"/>
      <c r="H77" s="1212"/>
      <c r="I77" s="1212"/>
      <c r="J77" s="1212"/>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2"/>
      <c r="AG77" s="1212"/>
      <c r="AH77" s="1212"/>
      <c r="AI77" s="1212"/>
      <c r="AJ77" s="1212"/>
      <c r="AK77" s="1215"/>
      <c r="AL77" s="1212"/>
      <c r="AM77" s="1212"/>
      <c r="AN77" s="1207"/>
    </row>
    <row r="78" spans="1:42" s="1208" customFormat="1" ht="12.75" customHeight="1">
      <c r="A78" s="1236"/>
      <c r="B78" s="1237"/>
      <c r="C78" s="1237"/>
      <c r="D78" s="1237"/>
      <c r="E78" s="1237"/>
      <c r="F78" s="1237"/>
      <c r="G78" s="1238"/>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40"/>
      <c r="AJ78" s="1240" t="s">
        <v>1522</v>
      </c>
      <c r="AK78" s="2617">
        <f>IF(AK56&gt;0,0,AO65)</f>
        <v>10</v>
      </c>
      <c r="AL78" s="2618"/>
      <c r="AM78" s="2619"/>
      <c r="AN78" s="1207"/>
    </row>
    <row r="79" spans="1:42" s="1208" customFormat="1" ht="12.75" customHeight="1" thickBot="1">
      <c r="A79" s="1241"/>
      <c r="B79" s="1242"/>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4"/>
      <c r="AN79" s="1207"/>
    </row>
    <row r="80" spans="1:42" s="1208" customFormat="1" ht="12.75" customHeight="1" thickTop="1">
      <c r="B80" s="914"/>
      <c r="C80" s="915"/>
      <c r="D80" s="915"/>
      <c r="E80" s="915"/>
      <c r="F80" s="915"/>
      <c r="G80" s="915"/>
      <c r="H80" s="915"/>
      <c r="I80" s="1245"/>
      <c r="J80" s="1245"/>
      <c r="K80" s="1245"/>
      <c r="L80" s="1245"/>
      <c r="M80" s="1245"/>
      <c r="N80" s="1245"/>
      <c r="O80" s="1245"/>
      <c r="P80" s="1245"/>
      <c r="Q80" s="1245"/>
      <c r="S80" s="1211"/>
      <c r="T80" s="1211"/>
      <c r="U80" s="1211"/>
      <c r="V80" s="1211"/>
      <c r="W80" s="1211"/>
      <c r="X80" s="1211"/>
      <c r="Y80" s="1211"/>
      <c r="Z80" s="1211"/>
      <c r="AA80" s="1211"/>
      <c r="AB80" s="1211"/>
      <c r="AC80" s="1211"/>
      <c r="AD80" s="1211"/>
      <c r="AE80" s="1211"/>
      <c r="AG80" s="1211"/>
      <c r="AH80" s="1211"/>
      <c r="AI80" s="1211"/>
      <c r="AJ80" s="1211"/>
      <c r="AK80" s="1223"/>
      <c r="AL80" s="1223"/>
      <c r="AM80" s="1223"/>
      <c r="AN80" s="1207"/>
    </row>
    <row r="81" spans="1:43" s="1208" customFormat="1" ht="12.75" customHeight="1">
      <c r="A81" s="1210" t="s">
        <v>1523</v>
      </c>
      <c r="B81" s="1211" t="s">
        <v>1524</v>
      </c>
      <c r="C81" s="1211"/>
      <c r="D81" s="1211"/>
      <c r="E81" s="1211"/>
      <c r="F81" s="1211"/>
      <c r="G81" s="121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2478" t="s">
        <v>1506</v>
      </c>
      <c r="AF81" s="2478"/>
      <c r="AG81" s="2478"/>
      <c r="AH81" s="2478"/>
      <c r="AI81" s="2478"/>
      <c r="AJ81" s="2478"/>
      <c r="AK81" s="2478"/>
      <c r="AL81" s="1212"/>
      <c r="AM81" s="1212"/>
      <c r="AN81" s="1207"/>
    </row>
    <row r="82" spans="1:43" s="1208" customFormat="1" ht="12.75" customHeight="1">
      <c r="A82" s="1210"/>
      <c r="B82" s="1211" t="s">
        <v>1525</v>
      </c>
      <c r="C82" s="1211"/>
      <c r="D82" s="1211"/>
      <c r="E82" s="1211"/>
      <c r="F82" s="1211"/>
      <c r="G82" s="1211"/>
      <c r="H82" s="121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5"/>
      <c r="AF82" s="1215"/>
      <c r="AG82" s="1215"/>
      <c r="AH82" s="1215"/>
      <c r="AI82" s="1215"/>
      <c r="AJ82" s="1215"/>
      <c r="AK82" s="1215"/>
      <c r="AL82" s="1212"/>
      <c r="AM82" s="1212"/>
      <c r="AN82" s="1207"/>
    </row>
    <row r="83" spans="1:43" s="1208" customFormat="1" ht="12.75" customHeight="1">
      <c r="A83" s="1210"/>
      <c r="B83" s="1211"/>
      <c r="C83" s="1211"/>
      <c r="D83" s="1211"/>
      <c r="E83" s="1211"/>
      <c r="F83" s="1211"/>
      <c r="G83" s="1211"/>
      <c r="H83" s="121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5"/>
      <c r="AF83" s="1215"/>
      <c r="AG83" s="1215"/>
      <c r="AH83" s="1215"/>
      <c r="AI83" s="1215"/>
      <c r="AJ83" s="1215"/>
      <c r="AK83" s="1215"/>
      <c r="AL83" s="1212"/>
      <c r="AM83" s="1212"/>
      <c r="AN83" s="1207"/>
    </row>
    <row r="84" spans="1:43" s="1208" customFormat="1" ht="12.75" customHeight="1">
      <c r="A84" s="1210"/>
      <c r="B84" s="2634" t="s">
        <v>618</v>
      </c>
      <c r="C84" s="2634"/>
      <c r="D84" s="1220" t="s">
        <v>1516</v>
      </c>
      <c r="E84" s="2635" t="s">
        <v>1526</v>
      </c>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7"/>
      <c r="AK84" s="1215"/>
      <c r="AL84" s="1212"/>
      <c r="AM84" s="1212"/>
      <c r="AN84" s="1207"/>
    </row>
    <row r="85" spans="1:43" s="1208" customFormat="1" ht="12.75" customHeight="1">
      <c r="A85" s="1210"/>
      <c r="B85" s="1211"/>
      <c r="C85" s="1211"/>
      <c r="D85" s="1211"/>
      <c r="E85" s="2638"/>
      <c r="F85" s="2639"/>
      <c r="G85" s="2639"/>
      <c r="H85" s="2639"/>
      <c r="I85" s="2639"/>
      <c r="J85" s="2639"/>
      <c r="K85" s="2639"/>
      <c r="L85" s="2639"/>
      <c r="M85" s="2639"/>
      <c r="N85" s="2639"/>
      <c r="O85" s="2639"/>
      <c r="P85" s="2639"/>
      <c r="Q85" s="2639"/>
      <c r="R85" s="2639"/>
      <c r="S85" s="2639"/>
      <c r="T85" s="2639"/>
      <c r="U85" s="2639"/>
      <c r="V85" s="2639"/>
      <c r="W85" s="2639"/>
      <c r="X85" s="2639"/>
      <c r="Y85" s="2639"/>
      <c r="Z85" s="2639"/>
      <c r="AA85" s="2639"/>
      <c r="AB85" s="2639"/>
      <c r="AC85" s="2639"/>
      <c r="AD85" s="2639"/>
      <c r="AE85" s="2639"/>
      <c r="AF85" s="2639"/>
      <c r="AG85" s="2639"/>
      <c r="AH85" s="2639"/>
      <c r="AI85" s="2639"/>
      <c r="AJ85" s="2640"/>
      <c r="AK85" s="1215"/>
      <c r="AL85" s="1212"/>
      <c r="AM85" s="1212"/>
      <c r="AN85" s="1207"/>
    </row>
    <row r="86" spans="1:43" s="1208" customFormat="1" ht="12.75" customHeight="1">
      <c r="A86" s="1210"/>
      <c r="B86" s="1211"/>
      <c r="C86" s="1211"/>
      <c r="D86" s="1211"/>
      <c r="E86" s="1255"/>
      <c r="F86" s="1256"/>
      <c r="G86" s="1256"/>
      <c r="H86" s="1256"/>
      <c r="I86" s="1256"/>
      <c r="J86" s="1256"/>
      <c r="K86" s="1256"/>
      <c r="L86" s="1256"/>
      <c r="M86" s="1256"/>
      <c r="N86" s="1256"/>
      <c r="O86" s="1256"/>
      <c r="P86" s="1256"/>
      <c r="Q86" s="1256"/>
      <c r="R86" s="1256"/>
      <c r="S86" s="1256"/>
      <c r="T86" s="1256"/>
      <c r="U86" s="1256"/>
      <c r="V86" s="1256"/>
      <c r="W86" s="1256"/>
      <c r="X86" s="1256"/>
      <c r="Y86" s="1256"/>
      <c r="Z86" s="1257"/>
      <c r="AA86" s="1257"/>
      <c r="AB86" s="1257"/>
      <c r="AC86" s="1256"/>
      <c r="AD86" s="1256"/>
      <c r="AE86" s="1256"/>
      <c r="AF86" s="1256"/>
      <c r="AG86" s="1256"/>
      <c r="AH86" s="1256"/>
      <c r="AI86" s="1256"/>
      <c r="AJ86" s="1258"/>
      <c r="AK86" s="1215"/>
      <c r="AL86" s="1212"/>
      <c r="AM86" s="1212"/>
      <c r="AN86" s="1207"/>
    </row>
    <row r="87" spans="1:43" s="1208" customFormat="1" ht="12.75" customHeight="1">
      <c r="A87" s="1210"/>
      <c r="B87" s="1211"/>
      <c r="C87" s="1211"/>
      <c r="D87" s="1211"/>
      <c r="E87" s="2630">
        <f>Application!AC753</f>
        <v>0.59817073170731716</v>
      </c>
      <c r="F87" s="2631"/>
      <c r="G87" s="2631"/>
      <c r="H87" s="2631"/>
      <c r="I87" s="1256"/>
      <c r="J87" s="1259" t="s">
        <v>1527</v>
      </c>
      <c r="K87" s="1256"/>
      <c r="L87" s="1256"/>
      <c r="M87" s="1256"/>
      <c r="N87" s="1256"/>
      <c r="O87" s="1256"/>
      <c r="P87" s="1256"/>
      <c r="Q87" s="1256"/>
      <c r="R87" s="1256"/>
      <c r="S87" s="1256"/>
      <c r="T87" s="1256"/>
      <c r="U87" s="1256"/>
      <c r="V87" s="1256"/>
      <c r="W87" s="1256"/>
      <c r="X87" s="1256"/>
      <c r="Y87" s="1256"/>
      <c r="Z87" s="1260"/>
      <c r="AA87" s="1260"/>
      <c r="AB87" s="1260"/>
      <c r="AC87" s="1256"/>
      <c r="AD87" s="1256"/>
      <c r="AE87" s="1256"/>
      <c r="AF87" s="1256"/>
      <c r="AG87" s="1256"/>
      <c r="AH87" s="1256"/>
      <c r="AI87" s="1256"/>
      <c r="AJ87" s="1258"/>
      <c r="AK87" s="1215"/>
      <c r="AL87" s="1212"/>
      <c r="AM87" s="1212"/>
      <c r="AN87" s="1207"/>
    </row>
    <row r="88" spans="1:43" s="1208" customFormat="1" ht="12.75" customHeight="1">
      <c r="A88" s="1210"/>
      <c r="B88" s="1211"/>
      <c r="C88" s="1211"/>
      <c r="D88" s="1211"/>
      <c r="E88" s="2641">
        <f>0.6-ROUNDUP(E87,2)</f>
        <v>0</v>
      </c>
      <c r="F88" s="2621"/>
      <c r="G88" s="2621"/>
      <c r="H88" s="2621"/>
      <c r="I88" s="1256"/>
      <c r="J88" s="1259" t="s">
        <v>1528</v>
      </c>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8"/>
      <c r="AK88" s="1215"/>
      <c r="AL88" s="1212"/>
      <c r="AM88" s="1212"/>
      <c r="AN88" s="1207"/>
    </row>
    <row r="89" spans="1:43" s="1208" customFormat="1" ht="12.75" customHeight="1">
      <c r="A89" s="1210"/>
      <c r="B89" s="1211"/>
      <c r="C89" s="1211"/>
      <c r="D89" s="1211"/>
      <c r="E89" s="2642">
        <f>IF(E88*200&gt;20,20,E88*200)</f>
        <v>0</v>
      </c>
      <c r="F89" s="2643"/>
      <c r="G89" s="2643"/>
      <c r="H89" s="2643"/>
      <c r="I89" s="1256"/>
      <c r="J89" s="1259" t="s">
        <v>1529</v>
      </c>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8"/>
      <c r="AK89" s="1215"/>
      <c r="AL89" s="1212"/>
      <c r="AM89" s="1212"/>
      <c r="AN89" s="1207"/>
      <c r="AP89" s="1208">
        <f>IF(B84="yes",E89,0)</f>
        <v>0</v>
      </c>
      <c r="AQ89" s="1208" t="s">
        <v>1509</v>
      </c>
    </row>
    <row r="90" spans="1:43" s="1208" customFormat="1" ht="12.75" customHeight="1">
      <c r="A90" s="1210"/>
      <c r="B90" s="1211"/>
      <c r="C90" s="1211"/>
      <c r="D90" s="1211"/>
      <c r="E90" s="1261"/>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3"/>
      <c r="AF90" s="1263"/>
      <c r="AG90" s="1263"/>
      <c r="AH90" s="1263"/>
      <c r="AI90" s="1263"/>
      <c r="AJ90" s="1264"/>
      <c r="AK90" s="1215"/>
      <c r="AL90" s="1212"/>
      <c r="AM90" s="1212"/>
      <c r="AN90" s="1207"/>
    </row>
    <row r="91" spans="1:43" s="1208" customFormat="1" ht="12.75" customHeight="1">
      <c r="A91" s="1210"/>
      <c r="B91" s="1211"/>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5"/>
      <c r="AF91" s="1215"/>
      <c r="AG91" s="1215"/>
      <c r="AH91" s="1215"/>
      <c r="AI91" s="1215"/>
      <c r="AJ91" s="1215"/>
      <c r="AK91" s="1215"/>
      <c r="AL91" s="1212"/>
      <c r="AM91" s="1212"/>
      <c r="AN91" s="1207"/>
    </row>
    <row r="92" spans="1:43" s="1208" customFormat="1" ht="12.75" customHeight="1">
      <c r="A92" s="1210"/>
      <c r="B92" s="2634" t="s">
        <v>571</v>
      </c>
      <c r="C92" s="2634"/>
      <c r="D92" s="1220" t="s">
        <v>1518</v>
      </c>
      <c r="E92" s="2635" t="s">
        <v>2045</v>
      </c>
      <c r="F92" s="2636"/>
      <c r="G92" s="2636"/>
      <c r="H92" s="2636"/>
      <c r="I92" s="2636"/>
      <c r="J92" s="2636"/>
      <c r="K92" s="2636"/>
      <c r="L92" s="2636"/>
      <c r="M92" s="2636"/>
      <c r="N92" s="2636"/>
      <c r="O92" s="2636"/>
      <c r="P92" s="2636"/>
      <c r="Q92" s="2636"/>
      <c r="R92" s="2636"/>
      <c r="S92" s="2636"/>
      <c r="T92" s="2636"/>
      <c r="U92" s="2636"/>
      <c r="V92" s="2636"/>
      <c r="W92" s="2636"/>
      <c r="X92" s="2636"/>
      <c r="Y92" s="2636"/>
      <c r="Z92" s="2636"/>
      <c r="AA92" s="2636"/>
      <c r="AB92" s="2636"/>
      <c r="AC92" s="2636"/>
      <c r="AD92" s="2636"/>
      <c r="AE92" s="2636"/>
      <c r="AF92" s="2636"/>
      <c r="AG92" s="2636"/>
      <c r="AH92" s="2636"/>
      <c r="AI92" s="2636"/>
      <c r="AJ92" s="2637"/>
      <c r="AK92" s="1215"/>
      <c r="AL92" s="1212"/>
      <c r="AM92" s="1212"/>
      <c r="AN92" s="1207"/>
    </row>
    <row r="93" spans="1:43" s="1208" customFormat="1" ht="12.75" customHeight="1">
      <c r="A93" s="1210"/>
      <c r="B93" s="1211"/>
      <c r="C93" s="1211"/>
      <c r="D93" s="1211"/>
      <c r="E93" s="2638"/>
      <c r="F93" s="2639"/>
      <c r="G93" s="2639"/>
      <c r="H93" s="2639"/>
      <c r="I93" s="2639"/>
      <c r="J93" s="2639"/>
      <c r="K93" s="2639"/>
      <c r="L93" s="2639"/>
      <c r="M93" s="2639"/>
      <c r="N93" s="2639"/>
      <c r="O93" s="2639"/>
      <c r="P93" s="2639"/>
      <c r="Q93" s="2639"/>
      <c r="R93" s="2639"/>
      <c r="S93" s="2639"/>
      <c r="T93" s="2639"/>
      <c r="U93" s="2639"/>
      <c r="V93" s="2639"/>
      <c r="W93" s="2639"/>
      <c r="X93" s="2639"/>
      <c r="Y93" s="2639"/>
      <c r="Z93" s="2639"/>
      <c r="AA93" s="2639"/>
      <c r="AB93" s="2639"/>
      <c r="AC93" s="2639"/>
      <c r="AD93" s="2639"/>
      <c r="AE93" s="2639"/>
      <c r="AF93" s="2639"/>
      <c r="AG93" s="2639"/>
      <c r="AH93" s="2639"/>
      <c r="AI93" s="2639"/>
      <c r="AJ93" s="2640"/>
      <c r="AK93" s="1215"/>
      <c r="AL93" s="1212"/>
      <c r="AM93" s="1212"/>
      <c r="AN93" s="1207"/>
    </row>
    <row r="94" spans="1:43" s="1208" customFormat="1" ht="12.75" customHeight="1">
      <c r="A94" s="1210"/>
      <c r="B94" s="1211"/>
      <c r="C94" s="1211"/>
      <c r="D94" s="1211"/>
      <c r="E94" s="2638"/>
      <c r="F94" s="2639"/>
      <c r="G94" s="2639"/>
      <c r="H94" s="2639"/>
      <c r="I94" s="2639"/>
      <c r="J94" s="2639"/>
      <c r="K94" s="2639"/>
      <c r="L94" s="2639"/>
      <c r="M94" s="2639"/>
      <c r="N94" s="2639"/>
      <c r="O94" s="2639"/>
      <c r="P94" s="2639"/>
      <c r="Q94" s="2639"/>
      <c r="R94" s="2639"/>
      <c r="S94" s="2639"/>
      <c r="T94" s="2639"/>
      <c r="U94" s="2639"/>
      <c r="V94" s="2639"/>
      <c r="W94" s="2639"/>
      <c r="X94" s="2639"/>
      <c r="Y94" s="2639"/>
      <c r="Z94" s="2639"/>
      <c r="AA94" s="2639"/>
      <c r="AB94" s="2639"/>
      <c r="AC94" s="2639"/>
      <c r="AD94" s="2639"/>
      <c r="AE94" s="2639"/>
      <c r="AF94" s="2639"/>
      <c r="AG94" s="2639"/>
      <c r="AH94" s="2639"/>
      <c r="AI94" s="2639"/>
      <c r="AJ94" s="2640"/>
      <c r="AK94" s="1215"/>
      <c r="AL94" s="1212"/>
      <c r="AM94" s="1212"/>
      <c r="AN94" s="1207"/>
    </row>
    <row r="95" spans="1:43" s="1208" customFormat="1" ht="12.75" customHeight="1">
      <c r="A95" s="1210"/>
      <c r="B95" s="1211"/>
      <c r="C95" s="1211"/>
      <c r="D95" s="1211"/>
      <c r="E95" s="2638"/>
      <c r="F95" s="2639"/>
      <c r="G95" s="2639"/>
      <c r="H95" s="2639"/>
      <c r="I95" s="2639"/>
      <c r="J95" s="2639"/>
      <c r="K95" s="2639"/>
      <c r="L95" s="2639"/>
      <c r="M95" s="2639"/>
      <c r="N95" s="2639"/>
      <c r="O95" s="2639"/>
      <c r="P95" s="2639"/>
      <c r="Q95" s="2639"/>
      <c r="R95" s="2639"/>
      <c r="S95" s="2639"/>
      <c r="T95" s="2639"/>
      <c r="U95" s="2639"/>
      <c r="V95" s="2639"/>
      <c r="W95" s="2639"/>
      <c r="X95" s="2639"/>
      <c r="Y95" s="2639"/>
      <c r="Z95" s="2639"/>
      <c r="AA95" s="2639"/>
      <c r="AB95" s="2639"/>
      <c r="AC95" s="2639"/>
      <c r="AD95" s="2639"/>
      <c r="AE95" s="2639"/>
      <c r="AF95" s="2639"/>
      <c r="AG95" s="2639"/>
      <c r="AH95" s="2639"/>
      <c r="AI95" s="2639"/>
      <c r="AJ95" s="2640"/>
      <c r="AK95" s="1215"/>
      <c r="AL95" s="1212"/>
      <c r="AM95" s="1212"/>
      <c r="AN95" s="1207"/>
    </row>
    <row r="96" spans="1:43" s="1208" customFormat="1" ht="12.75" customHeight="1">
      <c r="A96" s="1210"/>
      <c r="B96" s="1211"/>
      <c r="C96" s="1211"/>
      <c r="D96" s="1211"/>
      <c r="E96" s="1265"/>
      <c r="F96" s="1226"/>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7"/>
      <c r="AK96" s="1215"/>
      <c r="AL96" s="1212"/>
      <c r="AM96" s="1212"/>
      <c r="AN96" s="1207"/>
    </row>
    <row r="97" spans="1:49" s="1208" customFormat="1" ht="12.75" customHeight="1">
      <c r="A97" s="1210"/>
      <c r="B97" s="1211"/>
      <c r="C97" s="1211"/>
      <c r="D97" s="1211"/>
      <c r="E97" s="2630">
        <f>Application!AC753</f>
        <v>0.59817073170731716</v>
      </c>
      <c r="F97" s="2631"/>
      <c r="G97" s="2631"/>
      <c r="H97" s="2631"/>
      <c r="I97" s="1256"/>
      <c r="J97" s="1259" t="s">
        <v>1527</v>
      </c>
      <c r="K97" s="1256"/>
      <c r="L97" s="1256"/>
      <c r="M97" s="1256"/>
      <c r="N97" s="1256"/>
      <c r="O97" s="1256"/>
      <c r="P97" s="1256"/>
      <c r="Q97" s="1256"/>
      <c r="R97" s="1226"/>
      <c r="S97" s="1226"/>
      <c r="T97" s="1226"/>
      <c r="U97" s="1226"/>
      <c r="V97" s="1226"/>
      <c r="W97" s="1226"/>
      <c r="X97" s="1226"/>
      <c r="Y97" s="1226"/>
      <c r="Z97" s="1226"/>
      <c r="AA97" s="1226"/>
      <c r="AB97" s="1226"/>
      <c r="AC97" s="1226"/>
      <c r="AD97" s="1226"/>
      <c r="AE97" s="1226"/>
      <c r="AF97" s="1226"/>
      <c r="AG97" s="1226"/>
      <c r="AH97" s="1226"/>
      <c r="AI97" s="1226"/>
      <c r="AJ97" s="1227"/>
      <c r="AK97" s="1215"/>
      <c r="AL97" s="1212"/>
      <c r="AM97" s="1212"/>
      <c r="AN97" s="1207"/>
    </row>
    <row r="98" spans="1:49" s="1208" customFormat="1" ht="12.75" customHeight="1">
      <c r="A98" s="1210"/>
      <c r="B98" s="1211"/>
      <c r="C98" s="1211"/>
      <c r="D98" s="1211"/>
      <c r="E98" s="2630">
        <f ca="1">SUMIF(Application!AC728:AG752,0.2,Application!G728:J752)/Application!G753+SUMIF(Application!AC728:AG752,0.25,Application!G728:J752)/Application!G753+SUMIF(Application!AC728:AG752,0.3,Application!G728:J752)/Application!G753</f>
        <v>0.10365853658536585</v>
      </c>
      <c r="F98" s="2631"/>
      <c r="G98" s="2631"/>
      <c r="H98" s="2631"/>
      <c r="I98" s="1256"/>
      <c r="J98" s="1259" t="s">
        <v>1530</v>
      </c>
      <c r="K98" s="1256"/>
      <c r="L98" s="1256"/>
      <c r="M98" s="1256"/>
      <c r="N98" s="1256"/>
      <c r="O98" s="1256"/>
      <c r="P98" s="1256"/>
      <c r="Q98" s="1256"/>
      <c r="R98" s="1226"/>
      <c r="S98" s="1226"/>
      <c r="T98" s="1226"/>
      <c r="U98" s="1226"/>
      <c r="V98" s="1226"/>
      <c r="W98" s="1226"/>
      <c r="X98" s="1226"/>
      <c r="Y98" s="1226"/>
      <c r="Z98" s="1226"/>
      <c r="AA98" s="1226"/>
      <c r="AB98" s="1226"/>
      <c r="AC98" s="1226"/>
      <c r="AD98" s="1226"/>
      <c r="AE98" s="1226"/>
      <c r="AF98" s="1226"/>
      <c r="AG98" s="1226"/>
      <c r="AH98" s="1226"/>
      <c r="AI98" s="1226"/>
      <c r="AJ98" s="1227"/>
      <c r="AK98" s="1215"/>
      <c r="AL98" s="1212"/>
      <c r="AM98" s="1212"/>
      <c r="AN98" s="1207"/>
      <c r="AU98" s="1266"/>
    </row>
    <row r="99" spans="1:49" s="1208" customFormat="1" ht="12.75" customHeight="1">
      <c r="A99" s="1210"/>
      <c r="B99" s="1211"/>
      <c r="C99" s="1211"/>
      <c r="D99" s="1211"/>
      <c r="E99" s="2630">
        <f ca="1">SUMIF(Application!AC728:AG752,0.35,Application!G728:J752)/Application!G753+SUMIF(Application!AC728:AG752,0.4,Application!G728:J752)/Application!G753+SUMIF(Application!AC728:AG752,0.45,Application!G728:J752)/Application!G753+SUMIF(Application!AC728:AG752,0.5,Application!G728:J752)/Application!G753</f>
        <v>0.20121951219512196</v>
      </c>
      <c r="F99" s="2631"/>
      <c r="G99" s="2631"/>
      <c r="H99" s="2631"/>
      <c r="I99" s="1256"/>
      <c r="J99" s="1259" t="s">
        <v>1531</v>
      </c>
      <c r="K99" s="1256"/>
      <c r="L99" s="1256"/>
      <c r="M99" s="1256"/>
      <c r="N99" s="1256"/>
      <c r="O99" s="1256"/>
      <c r="P99" s="1256"/>
      <c r="Q99" s="1256"/>
      <c r="R99" s="1226"/>
      <c r="S99" s="1226"/>
      <c r="T99" s="1226"/>
      <c r="U99" s="1226"/>
      <c r="V99" s="1226"/>
      <c r="W99" s="1226"/>
      <c r="X99" s="1226"/>
      <c r="Y99" s="1226"/>
      <c r="Z99" s="1226"/>
      <c r="AA99" s="1226"/>
      <c r="AB99" s="1226"/>
      <c r="AC99" s="1226"/>
      <c r="AD99" s="1226"/>
      <c r="AE99" s="1226"/>
      <c r="AF99" s="1226"/>
      <c r="AG99" s="1226"/>
      <c r="AH99" s="1226"/>
      <c r="AI99" s="1226"/>
      <c r="AJ99" s="1227"/>
      <c r="AK99" s="1215"/>
      <c r="AL99" s="1212"/>
      <c r="AM99" s="1212"/>
      <c r="AN99" s="1207"/>
      <c r="AU99" s="1266"/>
    </row>
    <row r="100" spans="1:49" s="1208" customFormat="1" ht="12.75" customHeight="1">
      <c r="A100" s="1210"/>
      <c r="B100" s="1211"/>
      <c r="C100" s="1211"/>
      <c r="D100" s="1211"/>
      <c r="E100" s="2632">
        <f ca="1">IF(AND(E97&lt;=0.6,E98&gt;=0.1,OR(E99&gt;=0.1,E98&gt;=0.2)),20,0)</f>
        <v>20</v>
      </c>
      <c r="F100" s="2633"/>
      <c r="G100" s="2633"/>
      <c r="H100" s="2633"/>
      <c r="I100" s="1226"/>
      <c r="J100" s="1267" t="s">
        <v>1529</v>
      </c>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7"/>
      <c r="AK100" s="1215"/>
      <c r="AL100" s="1212"/>
      <c r="AM100" s="1212"/>
      <c r="AN100" s="1207"/>
      <c r="AP100" s="1208">
        <f ca="1">IF(B92="yes",E100,0)</f>
        <v>20</v>
      </c>
      <c r="AQ100" s="1208" t="s">
        <v>1509</v>
      </c>
    </row>
    <row r="101" spans="1:49" s="1208" customFormat="1" ht="12.75" customHeight="1">
      <c r="A101" s="1210"/>
      <c r="B101" s="1211"/>
      <c r="C101" s="1211"/>
      <c r="D101" s="1211"/>
      <c r="E101" s="1261"/>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3"/>
      <c r="AF101" s="1263"/>
      <c r="AG101" s="1263"/>
      <c r="AH101" s="1263"/>
      <c r="AI101" s="1263"/>
      <c r="AJ101" s="1264"/>
      <c r="AK101" s="1215"/>
      <c r="AL101" s="1212"/>
      <c r="AM101" s="1212"/>
      <c r="AN101" s="1207"/>
    </row>
    <row r="102" spans="1:49" s="1208" customFormat="1" ht="12.75" customHeight="1">
      <c r="A102" s="1210"/>
      <c r="B102" s="1211"/>
      <c r="C102" s="1211"/>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5"/>
      <c r="AF102" s="1215"/>
      <c r="AG102" s="1215"/>
      <c r="AH102" s="1215"/>
      <c r="AI102" s="1215"/>
      <c r="AJ102" s="1215"/>
      <c r="AK102" s="1215"/>
      <c r="AL102" s="1212"/>
      <c r="AM102" s="1212"/>
      <c r="AN102" s="1207"/>
    </row>
    <row r="103" spans="1:49" s="1208" customFormat="1" ht="12.75" customHeight="1">
      <c r="A103" s="1236"/>
      <c r="B103" s="1237"/>
      <c r="C103" s="1237"/>
      <c r="D103" s="1237"/>
      <c r="E103" s="1237"/>
      <c r="F103" s="1237"/>
      <c r="G103" s="1238"/>
      <c r="H103" s="1239"/>
      <c r="I103" s="1239"/>
      <c r="J103" s="1239"/>
      <c r="K103" s="1239"/>
      <c r="L103" s="1239"/>
      <c r="M103" s="1239"/>
      <c r="N103" s="1239"/>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40"/>
      <c r="AJ103" s="1240" t="s">
        <v>1532</v>
      </c>
      <c r="AK103" s="2617">
        <f ca="1">MAX(AP89,AP100)</f>
        <v>20</v>
      </c>
      <c r="AL103" s="2618"/>
      <c r="AM103" s="2619"/>
      <c r="AN103" s="1207"/>
    </row>
    <row r="104" spans="1:49" s="1208" customFormat="1" ht="12.75" customHeight="1" thickBot="1">
      <c r="A104" s="1241"/>
      <c r="B104" s="1242"/>
      <c r="C104" s="1243"/>
      <c r="D104" s="1243"/>
      <c r="E104" s="1243"/>
      <c r="F104" s="1243"/>
      <c r="G104" s="1243"/>
      <c r="H104" s="1243"/>
      <c r="I104" s="1243"/>
      <c r="J104" s="1243"/>
      <c r="K104" s="1243"/>
      <c r="L104" s="1243"/>
      <c r="M104" s="1243"/>
      <c r="N104" s="1243"/>
      <c r="O104" s="1243"/>
      <c r="P104" s="1243"/>
      <c r="Q104" s="1243"/>
      <c r="R104" s="1243"/>
      <c r="S104" s="1243"/>
      <c r="T104" s="1243"/>
      <c r="U104" s="1243"/>
      <c r="V104" s="1243"/>
      <c r="W104" s="1243"/>
      <c r="X104" s="1243"/>
      <c r="Y104" s="1243"/>
      <c r="Z104" s="1243"/>
      <c r="AA104" s="1243"/>
      <c r="AB104" s="1243"/>
      <c r="AC104" s="1243"/>
      <c r="AD104" s="1243"/>
      <c r="AE104" s="1243"/>
      <c r="AF104" s="1243"/>
      <c r="AG104" s="1243"/>
      <c r="AH104" s="1243"/>
      <c r="AI104" s="1243"/>
      <c r="AJ104" s="1243"/>
      <c r="AK104" s="1243"/>
      <c r="AL104" s="1243"/>
      <c r="AM104" s="1244"/>
      <c r="AN104" s="1207"/>
    </row>
    <row r="105" spans="1:49" s="1208" customFormat="1" ht="12.75" customHeight="1" thickTop="1">
      <c r="B105" s="914"/>
      <c r="C105" s="915"/>
      <c r="D105" s="915"/>
      <c r="E105" s="915"/>
      <c r="F105" s="915"/>
      <c r="G105" s="915"/>
      <c r="H105" s="915"/>
      <c r="I105" s="1245"/>
      <c r="J105" s="1245"/>
      <c r="K105" s="1245"/>
      <c r="L105" s="1245"/>
      <c r="M105" s="1245"/>
      <c r="N105" s="1245"/>
      <c r="O105" s="1245"/>
      <c r="P105" s="1245"/>
      <c r="Q105" s="1245"/>
      <c r="S105" s="1211"/>
      <c r="T105" s="1211"/>
      <c r="U105" s="1211"/>
      <c r="V105" s="1211"/>
      <c r="W105" s="1211"/>
      <c r="X105" s="1211"/>
      <c r="Y105" s="1211"/>
      <c r="Z105" s="1211"/>
      <c r="AA105" s="1211"/>
      <c r="AB105" s="1211"/>
      <c r="AC105" s="1211"/>
      <c r="AD105" s="1211"/>
      <c r="AE105" s="1211"/>
      <c r="AG105" s="1211"/>
      <c r="AH105" s="1211"/>
      <c r="AI105" s="1211"/>
      <c r="AJ105" s="1211"/>
      <c r="AK105" s="1223"/>
      <c r="AL105" s="1223"/>
      <c r="AM105" s="1223"/>
      <c r="AN105" s="1207"/>
    </row>
    <row r="106" spans="1:49" s="1208" customFormat="1" ht="12.75" customHeight="1">
      <c r="A106" s="1210" t="s">
        <v>1533</v>
      </c>
      <c r="B106" s="1211" t="s">
        <v>1534</v>
      </c>
      <c r="C106" s="1211"/>
      <c r="D106" s="1211"/>
      <c r="E106" s="1211"/>
      <c r="F106" s="1211"/>
      <c r="G106" s="1211"/>
      <c r="H106" s="1211"/>
      <c r="I106" s="1211"/>
      <c r="J106" s="1211"/>
      <c r="K106" s="1211"/>
      <c r="L106" s="1211"/>
      <c r="M106" s="1211"/>
      <c r="N106" s="1211"/>
      <c r="O106" s="1211"/>
      <c r="P106" s="1211"/>
      <c r="Q106" s="1211"/>
      <c r="R106" s="1211"/>
      <c r="S106" s="1211"/>
      <c r="T106" s="1211"/>
      <c r="U106" s="1211"/>
      <c r="V106" s="1211"/>
      <c r="W106" s="1211"/>
      <c r="X106" s="1211"/>
      <c r="Y106" s="1211"/>
      <c r="Z106" s="1211"/>
      <c r="AA106" s="1211"/>
      <c r="AB106" s="1211"/>
      <c r="AC106" s="1211"/>
      <c r="AD106" s="1211"/>
      <c r="AE106" s="2478" t="s">
        <v>1515</v>
      </c>
      <c r="AF106" s="2478"/>
      <c r="AG106" s="2478"/>
      <c r="AH106" s="2478"/>
      <c r="AI106" s="2478"/>
      <c r="AJ106" s="2478"/>
      <c r="AK106" s="2478"/>
      <c r="AL106" s="1212"/>
      <c r="AM106" s="1212"/>
      <c r="AN106" s="1207"/>
      <c r="AO106" s="1208" t="str">
        <f>Application!B728</f>
        <v>1 Bedroom</v>
      </c>
      <c r="AQ106" s="1208">
        <f>Application!O728</f>
        <v>710</v>
      </c>
    </row>
    <row r="107" spans="1:49" s="1208" customFormat="1" ht="12.75" customHeight="1">
      <c r="A107" s="1212"/>
      <c r="B107" s="1211" t="s">
        <v>1525</v>
      </c>
      <c r="C107" s="1211"/>
      <c r="D107" s="1211"/>
      <c r="E107" s="1211"/>
      <c r="F107" s="1211"/>
      <c r="G107" s="1211"/>
      <c r="H107" s="1211"/>
      <c r="I107" s="1211"/>
      <c r="J107" s="1211"/>
      <c r="K107" s="1211"/>
      <c r="L107" s="1211"/>
      <c r="M107" s="1211"/>
      <c r="N107" s="1211"/>
      <c r="O107" s="1211"/>
      <c r="P107" s="1211"/>
      <c r="Q107" s="1211"/>
      <c r="R107" s="1211"/>
      <c r="S107" s="1211"/>
      <c r="T107" s="1211"/>
      <c r="U107" s="1211"/>
      <c r="V107" s="1211"/>
      <c r="W107" s="1211"/>
      <c r="X107" s="1211"/>
      <c r="Y107" s="1211"/>
      <c r="Z107" s="1211"/>
      <c r="AA107" s="1211"/>
      <c r="AB107" s="1211"/>
      <c r="AC107" s="1211"/>
      <c r="AD107" s="1211"/>
      <c r="AE107" s="1215"/>
      <c r="AF107" s="1215"/>
      <c r="AG107" s="1215"/>
      <c r="AH107" s="1215"/>
      <c r="AI107" s="1215"/>
      <c r="AJ107" s="1215"/>
      <c r="AK107" s="1212"/>
      <c r="AL107" s="1212"/>
      <c r="AM107" s="1212"/>
      <c r="AN107" s="1207"/>
      <c r="AO107" s="1208" t="str">
        <f>Application!B729</f>
        <v>1 Bedroom</v>
      </c>
      <c r="AQ107" s="1208">
        <f>Application!O729</f>
        <v>1218</v>
      </c>
    </row>
    <row r="108" spans="1:49" s="1208" customFormat="1" ht="12.75" customHeight="1">
      <c r="A108" s="1212"/>
      <c r="B108" s="1211"/>
      <c r="C108" s="1211"/>
      <c r="D108" s="1211"/>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12"/>
      <c r="AL108" s="1212"/>
      <c r="AM108" s="1212"/>
      <c r="AN108" s="1207"/>
      <c r="AO108" s="1208" t="str">
        <f>Application!B730</f>
        <v>1 Bedroom</v>
      </c>
      <c r="AQ108" s="1208">
        <f>Application!O730</f>
        <v>1472</v>
      </c>
    </row>
    <row r="109" spans="1:49" s="1208" customFormat="1" ht="12.75" customHeight="1">
      <c r="A109" s="1212"/>
      <c r="B109" s="2634" t="s">
        <v>571</v>
      </c>
      <c r="C109" s="2634"/>
      <c r="D109" s="1220" t="s">
        <v>1516</v>
      </c>
      <c r="E109" s="2635" t="s">
        <v>2189</v>
      </c>
      <c r="F109" s="2636"/>
      <c r="G109" s="2636"/>
      <c r="H109" s="2636"/>
      <c r="I109" s="2636"/>
      <c r="J109" s="2636"/>
      <c r="K109" s="2636"/>
      <c r="L109" s="2636"/>
      <c r="M109" s="2636"/>
      <c r="N109" s="2636"/>
      <c r="O109" s="2636"/>
      <c r="P109" s="2636"/>
      <c r="Q109" s="2636"/>
      <c r="R109" s="2636"/>
      <c r="S109" s="2636"/>
      <c r="T109" s="2636"/>
      <c r="U109" s="2636"/>
      <c r="V109" s="2636"/>
      <c r="W109" s="2636"/>
      <c r="X109" s="2636"/>
      <c r="Y109" s="2636"/>
      <c r="Z109" s="2636"/>
      <c r="AA109" s="2636"/>
      <c r="AB109" s="2636"/>
      <c r="AC109" s="2636"/>
      <c r="AD109" s="2636"/>
      <c r="AE109" s="2636"/>
      <c r="AF109" s="2636"/>
      <c r="AG109" s="2636"/>
      <c r="AH109" s="2636"/>
      <c r="AI109" s="2636"/>
      <c r="AJ109" s="2637"/>
      <c r="AK109" s="1212"/>
      <c r="AL109" s="1212"/>
      <c r="AM109" s="1212"/>
      <c r="AN109" s="1207"/>
      <c r="AO109" s="1208" t="str">
        <f>Application!B731</f>
        <v>1 Bedroom</v>
      </c>
      <c r="AQ109" s="1208">
        <f>Application!O731</f>
        <v>1726</v>
      </c>
      <c r="AU109" s="1208" t="s">
        <v>2171</v>
      </c>
      <c r="AV109" s="1268" t="s">
        <v>2172</v>
      </c>
      <c r="AW109" s="1208" t="s">
        <v>2173</v>
      </c>
    </row>
    <row r="110" spans="1:49" s="1208" customFormat="1" ht="12.75" customHeight="1">
      <c r="A110" s="1212"/>
      <c r="B110" s="1211"/>
      <c r="C110" s="1211"/>
      <c r="D110" s="1211"/>
      <c r="E110" s="2638"/>
      <c r="F110" s="2639"/>
      <c r="G110" s="2639"/>
      <c r="H110" s="2639"/>
      <c r="I110" s="2639"/>
      <c r="J110" s="2639"/>
      <c r="K110" s="2639"/>
      <c r="L110" s="2639"/>
      <c r="M110" s="2639"/>
      <c r="N110" s="2639"/>
      <c r="O110" s="2639"/>
      <c r="P110" s="2639"/>
      <c r="Q110" s="2639"/>
      <c r="R110" s="2639"/>
      <c r="S110" s="2639"/>
      <c r="T110" s="2639"/>
      <c r="U110" s="2639"/>
      <c r="V110" s="2639"/>
      <c r="W110" s="2639"/>
      <c r="X110" s="2639"/>
      <c r="Y110" s="2639"/>
      <c r="Z110" s="2639"/>
      <c r="AA110" s="2639"/>
      <c r="AB110" s="2639"/>
      <c r="AC110" s="2639"/>
      <c r="AD110" s="2639"/>
      <c r="AE110" s="2639"/>
      <c r="AF110" s="2639"/>
      <c r="AG110" s="2639"/>
      <c r="AH110" s="2639"/>
      <c r="AI110" s="2639"/>
      <c r="AJ110" s="2640"/>
      <c r="AK110" s="1212"/>
      <c r="AL110" s="1212"/>
      <c r="AM110" s="1212"/>
      <c r="AN110" s="1207"/>
      <c r="AO110" s="1208" t="str">
        <f>Application!B732</f>
        <v>2 Bedrooms</v>
      </c>
      <c r="AQ110" s="1208">
        <f>Application!O732</f>
        <v>837</v>
      </c>
      <c r="AU110" s="1269" t="str">
        <f>E118</f>
        <v>Studio/SRO</v>
      </c>
      <c r="AV110" s="1208">
        <f t="array" ref="AV110">SUM(IF(Application!B728:F752="SRO/Studio",Application!G728:J752))</f>
        <v>0</v>
      </c>
      <c r="AW110" s="1270">
        <f>AV110/AV116</f>
        <v>0</v>
      </c>
    </row>
    <row r="111" spans="1:49" s="1208" customFormat="1" ht="12.75" customHeight="1">
      <c r="A111" s="1212"/>
      <c r="B111" s="1211"/>
      <c r="C111" s="1211"/>
      <c r="D111" s="1211"/>
      <c r="E111" s="2638"/>
      <c r="F111" s="2639"/>
      <c r="G111" s="2639"/>
      <c r="H111" s="2639"/>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39"/>
      <c r="AD111" s="2639"/>
      <c r="AE111" s="2639"/>
      <c r="AF111" s="2639"/>
      <c r="AG111" s="2639"/>
      <c r="AH111" s="2639"/>
      <c r="AI111" s="2639"/>
      <c r="AJ111" s="2640"/>
      <c r="AK111" s="1212"/>
      <c r="AL111" s="1212"/>
      <c r="AM111" s="1212"/>
      <c r="AN111" s="1207"/>
      <c r="AO111" s="1208" t="str">
        <f>Application!B733</f>
        <v>2 Bedrooms</v>
      </c>
      <c r="AQ111" s="1208">
        <f>Application!O733</f>
        <v>1447</v>
      </c>
      <c r="AU111" s="1269" t="str">
        <f>J118</f>
        <v>1-bedroom</v>
      </c>
      <c r="AV111" s="1208">
        <f t="array" ref="AV111">SUM(IF(Application!B728:F752="1 Bedroom",Application!G728:J752))</f>
        <v>111</v>
      </c>
      <c r="AW111" s="1270">
        <f>AV111/AV116</f>
        <v>0.67682926829268297</v>
      </c>
    </row>
    <row r="112" spans="1:49" s="1208" customFormat="1" ht="12.75" customHeight="1">
      <c r="A112" s="1212"/>
      <c r="B112" s="1211"/>
      <c r="C112" s="1211"/>
      <c r="D112" s="1211"/>
      <c r="E112" s="2638"/>
      <c r="F112" s="2639"/>
      <c r="G112" s="2639"/>
      <c r="H112" s="2639"/>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39"/>
      <c r="AD112" s="2639"/>
      <c r="AE112" s="2639"/>
      <c r="AF112" s="2639"/>
      <c r="AG112" s="2639"/>
      <c r="AH112" s="2639"/>
      <c r="AI112" s="2639"/>
      <c r="AJ112" s="2640"/>
      <c r="AK112" s="1212"/>
      <c r="AL112" s="1212"/>
      <c r="AM112" s="1212"/>
      <c r="AN112" s="1207"/>
      <c r="AO112" s="1208" t="str">
        <f>Application!B734</f>
        <v>2 Bedrooms</v>
      </c>
      <c r="AQ112" s="1208">
        <f>Application!O734</f>
        <v>1752</v>
      </c>
      <c r="AU112" s="1269" t="str">
        <f>O118</f>
        <v>2-bedroom</v>
      </c>
      <c r="AV112" s="1208">
        <f t="array" ref="AV112">SUM(IF(Application!B728:F752="2 Bedrooms",Application!G728:J752))</f>
        <v>53</v>
      </c>
      <c r="AW112" s="1270">
        <f>AV112/AV116</f>
        <v>0.32317073170731708</v>
      </c>
    </row>
    <row r="113" spans="1:52" s="1208" customFormat="1" ht="12.75" customHeight="1">
      <c r="A113" s="1212"/>
      <c r="B113" s="1211"/>
      <c r="C113" s="1211"/>
      <c r="D113" s="1211"/>
      <c r="E113" s="2638"/>
      <c r="F113" s="2639"/>
      <c r="G113" s="2639"/>
      <c r="H113" s="2639"/>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39"/>
      <c r="AD113" s="2639"/>
      <c r="AE113" s="2639"/>
      <c r="AF113" s="2639"/>
      <c r="AG113" s="2639"/>
      <c r="AH113" s="2639"/>
      <c r="AI113" s="2639"/>
      <c r="AJ113" s="2640"/>
      <c r="AK113" s="1212"/>
      <c r="AL113" s="1212"/>
      <c r="AM113" s="1212"/>
      <c r="AN113" s="1207"/>
      <c r="AO113" s="1208" t="str">
        <f>Application!B735</f>
        <v>2 Bedrooms</v>
      </c>
      <c r="AQ113" s="1208">
        <f>Application!O735</f>
        <v>2057</v>
      </c>
      <c r="AU113" s="1269" t="str">
        <f>T118</f>
        <v>3-bedroom</v>
      </c>
      <c r="AV113" s="1208">
        <f t="array" ref="AV113">SUM(IF(Application!B728:F752="3 Bedrooms",Application!G728:J752))</f>
        <v>0</v>
      </c>
      <c r="AW113" s="1270">
        <f>AV113/AV116</f>
        <v>0</v>
      </c>
    </row>
    <row r="114" spans="1:52" s="1208" customFormat="1" ht="12.75" customHeight="1">
      <c r="A114" s="1212"/>
      <c r="B114" s="1211"/>
      <c r="C114" s="1211"/>
      <c r="D114" s="1211"/>
      <c r="E114" s="2638"/>
      <c r="F114" s="2639"/>
      <c r="G114" s="2639"/>
      <c r="H114" s="2639"/>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39"/>
      <c r="AD114" s="2639"/>
      <c r="AE114" s="2639"/>
      <c r="AF114" s="2639"/>
      <c r="AG114" s="2639"/>
      <c r="AH114" s="2639"/>
      <c r="AI114" s="2639"/>
      <c r="AJ114" s="2640"/>
      <c r="AK114" s="1212"/>
      <c r="AL114" s="1212"/>
      <c r="AM114" s="1212"/>
      <c r="AN114" s="1207"/>
      <c r="AO114" s="1208">
        <f>Application!B736</f>
        <v>0</v>
      </c>
      <c r="AQ114" s="1208">
        <f>Application!O736</f>
        <v>0</v>
      </c>
      <c r="AU114" s="1269" t="str">
        <f>Y118</f>
        <v>4-bedroom</v>
      </c>
      <c r="AV114" s="1208">
        <f t="array" ref="AV114">SUM(IF(Application!B728:F752="4 Bedrooms",Application!G728:J752))</f>
        <v>0</v>
      </c>
      <c r="AW114" s="1270">
        <f>AV114/AV116</f>
        <v>0</v>
      </c>
    </row>
    <row r="115" spans="1:52" s="1208" customFormat="1" ht="12.75" customHeight="1">
      <c r="A115" s="1212"/>
      <c r="B115" s="1211"/>
      <c r="C115" s="1211"/>
      <c r="D115" s="1211"/>
      <c r="E115" s="2638"/>
      <c r="F115" s="2639"/>
      <c r="G115" s="2639"/>
      <c r="H115" s="2639"/>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39"/>
      <c r="AD115" s="2639"/>
      <c r="AE115" s="2639"/>
      <c r="AF115" s="2639"/>
      <c r="AG115" s="2639"/>
      <c r="AH115" s="2639"/>
      <c r="AI115" s="2639"/>
      <c r="AJ115" s="2640"/>
      <c r="AK115" s="1212"/>
      <c r="AL115" s="1212"/>
      <c r="AM115" s="1212"/>
      <c r="AN115" s="1207"/>
      <c r="AO115" s="1208">
        <f>Application!B737</f>
        <v>0</v>
      </c>
      <c r="AQ115" s="1208">
        <f>Application!O737</f>
        <v>0</v>
      </c>
      <c r="AU115" s="1269" t="str">
        <f>AD118</f>
        <v>5-bedroom</v>
      </c>
      <c r="AV115" s="1208">
        <f t="array" ref="AV115">SUM(IF(Application!B728:F752="5 Bedrooms",Application!G728:J752))</f>
        <v>0</v>
      </c>
      <c r="AW115" s="1270">
        <f>AV115/AV116</f>
        <v>0</v>
      </c>
    </row>
    <row r="116" spans="1:52" s="1208" customFormat="1" ht="12.75" customHeight="1">
      <c r="A116" s="1212"/>
      <c r="B116" s="1211"/>
      <c r="C116" s="1211"/>
      <c r="D116" s="1211"/>
      <c r="E116" s="2638"/>
      <c r="F116" s="2639"/>
      <c r="G116" s="2639"/>
      <c r="H116" s="2639"/>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39"/>
      <c r="AD116" s="2639"/>
      <c r="AE116" s="2639"/>
      <c r="AF116" s="2639"/>
      <c r="AG116" s="2639"/>
      <c r="AH116" s="2639"/>
      <c r="AI116" s="2639"/>
      <c r="AJ116" s="2640"/>
      <c r="AK116" s="1212"/>
      <c r="AL116" s="1212"/>
      <c r="AM116" s="1212"/>
      <c r="AN116" s="1207"/>
      <c r="AO116" s="1208">
        <f>Application!B738</f>
        <v>0</v>
      </c>
      <c r="AQ116" s="1208">
        <f>Application!O738</f>
        <v>0</v>
      </c>
      <c r="AV116" s="1208">
        <f>SUM(AV110:AV115)</f>
        <v>164</v>
      </c>
      <c r="AW116" s="1270">
        <f>SUM(AW110:AW115)</f>
        <v>1</v>
      </c>
    </row>
    <row r="117" spans="1:52" s="1208" customFormat="1" ht="12.75" customHeight="1">
      <c r="A117" s="1212"/>
      <c r="B117" s="1211"/>
      <c r="C117" s="1211"/>
      <c r="D117" s="1211"/>
      <c r="E117" s="1265"/>
      <c r="F117" s="1226"/>
      <c r="G117" s="1226"/>
      <c r="H117" s="1226"/>
      <c r="I117" s="1226"/>
      <c r="J117" s="1226"/>
      <c r="K117" s="1226"/>
      <c r="L117" s="1226"/>
      <c r="M117" s="1226"/>
      <c r="N117" s="1226"/>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7"/>
      <c r="AK117" s="1212"/>
      <c r="AL117" s="1212"/>
      <c r="AM117" s="1212"/>
      <c r="AN117" s="1207"/>
      <c r="AO117" s="1208">
        <f>Application!B739</f>
        <v>0</v>
      </c>
      <c r="AQ117" s="1208">
        <f>Application!O739</f>
        <v>0</v>
      </c>
    </row>
    <row r="118" spans="1:52" s="1208" customFormat="1" ht="12.75" customHeight="1">
      <c r="A118" s="1212"/>
      <c r="B118" s="1211"/>
      <c r="C118" s="1212"/>
      <c r="D118" s="1212"/>
      <c r="E118" s="2630" t="s">
        <v>1798</v>
      </c>
      <c r="F118" s="2631"/>
      <c r="G118" s="2631"/>
      <c r="H118" s="2631"/>
      <c r="I118" s="1256"/>
      <c r="J118" s="2631" t="s">
        <v>1843</v>
      </c>
      <c r="K118" s="2631"/>
      <c r="L118" s="2631"/>
      <c r="M118" s="2631"/>
      <c r="N118" s="1256"/>
      <c r="O118" s="2631" t="s">
        <v>1844</v>
      </c>
      <c r="P118" s="2631"/>
      <c r="Q118" s="2631"/>
      <c r="R118" s="2631"/>
      <c r="S118" s="1256"/>
      <c r="T118" s="2631" t="s">
        <v>1535</v>
      </c>
      <c r="U118" s="2631"/>
      <c r="V118" s="2631"/>
      <c r="W118" s="2631"/>
      <c r="X118" s="1256"/>
      <c r="Y118" s="2631" t="s">
        <v>1845</v>
      </c>
      <c r="Z118" s="2631"/>
      <c r="AA118" s="2631"/>
      <c r="AB118" s="2631"/>
      <c r="AC118" s="1256"/>
      <c r="AD118" s="2631" t="s">
        <v>1846</v>
      </c>
      <c r="AE118" s="2631"/>
      <c r="AF118" s="2631"/>
      <c r="AG118" s="2631"/>
      <c r="AH118" s="1256"/>
      <c r="AI118" s="1256"/>
      <c r="AJ118" s="1258"/>
      <c r="AK118" s="1212"/>
      <c r="AL118" s="1212"/>
      <c r="AM118" s="1212"/>
      <c r="AN118" s="1207"/>
      <c r="AO118" s="1208">
        <f>Application!B740</f>
        <v>0</v>
      </c>
      <c r="AQ118" s="1208">
        <f>Application!O740</f>
        <v>0</v>
      </c>
    </row>
    <row r="119" spans="1:52" s="1208" customFormat="1" ht="12.75" customHeight="1">
      <c r="A119" s="1212"/>
      <c r="B119" s="1211"/>
      <c r="C119" s="1212"/>
      <c r="D119" s="1212"/>
      <c r="E119" s="1271"/>
      <c r="F119" s="1272"/>
      <c r="G119" s="1272"/>
      <c r="H119" s="1272"/>
      <c r="I119" s="1256"/>
      <c r="J119" s="1272"/>
      <c r="K119" s="1272"/>
      <c r="L119" s="1272"/>
      <c r="M119" s="1272"/>
      <c r="N119" s="1256"/>
      <c r="O119" s="1272"/>
      <c r="P119" s="1272"/>
      <c r="Q119" s="1272"/>
      <c r="R119" s="1272"/>
      <c r="S119" s="1256"/>
      <c r="T119" s="1272"/>
      <c r="U119" s="1272"/>
      <c r="V119" s="1272"/>
      <c r="W119" s="1272"/>
      <c r="X119" s="1256"/>
      <c r="Y119" s="1272"/>
      <c r="Z119" s="1272"/>
      <c r="AA119" s="1272"/>
      <c r="AB119" s="1272"/>
      <c r="AC119" s="1256"/>
      <c r="AD119" s="1272"/>
      <c r="AE119" s="1272"/>
      <c r="AF119" s="1272"/>
      <c r="AG119" s="1272"/>
      <c r="AH119" s="1256"/>
      <c r="AI119" s="1256"/>
      <c r="AJ119" s="1258"/>
      <c r="AK119" s="1212"/>
      <c r="AL119" s="1212"/>
      <c r="AM119" s="1212"/>
      <c r="AN119" s="1207"/>
      <c r="AO119" s="1208">
        <f>Application!B741</f>
        <v>0</v>
      </c>
      <c r="AQ119" s="1208">
        <f>Application!O741</f>
        <v>0</v>
      </c>
    </row>
    <row r="120" spans="1:52" s="1208" customFormat="1" ht="12.75" customHeight="1">
      <c r="A120" s="1212"/>
      <c r="B120" s="1211"/>
      <c r="C120" s="1212"/>
      <c r="D120" s="1212"/>
      <c r="E120" s="1273" t="s">
        <v>1847</v>
      </c>
      <c r="F120" s="1272"/>
      <c r="G120" s="1272"/>
      <c r="H120" s="1272"/>
      <c r="I120" s="1256"/>
      <c r="J120" s="1272"/>
      <c r="K120" s="1272"/>
      <c r="L120" s="1272"/>
      <c r="M120" s="1272"/>
      <c r="N120" s="1256"/>
      <c r="O120" s="1272"/>
      <c r="P120" s="1272"/>
      <c r="Q120" s="1272"/>
      <c r="R120" s="1272"/>
      <c r="S120" s="1256"/>
      <c r="T120" s="1272"/>
      <c r="U120" s="1272"/>
      <c r="V120" s="1272"/>
      <c r="W120" s="1272"/>
      <c r="X120" s="1256"/>
      <c r="Y120" s="1272"/>
      <c r="Z120" s="1272"/>
      <c r="AA120" s="1272"/>
      <c r="AB120" s="1272"/>
      <c r="AC120" s="1256"/>
      <c r="AD120" s="1272"/>
      <c r="AE120" s="1272"/>
      <c r="AF120" s="1272"/>
      <c r="AG120" s="1272"/>
      <c r="AH120" s="1256"/>
      <c r="AI120" s="1256"/>
      <c r="AJ120" s="1258"/>
      <c r="AK120" s="1212"/>
      <c r="AL120" s="1212"/>
      <c r="AM120" s="1212"/>
      <c r="AN120" s="1207"/>
      <c r="AO120" s="1208">
        <f>Application!B742</f>
        <v>0</v>
      </c>
      <c r="AQ120" s="1208">
        <f>Application!O742</f>
        <v>0</v>
      </c>
    </row>
    <row r="121" spans="1:52" s="1208" customFormat="1" ht="12.75" customHeight="1">
      <c r="A121" s="1212"/>
      <c r="B121" s="1211"/>
      <c r="C121" s="1212"/>
      <c r="D121" s="1212"/>
      <c r="E121" s="2628"/>
      <c r="F121" s="2629"/>
      <c r="G121" s="2629"/>
      <c r="H121" s="2629"/>
      <c r="I121" s="1274"/>
      <c r="J121" s="2629">
        <v>2244</v>
      </c>
      <c r="K121" s="2629"/>
      <c r="L121" s="2629"/>
      <c r="M121" s="2629"/>
      <c r="N121" s="1274"/>
      <c r="O121" s="2629">
        <v>2757</v>
      </c>
      <c r="P121" s="2629"/>
      <c r="Q121" s="2629"/>
      <c r="R121" s="2629"/>
      <c r="S121" s="1274"/>
      <c r="T121" s="2629"/>
      <c r="U121" s="2629"/>
      <c r="V121" s="2629"/>
      <c r="W121" s="2629"/>
      <c r="X121" s="1274"/>
      <c r="Y121" s="2629"/>
      <c r="Z121" s="2629"/>
      <c r="AA121" s="2629"/>
      <c r="AB121" s="2629"/>
      <c r="AC121" s="1274"/>
      <c r="AD121" s="2629"/>
      <c r="AE121" s="2629"/>
      <c r="AF121" s="2629"/>
      <c r="AG121" s="2629"/>
      <c r="AH121" s="1256"/>
      <c r="AI121" s="1256"/>
      <c r="AJ121" s="1258"/>
      <c r="AK121" s="1212"/>
      <c r="AL121" s="1212"/>
      <c r="AM121" s="1212"/>
      <c r="AN121" s="1207"/>
      <c r="AO121" s="1208">
        <f>Application!B743</f>
        <v>0</v>
      </c>
      <c r="AQ121" s="1208">
        <f>Application!O743</f>
        <v>0</v>
      </c>
    </row>
    <row r="122" spans="1:52" s="1208" customFormat="1" ht="12.75" customHeight="1">
      <c r="A122" s="1212"/>
      <c r="B122" s="1211"/>
      <c r="C122" s="1212"/>
      <c r="D122" s="1212"/>
      <c r="E122" s="1271"/>
      <c r="F122" s="1272"/>
      <c r="G122" s="1272"/>
      <c r="H122" s="1272"/>
      <c r="I122" s="1256"/>
      <c r="J122" s="1272"/>
      <c r="K122" s="1272"/>
      <c r="L122" s="1272"/>
      <c r="M122" s="1272"/>
      <c r="N122" s="1256"/>
      <c r="O122" s="1272"/>
      <c r="P122" s="1272"/>
      <c r="Q122" s="1272"/>
      <c r="R122" s="1272"/>
      <c r="S122" s="1256"/>
      <c r="T122" s="1272"/>
      <c r="U122" s="1272"/>
      <c r="V122" s="1272"/>
      <c r="W122" s="1272"/>
      <c r="X122" s="1256"/>
      <c r="Y122" s="1272"/>
      <c r="Z122" s="1272"/>
      <c r="AA122" s="1272"/>
      <c r="AB122" s="1272"/>
      <c r="AC122" s="1256"/>
      <c r="AD122" s="1272"/>
      <c r="AE122" s="1272"/>
      <c r="AF122" s="1272"/>
      <c r="AG122" s="1272"/>
      <c r="AH122" s="1256"/>
      <c r="AI122" s="1256"/>
      <c r="AJ122" s="1258"/>
      <c r="AK122" s="1212"/>
      <c r="AL122" s="1212"/>
      <c r="AM122" s="1212"/>
      <c r="AN122" s="1207"/>
      <c r="AO122" s="1208">
        <f>Application!B744</f>
        <v>0</v>
      </c>
      <c r="AQ122" s="1208">
        <f>Application!O744</f>
        <v>0</v>
      </c>
      <c r="AU122" s="1275"/>
      <c r="AV122" s="1275"/>
      <c r="AW122" s="1275"/>
      <c r="AX122" s="1275"/>
      <c r="AY122" s="1275"/>
      <c r="AZ122" s="1275"/>
    </row>
    <row r="123" spans="1:52" s="1208" customFormat="1" ht="12.75" customHeight="1">
      <c r="A123" s="1212"/>
      <c r="B123" s="1211"/>
      <c r="C123" s="1212"/>
      <c r="D123" s="1212"/>
      <c r="E123" s="1273" t="s">
        <v>2175</v>
      </c>
      <c r="F123" s="1272"/>
      <c r="G123" s="1272"/>
      <c r="H123" s="1272"/>
      <c r="I123" s="1256"/>
      <c r="J123" s="1272"/>
      <c r="K123" s="1272"/>
      <c r="L123" s="1272"/>
      <c r="M123" s="1272"/>
      <c r="N123" s="1256"/>
      <c r="O123" s="1272"/>
      <c r="P123" s="1272"/>
      <c r="Q123" s="1272"/>
      <c r="R123" s="1272"/>
      <c r="S123" s="1256"/>
      <c r="T123" s="1272"/>
      <c r="U123" s="1272"/>
      <c r="V123" s="1272"/>
      <c r="W123" s="1272"/>
      <c r="X123" s="1256"/>
      <c r="Y123" s="1272"/>
      <c r="Z123" s="1272"/>
      <c r="AA123" s="1272"/>
      <c r="AB123" s="1272"/>
      <c r="AC123" s="1256"/>
      <c r="AD123" s="1272"/>
      <c r="AE123" s="1272"/>
      <c r="AF123" s="1272"/>
      <c r="AG123" s="1272"/>
      <c r="AH123" s="1256"/>
      <c r="AI123" s="1256"/>
      <c r="AJ123" s="1258"/>
      <c r="AK123" s="1212"/>
      <c r="AL123" s="1212"/>
      <c r="AM123" s="1212"/>
      <c r="AN123" s="1207"/>
      <c r="AO123" s="1208">
        <f>Application!B745</f>
        <v>0</v>
      </c>
      <c r="AQ123" s="1208">
        <f>Application!O745</f>
        <v>0</v>
      </c>
      <c r="AU123" s="1275"/>
      <c r="AV123" s="1275"/>
      <c r="AW123" s="1275"/>
      <c r="AX123" s="1275"/>
      <c r="AY123" s="1275"/>
      <c r="AZ123" s="1275"/>
    </row>
    <row r="124" spans="1:52" s="1208" customFormat="1" ht="12.75" customHeight="1">
      <c r="A124" s="1212"/>
      <c r="B124" s="1211"/>
      <c r="C124" s="1212"/>
      <c r="D124" s="1212"/>
      <c r="E124" s="2626">
        <f>Application!DX663</f>
        <v>0</v>
      </c>
      <c r="F124" s="2627"/>
      <c r="G124" s="2627"/>
      <c r="H124" s="2627"/>
      <c r="I124" s="1274"/>
      <c r="J124" s="2627">
        <f>Application!EC663</f>
        <v>1474.2882882882882</v>
      </c>
      <c r="K124" s="2627"/>
      <c r="L124" s="2627"/>
      <c r="M124" s="2627"/>
      <c r="N124" s="1274"/>
      <c r="O124" s="2627">
        <f>Application!EH663</f>
        <v>1728.9811320754718</v>
      </c>
      <c r="P124" s="2627"/>
      <c r="Q124" s="2627"/>
      <c r="R124" s="2627"/>
      <c r="S124" s="1276"/>
      <c r="T124" s="2627">
        <f>Application!EM663</f>
        <v>0</v>
      </c>
      <c r="U124" s="2627"/>
      <c r="V124" s="2627"/>
      <c r="W124" s="2627"/>
      <c r="X124" s="1276"/>
      <c r="Y124" s="2627">
        <f>Application!ER663</f>
        <v>0</v>
      </c>
      <c r="Z124" s="2627"/>
      <c r="AA124" s="2627"/>
      <c r="AB124" s="2627"/>
      <c r="AC124" s="1276"/>
      <c r="AD124" s="2627">
        <f>Application!EW663</f>
        <v>0</v>
      </c>
      <c r="AE124" s="2627"/>
      <c r="AF124" s="2627"/>
      <c r="AG124" s="2627"/>
      <c r="AH124" s="1256"/>
      <c r="AI124" s="1256"/>
      <c r="AJ124" s="1258"/>
      <c r="AK124" s="1212"/>
      <c r="AL124" s="1212"/>
      <c r="AM124" s="1212"/>
      <c r="AN124" s="1207"/>
      <c r="AO124" s="1208">
        <f>Application!B746</f>
        <v>0</v>
      </c>
      <c r="AQ124" s="1208">
        <f>Application!O746</f>
        <v>0</v>
      </c>
      <c r="AU124" s="1275"/>
      <c r="AV124" s="1275"/>
      <c r="AW124" s="1277"/>
      <c r="AX124" s="1277"/>
      <c r="AY124" s="1275"/>
      <c r="AZ124" s="1275"/>
    </row>
    <row r="125" spans="1:52" s="1208" customFormat="1" ht="12.75" customHeight="1">
      <c r="A125" s="1212"/>
      <c r="B125" s="1211"/>
      <c r="C125" s="1212"/>
      <c r="D125" s="1212"/>
      <c r="E125" s="1278"/>
      <c r="F125" s="1272"/>
      <c r="G125" s="1272"/>
      <c r="H125" s="1272"/>
      <c r="I125" s="1256"/>
      <c r="J125" s="1259"/>
      <c r="K125" s="1256"/>
      <c r="L125" s="1256"/>
      <c r="M125" s="1256"/>
      <c r="N125" s="1256"/>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8"/>
      <c r="AK125" s="1212"/>
      <c r="AL125" s="1212"/>
      <c r="AM125" s="1212"/>
      <c r="AN125" s="1207"/>
      <c r="AO125" s="1208">
        <f>Application!B747</f>
        <v>0</v>
      </c>
      <c r="AQ125" s="1208">
        <f>Application!O747</f>
        <v>0</v>
      </c>
      <c r="AU125" s="1275"/>
      <c r="AV125" s="1275"/>
      <c r="AW125" s="1277"/>
      <c r="AX125" s="1277"/>
      <c r="AY125" s="1275"/>
      <c r="AZ125" s="1275"/>
    </row>
    <row r="126" spans="1:52" s="1208" customFormat="1" ht="12.75" customHeight="1">
      <c r="A126" s="1212"/>
      <c r="B126" s="1211"/>
      <c r="C126" s="1212"/>
      <c r="D126" s="1212"/>
      <c r="E126" s="1273" t="s">
        <v>2176</v>
      </c>
      <c r="F126" s="1272"/>
      <c r="G126" s="1272"/>
      <c r="H126" s="1272"/>
      <c r="I126" s="1256"/>
      <c r="J126" s="1259"/>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8"/>
      <c r="AK126" s="1212"/>
      <c r="AL126" s="1212"/>
      <c r="AM126" s="1212"/>
      <c r="AN126" s="1207"/>
      <c r="AO126" s="1208">
        <f>Application!B748</f>
        <v>0</v>
      </c>
      <c r="AQ126" s="1208">
        <f>Application!O748</f>
        <v>0</v>
      </c>
      <c r="AU126" s="1275"/>
      <c r="AV126" s="1275"/>
      <c r="AW126" s="1277"/>
      <c r="AX126" s="1277"/>
      <c r="AY126" s="1275"/>
      <c r="AZ126" s="1275"/>
    </row>
    <row r="127" spans="1:52" s="1208" customFormat="1" ht="12.75" customHeight="1">
      <c r="A127" s="1212"/>
      <c r="B127" s="1211"/>
      <c r="C127" s="1212"/>
      <c r="D127" s="1212"/>
      <c r="E127" s="2620" t="e">
        <f>(E121-E124)/E121</f>
        <v>#DIV/0!</v>
      </c>
      <c r="F127" s="2621"/>
      <c r="G127" s="2621"/>
      <c r="H127" s="2622"/>
      <c r="I127" s="1256"/>
      <c r="J127" s="2620">
        <f>(J121-J124)/J121</f>
        <v>0.34300878418525482</v>
      </c>
      <c r="K127" s="2621"/>
      <c r="L127" s="2621"/>
      <c r="M127" s="2622"/>
      <c r="N127" s="1256"/>
      <c r="O127" s="2620">
        <f>(O121-O124)/O121</f>
        <v>0.37287590421636857</v>
      </c>
      <c r="P127" s="2621"/>
      <c r="Q127" s="2621"/>
      <c r="R127" s="2622"/>
      <c r="S127" s="1256"/>
      <c r="T127" s="2620" t="e">
        <f>(T121-T124)/T121</f>
        <v>#DIV/0!</v>
      </c>
      <c r="U127" s="2621"/>
      <c r="V127" s="2621"/>
      <c r="W127" s="2622"/>
      <c r="X127" s="1256"/>
      <c r="Y127" s="2620" t="e">
        <f>(Y121-Y124)/Y121</f>
        <v>#DIV/0!</v>
      </c>
      <c r="Z127" s="2621"/>
      <c r="AA127" s="2621"/>
      <c r="AB127" s="2622"/>
      <c r="AC127" s="1256"/>
      <c r="AD127" s="2620" t="e">
        <f>(AD121-AD124)/AD121</f>
        <v>#DIV/0!</v>
      </c>
      <c r="AE127" s="2621"/>
      <c r="AF127" s="2621"/>
      <c r="AG127" s="2622"/>
      <c r="AH127" s="1256"/>
      <c r="AI127" s="1256"/>
      <c r="AJ127" s="1258"/>
      <c r="AK127" s="1212"/>
      <c r="AL127" s="1212"/>
      <c r="AM127" s="1212"/>
      <c r="AN127" s="1207"/>
      <c r="AO127" s="1208">
        <f>Application!B749</f>
        <v>0</v>
      </c>
      <c r="AQ127" s="1208">
        <f>Application!O749</f>
        <v>0</v>
      </c>
      <c r="AU127" s="1275"/>
      <c r="AV127" s="1275"/>
      <c r="AW127" s="1277"/>
      <c r="AX127" s="1277"/>
      <c r="AY127" s="1275"/>
      <c r="AZ127" s="1275"/>
    </row>
    <row r="128" spans="1:52" s="1208" customFormat="1" ht="12.75" customHeight="1">
      <c r="A128" s="1212"/>
      <c r="B128" s="1211"/>
      <c r="C128" s="1212"/>
      <c r="D128" s="1212"/>
      <c r="E128" s="1279"/>
      <c r="F128" s="1280"/>
      <c r="G128" s="1280"/>
      <c r="H128" s="1280"/>
      <c r="I128" s="1256"/>
      <c r="J128" s="1280"/>
      <c r="K128" s="1280"/>
      <c r="L128" s="1280"/>
      <c r="M128" s="1280"/>
      <c r="N128" s="1256"/>
      <c r="O128" s="1280"/>
      <c r="P128" s="1280"/>
      <c r="Q128" s="1280"/>
      <c r="R128" s="1280"/>
      <c r="S128" s="1256"/>
      <c r="T128" s="1280"/>
      <c r="U128" s="1280"/>
      <c r="V128" s="1280"/>
      <c r="W128" s="1280"/>
      <c r="X128" s="1256"/>
      <c r="Y128" s="1280"/>
      <c r="Z128" s="1280"/>
      <c r="AA128" s="1280"/>
      <c r="AB128" s="1280"/>
      <c r="AC128" s="1256"/>
      <c r="AD128" s="1280"/>
      <c r="AE128" s="1280"/>
      <c r="AF128" s="1280"/>
      <c r="AG128" s="1280"/>
      <c r="AH128" s="1256"/>
      <c r="AI128" s="1256"/>
      <c r="AJ128" s="1258"/>
      <c r="AK128" s="1212"/>
      <c r="AL128" s="1212"/>
      <c r="AM128" s="1212"/>
      <c r="AN128" s="1207"/>
      <c r="AO128" s="1208">
        <f>Application!B750</f>
        <v>0</v>
      </c>
      <c r="AQ128" s="1208">
        <f>Application!O750</f>
        <v>0</v>
      </c>
      <c r="AU128" s="1275"/>
      <c r="AV128" s="1275"/>
      <c r="AW128" s="1277"/>
      <c r="AX128" s="1277"/>
      <c r="AY128" s="1275"/>
      <c r="AZ128" s="1275"/>
    </row>
    <row r="129" spans="1:52" s="1208" customFormat="1" ht="12.75" customHeight="1">
      <c r="A129" s="1212"/>
      <c r="B129" s="1211"/>
      <c r="C129" s="1212"/>
      <c r="D129" s="1212"/>
      <c r="E129" s="1281" t="s">
        <v>2177</v>
      </c>
      <c r="F129" s="1280"/>
      <c r="G129" s="1280"/>
      <c r="H129" s="1280"/>
      <c r="I129" s="1256"/>
      <c r="J129" s="1280"/>
      <c r="K129" s="1280"/>
      <c r="L129" s="1280"/>
      <c r="M129" s="1280"/>
      <c r="N129" s="1256"/>
      <c r="O129" s="1280"/>
      <c r="P129" s="1280"/>
      <c r="Q129" s="1280"/>
      <c r="R129" s="1280"/>
      <c r="S129" s="1256"/>
      <c r="T129" s="1280"/>
      <c r="U129" s="1280"/>
      <c r="V129" s="1280"/>
      <c r="W129" s="1280"/>
      <c r="X129" s="1256"/>
      <c r="Y129" s="1280"/>
      <c r="Z129" s="1280"/>
      <c r="AA129" s="1280"/>
      <c r="AB129" s="1280"/>
      <c r="AC129" s="1256"/>
      <c r="AD129" s="1280"/>
      <c r="AE129" s="1280"/>
      <c r="AF129" s="1280"/>
      <c r="AG129" s="1280"/>
      <c r="AH129" s="1256"/>
      <c r="AI129" s="1256"/>
      <c r="AJ129" s="1258"/>
      <c r="AK129" s="1212"/>
      <c r="AL129" s="1212"/>
      <c r="AM129" s="1212"/>
      <c r="AN129" s="1207"/>
      <c r="AO129" s="1208">
        <f>Application!B751</f>
        <v>0</v>
      </c>
      <c r="AQ129" s="1208">
        <f>Application!O751</f>
        <v>0</v>
      </c>
      <c r="AU129" s="1277"/>
      <c r="AV129" s="1275"/>
      <c r="AW129" s="1277"/>
      <c r="AX129" s="1277"/>
      <c r="AY129" s="1275"/>
      <c r="AZ129" s="1275"/>
    </row>
    <row r="130" spans="1:52" s="1208" customFormat="1" ht="12.75" customHeight="1">
      <c r="A130" s="1212"/>
      <c r="B130" s="1211"/>
      <c r="C130" s="1212"/>
      <c r="D130" s="1212"/>
      <c r="E130" s="2623" t="e">
        <f>IF(((E127-0.1)*AW110)&gt;0,((E127-0.1)*AW110),0)</f>
        <v>#DIV/0!</v>
      </c>
      <c r="F130" s="2624"/>
      <c r="G130" s="2624"/>
      <c r="H130" s="2625"/>
      <c r="I130" s="1256"/>
      <c r="J130" s="2623">
        <f>IF(((J127-0.1)*AW111)&gt;0,((J127-0.1)*AW111),0)</f>
        <v>0.16447545758880053</v>
      </c>
      <c r="K130" s="2624"/>
      <c r="L130" s="2624"/>
      <c r="M130" s="2625"/>
      <c r="N130" s="1256"/>
      <c r="O130" s="2623">
        <f>IF(((O127-0.1)*AW112)&gt;0,((O127-0.1)*AW112),0)</f>
        <v>8.8185505630899594E-2</v>
      </c>
      <c r="P130" s="2624"/>
      <c r="Q130" s="2624"/>
      <c r="R130" s="2625"/>
      <c r="S130" s="1256"/>
      <c r="T130" s="2623" t="e">
        <f>IF(((T127-0.1)*AW113)&gt;0,((T127-0.1)*AW113),0)</f>
        <v>#DIV/0!</v>
      </c>
      <c r="U130" s="2624"/>
      <c r="V130" s="2624"/>
      <c r="W130" s="2625"/>
      <c r="X130" s="1256"/>
      <c r="Y130" s="2623" t="e">
        <f>IF(((Y127-0.1)*AW114)&gt;0,((Y127-0.1)*AW114),0)</f>
        <v>#DIV/0!</v>
      </c>
      <c r="Z130" s="2624"/>
      <c r="AA130" s="2624"/>
      <c r="AB130" s="2625"/>
      <c r="AC130" s="1256"/>
      <c r="AD130" s="2623" t="e">
        <f>IF(((AD127-0.1)*AW115)&gt;0,((AD127-0.1)*AW115),0)</f>
        <v>#DIV/0!</v>
      </c>
      <c r="AE130" s="2624"/>
      <c r="AF130" s="2624"/>
      <c r="AG130" s="2625"/>
      <c r="AH130" s="1256"/>
      <c r="AI130" s="1256"/>
      <c r="AJ130" s="1258"/>
      <c r="AK130" s="1212"/>
      <c r="AL130" s="1212"/>
      <c r="AM130" s="1212"/>
      <c r="AN130" s="1207"/>
      <c r="AO130" s="1208">
        <f>Application!B752</f>
        <v>0</v>
      </c>
      <c r="AQ130" s="1208">
        <f>Application!O752</f>
        <v>0</v>
      </c>
      <c r="AU130" s="1275"/>
      <c r="AV130" s="1275"/>
      <c r="AW130" s="1275"/>
      <c r="AX130" s="1277"/>
      <c r="AY130" s="1275"/>
      <c r="AZ130" s="1275"/>
    </row>
    <row r="131" spans="1:52" s="1208" customFormat="1" ht="12.75" customHeight="1">
      <c r="A131" s="1212"/>
      <c r="B131" s="1211"/>
      <c r="C131" s="1212"/>
      <c r="D131" s="1212"/>
      <c r="E131" s="1278"/>
      <c r="F131" s="1272"/>
      <c r="G131" s="1272"/>
      <c r="H131" s="1272"/>
      <c r="I131" s="1256"/>
      <c r="J131" s="1259"/>
      <c r="K131" s="1256"/>
      <c r="L131" s="1256"/>
      <c r="M131" s="1256"/>
      <c r="N131" s="1256"/>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8"/>
      <c r="AK131" s="1212"/>
      <c r="AL131" s="1212"/>
      <c r="AM131" s="1212"/>
      <c r="AN131" s="1207"/>
      <c r="AU131" s="1275"/>
      <c r="AV131" s="1275"/>
      <c r="AW131" s="1275"/>
      <c r="AX131" s="1275"/>
      <c r="AY131" s="1275"/>
      <c r="AZ131" s="1275"/>
    </row>
    <row r="132" spans="1:52" s="1208" customFormat="1" ht="12.75" customHeight="1">
      <c r="A132" s="1212"/>
      <c r="B132" s="1211"/>
      <c r="C132" s="1212"/>
      <c r="D132" s="1212"/>
      <c r="E132" s="2620">
        <f>ROUNDDOWN(SUMIF(E130:AG130,"&gt;0"),2)</f>
        <v>0.25</v>
      </c>
      <c r="F132" s="2621"/>
      <c r="G132" s="2621"/>
      <c r="H132" s="2622"/>
      <c r="I132" s="1256"/>
      <c r="J132" s="1259" t="s">
        <v>2178</v>
      </c>
      <c r="K132" s="1256"/>
      <c r="L132" s="1256"/>
      <c r="M132" s="1256"/>
      <c r="N132" s="1256"/>
      <c r="O132" s="1256"/>
      <c r="P132" s="1256"/>
      <c r="Q132" s="1256"/>
      <c r="R132" s="1256"/>
      <c r="S132" s="1256"/>
      <c r="T132" s="1256"/>
      <c r="U132" s="1256"/>
      <c r="V132" s="1256"/>
      <c r="W132" s="1256"/>
      <c r="X132" s="1256"/>
      <c r="Y132" s="1256"/>
      <c r="Z132" s="1256"/>
      <c r="AA132" s="1256"/>
      <c r="AB132" s="1256"/>
      <c r="AC132" s="1256"/>
      <c r="AD132" s="1282"/>
      <c r="AE132" s="1282"/>
      <c r="AF132" s="1282"/>
      <c r="AG132" s="1282"/>
      <c r="AH132" s="1256"/>
      <c r="AI132" s="1256"/>
      <c r="AJ132" s="1258"/>
      <c r="AK132" s="1212"/>
      <c r="AL132" s="1212"/>
      <c r="AM132" s="1212"/>
      <c r="AN132" s="1207"/>
      <c r="AU132" s="1275"/>
      <c r="AV132" s="1275"/>
      <c r="AW132" s="1275"/>
      <c r="AX132" s="1277"/>
      <c r="AY132" s="1275"/>
      <c r="AZ132" s="1275"/>
    </row>
    <row r="133" spans="1:52" s="1208" customFormat="1" ht="12.75" customHeight="1">
      <c r="A133" s="1212"/>
      <c r="B133" s="1211"/>
      <c r="C133" s="1212"/>
      <c r="D133" s="1212"/>
      <c r="E133" s="2617">
        <f>IF((E132*100)&gt;10,10,E132*100)</f>
        <v>10</v>
      </c>
      <c r="F133" s="2618"/>
      <c r="G133" s="2618"/>
      <c r="H133" s="2619"/>
      <c r="I133" s="1256"/>
      <c r="J133" s="1259" t="s">
        <v>1529</v>
      </c>
      <c r="K133" s="1256"/>
      <c r="L133" s="1256"/>
      <c r="M133" s="1256"/>
      <c r="N133" s="1256"/>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8"/>
      <c r="AK133" s="1212"/>
      <c r="AL133" s="1212"/>
      <c r="AM133" s="1212"/>
      <c r="AN133" s="1207"/>
      <c r="AU133" s="1275"/>
      <c r="AV133" s="1275"/>
      <c r="AW133" s="1275"/>
      <c r="AX133" s="1275"/>
      <c r="AY133" s="1275"/>
      <c r="AZ133" s="1275"/>
    </row>
    <row r="134" spans="1:52" s="1208" customFormat="1" ht="12.75" customHeight="1">
      <c r="A134" s="1212"/>
      <c r="B134" s="1212"/>
      <c r="C134" s="1212"/>
      <c r="D134" s="1212"/>
      <c r="E134" s="1283"/>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5"/>
      <c r="AK134" s="1212"/>
      <c r="AL134" s="1212"/>
      <c r="AM134" s="1212"/>
      <c r="AN134" s="1207"/>
      <c r="AT134" s="1286"/>
      <c r="AU134" s="1275"/>
      <c r="AV134" s="1275"/>
      <c r="AW134" s="1277"/>
      <c r="AX134" s="1275"/>
      <c r="AY134" s="1275"/>
      <c r="AZ134" s="1275"/>
    </row>
    <row r="135" spans="1:52" s="1208" customFormat="1" ht="12.75" customHeight="1">
      <c r="A135" s="1212"/>
      <c r="B135" s="1212"/>
      <c r="C135" s="1212"/>
      <c r="D135" s="1212"/>
      <c r="E135" s="1212"/>
      <c r="F135" s="1212"/>
      <c r="G135" s="1212"/>
      <c r="H135" s="1212"/>
      <c r="I135" s="1212"/>
      <c r="J135" s="1212"/>
      <c r="K135" s="1212"/>
      <c r="L135" s="1212"/>
      <c r="M135" s="1212"/>
      <c r="N135" s="1212"/>
      <c r="O135" s="1212"/>
      <c r="P135" s="1212"/>
      <c r="Q135" s="1212"/>
      <c r="R135" s="1212"/>
      <c r="S135" s="1212"/>
      <c r="T135" s="1212"/>
      <c r="U135" s="1212"/>
      <c r="V135" s="1212"/>
      <c r="W135" s="1212"/>
      <c r="X135" s="1212"/>
      <c r="Y135" s="1212"/>
      <c r="Z135" s="1212"/>
      <c r="AA135" s="1212"/>
      <c r="AB135" s="1212"/>
      <c r="AC135" s="1212"/>
      <c r="AD135" s="1212"/>
      <c r="AE135" s="1212"/>
      <c r="AF135" s="1212"/>
      <c r="AG135" s="1212"/>
      <c r="AH135" s="1212"/>
      <c r="AI135" s="1212"/>
      <c r="AJ135" s="1212"/>
      <c r="AK135" s="1212"/>
      <c r="AL135" s="1212"/>
      <c r="AM135" s="1212"/>
      <c r="AN135" s="1207"/>
      <c r="AU135" s="1275"/>
      <c r="AV135" s="1275"/>
      <c r="AW135" s="1275"/>
      <c r="AX135" s="1275"/>
      <c r="AY135" s="1275"/>
      <c r="AZ135" s="1275"/>
    </row>
    <row r="136" spans="1:52" s="1208" customFormat="1" ht="12.75" customHeight="1">
      <c r="A136" s="1212"/>
      <c r="B136" s="1212"/>
      <c r="C136" s="1212"/>
      <c r="D136" s="1212"/>
      <c r="E136" s="1212"/>
      <c r="F136" s="1212"/>
      <c r="G136" s="1212"/>
      <c r="H136" s="1212"/>
      <c r="I136" s="1212"/>
      <c r="J136" s="1212"/>
      <c r="K136" s="1212"/>
      <c r="L136" s="1212"/>
      <c r="M136" s="1212"/>
      <c r="N136" s="1212"/>
      <c r="O136" s="1212"/>
      <c r="P136" s="1212"/>
      <c r="Q136" s="1212"/>
      <c r="R136" s="1212"/>
      <c r="S136" s="1212"/>
      <c r="T136" s="1212"/>
      <c r="U136" s="1212"/>
      <c r="V136" s="1212"/>
      <c r="W136" s="1212"/>
      <c r="X136" s="1212"/>
      <c r="Y136" s="1212"/>
      <c r="Z136" s="1212"/>
      <c r="AA136" s="1212"/>
      <c r="AB136" s="1212"/>
      <c r="AC136" s="1212"/>
      <c r="AD136" s="1212"/>
      <c r="AE136" s="1212"/>
      <c r="AF136" s="1212"/>
      <c r="AG136" s="1212"/>
      <c r="AH136" s="1212"/>
      <c r="AI136" s="1212"/>
      <c r="AJ136" s="1212"/>
      <c r="AK136" s="1212"/>
      <c r="AL136" s="1212"/>
      <c r="AM136" s="1212"/>
      <c r="AN136" s="1207"/>
    </row>
    <row r="137" spans="1:52" s="1208" customFormat="1" ht="12.75" customHeight="1">
      <c r="A137" s="1236"/>
      <c r="B137" s="1237"/>
      <c r="C137" s="1237"/>
      <c r="D137" s="1237"/>
      <c r="E137" s="1237"/>
      <c r="F137" s="1237"/>
      <c r="G137" s="1238"/>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40"/>
      <c r="AJ137" s="1240" t="s">
        <v>1536</v>
      </c>
      <c r="AK137" s="2617">
        <f>E133</f>
        <v>10</v>
      </c>
      <c r="AL137" s="2618"/>
      <c r="AM137" s="2619"/>
      <c r="AN137" s="1207"/>
    </row>
    <row r="138" spans="1:52" s="1208" customFormat="1" ht="12.75" customHeight="1" thickBot="1">
      <c r="A138" s="1241"/>
      <c r="B138" s="1242"/>
      <c r="C138" s="1243"/>
      <c r="D138" s="1243"/>
      <c r="E138" s="1243"/>
      <c r="F138" s="1243"/>
      <c r="G138" s="1243"/>
      <c r="H138" s="1243"/>
      <c r="I138" s="1243"/>
      <c r="J138" s="1243"/>
      <c r="K138" s="1243"/>
      <c r="L138" s="1243"/>
      <c r="M138" s="1243"/>
      <c r="N138" s="1243"/>
      <c r="O138" s="1243"/>
      <c r="P138" s="1243"/>
      <c r="Q138" s="1243"/>
      <c r="R138" s="1243"/>
      <c r="S138" s="1243"/>
      <c r="T138" s="1243"/>
      <c r="U138" s="1243"/>
      <c r="V138" s="1243"/>
      <c r="W138" s="1243"/>
      <c r="X138" s="1243"/>
      <c r="Y138" s="1243"/>
      <c r="Z138" s="1243"/>
      <c r="AA138" s="1243"/>
      <c r="AB138" s="1243"/>
      <c r="AC138" s="1243"/>
      <c r="AD138" s="1243"/>
      <c r="AE138" s="1243"/>
      <c r="AF138" s="1243"/>
      <c r="AG138" s="1243"/>
      <c r="AH138" s="1243"/>
      <c r="AI138" s="1243"/>
      <c r="AJ138" s="1243"/>
      <c r="AK138" s="1243"/>
      <c r="AL138" s="1243"/>
      <c r="AM138" s="1244"/>
      <c r="AN138" s="1207"/>
    </row>
    <row r="139" spans="1:52" s="1208" customFormat="1" ht="12.75" customHeight="1" thickTop="1">
      <c r="B139" s="914"/>
      <c r="C139" s="915"/>
      <c r="D139" s="915"/>
      <c r="E139" s="915"/>
      <c r="F139" s="915"/>
      <c r="G139" s="915"/>
      <c r="H139" s="915"/>
      <c r="I139" s="1245"/>
      <c r="J139" s="1245"/>
      <c r="K139" s="1245"/>
      <c r="L139" s="1245"/>
      <c r="M139" s="1245"/>
      <c r="N139" s="1245"/>
      <c r="O139" s="1245"/>
      <c r="P139" s="1245"/>
      <c r="Q139" s="1245"/>
      <c r="S139" s="1211"/>
      <c r="T139" s="1211"/>
      <c r="U139" s="1211"/>
      <c r="V139" s="1211"/>
      <c r="W139" s="1211"/>
      <c r="X139" s="1211"/>
      <c r="Y139" s="1211"/>
      <c r="Z139" s="1211"/>
      <c r="AA139" s="1211"/>
      <c r="AB139" s="1211"/>
      <c r="AC139" s="1211"/>
      <c r="AD139" s="1211"/>
      <c r="AE139" s="1211"/>
      <c r="AG139" s="1211"/>
      <c r="AH139" s="1211"/>
      <c r="AI139" s="1211"/>
      <c r="AJ139" s="1211"/>
      <c r="AK139" s="1223"/>
      <c r="AL139" s="1223"/>
      <c r="AM139" s="1223"/>
      <c r="AN139" s="1207"/>
    </row>
    <row r="140" spans="1:52" s="1211" customFormat="1" ht="12.75" customHeight="1">
      <c r="A140" s="1210" t="s">
        <v>1537</v>
      </c>
      <c r="AE140" s="2478" t="s">
        <v>1515</v>
      </c>
      <c r="AF140" s="2478"/>
      <c r="AG140" s="2478"/>
      <c r="AH140" s="2478"/>
      <c r="AI140" s="2478"/>
      <c r="AJ140" s="2478"/>
      <c r="AK140" s="2478"/>
      <c r="AL140" s="1287"/>
      <c r="AN140" s="1288"/>
      <c r="AO140" s="1208"/>
    </row>
    <row r="141" spans="1:52" s="1211" customFormat="1" ht="12.95" customHeight="1">
      <c r="A141" s="1210"/>
      <c r="AE141" s="1287"/>
      <c r="AF141" s="1287"/>
      <c r="AG141" s="1287"/>
      <c r="AH141" s="1287"/>
      <c r="AI141" s="1287"/>
      <c r="AJ141" s="1287"/>
      <c r="AK141" s="1287"/>
      <c r="AL141" s="1287"/>
      <c r="AN141" s="1288"/>
    </row>
    <row r="142" spans="1:52" s="1208" customFormat="1" ht="12.75" customHeight="1">
      <c r="A142" s="1210"/>
      <c r="B142" s="1210" t="s">
        <v>1538</v>
      </c>
      <c r="C142" s="1211"/>
      <c r="D142" s="1211"/>
      <c r="E142" s="1211"/>
      <c r="F142" s="1211"/>
      <c r="G142" s="1211"/>
      <c r="H142" s="1211"/>
      <c r="I142" s="1211"/>
      <c r="J142" s="1211"/>
      <c r="K142" s="1211"/>
      <c r="L142" s="1211"/>
      <c r="M142" s="1211"/>
      <c r="N142" s="1211"/>
      <c r="O142" s="1211"/>
      <c r="P142" s="1211"/>
      <c r="Q142" s="1211"/>
      <c r="R142" s="1211"/>
      <c r="S142" s="1211"/>
      <c r="T142" s="1211"/>
      <c r="U142" s="1211"/>
      <c r="V142" s="1211"/>
      <c r="W142" s="1211"/>
      <c r="X142" s="1211"/>
      <c r="Y142" s="1211"/>
      <c r="Z142" s="1211"/>
      <c r="AA142" s="1211"/>
      <c r="AB142" s="1211"/>
      <c r="AC142" s="1211"/>
      <c r="AD142" s="1211"/>
      <c r="AF142" s="2463" t="s">
        <v>1539</v>
      </c>
      <c r="AG142" s="2463"/>
      <c r="AH142" s="2463"/>
      <c r="AI142" s="2463"/>
      <c r="AJ142" s="2463"/>
      <c r="AK142" s="2463"/>
      <c r="AL142" s="2463"/>
      <c r="AM142" s="1211"/>
      <c r="AN142" s="1207"/>
    </row>
    <row r="143" spans="1:52" s="1208" customFormat="1" ht="12.75" customHeight="1">
      <c r="A143" s="1210"/>
      <c r="B143" s="1210" t="s">
        <v>558</v>
      </c>
      <c r="C143" s="1289"/>
      <c r="D143" s="1289"/>
      <c r="E143" s="1289"/>
      <c r="F143" s="1289"/>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11"/>
      <c r="AL143" s="1290"/>
      <c r="AM143" s="1211"/>
      <c r="AN143" s="1207"/>
    </row>
    <row r="144" spans="1:52" s="1208" customFormat="1" ht="15" customHeight="1">
      <c r="A144" s="1210"/>
      <c r="B144" s="2615" t="s">
        <v>2696</v>
      </c>
      <c r="C144" s="2615"/>
      <c r="D144" s="2615"/>
      <c r="E144" s="2615"/>
      <c r="F144" s="2615"/>
      <c r="G144" s="2615"/>
      <c r="H144" s="2615"/>
      <c r="I144" s="2615"/>
      <c r="J144" s="2615"/>
      <c r="K144" s="2615"/>
      <c r="L144" s="2615"/>
      <c r="M144" s="2615"/>
      <c r="N144" s="2615"/>
      <c r="O144" s="2615"/>
      <c r="P144" s="2615"/>
      <c r="Q144" s="2615"/>
      <c r="R144" s="2615"/>
      <c r="S144" s="2615"/>
      <c r="T144" s="2615"/>
      <c r="U144" s="2615"/>
      <c r="V144" s="2615"/>
      <c r="W144" s="2615"/>
      <c r="X144" s="2615"/>
      <c r="Y144" s="2615"/>
      <c r="Z144" s="2615"/>
      <c r="AA144" s="2615"/>
      <c r="AB144" s="2615"/>
      <c r="AC144" s="2615"/>
      <c r="AD144" s="1211"/>
      <c r="AE144" s="1290"/>
      <c r="AF144" s="1290"/>
      <c r="AG144" s="1290"/>
      <c r="AH144" s="1290"/>
      <c r="AI144" s="1290"/>
      <c r="AJ144" s="1290"/>
      <c r="AK144" s="1290"/>
      <c r="AL144" s="1290"/>
      <c r="AM144" s="1211"/>
      <c r="AN144" s="1207"/>
      <c r="AP144" s="1268"/>
    </row>
    <row r="145" spans="1:42" s="1208" customFormat="1" ht="12.75" customHeight="1">
      <c r="A145" s="1210"/>
      <c r="B145" s="1210"/>
      <c r="C145" s="1211"/>
      <c r="D145" s="1211"/>
      <c r="E145" s="1211"/>
      <c r="F145" s="1211"/>
      <c r="G145" s="1211"/>
      <c r="H145" s="1211"/>
      <c r="I145" s="1211"/>
      <c r="J145" s="1211"/>
      <c r="K145" s="1211"/>
      <c r="L145" s="1211"/>
      <c r="M145" s="1211"/>
      <c r="N145" s="1211"/>
      <c r="O145" s="1211"/>
      <c r="P145" s="1211"/>
      <c r="Q145" s="1211"/>
      <c r="R145" s="1211"/>
      <c r="S145" s="1211"/>
      <c r="T145" s="1211"/>
      <c r="U145" s="1211"/>
      <c r="V145" s="1211"/>
      <c r="W145" s="1211"/>
      <c r="X145" s="1211"/>
      <c r="Y145" s="1211"/>
      <c r="Z145" s="1211"/>
      <c r="AA145" s="1211"/>
      <c r="AB145" s="1211"/>
      <c r="AC145" s="1211"/>
      <c r="AD145" s="1211"/>
      <c r="AE145" s="1290"/>
      <c r="AF145" s="1290"/>
      <c r="AG145" s="1290"/>
      <c r="AH145" s="1290"/>
      <c r="AI145" s="1290"/>
      <c r="AJ145" s="1290"/>
      <c r="AK145" s="1290"/>
      <c r="AL145" s="1290"/>
      <c r="AM145" s="1211"/>
      <c r="AN145" s="1207"/>
      <c r="AO145" s="1217" t="s">
        <v>313</v>
      </c>
      <c r="AP145" s="1218"/>
    </row>
    <row r="146" spans="1:42" s="1208" customFormat="1" ht="12.75" customHeight="1">
      <c r="A146" s="1210"/>
      <c r="B146" s="1211" t="s">
        <v>1540</v>
      </c>
      <c r="C146" s="1211"/>
      <c r="D146" s="1211"/>
      <c r="E146" s="1211"/>
      <c r="F146" s="1211"/>
      <c r="G146" s="1211"/>
      <c r="H146" s="1211"/>
      <c r="I146" s="1211"/>
      <c r="J146" s="1211"/>
      <c r="K146" s="1211"/>
      <c r="L146" s="1211"/>
      <c r="M146" s="1211"/>
      <c r="N146" s="1211"/>
      <c r="O146" s="1211"/>
      <c r="P146" s="1211"/>
      <c r="Q146" s="1211"/>
      <c r="R146" s="1211"/>
      <c r="S146" s="1211"/>
      <c r="T146" s="1211"/>
      <c r="U146" s="1211"/>
      <c r="V146" s="1211"/>
      <c r="W146" s="1211"/>
      <c r="X146" s="1211"/>
      <c r="Y146" s="1211"/>
      <c r="Z146" s="1211"/>
      <c r="AA146" s="1211"/>
      <c r="AB146" s="1211"/>
      <c r="AC146" s="1211"/>
      <c r="AD146" s="1211"/>
      <c r="AE146" s="1211"/>
      <c r="AF146" s="1211"/>
      <c r="AG146" s="1211"/>
      <c r="AH146" s="1211"/>
      <c r="AI146" s="1211"/>
      <c r="AJ146" s="1211"/>
      <c r="AK146" s="1211"/>
      <c r="AL146" s="1211"/>
      <c r="AM146" s="1211"/>
      <c r="AN146" s="1207"/>
      <c r="AO146" s="1085" t="s">
        <v>1541</v>
      </c>
      <c r="AP146" s="1291">
        <v>5</v>
      </c>
    </row>
    <row r="147" spans="1:42" s="1208" customFormat="1" ht="12.75" customHeight="1">
      <c r="A147" s="1210"/>
      <c r="B147" s="2616" t="s">
        <v>1542</v>
      </c>
      <c r="C147" s="2616"/>
      <c r="D147" s="2616"/>
      <c r="E147" s="2616"/>
      <c r="F147" s="2616"/>
      <c r="G147" s="2616"/>
      <c r="H147" s="2616"/>
      <c r="I147" s="2616"/>
      <c r="J147" s="2616"/>
      <c r="K147" s="2616"/>
      <c r="L147" s="2616"/>
      <c r="M147" s="2616"/>
      <c r="N147" s="2616"/>
      <c r="O147" s="2616"/>
      <c r="P147" s="2616"/>
      <c r="Q147" s="2616"/>
      <c r="R147" s="2616"/>
      <c r="S147" s="2616"/>
      <c r="T147" s="2616"/>
      <c r="U147" s="2616"/>
      <c r="V147" s="2616"/>
      <c r="W147" s="2616"/>
      <c r="X147" s="2616"/>
      <c r="Y147" s="2616"/>
      <c r="Z147" s="2616"/>
      <c r="AA147" s="2616"/>
      <c r="AB147" s="2616"/>
      <c r="AC147" s="2616"/>
      <c r="AD147" s="2616"/>
      <c r="AE147" s="2616"/>
      <c r="AF147" s="2616"/>
      <c r="AG147" s="2616"/>
      <c r="AH147" s="2616"/>
      <c r="AI147" s="2616"/>
      <c r="AM147" s="1211"/>
      <c r="AN147" s="1207"/>
      <c r="AO147" s="1085" t="s">
        <v>1542</v>
      </c>
      <c r="AP147" s="1291">
        <v>7</v>
      </c>
    </row>
    <row r="148" spans="1:42" s="1208" customFormat="1" ht="12.95" customHeight="1">
      <c r="A148" s="1210"/>
      <c r="B148" s="1289"/>
      <c r="C148" s="1289"/>
      <c r="D148" s="1289"/>
      <c r="E148" s="1289"/>
      <c r="F148" s="1289"/>
      <c r="G148" s="1289"/>
      <c r="H148" s="1289"/>
      <c r="I148" s="1289"/>
      <c r="J148" s="1289"/>
      <c r="K148" s="1289"/>
      <c r="L148" s="1289"/>
      <c r="M148" s="1289"/>
      <c r="N148" s="1289"/>
      <c r="O148" s="1289"/>
      <c r="P148" s="1289"/>
      <c r="Q148" s="1289"/>
      <c r="R148" s="1289"/>
      <c r="S148" s="1289"/>
      <c r="T148" s="1289"/>
      <c r="U148" s="1289"/>
      <c r="V148" s="1289"/>
      <c r="W148" s="1289"/>
      <c r="X148" s="1289"/>
      <c r="Y148" s="1289"/>
      <c r="Z148" s="1289"/>
      <c r="AA148" s="1289"/>
      <c r="AB148" s="1289"/>
      <c r="AC148" s="1289"/>
      <c r="AD148" s="1287"/>
      <c r="AM148" s="1211"/>
      <c r="AN148" s="1207"/>
      <c r="AO148" s="1085" t="s">
        <v>2674</v>
      </c>
      <c r="AP148" s="1291">
        <v>7</v>
      </c>
    </row>
    <row r="149" spans="1:42" s="1208" customFormat="1" ht="12.75" customHeight="1">
      <c r="A149" s="1210"/>
      <c r="B149" s="1211" t="s">
        <v>1543</v>
      </c>
      <c r="AB149" s="2469" t="s">
        <v>618</v>
      </c>
      <c r="AC149" s="2469"/>
      <c r="AD149" s="1287"/>
      <c r="AM149" s="1211"/>
      <c r="AN149" s="1207"/>
      <c r="AO149" s="1085"/>
      <c r="AP149" s="1085"/>
    </row>
    <row r="150" spans="1:42" s="1208" customFormat="1" ht="9" customHeight="1">
      <c r="A150" s="1210"/>
      <c r="B150" s="1289"/>
      <c r="C150" s="1289"/>
      <c r="D150" s="1289"/>
      <c r="E150" s="1289"/>
      <c r="F150" s="1289"/>
      <c r="G150" s="1289"/>
      <c r="H150" s="1289"/>
      <c r="I150" s="1289"/>
      <c r="J150" s="1289"/>
      <c r="K150" s="1289"/>
      <c r="L150" s="1289"/>
      <c r="M150" s="1289"/>
      <c r="N150" s="1289"/>
      <c r="O150" s="1289"/>
      <c r="P150" s="1289"/>
      <c r="Q150" s="1289"/>
      <c r="R150" s="1289"/>
      <c r="S150" s="1289"/>
      <c r="T150" s="1289"/>
      <c r="U150" s="1289"/>
      <c r="V150" s="1289"/>
      <c r="W150" s="1289"/>
      <c r="X150" s="1289"/>
      <c r="Y150" s="1289"/>
      <c r="Z150" s="1289"/>
      <c r="AA150" s="1289"/>
      <c r="AB150" s="1289"/>
      <c r="AC150" s="1289"/>
      <c r="AD150" s="1287"/>
      <c r="AM150" s="1211"/>
      <c r="AN150" s="1207"/>
      <c r="AO150" s="1217" t="s">
        <v>1544</v>
      </c>
      <c r="AP150" s="1291"/>
    </row>
    <row r="151" spans="1:42" s="1208" customFormat="1" ht="12.75" customHeight="1">
      <c r="A151" s="1210"/>
      <c r="B151" s="1210" t="s">
        <v>1545</v>
      </c>
      <c r="C151" s="1289"/>
      <c r="D151" s="1289"/>
      <c r="E151" s="1289"/>
      <c r="F151" s="1289"/>
      <c r="G151" s="1289"/>
      <c r="H151" s="1289"/>
      <c r="I151" s="1289"/>
      <c r="J151" s="1289"/>
      <c r="K151" s="1289"/>
      <c r="L151" s="1289"/>
      <c r="M151" s="1289"/>
      <c r="N151" s="1289"/>
      <c r="O151" s="1289"/>
      <c r="P151" s="1289"/>
      <c r="Q151" s="1289"/>
      <c r="R151" s="1289"/>
      <c r="S151" s="1289"/>
      <c r="T151" s="1289"/>
      <c r="U151" s="1289"/>
      <c r="V151" s="1289"/>
      <c r="W151" s="1289"/>
      <c r="X151" s="1289"/>
      <c r="Y151" s="1289"/>
      <c r="Z151" s="1289"/>
      <c r="AA151" s="1289"/>
      <c r="AB151" s="1289"/>
      <c r="AC151" s="1289"/>
      <c r="AD151" s="1287"/>
      <c r="AM151" s="1211"/>
      <c r="AN151" s="1207"/>
      <c r="AO151" s="1085" t="s">
        <v>1546</v>
      </c>
      <c r="AP151" s="1291">
        <v>5</v>
      </c>
    </row>
    <row r="152" spans="1:42" s="1208" customFormat="1" ht="12.75" customHeight="1">
      <c r="A152" s="1210"/>
      <c r="B152" s="2616" t="s">
        <v>1544</v>
      </c>
      <c r="C152" s="2616"/>
      <c r="D152" s="2616"/>
      <c r="E152" s="2616"/>
      <c r="F152" s="2616"/>
      <c r="G152" s="2616"/>
      <c r="H152" s="2616"/>
      <c r="I152" s="2616"/>
      <c r="J152" s="2616"/>
      <c r="K152" s="2616"/>
      <c r="L152" s="2616"/>
      <c r="M152" s="2616"/>
      <c r="N152" s="2616"/>
      <c r="O152" s="2616"/>
      <c r="P152" s="2616"/>
      <c r="Q152" s="2616"/>
      <c r="R152" s="2616"/>
      <c r="S152" s="2616"/>
      <c r="T152" s="2616"/>
      <c r="U152" s="2616"/>
      <c r="V152" s="2616"/>
      <c r="W152" s="2616"/>
      <c r="X152" s="2616"/>
      <c r="Y152" s="2616"/>
      <c r="Z152" s="2616"/>
      <c r="AA152" s="2616"/>
      <c r="AB152" s="2616"/>
      <c r="AC152" s="2616"/>
      <c r="AD152" s="2616"/>
      <c r="AE152" s="2616"/>
      <c r="AF152" s="2616"/>
      <c r="AG152" s="2616"/>
      <c r="AH152" s="2616"/>
      <c r="AI152" s="2616"/>
      <c r="AJ152" s="2616"/>
      <c r="AN152" s="1207"/>
      <c r="AO152" s="1085" t="s">
        <v>1547</v>
      </c>
      <c r="AP152" s="1291">
        <v>7</v>
      </c>
    </row>
    <row r="153" spans="1:42" s="1208" customFormat="1" ht="12.75" customHeight="1">
      <c r="B153" s="1211" t="s">
        <v>1548</v>
      </c>
      <c r="C153" s="1289"/>
      <c r="D153" s="1289"/>
      <c r="E153" s="1289"/>
      <c r="F153" s="1289"/>
      <c r="G153" s="1289"/>
      <c r="H153" s="1289"/>
      <c r="I153" s="1289"/>
      <c r="J153" s="1289"/>
      <c r="K153" s="1289"/>
      <c r="L153" s="1289"/>
      <c r="M153" s="1289"/>
      <c r="N153" s="1289"/>
      <c r="O153" s="1289"/>
      <c r="P153" s="1289"/>
      <c r="Q153" s="1289"/>
      <c r="R153" s="1289"/>
      <c r="S153" s="1289"/>
      <c r="T153" s="1289"/>
      <c r="U153" s="1289"/>
      <c r="AM153" s="1211"/>
      <c r="AN153" s="1207"/>
      <c r="AO153" s="1085"/>
      <c r="AP153" s="1291"/>
    </row>
    <row r="154" spans="1:42" s="1208" customFormat="1" ht="12.75" customHeight="1">
      <c r="AM154" s="1211"/>
      <c r="AN154" s="1207"/>
    </row>
    <row r="155" spans="1:42" s="1223" customFormat="1" ht="12.75" customHeight="1">
      <c r="A155" s="1292"/>
      <c r="B155" s="1293"/>
      <c r="C155" s="1293"/>
      <c r="D155" s="1293"/>
      <c r="E155" s="1293"/>
      <c r="F155" s="1293"/>
      <c r="G155" s="1293"/>
      <c r="H155" s="1293"/>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40" t="s">
        <v>1550</v>
      </c>
      <c r="AJ155" s="2423">
        <f>IF($AB$149="N/A",VLOOKUP($B$147,$AO$145:$AP$148,2,FALSE),VLOOKUP($B$152,$AO$150:$AP$153,2,FALSE))</f>
        <v>7</v>
      </c>
      <c r="AK155" s="2423"/>
      <c r="AL155" s="1268"/>
      <c r="AM155" s="1208"/>
      <c r="AN155" s="1294"/>
    </row>
    <row r="156" spans="1:42" s="1223" customFormat="1" ht="12.75" customHeight="1">
      <c r="A156" s="1268"/>
      <c r="B156" s="126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94"/>
    </row>
    <row r="157" spans="1:42" s="1223" customFormat="1" ht="12.75" customHeight="1">
      <c r="A157" s="1208"/>
      <c r="B157" s="1210" t="s">
        <v>1552</v>
      </c>
      <c r="C157" s="1211"/>
      <c r="D157" s="1208"/>
      <c r="E157" s="1295"/>
      <c r="F157" s="1295"/>
      <c r="G157" s="1295"/>
      <c r="H157" s="1295"/>
      <c r="I157" s="1295"/>
      <c r="J157" s="1295"/>
      <c r="K157" s="1295"/>
      <c r="L157" s="1295"/>
      <c r="M157" s="1295"/>
      <c r="N157" s="1295"/>
      <c r="O157" s="1295"/>
      <c r="P157" s="1295"/>
      <c r="Q157" s="1295"/>
      <c r="R157" s="1295"/>
      <c r="S157" s="1295"/>
      <c r="T157" s="1295"/>
      <c r="U157" s="1295"/>
      <c r="V157" s="1295"/>
      <c r="W157" s="1295"/>
      <c r="X157" s="1295"/>
      <c r="Y157" s="1295"/>
      <c r="Z157" s="1295"/>
      <c r="AA157" s="1295"/>
      <c r="AB157" s="1295"/>
      <c r="AC157" s="1295"/>
      <c r="AD157" s="1295"/>
      <c r="AE157" s="1208"/>
      <c r="AF157" s="2463" t="s">
        <v>1553</v>
      </c>
      <c r="AG157" s="2463"/>
      <c r="AH157" s="2463"/>
      <c r="AI157" s="2463"/>
      <c r="AJ157" s="2463"/>
      <c r="AK157" s="2463"/>
      <c r="AL157" s="2463"/>
      <c r="AM157" s="1296"/>
      <c r="AN157" s="1294"/>
    </row>
    <row r="158" spans="1:42" s="1223" customFormat="1" ht="12.75" customHeight="1">
      <c r="A158" s="1208"/>
      <c r="B158" s="1211" t="s">
        <v>1554</v>
      </c>
      <c r="C158" s="1208"/>
      <c r="D158" s="1208"/>
      <c r="E158" s="1208"/>
      <c r="F158" s="1208"/>
      <c r="G158" s="1208"/>
      <c r="H158" s="1208"/>
      <c r="I158" s="1208"/>
      <c r="J158" s="1208"/>
      <c r="K158" s="1208"/>
      <c r="L158" s="1208"/>
      <c r="M158" s="1208"/>
      <c r="N158" s="1208"/>
      <c r="O158" s="1208"/>
      <c r="P158" s="1208"/>
      <c r="Q158" s="1208"/>
      <c r="R158" s="1208"/>
      <c r="S158" s="1208"/>
      <c r="T158" s="1208"/>
      <c r="U158" s="1208"/>
      <c r="V158" s="1208"/>
      <c r="W158" s="1208"/>
      <c r="X158" s="1208"/>
      <c r="Y158" s="1208"/>
      <c r="Z158" s="1208"/>
      <c r="AA158" s="1211"/>
      <c r="AB158" s="1211"/>
      <c r="AC158" s="1211"/>
      <c r="AD158" s="1211"/>
      <c r="AE158" s="1208"/>
      <c r="AF158" s="1208"/>
      <c r="AG158" s="1208"/>
      <c r="AH158" s="1208"/>
      <c r="AI158" s="1208"/>
      <c r="AJ158" s="1208"/>
      <c r="AK158" s="1208"/>
      <c r="AL158" s="1208"/>
      <c r="AM158" s="1296"/>
      <c r="AN158" s="1294"/>
    </row>
    <row r="159" spans="1:42" s="1223" customFormat="1" ht="12.75" customHeight="1">
      <c r="A159" s="1208"/>
      <c r="B159" s="1208"/>
      <c r="C159" s="2616" t="s">
        <v>1551</v>
      </c>
      <c r="D159" s="2616"/>
      <c r="E159" s="2616"/>
      <c r="F159" s="2616"/>
      <c r="G159" s="2616"/>
      <c r="H159" s="2616"/>
      <c r="I159" s="2616"/>
      <c r="J159" s="2616"/>
      <c r="K159" s="2616"/>
      <c r="L159" s="2616"/>
      <c r="M159" s="2616"/>
      <c r="N159" s="2616"/>
      <c r="O159" s="2616"/>
      <c r="P159" s="2616"/>
      <c r="Q159" s="2616"/>
      <c r="R159" s="2616"/>
      <c r="S159" s="2616"/>
      <c r="T159" s="2616"/>
      <c r="U159" s="2616"/>
      <c r="V159" s="2616"/>
      <c r="W159" s="2616"/>
      <c r="X159" s="2616"/>
      <c r="Y159" s="2616"/>
      <c r="Z159" s="2616"/>
      <c r="AA159" s="2616"/>
      <c r="AB159" s="2616"/>
      <c r="AC159" s="2616"/>
      <c r="AD159" s="2616"/>
      <c r="AE159" s="2616"/>
      <c r="AF159" s="2616"/>
      <c r="AG159" s="2616"/>
      <c r="AH159" s="2616"/>
      <c r="AI159" s="2616"/>
      <c r="AJ159" s="1208"/>
      <c r="AK159" s="1208"/>
      <c r="AL159" s="1208"/>
      <c r="AM159" s="1296"/>
      <c r="AN159" s="1297"/>
      <c r="AO159" s="1085" t="s">
        <v>313</v>
      </c>
      <c r="AP159" s="1085"/>
    </row>
    <row r="160" spans="1:42" s="1223" customFormat="1" ht="12.95" customHeight="1">
      <c r="A160" s="1208"/>
      <c r="B160" s="1208"/>
      <c r="C160" s="1289"/>
      <c r="D160" s="1289"/>
      <c r="E160" s="1289"/>
      <c r="F160" s="1289"/>
      <c r="G160" s="1289"/>
      <c r="H160" s="1289"/>
      <c r="I160" s="1289"/>
      <c r="J160" s="1289"/>
      <c r="K160" s="1289"/>
      <c r="L160" s="1289"/>
      <c r="M160" s="1289"/>
      <c r="N160" s="1289"/>
      <c r="O160" s="1289"/>
      <c r="P160" s="1289"/>
      <c r="Q160" s="1289"/>
      <c r="R160" s="1289"/>
      <c r="S160" s="1289"/>
      <c r="T160" s="1289"/>
      <c r="U160" s="1289"/>
      <c r="V160" s="1289"/>
      <c r="W160" s="1289"/>
      <c r="X160" s="1289"/>
      <c r="Y160" s="1289"/>
      <c r="Z160" s="1289"/>
      <c r="AA160" s="1289"/>
      <c r="AB160" s="1289"/>
      <c r="AC160" s="1289"/>
      <c r="AD160" s="1289"/>
      <c r="AE160" s="1208"/>
      <c r="AF160" s="1208"/>
      <c r="AG160" s="1208"/>
      <c r="AH160" s="1208"/>
      <c r="AI160" s="1208"/>
      <c r="AJ160" s="1208"/>
      <c r="AK160" s="1208"/>
      <c r="AL160" s="1208"/>
      <c r="AM160" s="1296"/>
      <c r="AN160" s="1297"/>
      <c r="AO160" s="1085" t="s">
        <v>1549</v>
      </c>
      <c r="AP160" s="1298">
        <v>2</v>
      </c>
    </row>
    <row r="161" spans="1:73" s="1223" customFormat="1" ht="12.75" customHeight="1">
      <c r="A161" s="1208"/>
      <c r="B161" s="1208"/>
      <c r="C161" s="1211" t="s">
        <v>1556</v>
      </c>
      <c r="D161" s="1208"/>
      <c r="E161" s="1208"/>
      <c r="F161" s="1208"/>
      <c r="G161" s="1208"/>
      <c r="H161" s="1208"/>
      <c r="I161" s="1208"/>
      <c r="J161" s="1208"/>
      <c r="K161" s="1208"/>
      <c r="L161" s="1208"/>
      <c r="M161" s="1208"/>
      <c r="N161" s="1208"/>
      <c r="O161" s="1208"/>
      <c r="P161" s="1208"/>
      <c r="Q161" s="1208"/>
      <c r="R161" s="1208"/>
      <c r="S161" s="1208"/>
      <c r="T161" s="1208"/>
      <c r="U161" s="1208"/>
      <c r="V161" s="1208"/>
      <c r="W161" s="1208"/>
      <c r="X161" s="1208"/>
      <c r="Y161" s="1208"/>
      <c r="Z161" s="1208"/>
      <c r="AA161" s="1208"/>
      <c r="AB161" s="1208"/>
      <c r="AC161" s="2469" t="s">
        <v>618</v>
      </c>
      <c r="AD161" s="2469"/>
      <c r="AE161" s="1208"/>
      <c r="AF161" s="1208"/>
      <c r="AG161" s="1208"/>
      <c r="AH161" s="1208"/>
      <c r="AI161" s="1208"/>
      <c r="AJ161" s="1208"/>
      <c r="AK161" s="1208"/>
      <c r="AL161" s="1208"/>
      <c r="AM161" s="1296"/>
      <c r="AN161" s="1297"/>
      <c r="AO161" s="1085" t="s">
        <v>1551</v>
      </c>
      <c r="AP161" s="1298">
        <v>3</v>
      </c>
    </row>
    <row r="162" spans="1:73" s="1223" customFormat="1" ht="9" customHeight="1">
      <c r="A162" s="1208"/>
      <c r="B162" s="1208"/>
      <c r="C162" s="1289"/>
      <c r="D162" s="1289"/>
      <c r="E162" s="1289"/>
      <c r="F162" s="1289"/>
      <c r="G162" s="1289"/>
      <c r="H162" s="1289"/>
      <c r="I162" s="1289"/>
      <c r="J162" s="1289"/>
      <c r="K162" s="1289"/>
      <c r="L162" s="1289"/>
      <c r="M162" s="1289"/>
      <c r="N162" s="1289"/>
      <c r="O162" s="1289"/>
      <c r="P162" s="1289"/>
      <c r="Q162" s="1289"/>
      <c r="R162" s="1289"/>
      <c r="S162" s="1289"/>
      <c r="T162" s="1289"/>
      <c r="U162" s="1289"/>
      <c r="V162" s="1289"/>
      <c r="W162" s="1289"/>
      <c r="X162" s="1289"/>
      <c r="Y162" s="1289"/>
      <c r="Z162" s="1289"/>
      <c r="AA162" s="1289"/>
      <c r="AB162" s="1289"/>
      <c r="AC162" s="1289"/>
      <c r="AD162" s="1289"/>
      <c r="AE162" s="1208"/>
      <c r="AF162" s="1208"/>
      <c r="AG162" s="1208"/>
      <c r="AH162" s="1208"/>
      <c r="AI162" s="1208"/>
      <c r="AJ162" s="1208"/>
      <c r="AK162" s="1208"/>
      <c r="AL162" s="1208"/>
      <c r="AM162" s="1296"/>
      <c r="AN162" s="1297"/>
      <c r="AO162" s="1299" t="s">
        <v>1849</v>
      </c>
      <c r="AP162" s="1298">
        <v>3</v>
      </c>
    </row>
    <row r="163" spans="1:73" s="1223" customFormat="1" ht="12.75" customHeight="1">
      <c r="A163" s="1208"/>
      <c r="B163" s="1208"/>
      <c r="C163" s="2616" t="s">
        <v>1544</v>
      </c>
      <c r="D163" s="2616"/>
      <c r="E163" s="2616"/>
      <c r="F163" s="2616"/>
      <c r="G163" s="2616"/>
      <c r="H163" s="2616"/>
      <c r="I163" s="2616"/>
      <c r="J163" s="2616"/>
      <c r="K163" s="2616"/>
      <c r="L163" s="2616"/>
      <c r="M163" s="2616"/>
      <c r="N163" s="2616"/>
      <c r="O163" s="2616"/>
      <c r="P163" s="2616"/>
      <c r="Q163" s="2616"/>
      <c r="R163" s="2616"/>
      <c r="S163" s="2616"/>
      <c r="T163" s="2616"/>
      <c r="U163" s="2616"/>
      <c r="V163" s="2616"/>
      <c r="W163" s="2616"/>
      <c r="X163" s="2616"/>
      <c r="Y163" s="2616"/>
      <c r="Z163" s="2616"/>
      <c r="AA163" s="2616"/>
      <c r="AB163" s="2616"/>
      <c r="AC163" s="2616"/>
      <c r="AD163" s="2616"/>
      <c r="AE163" s="1208"/>
      <c r="AF163" s="1208"/>
      <c r="AG163" s="1208"/>
      <c r="AH163" s="1208"/>
      <c r="AI163" s="1208"/>
      <c r="AJ163" s="1208"/>
      <c r="AK163" s="1208"/>
      <c r="AL163" s="1208"/>
      <c r="AM163" s="1296"/>
      <c r="AN163" s="1297"/>
      <c r="AO163" s="1299"/>
      <c r="AP163" s="1298"/>
    </row>
    <row r="164" spans="1:73" s="1223" customFormat="1" ht="12.75" customHeight="1">
      <c r="A164" s="1208"/>
      <c r="B164" s="1208"/>
      <c r="C164" s="1211" t="s">
        <v>1548</v>
      </c>
      <c r="D164" s="1211"/>
      <c r="E164" s="1211"/>
      <c r="F164" s="1211"/>
      <c r="G164" s="1211"/>
      <c r="H164" s="1211"/>
      <c r="I164" s="1211"/>
      <c r="J164" s="1211"/>
      <c r="K164" s="1211"/>
      <c r="L164" s="1211"/>
      <c r="M164" s="1211"/>
      <c r="N164" s="1211"/>
      <c r="O164" s="1211"/>
      <c r="P164" s="1211"/>
      <c r="Q164" s="1211"/>
      <c r="R164" s="1211"/>
      <c r="S164" s="1211"/>
      <c r="T164" s="1211"/>
      <c r="U164" s="1211"/>
      <c r="V164" s="1211"/>
      <c r="W164" s="1211"/>
      <c r="X164" s="1211"/>
      <c r="Y164" s="1211"/>
      <c r="Z164" s="1211"/>
      <c r="AA164" s="1211"/>
      <c r="AB164" s="1211"/>
      <c r="AC164" s="1211"/>
      <c r="AD164" s="1211"/>
      <c r="AE164" s="1211"/>
      <c r="AF164" s="1211"/>
      <c r="AG164" s="1211"/>
      <c r="AH164" s="1211"/>
      <c r="AI164" s="1211"/>
      <c r="AJ164" s="1211"/>
      <c r="AK164" s="1211"/>
      <c r="AL164" s="1208"/>
      <c r="AM164" s="1296"/>
      <c r="AN164" s="1297"/>
      <c r="AO164" s="1300"/>
      <c r="AP164" s="1300"/>
    </row>
    <row r="165" spans="1:73" s="1223" customFormat="1" ht="12.75" customHeight="1">
      <c r="A165" s="1208"/>
      <c r="B165" s="1208"/>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208"/>
      <c r="AK165" s="1208"/>
      <c r="AL165" s="1208"/>
      <c r="AM165" s="1296"/>
      <c r="AN165" s="1297"/>
    </row>
    <row r="166" spans="1:73" s="1223" customFormat="1" ht="12.75" customHeight="1">
      <c r="A166" s="1208"/>
      <c r="B166" s="1208"/>
      <c r="C166" s="1210" t="s">
        <v>1558</v>
      </c>
      <c r="D166" s="1289"/>
      <c r="E166" s="1289"/>
      <c r="F166" s="1289"/>
      <c r="G166" s="1289"/>
      <c r="H166" s="1289"/>
      <c r="I166" s="1289"/>
      <c r="J166" s="1289"/>
      <c r="K166" s="1289"/>
      <c r="L166" s="1289"/>
      <c r="M166" s="1289"/>
      <c r="N166" s="1289"/>
      <c r="O166" s="1289"/>
      <c r="P166" s="1289"/>
      <c r="Q166" s="1289"/>
      <c r="R166" s="1289"/>
      <c r="S166" s="1289"/>
      <c r="T166" s="1289"/>
      <c r="U166" s="1289"/>
      <c r="V166" s="1289"/>
      <c r="W166" s="1289"/>
      <c r="X166" s="1289"/>
      <c r="Y166" s="1289"/>
      <c r="Z166" s="1289"/>
      <c r="AA166" s="1289"/>
      <c r="AB166" s="1289"/>
      <c r="AC166" s="1289"/>
      <c r="AD166" s="1289"/>
      <c r="AE166" s="1208"/>
      <c r="AF166" s="1208"/>
      <c r="AG166" s="1208"/>
      <c r="AH166" s="1208"/>
      <c r="AI166" s="1208"/>
      <c r="AJ166" s="1208"/>
      <c r="AK166" s="1208"/>
      <c r="AL166" s="1208"/>
      <c r="AM166" s="1296"/>
      <c r="AN166" s="1297"/>
      <c r="AO166" s="1085" t="s">
        <v>1544</v>
      </c>
      <c r="AP166" s="1085"/>
    </row>
    <row r="167" spans="1:73" s="1223" customFormat="1" ht="12.75" customHeight="1">
      <c r="A167" s="1208"/>
      <c r="B167" s="1208"/>
      <c r="C167" s="2615"/>
      <c r="D167" s="2615"/>
      <c r="E167" s="2615"/>
      <c r="F167" s="2615"/>
      <c r="G167" s="2615"/>
      <c r="H167" s="2615"/>
      <c r="I167" s="2615"/>
      <c r="J167" s="2615"/>
      <c r="K167" s="2615"/>
      <c r="L167" s="2615"/>
      <c r="M167" s="2615"/>
      <c r="N167" s="2615"/>
      <c r="O167" s="2615"/>
      <c r="P167" s="2615"/>
      <c r="Q167" s="2615"/>
      <c r="R167" s="2615"/>
      <c r="S167" s="2615"/>
      <c r="T167" s="2615"/>
      <c r="U167" s="2615"/>
      <c r="V167" s="2615"/>
      <c r="W167" s="2615"/>
      <c r="X167" s="2615"/>
      <c r="Y167" s="2615"/>
      <c r="Z167" s="2615"/>
      <c r="AA167" s="2615"/>
      <c r="AB167" s="2615"/>
      <c r="AC167" s="2615"/>
      <c r="AD167" s="2615"/>
      <c r="AE167" s="1208"/>
      <c r="AF167" s="1208"/>
      <c r="AG167" s="1208"/>
      <c r="AH167" s="1208"/>
      <c r="AI167" s="1208"/>
      <c r="AJ167" s="1208"/>
      <c r="AK167" s="1208"/>
      <c r="AL167" s="1208"/>
      <c r="AM167" s="1296"/>
      <c r="AN167" s="1297"/>
      <c r="AO167" s="1085" t="s">
        <v>1555</v>
      </c>
      <c r="AP167" s="1298">
        <v>2</v>
      </c>
    </row>
    <row r="168" spans="1:73" s="1223" customFormat="1" ht="12.75" customHeight="1">
      <c r="A168" s="1208"/>
      <c r="B168" s="1208"/>
      <c r="C168" s="1289"/>
      <c r="D168" s="1289"/>
      <c r="E168" s="1289"/>
      <c r="F168" s="1289"/>
      <c r="G168" s="1289"/>
      <c r="H168" s="1289"/>
      <c r="I168" s="1289"/>
      <c r="J168" s="1289"/>
      <c r="K168" s="1289"/>
      <c r="L168" s="1289"/>
      <c r="M168" s="1289"/>
      <c r="N168" s="1289"/>
      <c r="O168" s="1289"/>
      <c r="P168" s="1289"/>
      <c r="Q168" s="1289"/>
      <c r="R168" s="1289"/>
      <c r="S168" s="1289"/>
      <c r="T168" s="1289"/>
      <c r="U168" s="1289"/>
      <c r="V168" s="1289"/>
      <c r="W168" s="1289"/>
      <c r="X168" s="1289"/>
      <c r="Y168" s="1289"/>
      <c r="Z168" s="1289"/>
      <c r="AA168" s="1289"/>
      <c r="AB168" s="1289"/>
      <c r="AC168" s="1289"/>
      <c r="AD168" s="1289"/>
      <c r="AE168" s="1208"/>
      <c r="AF168" s="1208"/>
      <c r="AG168" s="1208"/>
      <c r="AH168" s="1208"/>
      <c r="AI168" s="1208"/>
      <c r="AJ168" s="1208"/>
      <c r="AK168" s="1208"/>
      <c r="AL168" s="1208"/>
      <c r="AM168" s="1296"/>
      <c r="AN168" s="1297"/>
      <c r="AO168" s="1085" t="s">
        <v>1557</v>
      </c>
      <c r="AP168" s="1298">
        <v>3</v>
      </c>
    </row>
    <row r="169" spans="1:73" s="1223" customFormat="1" ht="12.75" customHeight="1">
      <c r="A169" s="1301"/>
      <c r="B169" s="1239"/>
      <c r="C169" s="1239"/>
      <c r="D169" s="1238"/>
      <c r="E169" s="1239"/>
      <c r="F169" s="1239"/>
      <c r="G169" s="1239"/>
      <c r="H169" s="1239"/>
      <c r="I169" s="1239"/>
      <c r="J169" s="1239"/>
      <c r="K169" s="1239"/>
      <c r="L169" s="1239"/>
      <c r="M169" s="1239"/>
      <c r="N169" s="1239"/>
      <c r="O169" s="1239"/>
      <c r="P169" s="1239"/>
      <c r="Q169" s="1293"/>
      <c r="R169" s="1302"/>
      <c r="S169" s="1239"/>
      <c r="T169" s="1239"/>
      <c r="U169" s="1239"/>
      <c r="V169" s="1239"/>
      <c r="W169" s="1239"/>
      <c r="X169" s="1239"/>
      <c r="Y169" s="1239"/>
      <c r="Z169" s="1239"/>
      <c r="AA169" s="1239"/>
      <c r="AB169" s="1239"/>
      <c r="AC169" s="1239"/>
      <c r="AD169" s="1239"/>
      <c r="AE169" s="1239"/>
      <c r="AF169" s="1239"/>
      <c r="AG169" s="1239"/>
      <c r="AH169" s="1239"/>
      <c r="AI169" s="1240" t="s">
        <v>1559</v>
      </c>
      <c r="AJ169" s="2441">
        <f>IF($AC$161="N/A",VLOOKUP($C$159,$AO$159:$AP$162,2,FALSE),VLOOKUP($C$163,$AO$166:$AP$168,2,FALSE))</f>
        <v>3</v>
      </c>
      <c r="AK169" s="2441"/>
      <c r="AL169" s="1303"/>
      <c r="AM169" s="1304"/>
      <c r="AN169" s="1297"/>
      <c r="AO169" s="1299"/>
      <c r="AP169" s="1298"/>
    </row>
    <row r="170" spans="1:73" s="1223" customFormat="1" ht="12.75" customHeight="1">
      <c r="A170" s="1208"/>
      <c r="B170" s="1305"/>
      <c r="R170" s="1208"/>
      <c r="S170" s="1305"/>
      <c r="AN170" s="1297"/>
    </row>
    <row r="171" spans="1:73" s="1223" customFormat="1" ht="12.75" customHeight="1">
      <c r="A171" s="1306"/>
      <c r="B171" s="1296"/>
      <c r="C171" s="1296"/>
      <c r="D171" s="1296"/>
      <c r="E171" s="1296"/>
      <c r="F171" s="1296"/>
      <c r="G171" s="1296"/>
      <c r="H171" s="1296"/>
      <c r="I171" s="1296"/>
      <c r="J171" s="1296"/>
      <c r="K171" s="1296"/>
      <c r="L171" s="1296"/>
      <c r="M171" s="1296"/>
      <c r="N171" s="1296"/>
      <c r="O171" s="1296"/>
      <c r="P171" s="1296"/>
      <c r="Q171" s="1296"/>
      <c r="R171" s="1296"/>
      <c r="S171" s="1296"/>
      <c r="T171" s="1296"/>
      <c r="U171" s="1296"/>
      <c r="V171" s="1296"/>
      <c r="W171" s="1296"/>
      <c r="X171" s="1296"/>
      <c r="Y171" s="1296"/>
      <c r="Z171" s="1296"/>
      <c r="AA171" s="1296"/>
      <c r="AB171" s="1296"/>
      <c r="AC171" s="1296"/>
      <c r="AD171" s="1296"/>
      <c r="AE171" s="1296"/>
      <c r="AF171" s="1296"/>
      <c r="AG171" s="1296"/>
      <c r="AH171" s="1296"/>
      <c r="AI171" s="1296"/>
      <c r="AJ171" s="1296"/>
      <c r="AK171" s="1296"/>
      <c r="AL171" s="1296"/>
      <c r="AM171" s="1296"/>
      <c r="AN171" s="1297"/>
    </row>
    <row r="172" spans="1:73" s="1223" customFormat="1" ht="12.75" customHeight="1">
      <c r="A172" s="1236"/>
      <c r="B172" s="1237"/>
      <c r="C172" s="1237"/>
      <c r="D172" s="1237"/>
      <c r="E172" s="1237"/>
      <c r="F172" s="1237"/>
      <c r="G172" s="1238"/>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40"/>
      <c r="AJ172" s="1240" t="s">
        <v>1560</v>
      </c>
      <c r="AK172" s="2617">
        <f>$AJ$155+$AJ$169</f>
        <v>10</v>
      </c>
      <c r="AL172" s="2618"/>
      <c r="AM172" s="2619"/>
      <c r="AN172" s="1297"/>
    </row>
    <row r="173" spans="1:73" s="1223" customFormat="1" ht="12.75" customHeight="1" thickBot="1">
      <c r="A173" s="1241"/>
      <c r="B173" s="1242"/>
      <c r="C173" s="1243"/>
      <c r="D173" s="1243"/>
      <c r="E173" s="1243"/>
      <c r="F173" s="1243"/>
      <c r="G173" s="1243"/>
      <c r="H173" s="1243"/>
      <c r="I173" s="1243"/>
      <c r="J173" s="1243"/>
      <c r="K173" s="1243"/>
      <c r="L173" s="1243"/>
      <c r="M173" s="1243"/>
      <c r="N173" s="1243"/>
      <c r="O173" s="1243"/>
      <c r="P173" s="1243"/>
      <c r="Q173" s="1243"/>
      <c r="R173" s="1243"/>
      <c r="S173" s="1243"/>
      <c r="T173" s="1243"/>
      <c r="U173" s="1243"/>
      <c r="V173" s="1243"/>
      <c r="W173" s="1243"/>
      <c r="X173" s="1243"/>
      <c r="Y173" s="1243"/>
      <c r="Z173" s="1243"/>
      <c r="AA173" s="1243"/>
      <c r="AB173" s="1243"/>
      <c r="AC173" s="1243"/>
      <c r="AD173" s="1243"/>
      <c r="AE173" s="1243"/>
      <c r="AF173" s="1243"/>
      <c r="AG173" s="1243"/>
      <c r="AH173" s="1243"/>
      <c r="AI173" s="1243"/>
      <c r="AJ173" s="1243"/>
      <c r="AK173" s="1243"/>
      <c r="AL173" s="1243"/>
      <c r="AM173" s="1244"/>
      <c r="AN173" s="1297"/>
      <c r="AO173" s="1243"/>
      <c r="AR173" s="1243"/>
      <c r="AS173" s="1243"/>
      <c r="AT173" s="1243"/>
      <c r="AU173" s="1243"/>
      <c r="AV173" s="1243"/>
      <c r="AW173" s="1243"/>
      <c r="AX173" s="1243"/>
      <c r="AY173" s="1243"/>
      <c r="AZ173" s="1243"/>
      <c r="BA173" s="1243"/>
      <c r="BB173" s="1243"/>
      <c r="BC173" s="1243"/>
      <c r="BD173" s="1243"/>
      <c r="BE173" s="1243"/>
      <c r="BF173" s="1243"/>
      <c r="BG173" s="1243"/>
      <c r="BH173" s="1243"/>
      <c r="BI173" s="1243"/>
      <c r="BJ173" s="1243"/>
      <c r="BK173" s="1243"/>
      <c r="BL173" s="1243"/>
      <c r="BM173" s="1243"/>
      <c r="BN173" s="1243"/>
      <c r="BO173" s="1243"/>
      <c r="BP173" s="1243"/>
      <c r="BQ173" s="1243"/>
      <c r="BR173" s="1243"/>
      <c r="BS173" s="1243"/>
      <c r="BT173" s="1243"/>
      <c r="BU173" s="1243"/>
    </row>
    <row r="174" spans="1:73" s="1223" customFormat="1" ht="12.75" customHeight="1" thickTop="1">
      <c r="A174" s="1208"/>
      <c r="B174" s="914"/>
      <c r="C174" s="915"/>
      <c r="D174" s="915"/>
      <c r="E174" s="915"/>
      <c r="F174" s="915"/>
      <c r="G174" s="915"/>
      <c r="H174" s="915"/>
      <c r="I174" s="1245"/>
      <c r="J174" s="1245"/>
      <c r="K174" s="1245"/>
      <c r="L174" s="1245"/>
      <c r="M174" s="1245"/>
      <c r="N174" s="1245"/>
      <c r="O174" s="1245"/>
      <c r="P174" s="1245"/>
      <c r="Q174" s="1245"/>
      <c r="R174" s="1208"/>
      <c r="S174" s="1211"/>
      <c r="T174" s="1211"/>
      <c r="U174" s="1211"/>
      <c r="V174" s="1211"/>
      <c r="W174" s="1211"/>
      <c r="X174" s="1211"/>
      <c r="Y174" s="1211"/>
      <c r="Z174" s="1211"/>
      <c r="AA174" s="1211"/>
      <c r="AB174" s="1211"/>
      <c r="AC174" s="1211"/>
      <c r="AD174" s="1211"/>
      <c r="AE174" s="1211"/>
      <c r="AF174" s="1208"/>
      <c r="AG174" s="1211"/>
      <c r="AH174" s="1211"/>
      <c r="AI174" s="1211"/>
      <c r="AJ174" s="1211"/>
      <c r="AN174" s="1297"/>
      <c r="AP174" s="1307" t="s">
        <v>1561</v>
      </c>
      <c r="AQ174" s="1307">
        <v>0</v>
      </c>
    </row>
    <row r="175" spans="1:73" s="1223" customFormat="1" ht="12.75" customHeight="1">
      <c r="A175" s="1210" t="s">
        <v>1562</v>
      </c>
      <c r="B175" s="1210" t="s">
        <v>2047</v>
      </c>
      <c r="C175" s="1308"/>
      <c r="D175" s="1309"/>
      <c r="E175" s="1309"/>
      <c r="F175" s="1309"/>
      <c r="G175" s="1309"/>
      <c r="H175" s="1309"/>
      <c r="I175" s="1309"/>
      <c r="J175" s="1309"/>
      <c r="K175" s="1208"/>
      <c r="L175" s="1208"/>
      <c r="M175" s="1208"/>
      <c r="N175" s="1208"/>
      <c r="O175" s="1208"/>
      <c r="P175" s="1208"/>
      <c r="Q175" s="1208"/>
      <c r="R175" s="1208"/>
      <c r="S175" s="1208"/>
      <c r="T175" s="1208"/>
      <c r="U175" s="1208"/>
      <c r="V175" s="1208"/>
      <c r="W175" s="1208"/>
      <c r="X175" s="1208"/>
      <c r="Y175" s="1310"/>
      <c r="Z175" s="1310"/>
      <c r="AA175" s="1310"/>
      <c r="AB175" s="1310"/>
      <c r="AC175" s="1208"/>
      <c r="AD175" s="1208"/>
      <c r="AE175" s="2478" t="s">
        <v>1515</v>
      </c>
      <c r="AF175" s="2478"/>
      <c r="AG175" s="2478"/>
      <c r="AH175" s="2478"/>
      <c r="AI175" s="2478"/>
      <c r="AJ175" s="2478"/>
      <c r="AK175" s="2478"/>
      <c r="AL175" s="1287"/>
      <c r="AN175" s="1297"/>
      <c r="AP175" s="1223" t="s">
        <v>1123</v>
      </c>
      <c r="AQ175" s="1223">
        <v>10</v>
      </c>
    </row>
    <row r="176" spans="1:73" s="1223" customFormat="1" ht="12.75" customHeight="1">
      <c r="A176" s="1210"/>
      <c r="B176" s="1311"/>
      <c r="C176" s="1312"/>
      <c r="D176" s="1309"/>
      <c r="E176" s="1309"/>
      <c r="F176" s="1309"/>
      <c r="G176" s="1309"/>
      <c r="H176" s="1208"/>
      <c r="I176" s="1208"/>
      <c r="J176" s="1208"/>
      <c r="K176" s="1208"/>
      <c r="L176" s="1208"/>
      <c r="M176" s="1208"/>
      <c r="N176" s="1208"/>
      <c r="O176" s="1208"/>
      <c r="P176" s="1208"/>
      <c r="Q176" s="1208"/>
      <c r="R176" s="1310"/>
      <c r="S176" s="1310"/>
      <c r="T176" s="1310"/>
      <c r="U176" s="1310"/>
      <c r="V176" s="1310"/>
      <c r="W176" s="1310"/>
      <c r="X176" s="1310"/>
      <c r="Y176" s="1310"/>
      <c r="Z176" s="1310"/>
      <c r="AA176" s="1310"/>
      <c r="AB176" s="1310"/>
      <c r="AC176" s="1287"/>
      <c r="AD176" s="1287"/>
      <c r="AE176" s="1208"/>
      <c r="AF176" s="1208"/>
      <c r="AG176" s="1208"/>
      <c r="AH176" s="1208"/>
      <c r="AI176" s="1208"/>
      <c r="AJ176" s="1208"/>
      <c r="AK176" s="1208"/>
      <c r="AL176" s="1208"/>
      <c r="AN176" s="1297"/>
      <c r="AP176" s="1223" t="s">
        <v>1563</v>
      </c>
      <c r="AQ176" s="1223">
        <v>10</v>
      </c>
    </row>
    <row r="177" spans="1:45" s="1223" customFormat="1" ht="12.75" customHeight="1">
      <c r="A177" s="1208"/>
      <c r="B177" s="2613" t="s">
        <v>1568</v>
      </c>
      <c r="C177" s="2613"/>
      <c r="D177" s="2613"/>
      <c r="E177" s="2613"/>
      <c r="F177" s="2613"/>
      <c r="G177" s="2613"/>
      <c r="H177" s="2613"/>
      <c r="I177" s="2613"/>
      <c r="J177" s="2613"/>
      <c r="K177" s="2613"/>
      <c r="L177" s="2613"/>
      <c r="M177" s="2613"/>
      <c r="N177" s="2613"/>
      <c r="O177" s="2613"/>
      <c r="P177" s="2613"/>
      <c r="Q177" s="2613"/>
      <c r="R177" s="2613"/>
      <c r="S177" s="2613"/>
      <c r="T177" s="2613"/>
      <c r="U177" s="2613"/>
      <c r="V177" s="2613"/>
      <c r="W177" s="2613"/>
      <c r="X177" s="2613"/>
      <c r="Y177" s="2613"/>
      <c r="Z177" s="2613"/>
      <c r="AA177" s="2613"/>
      <c r="AB177" s="2613"/>
      <c r="AC177" s="2613"/>
      <c r="AD177" s="1208"/>
      <c r="AE177" s="1208"/>
      <c r="AF177" s="2463" t="s">
        <v>1564</v>
      </c>
      <c r="AG177" s="2463"/>
      <c r="AH177" s="2463"/>
      <c r="AI177" s="2463"/>
      <c r="AJ177" s="2463"/>
      <c r="AK177" s="2463"/>
      <c r="AL177" s="2463"/>
      <c r="AN177" s="1297"/>
      <c r="AP177" s="1223" t="s">
        <v>1125</v>
      </c>
      <c r="AQ177" s="1223">
        <v>10</v>
      </c>
    </row>
    <row r="178" spans="1:45" s="1223" customFormat="1" ht="12.75" customHeight="1">
      <c r="A178" s="1208"/>
      <c r="B178" s="2614" t="s">
        <v>2046</v>
      </c>
      <c r="C178" s="2614"/>
      <c r="D178" s="2614"/>
      <c r="E178" s="2614"/>
      <c r="F178" s="2614"/>
      <c r="G178" s="2614"/>
      <c r="H178" s="2614"/>
      <c r="I178" s="2614"/>
      <c r="J178" s="2614"/>
      <c r="K178" s="2614"/>
      <c r="L178" s="2614"/>
      <c r="M178" s="2614"/>
      <c r="N178" s="2614"/>
      <c r="O178" s="2614"/>
      <c r="P178" s="2614"/>
      <c r="Q178" s="2614"/>
      <c r="R178" s="2614"/>
      <c r="S178" s="2614"/>
      <c r="T178" s="2615" t="s">
        <v>618</v>
      </c>
      <c r="U178" s="2615"/>
      <c r="V178" s="2615"/>
      <c r="W178" s="2615"/>
      <c r="X178" s="2615"/>
      <c r="Y178" s="2615"/>
      <c r="Z178" s="2615"/>
      <c r="AA178" s="2615"/>
      <c r="AB178" s="2615"/>
      <c r="AC178" s="2615"/>
      <c r="AD178" s="1208"/>
      <c r="AE178" s="1208"/>
      <c r="AF178" s="1208"/>
      <c r="AG178" s="1208"/>
      <c r="AH178" s="1208"/>
      <c r="AI178" s="1208"/>
      <c r="AJ178" s="1215"/>
      <c r="AK178" s="1268"/>
      <c r="AL178" s="1268"/>
      <c r="AM178" s="1268"/>
      <c r="AN178" s="1297"/>
      <c r="AP178" s="1223" t="s">
        <v>1124</v>
      </c>
      <c r="AQ178" s="1223">
        <v>10</v>
      </c>
      <c r="AS178" s="1223" t="s">
        <v>618</v>
      </c>
    </row>
    <row r="179" spans="1:45" s="1223" customFormat="1" ht="12.75" customHeight="1">
      <c r="A179" s="1208"/>
      <c r="B179" s="1289"/>
      <c r="C179" s="1289"/>
      <c r="D179" s="1289"/>
      <c r="E179" s="1289"/>
      <c r="F179" s="1289"/>
      <c r="G179" s="1289"/>
      <c r="H179" s="1289"/>
      <c r="I179" s="1289"/>
      <c r="J179" s="1289"/>
      <c r="K179" s="1289"/>
      <c r="L179" s="1289"/>
      <c r="M179" s="1289"/>
      <c r="N179" s="1289"/>
      <c r="O179" s="1289"/>
      <c r="P179" s="1289"/>
      <c r="Q179" s="1289"/>
      <c r="R179" s="1289"/>
      <c r="S179" s="1289"/>
      <c r="T179" s="1289"/>
      <c r="U179" s="1289"/>
      <c r="V179" s="1289"/>
      <c r="W179" s="1289"/>
      <c r="X179" s="1289"/>
      <c r="Y179" s="1289"/>
      <c r="Z179" s="1289"/>
      <c r="AA179" s="1289"/>
      <c r="AB179" s="1289"/>
      <c r="AC179" s="1289"/>
      <c r="AD179" s="1289"/>
      <c r="AE179" s="1208"/>
      <c r="AF179" s="1208"/>
      <c r="AG179" s="1208"/>
      <c r="AH179" s="1208"/>
      <c r="AI179" s="1208"/>
      <c r="AJ179" s="1215"/>
      <c r="AK179" s="1268"/>
      <c r="AL179" s="1268"/>
      <c r="AM179" s="1313"/>
      <c r="AP179" s="1223" t="s">
        <v>1565</v>
      </c>
      <c r="AQ179" s="1223">
        <v>10</v>
      </c>
      <c r="AS179" s="1223" t="s">
        <v>1566</v>
      </c>
    </row>
    <row r="180" spans="1:45" s="1223" customFormat="1" ht="12.75" customHeight="1">
      <c r="A180" s="1301"/>
      <c r="B180" s="1239"/>
      <c r="C180" s="1239"/>
      <c r="D180" s="1239"/>
      <c r="E180" s="1239"/>
      <c r="F180" s="1239"/>
      <c r="G180" s="1239"/>
      <c r="H180" s="1239"/>
      <c r="I180" s="1239"/>
      <c r="J180" s="1239"/>
      <c r="K180" s="1239"/>
      <c r="L180" s="1239"/>
      <c r="M180" s="1239"/>
      <c r="N180" s="1239"/>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40"/>
      <c r="AJ180" s="1240" t="s">
        <v>1567</v>
      </c>
      <c r="AK180" s="2442">
        <f>IF(AK78&gt;0,VLOOKUP($B$177,AP174:AQ181,2,FALSE),0)</f>
        <v>10</v>
      </c>
      <c r="AL180" s="2443"/>
      <c r="AM180" s="2444"/>
      <c r="AN180" s="1207"/>
      <c r="AP180" s="1223" t="s">
        <v>1568</v>
      </c>
      <c r="AQ180" s="1223">
        <v>10</v>
      </c>
      <c r="AS180" s="1223" t="s">
        <v>1569</v>
      </c>
    </row>
    <row r="181" spans="1:45" s="1223" customFormat="1" ht="12.75" customHeight="1" thickBot="1">
      <c r="A181" s="1314"/>
      <c r="B181" s="1314"/>
      <c r="C181" s="1315"/>
      <c r="D181" s="1316"/>
      <c r="E181" s="1316"/>
      <c r="F181" s="1316"/>
      <c r="G181" s="1316"/>
      <c r="H181" s="1316"/>
      <c r="I181" s="1316"/>
      <c r="J181" s="1316"/>
      <c r="K181" s="1316"/>
      <c r="L181" s="1316"/>
      <c r="M181" s="1316"/>
      <c r="N181" s="1316"/>
      <c r="O181" s="1316"/>
      <c r="P181" s="1316"/>
      <c r="Q181" s="1316"/>
      <c r="R181" s="1316"/>
      <c r="S181" s="1316"/>
      <c r="T181" s="1316"/>
      <c r="U181" s="1316"/>
      <c r="V181" s="1316"/>
      <c r="W181" s="1316"/>
      <c r="X181" s="1316"/>
      <c r="Y181" s="1316"/>
      <c r="Z181" s="1316"/>
      <c r="AA181" s="1316"/>
      <c r="AB181" s="1316"/>
      <c r="AC181" s="1316"/>
      <c r="AD181" s="1316"/>
      <c r="AE181" s="1316"/>
      <c r="AF181" s="1316"/>
      <c r="AG181" s="1316"/>
      <c r="AH181" s="1316"/>
      <c r="AI181" s="1316"/>
      <c r="AJ181" s="1316"/>
      <c r="AK181" s="1316"/>
      <c r="AL181" s="1316"/>
      <c r="AM181" s="1316"/>
      <c r="AN181" s="1297"/>
      <c r="AP181" s="1223" t="s">
        <v>1570</v>
      </c>
      <c r="AQ181" s="1223">
        <v>10</v>
      </c>
    </row>
    <row r="182" spans="1:45" s="1223" customFormat="1" ht="12.75" customHeight="1" thickTop="1">
      <c r="A182" s="1208"/>
      <c r="B182" s="914"/>
      <c r="C182" s="915"/>
      <c r="D182" s="915"/>
      <c r="E182" s="915"/>
      <c r="F182" s="915"/>
      <c r="G182" s="915"/>
      <c r="H182" s="915"/>
      <c r="I182" s="1245"/>
      <c r="J182" s="1245"/>
      <c r="K182" s="1245"/>
      <c r="L182" s="1245"/>
      <c r="M182" s="1245"/>
      <c r="N182" s="1245"/>
      <c r="O182" s="1245"/>
      <c r="P182" s="1245"/>
      <c r="Q182" s="1245"/>
      <c r="R182" s="1208"/>
      <c r="S182" s="1211"/>
      <c r="T182" s="1211"/>
      <c r="U182" s="1211"/>
      <c r="V182" s="1211"/>
      <c r="W182" s="1211"/>
      <c r="X182" s="1211"/>
      <c r="Y182" s="1211"/>
      <c r="Z182" s="1211"/>
      <c r="AA182" s="1211"/>
      <c r="AB182" s="1211"/>
      <c r="AC182" s="1211"/>
      <c r="AD182" s="1211"/>
      <c r="AE182" s="1211"/>
      <c r="AF182" s="1208"/>
      <c r="AG182" s="1211"/>
      <c r="AH182" s="1211"/>
      <c r="AI182" s="1211"/>
      <c r="AJ182" s="1211"/>
      <c r="AN182" s="1297"/>
    </row>
    <row r="183" spans="1:45">
      <c r="A183" s="1210" t="s">
        <v>1571</v>
      </c>
      <c r="B183" s="1210" t="s">
        <v>1572</v>
      </c>
      <c r="C183" s="1308"/>
      <c r="D183" s="1309"/>
      <c r="E183" s="1309"/>
      <c r="F183" s="1309"/>
      <c r="G183" s="1309"/>
      <c r="H183" s="1309"/>
      <c r="I183" s="1309"/>
      <c r="J183" s="1309"/>
      <c r="K183" s="1223"/>
      <c r="L183" s="1223"/>
      <c r="M183" s="1223"/>
      <c r="N183" s="1223"/>
      <c r="O183" s="1223"/>
      <c r="P183" s="1223"/>
      <c r="Q183" s="1223"/>
      <c r="R183" s="1223"/>
      <c r="S183" s="1223"/>
      <c r="T183" s="1223"/>
      <c r="U183" s="1223"/>
      <c r="V183" s="1223"/>
      <c r="W183" s="1223"/>
      <c r="X183" s="1223"/>
      <c r="Y183" s="1310"/>
      <c r="Z183" s="1310"/>
      <c r="AA183" s="1310"/>
      <c r="AB183" s="1310"/>
      <c r="AC183" s="1223"/>
      <c r="AD183" s="1223"/>
      <c r="AE183" s="2478" t="s">
        <v>1573</v>
      </c>
      <c r="AF183" s="2478"/>
      <c r="AG183" s="2478"/>
      <c r="AH183" s="2478"/>
      <c r="AI183" s="2478"/>
      <c r="AJ183" s="2478"/>
      <c r="AK183" s="2478"/>
    </row>
    <row r="184" spans="1:45">
      <c r="A184" s="1210"/>
      <c r="B184" s="1210"/>
      <c r="C184" s="1308"/>
      <c r="D184" s="1309"/>
      <c r="E184" s="1309"/>
      <c r="F184" s="1309"/>
      <c r="G184" s="1309"/>
      <c r="H184" s="1309"/>
      <c r="I184" s="1309"/>
      <c r="J184" s="1309"/>
      <c r="K184" s="1208"/>
      <c r="L184" s="1208"/>
      <c r="M184" s="1208"/>
      <c r="N184" s="1208"/>
      <c r="O184" s="1208"/>
      <c r="P184" s="1208"/>
      <c r="Q184" s="1208"/>
      <c r="R184" s="1208"/>
      <c r="S184" s="1208"/>
      <c r="T184" s="1208"/>
      <c r="U184" s="1208"/>
      <c r="V184" s="1208"/>
      <c r="W184" s="1208"/>
      <c r="X184" s="1208"/>
      <c r="Y184" s="1310"/>
      <c r="Z184" s="1310"/>
      <c r="AA184" s="1310"/>
      <c r="AB184" s="1310"/>
      <c r="AC184" s="1208"/>
      <c r="AD184" s="1208"/>
      <c r="AE184" s="1215"/>
      <c r="AF184" s="1215"/>
      <c r="AG184" s="1215"/>
      <c r="AH184" s="1215"/>
      <c r="AI184" s="1215"/>
      <c r="AJ184" s="1215"/>
      <c r="AK184" s="1215"/>
    </row>
    <row r="185" spans="1:45">
      <c r="A185" s="1210"/>
      <c r="B185" s="1317" t="s">
        <v>1799</v>
      </c>
      <c r="C185" s="1308"/>
      <c r="D185" s="1309"/>
      <c r="E185" s="1309"/>
      <c r="F185" s="1309"/>
      <c r="G185" s="1309"/>
      <c r="H185" s="1309"/>
      <c r="I185" s="1309"/>
      <c r="J185" s="1309"/>
      <c r="K185" s="1208"/>
      <c r="L185" s="1208"/>
      <c r="M185" s="1208"/>
      <c r="N185" s="1208"/>
      <c r="O185" s="1208"/>
      <c r="P185" s="1208"/>
      <c r="Q185" s="1208"/>
      <c r="R185" s="1208"/>
      <c r="S185" s="1208"/>
      <c r="T185" s="1208"/>
      <c r="U185" s="1208"/>
      <c r="V185" s="1208"/>
      <c r="W185" s="1208"/>
      <c r="X185" s="1208"/>
      <c r="Y185" s="1310"/>
      <c r="Z185" s="1310"/>
      <c r="AA185" s="1310"/>
      <c r="AB185" s="1310"/>
      <c r="AC185" s="1208"/>
      <c r="AD185" s="1208"/>
      <c r="AE185" s="1215"/>
      <c r="AF185" s="1215"/>
      <c r="AG185" s="1215"/>
      <c r="AH185" s="1215"/>
      <c r="AI185" s="1215"/>
      <c r="AJ185" s="1215"/>
      <c r="AK185" s="1215"/>
    </row>
    <row r="186" spans="1:45">
      <c r="A186" s="1289"/>
      <c r="C186" s="1318"/>
      <c r="D186" s="1319"/>
      <c r="E186" s="1319"/>
      <c r="F186" s="1319"/>
      <c r="G186" s="1319"/>
      <c r="H186" s="1319"/>
      <c r="I186" s="1319"/>
      <c r="J186" s="1319"/>
      <c r="K186" s="1208"/>
      <c r="L186" s="1208"/>
      <c r="M186" s="1208"/>
      <c r="N186" s="1208"/>
      <c r="O186" s="1208"/>
      <c r="P186" s="1208"/>
      <c r="Q186" s="1208"/>
      <c r="R186" s="1208"/>
      <c r="S186" s="1208"/>
      <c r="T186" s="1208"/>
      <c r="U186" s="1208"/>
      <c r="V186" s="1208"/>
      <c r="W186" s="1208"/>
      <c r="X186" s="1208"/>
      <c r="Y186" s="1320"/>
      <c r="Z186" s="1320"/>
      <c r="AA186" s="1320"/>
      <c r="AB186" s="1320"/>
      <c r="AC186" s="1208"/>
      <c r="AD186" s="1208"/>
      <c r="AE186" s="1305"/>
      <c r="AF186" s="1305"/>
      <c r="AG186" s="1305"/>
      <c r="AH186" s="1305"/>
      <c r="AI186" s="1305"/>
      <c r="AJ186" s="1305"/>
      <c r="AK186" s="1305"/>
    </row>
    <row r="187" spans="1:45">
      <c r="A187" s="1289"/>
      <c r="B187" s="1321" t="s">
        <v>1835</v>
      </c>
      <c r="C187" s="1318"/>
      <c r="D187" s="1319"/>
      <c r="E187" s="1319"/>
      <c r="F187" s="1319"/>
      <c r="G187" s="1319"/>
      <c r="H187" s="1319"/>
      <c r="I187" s="1319"/>
      <c r="J187" s="1319"/>
      <c r="K187" s="1208"/>
      <c r="L187" s="1208"/>
      <c r="M187" s="1208"/>
      <c r="N187" s="1208"/>
      <c r="O187" s="1208"/>
      <c r="P187" s="1208"/>
      <c r="Q187" s="1208"/>
      <c r="R187" s="1208"/>
      <c r="S187" s="1208"/>
      <c r="T187" s="1208"/>
      <c r="U187" s="1208"/>
      <c r="V187" s="1208"/>
      <c r="W187" s="1208"/>
      <c r="X187" s="1208"/>
      <c r="Y187" s="1320"/>
      <c r="Z187" s="1320"/>
      <c r="AA187" s="1320"/>
      <c r="AB187" s="1320"/>
      <c r="AC187" s="1208"/>
      <c r="AD187" s="1208"/>
      <c r="AE187" s="1305"/>
      <c r="AF187" s="1305"/>
      <c r="AG187" s="1305"/>
      <c r="AH187" s="1305"/>
      <c r="AI187" s="1305"/>
      <c r="AJ187" s="1305"/>
      <c r="AK187" s="1305"/>
    </row>
    <row r="188" spans="1:45">
      <c r="A188" s="1289"/>
      <c r="B188" s="2607" t="s">
        <v>2697</v>
      </c>
      <c r="C188" s="2607"/>
      <c r="D188" s="2607"/>
      <c r="E188" s="2607"/>
      <c r="F188" s="2607"/>
      <c r="G188" s="2607"/>
      <c r="H188" s="2607"/>
      <c r="I188" s="2607"/>
      <c r="J188" s="2607"/>
      <c r="K188" s="2607"/>
      <c r="L188" s="2607"/>
      <c r="M188" s="2607"/>
      <c r="N188" s="2607"/>
      <c r="O188" s="2607"/>
      <c r="P188" s="2607"/>
      <c r="Q188" s="2607"/>
      <c r="R188" s="2607"/>
      <c r="S188" s="2607"/>
      <c r="T188" s="2607"/>
      <c r="U188" s="2607"/>
      <c r="V188" s="2607"/>
      <c r="W188" s="2607"/>
      <c r="X188" s="2607"/>
      <c r="Y188" s="2607"/>
      <c r="Z188" s="2607"/>
      <c r="AA188" s="2607"/>
      <c r="AB188" s="2607"/>
      <c r="AC188" s="1322"/>
      <c r="AD188" s="2608">
        <f>Application!AM565</f>
        <v>5600000</v>
      </c>
      <c r="AE188" s="2608"/>
      <c r="AF188" s="2608"/>
      <c r="AG188" s="2608"/>
      <c r="AH188" s="2608"/>
      <c r="AI188" s="2608"/>
      <c r="AJ188" s="2608"/>
      <c r="AK188" s="1305"/>
    </row>
    <row r="189" spans="1:45">
      <c r="A189" s="1289"/>
      <c r="B189" s="2607"/>
      <c r="C189" s="2607"/>
      <c r="D189" s="2607"/>
      <c r="E189" s="2607"/>
      <c r="F189" s="2607"/>
      <c r="G189" s="2607"/>
      <c r="H189" s="2607"/>
      <c r="I189" s="2607"/>
      <c r="J189" s="2607"/>
      <c r="K189" s="2607"/>
      <c r="L189" s="2607"/>
      <c r="M189" s="2607"/>
      <c r="N189" s="2607"/>
      <c r="O189" s="2607"/>
      <c r="P189" s="2607"/>
      <c r="Q189" s="2607"/>
      <c r="R189" s="2607"/>
      <c r="S189" s="2607"/>
      <c r="T189" s="2607"/>
      <c r="U189" s="2607"/>
      <c r="V189" s="2607"/>
      <c r="W189" s="2607"/>
      <c r="X189" s="2607"/>
      <c r="Y189" s="2607"/>
      <c r="Z189" s="2607"/>
      <c r="AA189" s="2607"/>
      <c r="AB189" s="2607"/>
      <c r="AC189" s="1322"/>
      <c r="AD189" s="2608"/>
      <c r="AE189" s="2608"/>
      <c r="AF189" s="2608"/>
      <c r="AG189" s="2608"/>
      <c r="AH189" s="2608"/>
      <c r="AI189" s="2608"/>
      <c r="AJ189" s="2608"/>
      <c r="AK189" s="1305"/>
    </row>
    <row r="190" spans="1:45">
      <c r="A190" s="1289"/>
      <c r="B190" s="2607"/>
      <c r="C190" s="2607"/>
      <c r="D190" s="2607"/>
      <c r="E190" s="2607"/>
      <c r="F190" s="2607"/>
      <c r="G190" s="2607"/>
      <c r="H190" s="2607"/>
      <c r="I190" s="2607"/>
      <c r="J190" s="2607"/>
      <c r="K190" s="2607"/>
      <c r="L190" s="2607"/>
      <c r="M190" s="2607"/>
      <c r="N190" s="2607"/>
      <c r="O190" s="2607"/>
      <c r="P190" s="2607"/>
      <c r="Q190" s="2607"/>
      <c r="R190" s="2607"/>
      <c r="S190" s="2607"/>
      <c r="T190" s="2607"/>
      <c r="U190" s="2607"/>
      <c r="V190" s="2607"/>
      <c r="W190" s="2607"/>
      <c r="X190" s="2607"/>
      <c r="Y190" s="2607"/>
      <c r="Z190" s="2607"/>
      <c r="AA190" s="2607"/>
      <c r="AB190" s="2607"/>
      <c r="AC190" s="1322"/>
      <c r="AD190" s="2608"/>
      <c r="AE190" s="2608"/>
      <c r="AF190" s="2608"/>
      <c r="AG190" s="2608"/>
      <c r="AH190" s="2608"/>
      <c r="AI190" s="2608"/>
      <c r="AJ190" s="2608"/>
      <c r="AK190" s="1305"/>
    </row>
    <row r="191" spans="1:45">
      <c r="A191" s="1289"/>
      <c r="B191" s="2607"/>
      <c r="C191" s="2607"/>
      <c r="D191" s="2607"/>
      <c r="E191" s="2607"/>
      <c r="F191" s="2607"/>
      <c r="G191" s="2607"/>
      <c r="H191" s="2607"/>
      <c r="I191" s="2607"/>
      <c r="J191" s="2607"/>
      <c r="K191" s="2607"/>
      <c r="L191" s="2607"/>
      <c r="M191" s="2607"/>
      <c r="N191" s="2607"/>
      <c r="O191" s="2607"/>
      <c r="P191" s="2607"/>
      <c r="Q191" s="2607"/>
      <c r="R191" s="2607"/>
      <c r="S191" s="2607"/>
      <c r="T191" s="2607"/>
      <c r="U191" s="2607"/>
      <c r="V191" s="2607"/>
      <c r="W191" s="2607"/>
      <c r="X191" s="2607"/>
      <c r="Y191" s="2607"/>
      <c r="Z191" s="2607"/>
      <c r="AA191" s="2607"/>
      <c r="AB191" s="2607"/>
      <c r="AC191" s="1322"/>
      <c r="AD191" s="2608"/>
      <c r="AE191" s="2608"/>
      <c r="AF191" s="2608"/>
      <c r="AG191" s="2608"/>
      <c r="AH191" s="2608"/>
      <c r="AI191" s="2608"/>
      <c r="AJ191" s="2608"/>
      <c r="AK191" s="1305"/>
    </row>
    <row r="192" spans="1:45">
      <c r="A192" s="1289"/>
      <c r="B192" s="2607"/>
      <c r="C192" s="2607"/>
      <c r="D192" s="2607"/>
      <c r="E192" s="2607"/>
      <c r="F192" s="2607"/>
      <c r="G192" s="2607"/>
      <c r="H192" s="2607"/>
      <c r="I192" s="2607"/>
      <c r="J192" s="2607"/>
      <c r="K192" s="2607"/>
      <c r="L192" s="2607"/>
      <c r="M192" s="2607"/>
      <c r="N192" s="2607"/>
      <c r="O192" s="2607"/>
      <c r="P192" s="2607"/>
      <c r="Q192" s="2607"/>
      <c r="R192" s="2607"/>
      <c r="S192" s="2607"/>
      <c r="T192" s="2607"/>
      <c r="U192" s="2607"/>
      <c r="V192" s="2607"/>
      <c r="W192" s="2607"/>
      <c r="X192" s="2607"/>
      <c r="Y192" s="2607"/>
      <c r="Z192" s="2607"/>
      <c r="AA192" s="2607"/>
      <c r="AB192" s="2607"/>
      <c r="AC192" s="1322"/>
      <c r="AD192" s="2608"/>
      <c r="AE192" s="2608"/>
      <c r="AF192" s="2608"/>
      <c r="AG192" s="2608"/>
      <c r="AH192" s="2608"/>
      <c r="AI192" s="2608"/>
      <c r="AJ192" s="2608"/>
      <c r="AK192" s="1305"/>
    </row>
    <row r="193" spans="1:37">
      <c r="A193" s="1289"/>
      <c r="B193" s="2607"/>
      <c r="C193" s="2607"/>
      <c r="D193" s="2607"/>
      <c r="E193" s="2607"/>
      <c r="F193" s="2607"/>
      <c r="G193" s="2607"/>
      <c r="H193" s="2607"/>
      <c r="I193" s="2607"/>
      <c r="J193" s="2607"/>
      <c r="K193" s="2607"/>
      <c r="L193" s="2607"/>
      <c r="M193" s="2607"/>
      <c r="N193" s="2607"/>
      <c r="O193" s="2607"/>
      <c r="P193" s="2607"/>
      <c r="Q193" s="2607"/>
      <c r="R193" s="2607"/>
      <c r="S193" s="2607"/>
      <c r="T193" s="2607"/>
      <c r="U193" s="2607"/>
      <c r="V193" s="2607"/>
      <c r="W193" s="2607"/>
      <c r="X193" s="2607"/>
      <c r="Y193" s="2607"/>
      <c r="Z193" s="2607"/>
      <c r="AA193" s="2607"/>
      <c r="AB193" s="2607"/>
      <c r="AC193" s="1322"/>
      <c r="AD193" s="2608"/>
      <c r="AE193" s="2608"/>
      <c r="AF193" s="2608"/>
      <c r="AG193" s="2608"/>
      <c r="AH193" s="2608"/>
      <c r="AI193" s="2608"/>
      <c r="AJ193" s="2608"/>
      <c r="AK193" s="1305"/>
    </row>
    <row r="194" spans="1:37">
      <c r="A194" s="1289"/>
      <c r="B194" s="2607"/>
      <c r="C194" s="2607"/>
      <c r="D194" s="2607"/>
      <c r="E194" s="2607"/>
      <c r="F194" s="2607"/>
      <c r="G194" s="2607"/>
      <c r="H194" s="2607"/>
      <c r="I194" s="2607"/>
      <c r="J194" s="2607"/>
      <c r="K194" s="2607"/>
      <c r="L194" s="2607"/>
      <c r="M194" s="2607"/>
      <c r="N194" s="2607"/>
      <c r="O194" s="2607"/>
      <c r="P194" s="2607"/>
      <c r="Q194" s="2607"/>
      <c r="R194" s="2607"/>
      <c r="S194" s="2607"/>
      <c r="T194" s="2607"/>
      <c r="U194" s="2607"/>
      <c r="V194" s="2607"/>
      <c r="W194" s="2607"/>
      <c r="X194" s="2607"/>
      <c r="Y194" s="2607"/>
      <c r="Z194" s="2607"/>
      <c r="AA194" s="2607"/>
      <c r="AB194" s="2607"/>
      <c r="AC194" s="1322"/>
      <c r="AD194" s="2608"/>
      <c r="AE194" s="2608"/>
      <c r="AF194" s="2608"/>
      <c r="AG194" s="2608"/>
      <c r="AH194" s="2608"/>
      <c r="AI194" s="2608"/>
      <c r="AJ194" s="2608"/>
      <c r="AK194" s="1305"/>
    </row>
    <row r="195" spans="1:37">
      <c r="A195" s="1289"/>
      <c r="B195" s="2607"/>
      <c r="C195" s="2607"/>
      <c r="D195" s="2607"/>
      <c r="E195" s="2607"/>
      <c r="F195" s="2607"/>
      <c r="G195" s="2607"/>
      <c r="H195" s="2607"/>
      <c r="I195" s="2607"/>
      <c r="J195" s="2607"/>
      <c r="K195" s="2607"/>
      <c r="L195" s="2607"/>
      <c r="M195" s="2607"/>
      <c r="N195" s="2607"/>
      <c r="O195" s="2607"/>
      <c r="P195" s="2607"/>
      <c r="Q195" s="2607"/>
      <c r="R195" s="2607"/>
      <c r="S195" s="2607"/>
      <c r="T195" s="2607"/>
      <c r="U195" s="2607"/>
      <c r="V195" s="2607"/>
      <c r="W195" s="2607"/>
      <c r="X195" s="2607"/>
      <c r="Y195" s="2607"/>
      <c r="Z195" s="2607"/>
      <c r="AA195" s="2607"/>
      <c r="AB195" s="2607"/>
      <c r="AC195" s="1322"/>
      <c r="AD195" s="2608"/>
      <c r="AE195" s="2608"/>
      <c r="AF195" s="2608"/>
      <c r="AG195" s="2608"/>
      <c r="AH195" s="2608"/>
      <c r="AI195" s="2608"/>
      <c r="AJ195" s="2608"/>
      <c r="AK195" s="1305"/>
    </row>
    <row r="196" spans="1:37">
      <c r="A196" s="1289"/>
      <c r="B196" s="2607"/>
      <c r="C196" s="2607"/>
      <c r="D196" s="2607"/>
      <c r="E196" s="2607"/>
      <c r="F196" s="2607"/>
      <c r="G196" s="2607"/>
      <c r="H196" s="2607"/>
      <c r="I196" s="2607"/>
      <c r="J196" s="2607"/>
      <c r="K196" s="2607"/>
      <c r="L196" s="2607"/>
      <c r="M196" s="2607"/>
      <c r="N196" s="2607"/>
      <c r="O196" s="2607"/>
      <c r="P196" s="2607"/>
      <c r="Q196" s="2607"/>
      <c r="R196" s="2607"/>
      <c r="S196" s="2607"/>
      <c r="T196" s="2607"/>
      <c r="U196" s="2607"/>
      <c r="V196" s="2607"/>
      <c r="W196" s="2607"/>
      <c r="X196" s="2607"/>
      <c r="Y196" s="2607"/>
      <c r="Z196" s="2607"/>
      <c r="AA196" s="2607"/>
      <c r="AB196" s="2607"/>
      <c r="AC196" s="1322"/>
      <c r="AD196" s="2608"/>
      <c r="AE196" s="2608"/>
      <c r="AF196" s="2608"/>
      <c r="AG196" s="2608"/>
      <c r="AH196" s="2608"/>
      <c r="AI196" s="2608"/>
      <c r="AJ196" s="2608"/>
      <c r="AK196" s="1305"/>
    </row>
    <row r="197" spans="1:37">
      <c r="A197" s="1289"/>
      <c r="B197" s="2607"/>
      <c r="C197" s="2607"/>
      <c r="D197" s="2607"/>
      <c r="E197" s="2607"/>
      <c r="F197" s="2607"/>
      <c r="G197" s="2607"/>
      <c r="H197" s="2607"/>
      <c r="I197" s="2607"/>
      <c r="J197" s="2607"/>
      <c r="K197" s="2607"/>
      <c r="L197" s="2607"/>
      <c r="M197" s="2607"/>
      <c r="N197" s="2607"/>
      <c r="O197" s="2607"/>
      <c r="P197" s="2607"/>
      <c r="Q197" s="2607"/>
      <c r="R197" s="2607"/>
      <c r="S197" s="2607"/>
      <c r="T197" s="2607"/>
      <c r="U197" s="2607"/>
      <c r="V197" s="2607"/>
      <c r="W197" s="2607"/>
      <c r="X197" s="2607"/>
      <c r="Y197" s="2607"/>
      <c r="Z197" s="2607"/>
      <c r="AA197" s="2607"/>
      <c r="AB197" s="2607"/>
      <c r="AC197" s="1322"/>
      <c r="AD197" s="2608"/>
      <c r="AE197" s="2608"/>
      <c r="AF197" s="2608"/>
      <c r="AG197" s="2608"/>
      <c r="AH197" s="2608"/>
      <c r="AI197" s="2608"/>
      <c r="AJ197" s="2608"/>
      <c r="AK197" s="1305"/>
    </row>
    <row r="198" spans="1:37">
      <c r="A198" s="1289"/>
      <c r="B198" s="2609" t="s">
        <v>1837</v>
      </c>
      <c r="C198" s="2609"/>
      <c r="D198" s="2609"/>
      <c r="E198" s="2609"/>
      <c r="F198" s="2609"/>
      <c r="G198" s="2609"/>
      <c r="H198" s="2609"/>
      <c r="I198" s="2609"/>
      <c r="J198" s="2609"/>
      <c r="K198" s="2609"/>
      <c r="L198" s="2609"/>
      <c r="M198" s="2609"/>
      <c r="N198" s="2609"/>
      <c r="O198" s="2609"/>
      <c r="P198" s="2609"/>
      <c r="Q198" s="2609"/>
      <c r="R198" s="2609"/>
      <c r="S198" s="2609"/>
      <c r="T198" s="2609"/>
      <c r="U198" s="2609"/>
      <c r="V198" s="2609"/>
      <c r="W198" s="2609"/>
      <c r="X198" s="2609"/>
      <c r="Y198" s="2609"/>
      <c r="Z198" s="2609"/>
      <c r="AA198" s="2609"/>
      <c r="AB198" s="2609"/>
      <c r="AC198" s="1208"/>
      <c r="AD198" s="2610">
        <f>AB249</f>
        <v>0</v>
      </c>
      <c r="AE198" s="2610"/>
      <c r="AF198" s="2610"/>
      <c r="AG198" s="2610"/>
      <c r="AH198" s="2610"/>
      <c r="AI198" s="2610"/>
      <c r="AJ198" s="2610"/>
      <c r="AK198" s="1305"/>
    </row>
    <row r="199" spans="1:37">
      <c r="A199" s="1289"/>
      <c r="B199" s="2611" t="s">
        <v>1800</v>
      </c>
      <c r="C199" s="2611"/>
      <c r="D199" s="2611"/>
      <c r="E199" s="2611"/>
      <c r="F199" s="2611"/>
      <c r="G199" s="2611"/>
      <c r="H199" s="2611"/>
      <c r="I199" s="2611"/>
      <c r="J199" s="2611"/>
      <c r="K199" s="2611"/>
      <c r="L199" s="2611"/>
      <c r="M199" s="2611"/>
      <c r="N199" s="2611"/>
      <c r="O199" s="2611"/>
      <c r="P199" s="2611"/>
      <c r="Q199" s="2611"/>
      <c r="R199" s="2611"/>
      <c r="S199" s="2611"/>
      <c r="T199" s="2611"/>
      <c r="U199" s="2611"/>
      <c r="V199" s="2611"/>
      <c r="W199" s="2611"/>
      <c r="X199" s="2611"/>
      <c r="Y199" s="2611"/>
      <c r="Z199" s="2611"/>
      <c r="AA199" s="2611"/>
      <c r="AB199" s="2611"/>
      <c r="AC199" s="1322"/>
      <c r="AD199" s="2612">
        <f>'Sources and Uses Budget'!B15</f>
        <v>0</v>
      </c>
      <c r="AE199" s="2612"/>
      <c r="AF199" s="2612"/>
      <c r="AG199" s="2612"/>
      <c r="AH199" s="2612"/>
      <c r="AI199" s="2612"/>
      <c r="AJ199" s="2612"/>
      <c r="AK199" s="1305"/>
    </row>
    <row r="200" spans="1:37">
      <c r="A200" s="1289"/>
      <c r="B200" s="1217"/>
      <c r="C200" s="1217"/>
      <c r="D200" s="1217"/>
      <c r="E200" s="1217"/>
      <c r="F200" s="1217"/>
      <c r="G200" s="1217"/>
      <c r="H200" s="1217"/>
      <c r="I200" s="1217"/>
      <c r="J200" s="1217"/>
      <c r="K200" s="1217"/>
      <c r="L200" s="1217"/>
      <c r="M200" s="1217"/>
      <c r="N200" s="1217"/>
      <c r="O200" s="1217"/>
      <c r="P200" s="1217"/>
      <c r="Q200" s="1217"/>
      <c r="R200" s="1217"/>
      <c r="S200" s="1217"/>
      <c r="T200" s="1217"/>
      <c r="U200" s="1217"/>
      <c r="V200" s="1217"/>
      <c r="W200" s="1217"/>
      <c r="X200" s="1217"/>
      <c r="Y200" s="1217"/>
      <c r="Z200" s="1217"/>
      <c r="AA200" s="1217"/>
      <c r="AB200" s="1323" t="s">
        <v>951</v>
      </c>
      <c r="AC200" s="1208"/>
      <c r="AD200" s="2600">
        <f>SUM(AD188:AJ198)-AD199</f>
        <v>5600000</v>
      </c>
      <c r="AE200" s="2600"/>
      <c r="AF200" s="2600"/>
      <c r="AG200" s="2600"/>
      <c r="AH200" s="2600"/>
      <c r="AI200" s="2600"/>
      <c r="AJ200" s="2600"/>
      <c r="AK200" s="1305"/>
    </row>
    <row r="201" spans="1:37">
      <c r="A201" s="1289"/>
      <c r="B201" s="1289"/>
      <c r="C201" s="1318"/>
      <c r="D201" s="1319"/>
      <c r="E201" s="1319"/>
      <c r="F201" s="1319"/>
      <c r="G201" s="1319"/>
      <c r="H201" s="1319"/>
      <c r="I201" s="1319"/>
      <c r="J201" s="1319"/>
      <c r="K201" s="1208"/>
      <c r="L201" s="1208"/>
      <c r="M201" s="1208"/>
      <c r="N201" s="1208"/>
      <c r="O201" s="1208"/>
      <c r="P201" s="1208"/>
      <c r="Q201" s="1208"/>
      <c r="R201" s="1208"/>
      <c r="S201" s="1208"/>
      <c r="T201" s="1208"/>
      <c r="U201" s="1208"/>
      <c r="V201" s="1208"/>
      <c r="W201" s="1208"/>
      <c r="X201" s="1208"/>
      <c r="Y201" s="1320"/>
      <c r="Z201" s="1320"/>
      <c r="AA201" s="1320"/>
      <c r="AB201" s="1320"/>
      <c r="AC201" s="1208"/>
      <c r="AD201" s="1208"/>
      <c r="AE201" s="1305"/>
      <c r="AF201" s="1305"/>
      <c r="AG201" s="1305"/>
      <c r="AH201" s="1305"/>
      <c r="AI201" s="1305"/>
      <c r="AJ201" s="1305"/>
      <c r="AK201" s="1305"/>
    </row>
    <row r="202" spans="1:37">
      <c r="A202" s="1289"/>
      <c r="B202" s="1324" t="s">
        <v>1805</v>
      </c>
      <c r="C202" s="1318"/>
      <c r="D202" s="1319"/>
      <c r="E202" s="1319"/>
      <c r="F202" s="1319"/>
      <c r="G202" s="1319"/>
      <c r="H202" s="1319"/>
      <c r="I202" s="1319"/>
      <c r="J202" s="1319"/>
      <c r="K202" s="1208"/>
      <c r="L202" s="1208"/>
      <c r="M202" s="1208"/>
      <c r="N202" s="1208"/>
      <c r="O202" s="1208"/>
      <c r="P202" s="1208"/>
      <c r="Q202" s="1208"/>
      <c r="R202" s="1208"/>
      <c r="S202" s="1208"/>
      <c r="T202" s="1208"/>
      <c r="U202" s="1208"/>
      <c r="V202" s="1208"/>
      <c r="W202" s="1208"/>
      <c r="X202" s="1208"/>
      <c r="Y202" s="1320"/>
      <c r="Z202" s="1320"/>
      <c r="AA202" s="1320"/>
      <c r="AB202" s="1320"/>
      <c r="AC202" s="1208"/>
      <c r="AD202" s="1208"/>
      <c r="AE202" s="1305"/>
      <c r="AF202" s="1305"/>
      <c r="AG202" s="1305"/>
      <c r="AH202" s="1305"/>
      <c r="AI202" s="1305"/>
      <c r="AJ202" s="1305"/>
      <c r="AK202" s="1305"/>
    </row>
    <row r="203" spans="1:37">
      <c r="A203" s="1289"/>
      <c r="B203" s="1085" t="s">
        <v>1836</v>
      </c>
      <c r="C203" s="1318"/>
      <c r="D203" s="1319"/>
      <c r="E203" s="1319"/>
      <c r="F203" s="1319"/>
      <c r="G203" s="1319"/>
      <c r="H203" s="1319"/>
      <c r="I203" s="1319"/>
      <c r="J203" s="1319"/>
      <c r="K203" s="1208"/>
      <c r="L203" s="1208"/>
      <c r="M203" s="1208"/>
      <c r="N203" s="1208"/>
      <c r="O203" s="1208"/>
      <c r="P203" s="1208"/>
      <c r="Q203" s="1208"/>
      <c r="R203" s="1208"/>
      <c r="S203" s="1208"/>
      <c r="T203" s="1208"/>
      <c r="U203" s="1208"/>
      <c r="V203" s="1208"/>
      <c r="W203" s="1208"/>
      <c r="X203" s="1208"/>
      <c r="Y203" s="1320"/>
      <c r="Z203" s="1320"/>
      <c r="AA203" s="1320"/>
      <c r="AB203" s="1320"/>
      <c r="AC203" s="1208"/>
      <c r="AD203" s="1208"/>
      <c r="AE203" s="1305"/>
      <c r="AF203" s="1305"/>
      <c r="AG203" s="1305"/>
      <c r="AH203" s="1305"/>
      <c r="AI203" s="1305"/>
      <c r="AJ203" s="1305"/>
      <c r="AK203" s="1305"/>
    </row>
    <row r="204" spans="1:37">
      <c r="A204" s="1325"/>
      <c r="B204" s="1326" t="s">
        <v>1807</v>
      </c>
      <c r="C204" s="1327"/>
      <c r="D204" s="1328"/>
      <c r="E204" s="1328"/>
      <c r="F204" s="1328"/>
      <c r="G204" s="1328"/>
      <c r="H204" s="1328"/>
      <c r="I204" s="1328"/>
      <c r="J204" s="1328"/>
      <c r="K204" s="1329"/>
      <c r="L204" s="1329"/>
      <c r="M204" s="1329"/>
      <c r="N204" s="1329"/>
      <c r="O204" s="1329"/>
      <c r="P204" s="1329"/>
      <c r="Q204" s="1329"/>
      <c r="R204" s="1329"/>
      <c r="S204" s="1330"/>
      <c r="T204" s="1330"/>
      <c r="U204" s="1330"/>
      <c r="V204" s="1330"/>
      <c r="W204" s="1330"/>
      <c r="X204" s="1330"/>
      <c r="Y204" s="1331"/>
      <c r="Z204" s="1331"/>
      <c r="AA204" s="1331"/>
      <c r="AB204" s="1331"/>
      <c r="AC204" s="1330"/>
      <c r="AD204" s="1330"/>
      <c r="AE204" s="1332"/>
      <c r="AF204" s="1332"/>
      <c r="AG204" s="1332"/>
      <c r="AH204" s="1332"/>
      <c r="AI204" s="1332"/>
      <c r="AJ204" s="1333"/>
      <c r="AK204" s="1305"/>
    </row>
    <row r="205" spans="1:37">
      <c r="A205" s="1325"/>
      <c r="B205" s="1334" t="s">
        <v>1808</v>
      </c>
      <c r="C205" s="1335"/>
      <c r="D205" s="1336"/>
      <c r="E205" s="1336"/>
      <c r="F205" s="1336"/>
      <c r="G205" s="1336"/>
      <c r="H205" s="1336"/>
      <c r="I205" s="1336"/>
      <c r="J205" s="1336"/>
      <c r="K205" s="1337"/>
      <c r="L205" s="1337"/>
      <c r="M205" s="1337"/>
      <c r="N205" s="1337"/>
      <c r="O205" s="1337"/>
      <c r="P205" s="1337"/>
      <c r="Q205" s="1337"/>
      <c r="R205" s="1337"/>
      <c r="S205" s="1208"/>
      <c r="T205" s="1208"/>
      <c r="U205" s="1208"/>
      <c r="V205" s="1208"/>
      <c r="W205" s="1208"/>
      <c r="X205" s="1208"/>
      <c r="Y205" s="1320"/>
      <c r="Z205" s="1320"/>
      <c r="AA205" s="1320"/>
      <c r="AB205" s="1320"/>
      <c r="AC205" s="1208"/>
      <c r="AD205" s="1208"/>
      <c r="AE205" s="1305"/>
      <c r="AF205" s="1305"/>
      <c r="AG205" s="1305"/>
      <c r="AH205" s="1305"/>
      <c r="AI205" s="1305"/>
      <c r="AJ205" s="1338"/>
      <c r="AK205" s="1305"/>
    </row>
    <row r="206" spans="1:37">
      <c r="A206" s="1325"/>
      <c r="B206" s="1334" t="s">
        <v>2675</v>
      </c>
      <c r="C206" s="1335"/>
      <c r="D206" s="1336"/>
      <c r="E206" s="1336"/>
      <c r="F206" s="1336"/>
      <c r="G206" s="1336"/>
      <c r="H206" s="1336"/>
      <c r="I206" s="1336"/>
      <c r="J206" s="1336"/>
      <c r="K206" s="1337"/>
      <c r="L206" s="1337"/>
      <c r="M206" s="1337"/>
      <c r="N206" s="1337"/>
      <c r="O206" s="1337"/>
      <c r="P206" s="1337"/>
      <c r="Q206" s="1337"/>
      <c r="R206" s="1337"/>
      <c r="S206" s="1208"/>
      <c r="T206" s="1208"/>
      <c r="U206" s="1208"/>
      <c r="V206" s="1208"/>
      <c r="W206" s="1208"/>
      <c r="X206" s="1208"/>
      <c r="Y206" s="1320"/>
      <c r="Z206" s="1320"/>
      <c r="AA206" s="1320"/>
      <c r="AB206" s="1320"/>
      <c r="AC206" s="1208"/>
      <c r="AD206" s="1208"/>
      <c r="AE206" s="1305"/>
      <c r="AF206" s="1305"/>
      <c r="AG206" s="1305"/>
      <c r="AH206" s="1305"/>
      <c r="AI206" s="1305"/>
      <c r="AJ206" s="1338"/>
      <c r="AK206" s="1305"/>
    </row>
    <row r="207" spans="1:37">
      <c r="A207" s="1325"/>
      <c r="B207" s="1334" t="s">
        <v>1809</v>
      </c>
      <c r="C207" s="1335"/>
      <c r="D207" s="1336"/>
      <c r="E207" s="1336"/>
      <c r="F207" s="1336"/>
      <c r="G207" s="1336"/>
      <c r="H207" s="1336"/>
      <c r="I207" s="1336"/>
      <c r="J207" s="1336"/>
      <c r="K207" s="1337"/>
      <c r="L207" s="1337"/>
      <c r="M207" s="1337"/>
      <c r="N207" s="1337"/>
      <c r="O207" s="1337"/>
      <c r="P207" s="1337"/>
      <c r="Q207" s="1337"/>
      <c r="R207" s="1337"/>
      <c r="S207" s="1208"/>
      <c r="T207" s="1208"/>
      <c r="U207" s="1208"/>
      <c r="V207" s="1208"/>
      <c r="W207" s="1208"/>
      <c r="X207" s="1208"/>
      <c r="Y207" s="1320"/>
      <c r="Z207" s="1320"/>
      <c r="AA207" s="1320"/>
      <c r="AB207" s="1320"/>
      <c r="AC207" s="1208"/>
      <c r="AD207" s="1208"/>
      <c r="AE207" s="1305"/>
      <c r="AF207" s="1305"/>
      <c r="AG207" s="1305"/>
      <c r="AH207" s="1305"/>
      <c r="AI207" s="1305"/>
      <c r="AJ207" s="1338"/>
      <c r="AK207" s="1305"/>
    </row>
    <row r="208" spans="1:37">
      <c r="A208" s="1325"/>
      <c r="B208" s="1339" t="s">
        <v>1810</v>
      </c>
      <c r="C208" s="1335"/>
      <c r="D208" s="1336"/>
      <c r="E208" s="1336"/>
      <c r="F208" s="1336"/>
      <c r="G208" s="1336"/>
      <c r="H208" s="1336"/>
      <c r="I208" s="1336"/>
      <c r="J208" s="1336"/>
      <c r="K208" s="1337"/>
      <c r="L208" s="1337"/>
      <c r="M208" s="1337"/>
      <c r="N208" s="1337"/>
      <c r="O208" s="1337"/>
      <c r="P208" s="1337"/>
      <c r="Q208" s="1337"/>
      <c r="R208" s="1337"/>
      <c r="S208" s="1208"/>
      <c r="T208" s="1208"/>
      <c r="U208" s="1208"/>
      <c r="V208" s="1208"/>
      <c r="W208" s="1208"/>
      <c r="X208" s="1208"/>
      <c r="Y208" s="1320"/>
      <c r="Z208" s="1320"/>
      <c r="AA208" s="1320"/>
      <c r="AB208" s="1320"/>
      <c r="AC208" s="1208"/>
      <c r="AD208" s="1208"/>
      <c r="AE208" s="1305"/>
      <c r="AF208" s="1305"/>
      <c r="AG208" s="1305"/>
      <c r="AH208" s="1305"/>
      <c r="AI208" s="1305"/>
      <c r="AJ208" s="1338"/>
      <c r="AK208" s="1305"/>
    </row>
    <row r="209" spans="1:37">
      <c r="A209" s="1325"/>
      <c r="B209" s="1340" t="s">
        <v>1848</v>
      </c>
      <c r="C209" s="1341"/>
      <c r="D209" s="1342"/>
      <c r="E209" s="1342"/>
      <c r="F209" s="1342"/>
      <c r="G209" s="1342"/>
      <c r="H209" s="1342"/>
      <c r="I209" s="1342"/>
      <c r="J209" s="1342"/>
      <c r="K209" s="1343"/>
      <c r="L209" s="1343"/>
      <c r="M209" s="1343"/>
      <c r="N209" s="1343"/>
      <c r="O209" s="1343"/>
      <c r="P209" s="1343"/>
      <c r="Q209" s="1343"/>
      <c r="R209" s="1343"/>
      <c r="S209" s="1344"/>
      <c r="T209" s="1344"/>
      <c r="U209" s="1344"/>
      <c r="V209" s="1344"/>
      <c r="W209" s="1344"/>
      <c r="X209" s="1344"/>
      <c r="Y209" s="1345"/>
      <c r="Z209" s="1345"/>
      <c r="AA209" s="1345"/>
      <c r="AB209" s="1345"/>
      <c r="AC209" s="1344"/>
      <c r="AD209" s="1344"/>
      <c r="AE209" s="1346"/>
      <c r="AF209" s="1346"/>
      <c r="AG209" s="1346"/>
      <c r="AH209" s="1346"/>
      <c r="AI209" s="1346"/>
      <c r="AJ209" s="1347"/>
      <c r="AK209" s="1305"/>
    </row>
    <row r="210" spans="1:37">
      <c r="A210" s="1289"/>
      <c r="B210" s="1289"/>
      <c r="C210" s="1318"/>
      <c r="D210" s="1319"/>
      <c r="E210" s="1319"/>
      <c r="F210" s="1319"/>
      <c r="G210" s="1319"/>
      <c r="H210" s="1319"/>
      <c r="I210" s="1319"/>
      <c r="J210" s="1319"/>
      <c r="K210" s="1208"/>
      <c r="L210" s="1208"/>
      <c r="M210" s="1208"/>
      <c r="N210" s="1208"/>
      <c r="O210" s="1208"/>
      <c r="P210" s="1208"/>
      <c r="Q210" s="1208"/>
      <c r="R210" s="1208"/>
      <c r="S210" s="1208"/>
      <c r="T210" s="1208"/>
      <c r="U210" s="1208"/>
      <c r="V210" s="1208"/>
      <c r="W210" s="1208"/>
      <c r="X210" s="1208"/>
      <c r="Y210" s="1320"/>
      <c r="Z210" s="1320"/>
      <c r="AA210" s="1320"/>
      <c r="AB210" s="1320"/>
      <c r="AC210" s="1208"/>
      <c r="AD210" s="1208"/>
      <c r="AE210" s="1305"/>
      <c r="AF210" s="1305"/>
      <c r="AG210" s="1305"/>
      <c r="AH210" s="1305"/>
      <c r="AI210" s="1305"/>
      <c r="AJ210" s="1305"/>
      <c r="AK210" s="1305"/>
    </row>
    <row r="211" spans="1:37">
      <c r="A211" s="1289"/>
      <c r="B211" s="1348"/>
      <c r="C211" s="1085"/>
      <c r="D211" s="1085"/>
      <c r="I211" s="2601" t="s">
        <v>1817</v>
      </c>
      <c r="J211" s="2601"/>
      <c r="K211" s="2601"/>
      <c r="L211" s="1208"/>
      <c r="M211" s="1208"/>
      <c r="N211" s="1208"/>
      <c r="O211" s="1208"/>
      <c r="P211" s="1208"/>
      <c r="Q211" s="1208"/>
      <c r="R211" s="1208"/>
      <c r="S211" s="1208"/>
      <c r="T211" s="2602" t="s">
        <v>1811</v>
      </c>
      <c r="U211" s="2602"/>
      <c r="V211" s="2602"/>
      <c r="W211" s="2602"/>
      <c r="X211" s="2602"/>
      <c r="Y211" s="2602"/>
      <c r="Z211" s="1349"/>
      <c r="AA211" s="1291"/>
      <c r="AB211" s="2589" t="s">
        <v>1812</v>
      </c>
      <c r="AC211" s="2589"/>
      <c r="AD211" s="2589"/>
      <c r="AE211" s="2589"/>
      <c r="AF211" s="2589"/>
      <c r="AG211" s="2589"/>
      <c r="AH211" s="1319"/>
      <c r="AI211" s="1319"/>
      <c r="AJ211" s="1319"/>
      <c r="AK211" s="1305"/>
    </row>
    <row r="212" spans="1:37">
      <c r="A212" s="1289"/>
      <c r="B212" s="2603" t="s">
        <v>1797</v>
      </c>
      <c r="C212" s="2603"/>
      <c r="D212" s="2603"/>
      <c r="E212" s="2603"/>
      <c r="F212" s="2603"/>
      <c r="G212" s="2603"/>
      <c r="I212" s="2604" t="s">
        <v>1818</v>
      </c>
      <c r="J212" s="2604"/>
      <c r="K212" s="2604"/>
      <c r="L212" s="1350"/>
      <c r="N212" s="2605" t="s">
        <v>1813</v>
      </c>
      <c r="O212" s="2605"/>
      <c r="P212" s="2605"/>
      <c r="Q212" s="2605"/>
      <c r="R212" s="2605"/>
      <c r="T212" s="2605" t="s">
        <v>1814</v>
      </c>
      <c r="U212" s="2605"/>
      <c r="V212" s="2605"/>
      <c r="W212" s="2605"/>
      <c r="X212" s="2605"/>
      <c r="Y212" s="2605"/>
      <c r="Z212" s="1351"/>
      <c r="AA212" s="1291"/>
      <c r="AB212" s="2606" t="s">
        <v>1815</v>
      </c>
      <c r="AC212" s="2606"/>
      <c r="AD212" s="2606"/>
      <c r="AE212" s="2606"/>
      <c r="AF212" s="2606"/>
      <c r="AG212" s="2606"/>
      <c r="AH212" s="1319"/>
      <c r="AI212" s="1319"/>
      <c r="AJ212" s="1319"/>
      <c r="AK212" s="1305"/>
    </row>
    <row r="213" spans="1:37">
      <c r="A213" s="1289"/>
      <c r="B213" s="2595" t="s">
        <v>1348</v>
      </c>
      <c r="C213" s="2595"/>
      <c r="D213" s="2595"/>
      <c r="E213" s="2595"/>
      <c r="F213" s="2595"/>
      <c r="G213" s="2595"/>
      <c r="H213" s="1352"/>
      <c r="I213" s="2596"/>
      <c r="J213" s="2596"/>
      <c r="K213" s="2596"/>
      <c r="L213" s="1350"/>
      <c r="N213" s="2597"/>
      <c r="O213" s="2597"/>
      <c r="P213" s="2597"/>
      <c r="Q213" s="2597"/>
      <c r="R213" s="2597"/>
      <c r="T213" s="2598"/>
      <c r="U213" s="2598"/>
      <c r="V213" s="2598"/>
      <c r="W213" s="2598"/>
      <c r="X213" s="2598"/>
      <c r="Y213" s="2598"/>
      <c r="Z213" s="1353"/>
      <c r="AA213" s="1353"/>
      <c r="AB213" s="2586">
        <f t="shared" ref="AB213:AB222" si="0">MAX(($T213-$N213)*$I213*12,0)</f>
        <v>0</v>
      </c>
      <c r="AC213" s="2586"/>
      <c r="AD213" s="2586"/>
      <c r="AE213" s="2586"/>
      <c r="AF213" s="2586"/>
      <c r="AG213" s="2586"/>
      <c r="AH213" s="1319"/>
      <c r="AI213" s="1319"/>
      <c r="AJ213" s="1319"/>
      <c r="AK213" s="1305"/>
    </row>
    <row r="214" spans="1:37">
      <c r="A214" s="1289"/>
      <c r="B214" s="2595" t="s">
        <v>1348</v>
      </c>
      <c r="C214" s="2595"/>
      <c r="D214" s="2595"/>
      <c r="E214" s="2595"/>
      <c r="F214" s="2595"/>
      <c r="G214" s="2595"/>
      <c r="I214" s="2596"/>
      <c r="J214" s="2596"/>
      <c r="K214" s="2596"/>
      <c r="L214" s="1350"/>
      <c r="N214" s="2597"/>
      <c r="O214" s="2597"/>
      <c r="P214" s="2597"/>
      <c r="Q214" s="2597"/>
      <c r="R214" s="2597"/>
      <c r="T214" s="2598"/>
      <c r="U214" s="2598"/>
      <c r="V214" s="2598"/>
      <c r="W214" s="2598"/>
      <c r="X214" s="2598"/>
      <c r="Y214" s="2598"/>
      <c r="Z214" s="1353"/>
      <c r="AA214" s="1353"/>
      <c r="AB214" s="2586">
        <f t="shared" si="0"/>
        <v>0</v>
      </c>
      <c r="AC214" s="2586"/>
      <c r="AD214" s="2586"/>
      <c r="AE214" s="2586"/>
      <c r="AF214" s="2586"/>
      <c r="AG214" s="2586"/>
      <c r="AH214" s="1319"/>
      <c r="AI214" s="1319"/>
      <c r="AJ214" s="1319"/>
      <c r="AK214" s="1305"/>
    </row>
    <row r="215" spans="1:37">
      <c r="A215" s="1289"/>
      <c r="B215" s="2595" t="s">
        <v>1348</v>
      </c>
      <c r="C215" s="2595"/>
      <c r="D215" s="2595"/>
      <c r="E215" s="2595"/>
      <c r="F215" s="2595"/>
      <c r="G215" s="2595"/>
      <c r="I215" s="2596"/>
      <c r="J215" s="2596"/>
      <c r="K215" s="2596"/>
      <c r="L215" s="1350"/>
      <c r="N215" s="2597"/>
      <c r="O215" s="2597"/>
      <c r="P215" s="2597"/>
      <c r="Q215" s="2597"/>
      <c r="R215" s="2597"/>
      <c r="T215" s="2598"/>
      <c r="U215" s="2598"/>
      <c r="V215" s="2598"/>
      <c r="W215" s="2598"/>
      <c r="X215" s="2598"/>
      <c r="Y215" s="2598"/>
      <c r="Z215" s="1353"/>
      <c r="AA215" s="1353"/>
      <c r="AB215" s="2586">
        <f t="shared" si="0"/>
        <v>0</v>
      </c>
      <c r="AC215" s="2586"/>
      <c r="AD215" s="2586"/>
      <c r="AE215" s="2586"/>
      <c r="AF215" s="2586"/>
      <c r="AG215" s="2586"/>
      <c r="AH215" s="1319"/>
      <c r="AI215" s="1319"/>
      <c r="AJ215" s="1319"/>
      <c r="AK215" s="1305"/>
    </row>
    <row r="216" spans="1:37">
      <c r="A216" s="1289"/>
      <c r="B216" s="2595" t="s">
        <v>1348</v>
      </c>
      <c r="C216" s="2595"/>
      <c r="D216" s="2595"/>
      <c r="E216" s="2595"/>
      <c r="F216" s="2595"/>
      <c r="G216" s="2595"/>
      <c r="I216" s="2596"/>
      <c r="J216" s="2596"/>
      <c r="K216" s="2596"/>
      <c r="L216" s="1350"/>
      <c r="N216" s="2597"/>
      <c r="O216" s="2597"/>
      <c r="P216" s="2597"/>
      <c r="Q216" s="2597"/>
      <c r="R216" s="2597"/>
      <c r="T216" s="2598"/>
      <c r="U216" s="2598"/>
      <c r="V216" s="2598"/>
      <c r="W216" s="2598"/>
      <c r="X216" s="2598"/>
      <c r="Y216" s="2598"/>
      <c r="Z216" s="1353"/>
      <c r="AA216" s="1353"/>
      <c r="AB216" s="2586">
        <f t="shared" si="0"/>
        <v>0</v>
      </c>
      <c r="AC216" s="2586"/>
      <c r="AD216" s="2586"/>
      <c r="AE216" s="2586"/>
      <c r="AF216" s="2586"/>
      <c r="AG216" s="2586"/>
      <c r="AH216" s="1319"/>
      <c r="AI216" s="1319"/>
      <c r="AJ216" s="1319"/>
      <c r="AK216" s="1305"/>
    </row>
    <row r="217" spans="1:37">
      <c r="A217" s="1289"/>
      <c r="B217" s="2595" t="s">
        <v>1348</v>
      </c>
      <c r="C217" s="2595"/>
      <c r="D217" s="2595"/>
      <c r="E217" s="2595"/>
      <c r="F217" s="2595"/>
      <c r="G217" s="2595"/>
      <c r="I217" s="2596"/>
      <c r="J217" s="2596"/>
      <c r="K217" s="2596"/>
      <c r="L217" s="1354"/>
      <c r="N217" s="2597"/>
      <c r="O217" s="2597"/>
      <c r="P217" s="2597"/>
      <c r="Q217" s="2597"/>
      <c r="R217" s="2597"/>
      <c r="T217" s="2598"/>
      <c r="U217" s="2598"/>
      <c r="V217" s="2598"/>
      <c r="W217" s="2598"/>
      <c r="X217" s="2598"/>
      <c r="Y217" s="2598"/>
      <c r="Z217" s="1353"/>
      <c r="AA217" s="1353"/>
      <c r="AB217" s="2586">
        <f t="shared" si="0"/>
        <v>0</v>
      </c>
      <c r="AC217" s="2586"/>
      <c r="AD217" s="2586"/>
      <c r="AE217" s="2586"/>
      <c r="AF217" s="2586"/>
      <c r="AG217" s="2586"/>
      <c r="AH217" s="1319"/>
      <c r="AI217" s="1319"/>
      <c r="AJ217" s="1319"/>
      <c r="AK217" s="1305"/>
    </row>
    <row r="218" spans="1:37">
      <c r="A218" s="1289"/>
      <c r="B218" s="2595" t="s">
        <v>1348</v>
      </c>
      <c r="C218" s="2595"/>
      <c r="D218" s="2595"/>
      <c r="E218" s="2595"/>
      <c r="F218" s="2595"/>
      <c r="G218" s="2595"/>
      <c r="I218" s="2596"/>
      <c r="J218" s="2596"/>
      <c r="K218" s="2596"/>
      <c r="L218" s="1354"/>
      <c r="N218" s="2597"/>
      <c r="O218" s="2597"/>
      <c r="P218" s="2597"/>
      <c r="Q218" s="2597"/>
      <c r="R218" s="2597"/>
      <c r="T218" s="2598"/>
      <c r="U218" s="2598"/>
      <c r="V218" s="2598"/>
      <c r="W218" s="2598"/>
      <c r="X218" s="2598"/>
      <c r="Y218" s="2598"/>
      <c r="Z218" s="1353"/>
      <c r="AA218" s="1353"/>
      <c r="AB218" s="2586">
        <f t="shared" si="0"/>
        <v>0</v>
      </c>
      <c r="AC218" s="2586"/>
      <c r="AD218" s="2586"/>
      <c r="AE218" s="2586"/>
      <c r="AF218" s="2586"/>
      <c r="AG218" s="2586"/>
      <c r="AH218" s="1319"/>
      <c r="AI218" s="1319"/>
      <c r="AJ218" s="1319"/>
      <c r="AK218" s="1305"/>
    </row>
    <row r="219" spans="1:37">
      <c r="A219" s="1289"/>
      <c r="B219" s="2595" t="s">
        <v>1348</v>
      </c>
      <c r="C219" s="2595"/>
      <c r="D219" s="2595"/>
      <c r="E219" s="2595"/>
      <c r="F219" s="2595"/>
      <c r="G219" s="2595"/>
      <c r="I219" s="2596"/>
      <c r="J219" s="2596"/>
      <c r="K219" s="2596"/>
      <c r="L219" s="1354"/>
      <c r="N219" s="2597"/>
      <c r="O219" s="2597"/>
      <c r="P219" s="2597"/>
      <c r="Q219" s="2597"/>
      <c r="R219" s="2597"/>
      <c r="T219" s="2598"/>
      <c r="U219" s="2598"/>
      <c r="V219" s="2598"/>
      <c r="W219" s="2598"/>
      <c r="X219" s="2598"/>
      <c r="Y219" s="2598"/>
      <c r="Z219" s="1353"/>
      <c r="AA219" s="1353"/>
      <c r="AB219" s="2586">
        <f t="shared" si="0"/>
        <v>0</v>
      </c>
      <c r="AC219" s="2586"/>
      <c r="AD219" s="2586"/>
      <c r="AE219" s="2586"/>
      <c r="AF219" s="2586"/>
      <c r="AG219" s="2586"/>
      <c r="AH219" s="1319"/>
      <c r="AI219" s="1319"/>
      <c r="AJ219" s="1319"/>
      <c r="AK219" s="1305"/>
    </row>
    <row r="220" spans="1:37">
      <c r="A220" s="1289"/>
      <c r="B220" s="2595" t="s">
        <v>1348</v>
      </c>
      <c r="C220" s="2595"/>
      <c r="D220" s="2595"/>
      <c r="E220" s="2595"/>
      <c r="F220" s="2595"/>
      <c r="G220" s="2595"/>
      <c r="I220" s="2596"/>
      <c r="J220" s="2596"/>
      <c r="K220" s="2596"/>
      <c r="L220" s="1354"/>
      <c r="N220" s="2597"/>
      <c r="O220" s="2597"/>
      <c r="P220" s="2597"/>
      <c r="Q220" s="2597"/>
      <c r="R220" s="2597"/>
      <c r="T220" s="2598"/>
      <c r="U220" s="2598"/>
      <c r="V220" s="2598"/>
      <c r="W220" s="2598"/>
      <c r="X220" s="2598"/>
      <c r="Y220" s="2598"/>
      <c r="Z220" s="1353"/>
      <c r="AA220" s="1353"/>
      <c r="AB220" s="2586">
        <f t="shared" si="0"/>
        <v>0</v>
      </c>
      <c r="AC220" s="2586"/>
      <c r="AD220" s="2586"/>
      <c r="AE220" s="2586"/>
      <c r="AF220" s="2586"/>
      <c r="AG220" s="2586"/>
      <c r="AH220" s="1319"/>
      <c r="AI220" s="1319"/>
      <c r="AJ220" s="1319"/>
      <c r="AK220" s="1305"/>
    </row>
    <row r="221" spans="1:37">
      <c r="A221" s="1289"/>
      <c r="B221" s="2595" t="s">
        <v>1348</v>
      </c>
      <c r="C221" s="2595"/>
      <c r="D221" s="2595"/>
      <c r="E221" s="2595"/>
      <c r="F221" s="2595"/>
      <c r="G221" s="2595"/>
      <c r="I221" s="2596"/>
      <c r="J221" s="2596"/>
      <c r="K221" s="2596"/>
      <c r="L221" s="1354"/>
      <c r="N221" s="2597"/>
      <c r="O221" s="2597"/>
      <c r="P221" s="2597"/>
      <c r="Q221" s="2597"/>
      <c r="R221" s="2597"/>
      <c r="T221" s="2598"/>
      <c r="U221" s="2598"/>
      <c r="V221" s="2598"/>
      <c r="W221" s="2598"/>
      <c r="X221" s="2598"/>
      <c r="Y221" s="2598"/>
      <c r="Z221" s="1353"/>
      <c r="AA221" s="1353"/>
      <c r="AB221" s="2586">
        <f t="shared" si="0"/>
        <v>0</v>
      </c>
      <c r="AC221" s="2586"/>
      <c r="AD221" s="2586"/>
      <c r="AE221" s="2586"/>
      <c r="AF221" s="2586"/>
      <c r="AG221" s="2586"/>
      <c r="AH221" s="1319"/>
      <c r="AI221" s="1319"/>
      <c r="AJ221" s="1319"/>
      <c r="AK221" s="1305"/>
    </row>
    <row r="222" spans="1:37">
      <c r="A222" s="1289"/>
      <c r="B222" s="2595" t="s">
        <v>1348</v>
      </c>
      <c r="C222" s="2595"/>
      <c r="D222" s="2595"/>
      <c r="E222" s="2595"/>
      <c r="F222" s="2595"/>
      <c r="G222" s="2595"/>
      <c r="I222" s="2599"/>
      <c r="J222" s="2599"/>
      <c r="K222" s="2599"/>
      <c r="L222" s="1354"/>
      <c r="N222" s="2597"/>
      <c r="O222" s="2597"/>
      <c r="P222" s="2597"/>
      <c r="Q222" s="2597"/>
      <c r="R222" s="2597"/>
      <c r="T222" s="2598"/>
      <c r="U222" s="2598"/>
      <c r="V222" s="2598"/>
      <c r="W222" s="2598"/>
      <c r="X222" s="2598"/>
      <c r="Y222" s="2598"/>
      <c r="Z222" s="1353"/>
      <c r="AA222" s="1353"/>
      <c r="AB222" s="2594">
        <f t="shared" si="0"/>
        <v>0</v>
      </c>
      <c r="AC222" s="2594"/>
      <c r="AD222" s="2594"/>
      <c r="AE222" s="2594"/>
      <c r="AF222" s="2594"/>
      <c r="AG222" s="2594"/>
      <c r="AH222" s="1319"/>
      <c r="AI222" s="1319"/>
      <c r="AJ222" s="1319"/>
      <c r="AK222" s="1305"/>
    </row>
    <row r="223" spans="1:37">
      <c r="A223" s="1289"/>
      <c r="B223" s="1085"/>
      <c r="C223" s="1352"/>
      <c r="D223" s="1085"/>
      <c r="K223" s="1208"/>
      <c r="L223" s="1208"/>
      <c r="M223" s="1208"/>
      <c r="N223" s="1208"/>
      <c r="O223" s="1208"/>
      <c r="P223" s="1208"/>
      <c r="Q223" s="1208"/>
      <c r="R223" s="1208"/>
      <c r="S223" s="1208"/>
      <c r="T223" s="1208"/>
      <c r="U223" s="1208"/>
      <c r="V223" s="1208"/>
      <c r="W223" s="1208"/>
      <c r="X223" s="1208"/>
      <c r="Y223" s="1355" t="s">
        <v>1816</v>
      </c>
      <c r="AA223" s="1355"/>
      <c r="AB223" s="2586">
        <f>SUM(AB213:AB222)</f>
        <v>0</v>
      </c>
      <c r="AC223" s="2586"/>
      <c r="AD223" s="2586"/>
      <c r="AE223" s="2586"/>
      <c r="AF223" s="2586"/>
      <c r="AG223" s="2586"/>
      <c r="AH223" s="1319"/>
      <c r="AI223" s="1319"/>
      <c r="AJ223" s="1319"/>
      <c r="AK223" s="1305"/>
    </row>
    <row r="224" spans="1:37">
      <c r="A224" s="1289"/>
      <c r="B224" s="1289"/>
      <c r="C224" s="1318"/>
      <c r="D224" s="1319"/>
      <c r="E224" s="1319"/>
      <c r="F224" s="1319"/>
      <c r="G224" s="1319"/>
      <c r="H224" s="1319"/>
      <c r="I224" s="1319"/>
      <c r="J224" s="1319"/>
      <c r="K224" s="1223"/>
      <c r="L224" s="1223"/>
      <c r="M224" s="1223"/>
      <c r="N224" s="1223"/>
      <c r="O224" s="1223"/>
      <c r="P224" s="1223"/>
      <c r="Q224" s="1223"/>
      <c r="R224" s="1223"/>
      <c r="S224" s="1223"/>
      <c r="T224" s="1223"/>
      <c r="U224" s="1223"/>
      <c r="V224" s="1223"/>
      <c r="W224" s="1223"/>
      <c r="X224" s="1223"/>
      <c r="Y224" s="1320"/>
      <c r="Z224" s="1320"/>
      <c r="AA224" s="1320"/>
      <c r="AB224" s="1320"/>
      <c r="AC224" s="1223"/>
      <c r="AD224" s="1223"/>
      <c r="AE224" s="1305"/>
      <c r="AF224" s="1305"/>
      <c r="AG224" s="1305"/>
      <c r="AH224" s="1305"/>
      <c r="AI224" s="1305"/>
      <c r="AJ224" s="1305"/>
      <c r="AK224" s="1305"/>
    </row>
    <row r="225" spans="1:37">
      <c r="A225" s="1356" t="s">
        <v>1806</v>
      </c>
      <c r="C225" s="1318"/>
      <c r="D225" s="1319"/>
      <c r="E225" s="1319"/>
      <c r="F225" s="1319"/>
      <c r="G225" s="1319"/>
      <c r="H225" s="1319"/>
      <c r="I225" s="1319"/>
      <c r="J225" s="1319"/>
      <c r="K225" s="1208"/>
      <c r="L225" s="1208"/>
      <c r="M225" s="1208"/>
      <c r="N225" s="1208"/>
      <c r="O225" s="1208"/>
      <c r="P225" s="1208"/>
      <c r="Q225" s="1208"/>
      <c r="R225" s="1208"/>
      <c r="S225" s="1208"/>
      <c r="T225" s="1208"/>
      <c r="U225" s="1208"/>
      <c r="V225" s="1208"/>
      <c r="W225" s="1208"/>
      <c r="X225" s="1208"/>
      <c r="Y225" s="1320"/>
      <c r="Z225" s="1320"/>
      <c r="AA225" s="1320"/>
      <c r="AB225" s="1320"/>
      <c r="AC225" s="1208"/>
      <c r="AD225" s="1208"/>
      <c r="AE225" s="1305"/>
      <c r="AF225" s="1305"/>
      <c r="AG225" s="1305"/>
      <c r="AH225" s="1305"/>
      <c r="AI225" s="1305"/>
      <c r="AJ225" s="1305"/>
      <c r="AK225" s="1305"/>
    </row>
    <row r="226" spans="1:37">
      <c r="A226" s="1289"/>
      <c r="B226" s="1085" t="s">
        <v>1834</v>
      </c>
      <c r="C226" s="1318"/>
      <c r="D226" s="1319"/>
      <c r="E226" s="1319"/>
      <c r="F226" s="1319"/>
      <c r="G226" s="1319"/>
      <c r="H226" s="1319"/>
      <c r="I226" s="1319"/>
      <c r="J226" s="1319"/>
      <c r="K226" s="1208"/>
      <c r="L226" s="1208"/>
      <c r="M226" s="1208"/>
      <c r="N226" s="1208"/>
      <c r="O226" s="1208"/>
      <c r="P226" s="1208"/>
      <c r="Q226" s="1208"/>
      <c r="R226" s="1208"/>
      <c r="S226" s="1208"/>
      <c r="T226" s="1208"/>
      <c r="U226" s="1208"/>
      <c r="V226" s="1208"/>
      <c r="W226" s="1208"/>
      <c r="X226" s="1208"/>
      <c r="Y226" s="1320"/>
      <c r="Z226" s="1320"/>
      <c r="AA226" s="1320"/>
      <c r="AB226" s="1320"/>
      <c r="AC226" s="1208"/>
      <c r="AD226" s="1208"/>
      <c r="AE226" s="1305"/>
      <c r="AF226" s="1305"/>
      <c r="AG226" s="1305"/>
      <c r="AH226" s="1305"/>
      <c r="AI226" s="1305"/>
      <c r="AJ226" s="1305"/>
      <c r="AK226" s="1305"/>
    </row>
    <row r="227" spans="1:37">
      <c r="A227" s="1289"/>
      <c r="B227" s="1085"/>
      <c r="C227" s="1318"/>
      <c r="D227" s="1319"/>
      <c r="E227" s="1319"/>
      <c r="F227" s="1319"/>
      <c r="G227" s="1319"/>
      <c r="H227" s="1319"/>
      <c r="I227" s="1319"/>
      <c r="J227" s="1319"/>
      <c r="K227" s="1208"/>
      <c r="L227" s="1208"/>
      <c r="M227" s="1208"/>
      <c r="N227" s="1208"/>
      <c r="O227" s="1208"/>
      <c r="P227" s="1208"/>
      <c r="Q227" s="1208"/>
      <c r="R227" s="1208"/>
      <c r="S227" s="1208"/>
      <c r="T227" s="1208"/>
      <c r="U227" s="1208"/>
      <c r="V227" s="1208"/>
      <c r="W227" s="1208"/>
      <c r="X227" s="1208"/>
      <c r="Y227" s="1320"/>
      <c r="Z227" s="1320"/>
      <c r="AA227" s="1320"/>
      <c r="AB227" s="1320"/>
      <c r="AC227" s="1208"/>
      <c r="AD227" s="1208"/>
      <c r="AE227" s="1305"/>
      <c r="AF227" s="1305"/>
      <c r="AG227" s="1305"/>
      <c r="AH227" s="1305"/>
      <c r="AI227" s="1305"/>
      <c r="AJ227" s="1305"/>
      <c r="AK227" s="1305"/>
    </row>
    <row r="228" spans="1:37">
      <c r="A228" s="1289"/>
      <c r="B228" s="1357" t="s">
        <v>1832</v>
      </c>
      <c r="C228" s="1318"/>
      <c r="D228" s="1319"/>
      <c r="E228" s="1319"/>
      <c r="F228" s="1319"/>
      <c r="G228" s="1319"/>
      <c r="H228" s="1319"/>
      <c r="I228" s="1319"/>
      <c r="J228" s="1319"/>
      <c r="K228" s="1208"/>
      <c r="L228" s="1208"/>
      <c r="M228" s="1208"/>
      <c r="N228" s="1208"/>
      <c r="O228" s="1208"/>
      <c r="P228" s="1208"/>
      <c r="Q228" s="1208"/>
      <c r="R228" s="1208"/>
      <c r="S228" s="1208"/>
      <c r="T228" s="1208"/>
      <c r="U228" s="1208"/>
      <c r="V228" s="1208"/>
      <c r="W228" s="1208"/>
      <c r="X228" s="1208"/>
      <c r="Y228" s="1320"/>
      <c r="Z228" s="1320"/>
      <c r="AA228" s="1320"/>
      <c r="AB228" s="1320"/>
      <c r="AC228" s="1208"/>
      <c r="AD228" s="1208"/>
      <c r="AE228" s="1305"/>
      <c r="AF228" s="1305"/>
      <c r="AG228" s="1305"/>
      <c r="AH228" s="1305"/>
      <c r="AI228" s="1305"/>
      <c r="AJ228" s="1305"/>
      <c r="AK228" s="1305"/>
    </row>
    <row r="229" spans="1:37">
      <c r="A229" s="1289"/>
      <c r="B229" s="1357" t="s">
        <v>1826</v>
      </c>
      <c r="C229" s="1318"/>
      <c r="D229" s="1319"/>
      <c r="E229" s="1319"/>
      <c r="F229" s="1319"/>
      <c r="G229" s="1319"/>
      <c r="H229" s="1319"/>
      <c r="I229" s="1319"/>
      <c r="J229" s="1319"/>
      <c r="K229" s="1208"/>
      <c r="L229" s="1208"/>
      <c r="M229" s="1208"/>
      <c r="N229" s="1208"/>
      <c r="O229" s="1208"/>
      <c r="P229" s="1208"/>
      <c r="Q229" s="1208"/>
      <c r="R229" s="1208"/>
      <c r="S229" s="1208"/>
      <c r="T229" s="1208"/>
      <c r="U229" s="1208"/>
      <c r="V229" s="1208"/>
      <c r="W229" s="1208"/>
      <c r="X229" s="1208"/>
      <c r="Y229" s="1320"/>
      <c r="Z229" s="1320"/>
      <c r="AA229" s="1320"/>
      <c r="AB229" s="2591"/>
      <c r="AC229" s="2591"/>
      <c r="AD229" s="2591"/>
      <c r="AE229" s="2591"/>
      <c r="AF229" s="2591"/>
      <c r="AG229" s="2591"/>
      <c r="AH229" s="1305"/>
      <c r="AI229" s="1305"/>
      <c r="AJ229" s="1305"/>
      <c r="AK229" s="1305"/>
    </row>
    <row r="230" spans="1:37">
      <c r="A230" s="1289"/>
      <c r="B230" s="1358" t="s">
        <v>1831</v>
      </c>
      <c r="C230" s="1311"/>
      <c r="D230" s="1359"/>
      <c r="E230" s="1319"/>
      <c r="F230" s="1319"/>
      <c r="G230" s="1319"/>
      <c r="H230" s="1319"/>
      <c r="I230" s="1319"/>
      <c r="J230" s="1319"/>
      <c r="K230" s="1208"/>
      <c r="L230" s="1208"/>
      <c r="M230" s="1208"/>
      <c r="N230" s="1208"/>
      <c r="O230" s="1208"/>
      <c r="P230" s="1208"/>
      <c r="Q230" s="1208"/>
      <c r="R230" s="1208"/>
      <c r="S230" s="1208"/>
      <c r="T230" s="1208"/>
      <c r="U230" s="1208"/>
      <c r="V230" s="1208"/>
      <c r="W230" s="1208"/>
      <c r="X230" s="1208"/>
      <c r="Y230" s="1320"/>
      <c r="Z230" s="1320"/>
      <c r="AA230" s="1320"/>
      <c r="AB230" s="1320"/>
      <c r="AC230" s="1208"/>
      <c r="AD230" s="1208"/>
      <c r="AE230" s="1305"/>
      <c r="AF230" s="1305"/>
      <c r="AG230" s="1305"/>
      <c r="AH230" s="1305"/>
      <c r="AI230" s="1305"/>
      <c r="AJ230" s="1305"/>
      <c r="AK230" s="1305"/>
    </row>
    <row r="231" spans="1:37">
      <c r="A231" s="1289"/>
      <c r="B231" s="1360" t="s">
        <v>1833</v>
      </c>
      <c r="C231" s="1318"/>
      <c r="D231" s="1319"/>
      <c r="E231" s="1319"/>
      <c r="F231" s="1319"/>
      <c r="G231" s="1319"/>
      <c r="H231" s="1319"/>
      <c r="I231" s="1319"/>
      <c r="J231" s="1319"/>
      <c r="K231" s="1208"/>
      <c r="L231" s="1208"/>
      <c r="M231" s="1208"/>
      <c r="N231" s="1208"/>
      <c r="O231" s="1208"/>
      <c r="P231" s="1208"/>
      <c r="Q231" s="1208"/>
      <c r="R231" s="1208"/>
      <c r="S231" s="1208"/>
      <c r="T231" s="1208"/>
      <c r="U231" s="1208"/>
      <c r="V231" s="1208"/>
      <c r="W231" s="1208"/>
      <c r="X231" s="1208"/>
      <c r="Y231" s="1320"/>
      <c r="Z231" s="1320"/>
      <c r="AA231" s="1320"/>
      <c r="AB231" s="1320"/>
      <c r="AC231" s="1208"/>
      <c r="AD231" s="1208"/>
      <c r="AE231" s="1305"/>
      <c r="AF231" s="1305"/>
      <c r="AG231" s="1305"/>
      <c r="AH231" s="1305"/>
      <c r="AI231" s="1305"/>
      <c r="AJ231" s="1305"/>
      <c r="AK231" s="1305"/>
    </row>
    <row r="232" spans="1:37">
      <c r="A232" s="1289"/>
      <c r="B232" s="1360" t="s">
        <v>1827</v>
      </c>
      <c r="C232" s="1318"/>
      <c r="D232" s="1319"/>
      <c r="E232" s="1319"/>
      <c r="F232" s="1319"/>
      <c r="G232" s="1319"/>
      <c r="H232" s="1319"/>
      <c r="I232" s="1319"/>
      <c r="J232" s="1319"/>
      <c r="K232" s="1208"/>
      <c r="L232" s="1208"/>
      <c r="M232" s="1208"/>
      <c r="N232" s="1208"/>
      <c r="O232" s="1208"/>
      <c r="P232" s="1208"/>
      <c r="Q232" s="1208"/>
      <c r="R232" s="1208"/>
      <c r="S232" s="1208"/>
      <c r="T232" s="1208"/>
      <c r="U232" s="1208"/>
      <c r="V232" s="1208"/>
      <c r="W232" s="1208"/>
      <c r="X232" s="1208"/>
      <c r="Y232" s="1320"/>
      <c r="Z232" s="1320"/>
      <c r="AA232" s="1320"/>
      <c r="AB232" s="2591"/>
      <c r="AC232" s="2591"/>
      <c r="AD232" s="2591"/>
      <c r="AE232" s="2591"/>
      <c r="AF232" s="2591"/>
      <c r="AG232" s="2591"/>
      <c r="AH232" s="1305"/>
      <c r="AI232" s="1305"/>
      <c r="AJ232" s="1305"/>
      <c r="AK232" s="1305"/>
    </row>
    <row r="233" spans="1:37">
      <c r="A233" s="1289"/>
      <c r="B233" s="1360" t="s">
        <v>1828</v>
      </c>
      <c r="C233" s="1318"/>
      <c r="D233" s="1319"/>
      <c r="E233" s="1319"/>
      <c r="F233" s="1319"/>
      <c r="G233" s="1319"/>
      <c r="H233" s="1319"/>
      <c r="I233" s="1319"/>
      <c r="J233" s="1319"/>
      <c r="K233" s="1208"/>
      <c r="L233" s="1208"/>
      <c r="M233" s="1208"/>
      <c r="N233" s="1208"/>
      <c r="O233" s="1208"/>
      <c r="P233" s="1208"/>
      <c r="Q233" s="1208"/>
      <c r="R233" s="1208"/>
      <c r="S233" s="1208"/>
      <c r="T233" s="1208"/>
      <c r="U233" s="1208"/>
      <c r="V233" s="1208"/>
      <c r="W233" s="1208"/>
      <c r="X233" s="1208"/>
      <c r="Y233" s="1320"/>
      <c r="Z233" s="1320"/>
      <c r="AA233" s="1320"/>
      <c r="AB233" s="2592"/>
      <c r="AC233" s="2592"/>
      <c r="AD233" s="2592"/>
      <c r="AE233" s="2592"/>
      <c r="AF233" s="2592"/>
      <c r="AG233" s="2592"/>
      <c r="AH233" s="1305"/>
      <c r="AI233" s="1305"/>
      <c r="AJ233" s="1305"/>
      <c r="AK233" s="1305"/>
    </row>
    <row r="234" spans="1:37">
      <c r="A234" s="1289"/>
      <c r="B234" s="1360" t="s">
        <v>1829</v>
      </c>
      <c r="C234" s="1318"/>
      <c r="D234" s="1319"/>
      <c r="E234" s="1319"/>
      <c r="F234" s="1319"/>
      <c r="G234" s="1319"/>
      <c r="H234" s="1319"/>
      <c r="I234" s="1319"/>
      <c r="J234" s="1319"/>
      <c r="K234" s="1208"/>
      <c r="L234" s="1208"/>
      <c r="M234" s="1208"/>
      <c r="N234" s="1208"/>
      <c r="O234" s="1208"/>
      <c r="P234" s="1208"/>
      <c r="Q234" s="1208"/>
      <c r="R234" s="1208"/>
      <c r="S234" s="1208"/>
      <c r="T234" s="1208"/>
      <c r="U234" s="1208"/>
      <c r="V234" s="1208"/>
      <c r="W234" s="1208"/>
      <c r="X234" s="1208"/>
      <c r="Y234" s="1320"/>
      <c r="Z234" s="1320"/>
      <c r="AA234" s="1320"/>
      <c r="AB234" s="2593">
        <f>IFERROR(AB232/AB233,0)</f>
        <v>0</v>
      </c>
      <c r="AC234" s="2593"/>
      <c r="AD234" s="2593"/>
      <c r="AE234" s="2593"/>
      <c r="AF234" s="2593"/>
      <c r="AG234" s="2593"/>
      <c r="AH234" s="1305"/>
      <c r="AI234" s="1305"/>
      <c r="AJ234" s="1305"/>
      <c r="AK234" s="1305"/>
    </row>
    <row r="235" spans="1:37">
      <c r="A235" s="1289"/>
      <c r="B235" s="1085"/>
      <c r="C235" s="1318"/>
      <c r="D235" s="1319"/>
      <c r="E235" s="1319"/>
      <c r="F235" s="1319"/>
      <c r="G235" s="1319"/>
      <c r="H235" s="1319"/>
      <c r="I235" s="1319"/>
      <c r="J235" s="1319"/>
      <c r="K235" s="1208"/>
      <c r="L235" s="1208"/>
      <c r="M235" s="1208"/>
      <c r="N235" s="1208"/>
      <c r="O235" s="1208"/>
      <c r="P235" s="1208"/>
      <c r="Q235" s="1208"/>
      <c r="R235" s="1208"/>
      <c r="S235" s="1208"/>
      <c r="T235" s="1208"/>
      <c r="U235" s="1208"/>
      <c r="V235" s="1208"/>
      <c r="W235" s="1208"/>
      <c r="X235" s="1208"/>
      <c r="Y235" s="1320"/>
      <c r="Z235" s="1320"/>
      <c r="AA235" s="1320"/>
      <c r="AB235" s="1320"/>
      <c r="AC235" s="1208"/>
      <c r="AD235" s="1208"/>
      <c r="AE235" s="1305"/>
      <c r="AF235" s="1305"/>
      <c r="AG235" s="1305"/>
      <c r="AH235" s="1305"/>
      <c r="AI235" s="1305"/>
      <c r="AJ235" s="1305"/>
      <c r="AK235" s="1305"/>
    </row>
    <row r="236" spans="1:37">
      <c r="A236" s="1289"/>
      <c r="B236" s="1085" t="s">
        <v>1830</v>
      </c>
      <c r="C236" s="1318"/>
      <c r="D236" s="1319"/>
      <c r="E236" s="1319"/>
      <c r="F236" s="1319"/>
      <c r="G236" s="1319"/>
      <c r="H236" s="1319"/>
      <c r="I236" s="1319"/>
      <c r="J236" s="1319"/>
      <c r="K236" s="1208"/>
      <c r="L236" s="1208"/>
      <c r="M236" s="1208"/>
      <c r="N236" s="1208"/>
      <c r="O236" s="1208"/>
      <c r="P236" s="1208"/>
      <c r="Q236" s="1208"/>
      <c r="R236" s="1208"/>
      <c r="S236" s="1208"/>
      <c r="T236" s="1208"/>
      <c r="U236" s="1208"/>
      <c r="V236" s="1208"/>
      <c r="W236" s="1208"/>
      <c r="X236" s="1208"/>
      <c r="Y236" s="1320"/>
      <c r="Z236" s="1320"/>
      <c r="AA236" s="1320"/>
      <c r="AB236" s="2594">
        <f>MAX(AB229,AB234)</f>
        <v>0</v>
      </c>
      <c r="AC236" s="2594"/>
      <c r="AD236" s="2594"/>
      <c r="AE236" s="2594"/>
      <c r="AF236" s="2594"/>
      <c r="AG236" s="2594"/>
      <c r="AH236" s="1305"/>
      <c r="AI236" s="1305"/>
      <c r="AJ236" s="1305"/>
      <c r="AK236" s="1305"/>
    </row>
    <row r="237" spans="1:37">
      <c r="A237" s="1289"/>
      <c r="B237" s="1085"/>
      <c r="C237" s="1318"/>
      <c r="D237" s="1319"/>
      <c r="E237" s="1319"/>
      <c r="F237" s="1319"/>
      <c r="G237" s="1319"/>
      <c r="H237" s="1319"/>
      <c r="I237" s="1319"/>
      <c r="J237" s="1319"/>
      <c r="K237" s="1208"/>
      <c r="L237" s="1208"/>
      <c r="M237" s="1208"/>
      <c r="N237" s="1208"/>
      <c r="O237" s="1208"/>
      <c r="P237" s="1208"/>
      <c r="Q237" s="1208"/>
      <c r="R237" s="1208"/>
      <c r="S237" s="1208"/>
      <c r="T237" s="1208"/>
      <c r="U237" s="1208"/>
      <c r="V237" s="1208"/>
      <c r="W237" s="1208"/>
      <c r="X237" s="1208"/>
      <c r="Y237" s="1320"/>
      <c r="Z237" s="1320"/>
      <c r="AA237" s="1320"/>
      <c r="AB237" s="1320"/>
      <c r="AC237" s="1208"/>
      <c r="AD237" s="1208"/>
      <c r="AE237" s="1305"/>
      <c r="AF237" s="1305"/>
      <c r="AG237" s="1305"/>
      <c r="AH237" s="1305"/>
      <c r="AI237" s="1305"/>
      <c r="AJ237" s="1305"/>
      <c r="AK237" s="1305"/>
    </row>
    <row r="238" spans="1:37">
      <c r="A238" s="1289"/>
      <c r="B238" s="1085"/>
      <c r="C238" s="1318"/>
      <c r="D238" s="1319"/>
      <c r="E238" s="1319"/>
      <c r="F238" s="1319"/>
      <c r="G238" s="1319"/>
      <c r="H238" s="1319"/>
      <c r="I238" s="1319"/>
      <c r="J238" s="1319"/>
      <c r="K238" s="1208"/>
      <c r="L238" s="1208"/>
      <c r="M238" s="1208"/>
      <c r="N238" s="1208"/>
      <c r="O238" s="1208"/>
      <c r="P238" s="1208"/>
      <c r="Q238" s="1208"/>
      <c r="R238" s="1208"/>
      <c r="S238" s="1208"/>
      <c r="T238" s="1208"/>
      <c r="U238" s="1208"/>
      <c r="V238" s="1208"/>
      <c r="W238" s="1208"/>
      <c r="X238" s="1208"/>
      <c r="Y238" s="1320"/>
      <c r="Z238" s="1320"/>
      <c r="AA238" s="1320"/>
      <c r="AB238" s="1320"/>
      <c r="AC238" s="1208"/>
      <c r="AD238" s="1208"/>
      <c r="AE238" s="1305"/>
      <c r="AF238" s="1305"/>
      <c r="AG238" s="1305"/>
      <c r="AH238" s="1305"/>
      <c r="AI238" s="1305"/>
      <c r="AJ238" s="1305"/>
      <c r="AK238" s="1305"/>
    </row>
    <row r="239" spans="1:37">
      <c r="A239" s="1289"/>
      <c r="B239" s="1085" t="s">
        <v>1819</v>
      </c>
      <c r="C239" s="1318"/>
      <c r="D239" s="1319"/>
      <c r="E239" s="1319"/>
      <c r="F239" s="1319"/>
      <c r="G239" s="1319"/>
      <c r="H239" s="1319"/>
      <c r="I239" s="1319"/>
      <c r="J239" s="1319"/>
      <c r="K239" s="1208"/>
      <c r="L239" s="1208"/>
      <c r="M239" s="1208"/>
      <c r="N239" s="1208"/>
      <c r="O239" s="1208"/>
      <c r="P239" s="1208"/>
      <c r="Q239" s="1208"/>
      <c r="R239" s="1208"/>
      <c r="S239" s="1208"/>
      <c r="U239" s="1361"/>
      <c r="V239" s="1361"/>
      <c r="W239" s="1361"/>
      <c r="X239" s="1361"/>
      <c r="Y239" s="1361"/>
      <c r="Z239" s="1320"/>
      <c r="AA239" s="1320"/>
      <c r="AB239" s="2586">
        <f>AB223+AB236</f>
        <v>0</v>
      </c>
      <c r="AC239" s="2586"/>
      <c r="AD239" s="2586"/>
      <c r="AE239" s="2586"/>
      <c r="AF239" s="2586"/>
      <c r="AG239" s="2586"/>
      <c r="AH239" s="1305"/>
      <c r="AI239" s="1305"/>
      <c r="AJ239" s="1305"/>
      <c r="AK239" s="1305"/>
    </row>
    <row r="240" spans="1:37">
      <c r="A240" s="1289"/>
      <c r="B240" s="1085" t="s">
        <v>885</v>
      </c>
      <c r="C240" s="1318"/>
      <c r="D240" s="1319"/>
      <c r="E240" s="1319"/>
      <c r="F240" s="1319"/>
      <c r="G240" s="1319"/>
      <c r="H240" s="1319"/>
      <c r="I240" s="1319"/>
      <c r="J240" s="1319"/>
      <c r="K240" s="1208"/>
      <c r="L240" s="1208"/>
      <c r="M240" s="1208"/>
      <c r="N240" s="1208"/>
      <c r="O240" s="1208"/>
      <c r="P240" s="1208"/>
      <c r="Q240" s="1208"/>
      <c r="R240" s="1208"/>
      <c r="S240" s="1208"/>
      <c r="U240" s="1362"/>
      <c r="V240" s="1362"/>
      <c r="W240" s="1362"/>
      <c r="X240" s="1362"/>
      <c r="Y240" s="1362"/>
      <c r="Z240" s="1320"/>
      <c r="AA240" s="1320"/>
      <c r="AB240" s="2587">
        <v>0.05</v>
      </c>
      <c r="AC240" s="2587"/>
      <c r="AD240" s="2587"/>
      <c r="AE240" s="2587"/>
      <c r="AF240" s="2587"/>
      <c r="AG240" s="2587"/>
      <c r="AH240" s="1305"/>
      <c r="AI240" s="1305"/>
      <c r="AJ240" s="1305"/>
      <c r="AK240" s="1305"/>
    </row>
    <row r="241" spans="1:37">
      <c r="A241" s="1289"/>
      <c r="B241" s="1085" t="s">
        <v>1820</v>
      </c>
      <c r="C241" s="1318"/>
      <c r="D241" s="1319"/>
      <c r="E241" s="1319"/>
      <c r="F241" s="1319"/>
      <c r="G241" s="1319"/>
      <c r="H241" s="1319"/>
      <c r="I241" s="1319"/>
      <c r="J241" s="1319"/>
      <c r="K241" s="1208"/>
      <c r="L241" s="1208"/>
      <c r="M241" s="1208"/>
      <c r="N241" s="1208"/>
      <c r="O241" s="1208"/>
      <c r="P241" s="1208"/>
      <c r="Q241" s="1208"/>
      <c r="R241" s="1208"/>
      <c r="S241" s="1208"/>
      <c r="U241" s="1361"/>
      <c r="V241" s="1361"/>
      <c r="W241" s="1361"/>
      <c r="X241" s="1361"/>
      <c r="Y241" s="1361"/>
      <c r="Z241" s="1320"/>
      <c r="AA241" s="1320"/>
      <c r="AB241" s="2588">
        <f>AB239-(AB239*AB240)</f>
        <v>0</v>
      </c>
      <c r="AC241" s="2588"/>
      <c r="AD241" s="2588"/>
      <c r="AE241" s="2588"/>
      <c r="AF241" s="2588"/>
      <c r="AG241" s="2588"/>
      <c r="AH241" s="1305"/>
      <c r="AI241" s="1305"/>
      <c r="AJ241" s="1305"/>
      <c r="AK241" s="1305"/>
    </row>
    <row r="242" spans="1:37">
      <c r="A242" s="1289"/>
      <c r="B242" s="1085" t="s">
        <v>1821</v>
      </c>
      <c r="C242" s="1318"/>
      <c r="D242" s="1319"/>
      <c r="E242" s="1319"/>
      <c r="F242" s="1319"/>
      <c r="G242" s="1319"/>
      <c r="H242" s="1319"/>
      <c r="I242" s="1319"/>
      <c r="J242" s="1319"/>
      <c r="K242" s="1208"/>
      <c r="L242" s="1208"/>
      <c r="M242" s="1208"/>
      <c r="N242" s="1208"/>
      <c r="O242" s="1208"/>
      <c r="P242" s="1208"/>
      <c r="Q242" s="1208"/>
      <c r="R242" s="1208"/>
      <c r="S242" s="1208"/>
      <c r="U242" s="1208"/>
      <c r="V242" s="1208"/>
      <c r="W242" s="1208"/>
      <c r="X242" s="1208"/>
      <c r="Y242" s="1363"/>
      <c r="Z242" s="1320"/>
      <c r="AA242" s="1320"/>
      <c r="AB242" s="1208"/>
      <c r="AC242" s="1208"/>
      <c r="AD242" s="1208"/>
      <c r="AE242" s="1305"/>
      <c r="AF242" s="1305"/>
      <c r="AG242" s="1305"/>
      <c r="AH242" s="1305"/>
      <c r="AI242" s="1305"/>
      <c r="AJ242" s="1305"/>
      <c r="AK242" s="1305"/>
    </row>
    <row r="243" spans="1:37">
      <c r="A243" s="1289"/>
      <c r="B243" s="1085" t="s">
        <v>1822</v>
      </c>
      <c r="C243" s="1318"/>
      <c r="D243" s="1319"/>
      <c r="E243" s="1319"/>
      <c r="F243" s="1319"/>
      <c r="G243" s="1319"/>
      <c r="H243" s="1319"/>
      <c r="I243" s="1319"/>
      <c r="J243" s="1319"/>
      <c r="K243" s="1208"/>
      <c r="L243" s="1208"/>
      <c r="M243" s="1208"/>
      <c r="N243" s="1208"/>
      <c r="O243" s="1208"/>
      <c r="P243" s="1208"/>
      <c r="Q243" s="1208"/>
      <c r="R243" s="1208"/>
      <c r="S243" s="1208"/>
      <c r="U243" s="1361"/>
      <c r="V243" s="1361"/>
      <c r="W243" s="1361"/>
      <c r="X243" s="1361"/>
      <c r="Y243" s="1361"/>
      <c r="Z243" s="1320"/>
      <c r="AA243" s="1320"/>
      <c r="AB243" s="2586">
        <f>AB241/AB247</f>
        <v>0</v>
      </c>
      <c r="AC243" s="2586"/>
      <c r="AD243" s="2586"/>
      <c r="AE243" s="2586"/>
      <c r="AF243" s="2586"/>
      <c r="AG243" s="2586"/>
      <c r="AH243" s="1305"/>
      <c r="AI243" s="1305"/>
      <c r="AJ243" s="1305"/>
      <c r="AK243" s="1305"/>
    </row>
    <row r="244" spans="1:37">
      <c r="A244" s="1289"/>
      <c r="B244" s="1085"/>
      <c r="C244" s="1318"/>
      <c r="D244" s="1319"/>
      <c r="E244" s="1319"/>
      <c r="F244" s="1319"/>
      <c r="G244" s="1319"/>
      <c r="H244" s="1319"/>
      <c r="I244" s="1319"/>
      <c r="J244" s="1319"/>
      <c r="K244" s="1208"/>
      <c r="L244" s="1208"/>
      <c r="M244" s="1208"/>
      <c r="N244" s="1208"/>
      <c r="O244" s="1208"/>
      <c r="P244" s="1208"/>
      <c r="Q244" s="1208"/>
      <c r="R244" s="1208"/>
      <c r="S244" s="1208"/>
      <c r="U244" s="1208"/>
      <c r="V244" s="1208"/>
      <c r="W244" s="1208"/>
      <c r="X244" s="1208"/>
      <c r="Y244" s="1085"/>
      <c r="Z244" s="1320"/>
      <c r="AA244" s="1320"/>
      <c r="AB244" s="1208"/>
      <c r="AC244" s="1208"/>
      <c r="AD244" s="1208"/>
      <c r="AE244" s="1305"/>
      <c r="AF244" s="1305"/>
      <c r="AG244" s="1305"/>
      <c r="AH244" s="1305"/>
      <c r="AI244" s="1305"/>
      <c r="AJ244" s="1305"/>
      <c r="AK244" s="1305"/>
    </row>
    <row r="245" spans="1:37">
      <c r="A245" s="1289"/>
      <c r="B245" s="1085" t="s">
        <v>1823</v>
      </c>
      <c r="C245" s="1318"/>
      <c r="D245" s="1319"/>
      <c r="E245" s="1319"/>
      <c r="F245" s="1319"/>
      <c r="G245" s="1319"/>
      <c r="H245" s="1319"/>
      <c r="I245" s="1319"/>
      <c r="J245" s="1319"/>
      <c r="K245" s="1208"/>
      <c r="L245" s="1208"/>
      <c r="M245" s="1208"/>
      <c r="N245" s="1208"/>
      <c r="O245" s="1208"/>
      <c r="P245" s="1208"/>
      <c r="Q245" s="1208"/>
      <c r="R245" s="1208"/>
      <c r="S245" s="1208"/>
      <c r="U245" s="1085"/>
      <c r="V245" s="1085"/>
      <c r="W245" s="1085"/>
      <c r="X245" s="1085"/>
      <c r="Y245" s="1085"/>
      <c r="Z245" s="1320"/>
      <c r="AA245" s="1320"/>
      <c r="AB245" s="2589">
        <v>15</v>
      </c>
      <c r="AC245" s="2589"/>
      <c r="AD245" s="2589"/>
      <c r="AE245" s="2589"/>
      <c r="AF245" s="2589"/>
      <c r="AG245" s="2589"/>
      <c r="AH245" s="1305"/>
      <c r="AI245" s="1305"/>
      <c r="AJ245" s="1305"/>
      <c r="AK245" s="1305"/>
    </row>
    <row r="246" spans="1:37">
      <c r="A246" s="1289"/>
      <c r="B246" s="1085" t="s">
        <v>1824</v>
      </c>
      <c r="C246" s="1318"/>
      <c r="D246" s="1319"/>
      <c r="E246" s="1319"/>
      <c r="F246" s="1319"/>
      <c r="G246" s="1319"/>
      <c r="H246" s="1319"/>
      <c r="I246" s="1319"/>
      <c r="J246" s="1319"/>
      <c r="K246" s="1208"/>
      <c r="L246" s="1208"/>
      <c r="M246" s="1208"/>
      <c r="N246" s="1208"/>
      <c r="O246" s="1208"/>
      <c r="P246" s="1208"/>
      <c r="Q246" s="1208"/>
      <c r="R246" s="1208"/>
      <c r="S246" s="1208"/>
      <c r="U246" s="1362"/>
      <c r="V246" s="1362"/>
      <c r="W246" s="1362"/>
      <c r="X246" s="1362"/>
      <c r="Y246" s="1362"/>
      <c r="Z246" s="1320"/>
      <c r="AA246" s="1320"/>
      <c r="AB246" s="2590">
        <v>0.04</v>
      </c>
      <c r="AC246" s="2590"/>
      <c r="AD246" s="2590"/>
      <c r="AE246" s="2590"/>
      <c r="AF246" s="2590"/>
      <c r="AG246" s="2590"/>
      <c r="AH246" s="1305"/>
      <c r="AI246" s="1305"/>
      <c r="AJ246" s="1305"/>
      <c r="AK246" s="1305"/>
    </row>
    <row r="247" spans="1:37">
      <c r="A247" s="1289"/>
      <c r="B247" s="1085" t="s">
        <v>897</v>
      </c>
      <c r="C247" s="1318"/>
      <c r="D247" s="1319"/>
      <c r="E247" s="1319"/>
      <c r="F247" s="1319"/>
      <c r="G247" s="1319"/>
      <c r="H247" s="1319"/>
      <c r="I247" s="1319"/>
      <c r="J247" s="1319"/>
      <c r="K247" s="1208"/>
      <c r="L247" s="1208"/>
      <c r="M247" s="1208"/>
      <c r="N247" s="1208"/>
      <c r="O247" s="1208"/>
      <c r="P247" s="1208"/>
      <c r="Q247" s="1208"/>
      <c r="R247" s="1208"/>
      <c r="S247" s="1208"/>
      <c r="U247" s="1364"/>
      <c r="V247" s="1364"/>
      <c r="W247" s="1364"/>
      <c r="X247" s="1364"/>
      <c r="Y247" s="1364"/>
      <c r="Z247" s="1320"/>
      <c r="AA247" s="1320"/>
      <c r="AB247" s="2578">
        <v>1.1499999999999999</v>
      </c>
      <c r="AC247" s="2578"/>
      <c r="AD247" s="2578"/>
      <c r="AE247" s="2578"/>
      <c r="AF247" s="2578"/>
      <c r="AG247" s="2578"/>
      <c r="AH247" s="1305"/>
      <c r="AI247" s="1305"/>
      <c r="AJ247" s="1305"/>
      <c r="AK247" s="1305"/>
    </row>
    <row r="248" spans="1:37">
      <c r="A248" s="1289"/>
      <c r="B248" s="1085"/>
      <c r="C248" s="1318"/>
      <c r="D248" s="1319"/>
      <c r="E248" s="1319"/>
      <c r="F248" s="1319"/>
      <c r="G248" s="1319"/>
      <c r="H248" s="1319"/>
      <c r="I248" s="1319"/>
      <c r="J248" s="1319"/>
      <c r="K248" s="1208"/>
      <c r="L248" s="1208"/>
      <c r="M248" s="1208"/>
      <c r="N248" s="1208"/>
      <c r="O248" s="1208"/>
      <c r="P248" s="1208"/>
      <c r="Q248" s="1208"/>
      <c r="R248" s="1208"/>
      <c r="S248" s="1208"/>
      <c r="U248" s="1208"/>
      <c r="V248" s="1208"/>
      <c r="W248" s="1208"/>
      <c r="X248" s="1208"/>
      <c r="Y248" s="1291"/>
      <c r="Z248" s="1320"/>
      <c r="AA248" s="1320"/>
      <c r="AB248" s="1208"/>
      <c r="AC248" s="1208"/>
      <c r="AD248" s="1208"/>
      <c r="AE248" s="1305"/>
      <c r="AF248" s="1305"/>
      <c r="AG248" s="1305"/>
      <c r="AH248" s="1305"/>
      <c r="AI248" s="1305"/>
      <c r="AJ248" s="1305"/>
      <c r="AK248" s="1305"/>
    </row>
    <row r="249" spans="1:37">
      <c r="A249" s="1289"/>
      <c r="B249" s="1317" t="s">
        <v>1825</v>
      </c>
      <c r="C249" s="1318"/>
      <c r="D249" s="1319"/>
      <c r="E249" s="1319"/>
      <c r="F249" s="1319"/>
      <c r="G249" s="1319"/>
      <c r="H249" s="1319"/>
      <c r="I249" s="1319"/>
      <c r="J249" s="1319"/>
      <c r="K249" s="1208"/>
      <c r="L249" s="1208"/>
      <c r="M249" s="1208"/>
      <c r="N249" s="1208"/>
      <c r="O249" s="1208"/>
      <c r="P249" s="1208"/>
      <c r="Q249" s="1208"/>
      <c r="R249" s="1208"/>
      <c r="S249" s="1208"/>
      <c r="U249" s="1365"/>
      <c r="V249" s="1365"/>
      <c r="W249" s="1365"/>
      <c r="X249" s="1365"/>
      <c r="Y249" s="1365"/>
      <c r="Z249" s="1320"/>
      <c r="AA249" s="1320"/>
      <c r="AB249" s="2579">
        <f>PV(AB246/12,AB245*12,-AB243/12, ,0)</f>
        <v>0</v>
      </c>
      <c r="AC249" s="2580"/>
      <c r="AD249" s="2580"/>
      <c r="AE249" s="2580"/>
      <c r="AF249" s="2580"/>
      <c r="AG249" s="2581"/>
      <c r="AH249" s="1305"/>
      <c r="AI249" s="1305"/>
      <c r="AJ249" s="1305"/>
      <c r="AK249" s="1305"/>
    </row>
    <row r="250" spans="1:37">
      <c r="A250" s="1289"/>
      <c r="B250" s="1317"/>
      <c r="C250" s="1318"/>
      <c r="D250" s="1319"/>
      <c r="E250" s="1319"/>
      <c r="F250" s="1319"/>
      <c r="G250" s="1319"/>
      <c r="H250" s="1319"/>
      <c r="I250" s="1319"/>
      <c r="J250" s="1319"/>
      <c r="K250" s="1208"/>
      <c r="L250" s="1208"/>
      <c r="M250" s="1208"/>
      <c r="N250" s="1208"/>
      <c r="O250" s="1208"/>
      <c r="P250" s="1208"/>
      <c r="Q250" s="1208"/>
      <c r="R250" s="1208"/>
      <c r="S250" s="1208"/>
      <c r="U250" s="1365"/>
      <c r="V250" s="1365"/>
      <c r="W250" s="1365"/>
      <c r="X250" s="1365"/>
      <c r="Y250" s="1365"/>
      <c r="Z250" s="1320"/>
      <c r="AA250" s="1320"/>
      <c r="AB250" s="1366"/>
      <c r="AC250" s="1366"/>
      <c r="AD250" s="1366"/>
      <c r="AE250" s="1366"/>
      <c r="AF250" s="1366"/>
      <c r="AG250" s="1366"/>
      <c r="AH250" s="1305"/>
      <c r="AI250" s="1305"/>
      <c r="AJ250" s="1305"/>
      <c r="AK250" s="1305"/>
    </row>
    <row r="251" spans="1:37">
      <c r="A251" s="1289"/>
      <c r="B251" s="1317"/>
      <c r="C251" s="1318"/>
      <c r="D251" s="1319"/>
      <c r="E251" s="1319"/>
      <c r="F251" s="1319"/>
      <c r="G251" s="1319"/>
      <c r="H251" s="1319"/>
      <c r="I251" s="1319"/>
      <c r="J251" s="1319"/>
      <c r="K251" s="1208"/>
      <c r="L251" s="1208"/>
      <c r="M251" s="1208"/>
      <c r="N251" s="1208"/>
      <c r="O251" s="1208"/>
      <c r="P251" s="1208"/>
      <c r="Q251" s="1208"/>
      <c r="R251" s="1208"/>
      <c r="S251" s="1208"/>
      <c r="U251" s="1365"/>
      <c r="V251" s="1365"/>
      <c r="W251" s="1365"/>
      <c r="X251" s="1365"/>
      <c r="Y251" s="1365"/>
      <c r="Z251" s="1320"/>
      <c r="AA251" s="1320"/>
      <c r="AB251" s="1366"/>
      <c r="AC251" s="1366"/>
      <c r="AD251" s="1366"/>
      <c r="AE251" s="1366"/>
      <c r="AF251" s="1366"/>
      <c r="AG251" s="1366"/>
      <c r="AH251" s="1305"/>
      <c r="AI251" s="1305"/>
      <c r="AJ251" s="1305"/>
      <c r="AK251" s="1305"/>
    </row>
    <row r="252" spans="1:37">
      <c r="A252" s="1289"/>
      <c r="B252" s="1367" t="s">
        <v>1801</v>
      </c>
      <c r="C252" s="1367"/>
      <c r="D252" s="1319"/>
      <c r="E252" s="1319"/>
      <c r="F252" s="1319"/>
      <c r="G252" s="1319"/>
      <c r="H252" s="1319"/>
      <c r="I252" s="1319"/>
      <c r="J252" s="1319"/>
      <c r="K252" s="1208"/>
      <c r="L252" s="1208"/>
      <c r="M252" s="1208"/>
      <c r="N252" s="1208"/>
      <c r="O252" s="1208"/>
      <c r="P252" s="1208"/>
      <c r="Q252" s="1208"/>
      <c r="R252" s="1208"/>
      <c r="S252" s="1208"/>
      <c r="T252" s="1208"/>
      <c r="U252" s="1208"/>
      <c r="V252" s="1208"/>
      <c r="W252" s="1208"/>
      <c r="X252" s="1208"/>
      <c r="Y252" s="1320"/>
      <c r="Z252" s="1320"/>
      <c r="AA252" s="1320"/>
      <c r="AB252" s="1320"/>
      <c r="AC252" s="1208"/>
      <c r="AD252" s="1208"/>
      <c r="AE252" s="1305"/>
      <c r="AF252" s="1305"/>
      <c r="AG252" s="1305"/>
      <c r="AH252" s="1305"/>
      <c r="AI252" s="1305"/>
      <c r="AJ252" s="1305"/>
      <c r="AK252" s="1305"/>
    </row>
    <row r="253" spans="1:37">
      <c r="A253" s="1289"/>
      <c r="B253" s="1289" t="s">
        <v>1804</v>
      </c>
      <c r="C253" s="1318"/>
      <c r="D253" s="1319"/>
      <c r="E253" s="1319"/>
      <c r="F253" s="1319"/>
      <c r="G253" s="1319"/>
      <c r="H253" s="1319"/>
      <c r="I253" s="1319"/>
      <c r="J253" s="1319"/>
      <c r="K253" s="1208"/>
      <c r="L253" s="1208"/>
      <c r="M253" s="1208"/>
      <c r="N253" s="1208"/>
      <c r="O253" s="1208"/>
      <c r="P253" s="1208"/>
      <c r="Q253" s="1208"/>
      <c r="R253" s="1208"/>
      <c r="S253" s="1208"/>
      <c r="T253" s="1208"/>
      <c r="U253" s="1208"/>
      <c r="V253" s="1208"/>
      <c r="W253" s="1208"/>
      <c r="X253" s="1208"/>
      <c r="Y253" s="1320"/>
      <c r="Z253" s="1320"/>
      <c r="AA253" s="1320"/>
      <c r="AB253" s="1320"/>
      <c r="AC253" s="1208"/>
      <c r="AD253" s="1208"/>
      <c r="AE253" s="1305"/>
      <c r="AF253" s="1305"/>
      <c r="AG253" s="1305"/>
      <c r="AH253" s="1305"/>
      <c r="AI253" s="1305"/>
      <c r="AJ253" s="1305"/>
      <c r="AK253" s="1305"/>
    </row>
    <row r="254" spans="1:37">
      <c r="A254" s="1289"/>
      <c r="B254" s="1289" t="s">
        <v>1803</v>
      </c>
      <c r="C254" s="1318"/>
      <c r="D254" s="1319"/>
      <c r="E254" s="1319"/>
      <c r="F254" s="1319"/>
      <c r="G254" s="1319"/>
      <c r="H254" s="1319"/>
      <c r="I254" s="1319"/>
      <c r="J254" s="1319"/>
      <c r="K254" s="1208"/>
      <c r="L254" s="1208"/>
      <c r="M254" s="1208"/>
      <c r="N254" s="1208"/>
      <c r="O254" s="1208"/>
      <c r="P254" s="1208"/>
      <c r="Q254" s="1208"/>
      <c r="R254" s="1208"/>
      <c r="S254" s="1208"/>
      <c r="T254" s="1208"/>
      <c r="U254" s="1208"/>
      <c r="V254" s="1208"/>
      <c r="W254" s="1208"/>
      <c r="X254" s="1208"/>
      <c r="Y254" s="1320"/>
      <c r="Z254" s="1320"/>
      <c r="AA254" s="1320"/>
      <c r="AB254" s="1320"/>
      <c r="AC254" s="1208"/>
      <c r="AD254" s="1208"/>
      <c r="AE254" s="1305"/>
      <c r="AF254" s="1305"/>
      <c r="AG254" s="1305"/>
      <c r="AH254" s="1305"/>
      <c r="AI254" s="1305"/>
      <c r="AJ254" s="1305"/>
      <c r="AK254" s="1305"/>
    </row>
    <row r="255" spans="1:37">
      <c r="A255" s="1289"/>
      <c r="B255" s="1289" t="s">
        <v>1802</v>
      </c>
      <c r="C255" s="1318"/>
      <c r="D255" s="1319"/>
      <c r="E255" s="1319"/>
      <c r="F255" s="1319"/>
      <c r="G255" s="1319"/>
      <c r="H255" s="1319"/>
      <c r="I255" s="1319"/>
      <c r="J255" s="1319"/>
      <c r="K255" s="1208"/>
      <c r="L255" s="1208"/>
      <c r="M255" s="1208"/>
      <c r="N255" s="1208"/>
      <c r="O255" s="1208"/>
      <c r="P255" s="1208"/>
      <c r="Q255" s="1208"/>
      <c r="R255" s="1208"/>
      <c r="S255" s="1208"/>
      <c r="T255" s="1208"/>
      <c r="U255" s="1208"/>
      <c r="V255" s="1208"/>
      <c r="W255" s="1208"/>
      <c r="X255" s="1208"/>
      <c r="Y255" s="1320"/>
      <c r="Z255" s="1320"/>
      <c r="AA255" s="1320"/>
      <c r="AB255" s="2582">
        <f>IFERROR(('Sources and Uses Budget'!D105/'Sources and Uses Budget'!B105),0)</f>
        <v>0</v>
      </c>
      <c r="AC255" s="2583"/>
      <c r="AD255" s="2583"/>
      <c r="AE255" s="2583"/>
      <c r="AF255" s="2583"/>
      <c r="AG255" s="2584"/>
      <c r="AH255" s="1269"/>
      <c r="AI255" s="1269"/>
      <c r="AJ255" s="1269"/>
      <c r="AK255" s="1305"/>
    </row>
    <row r="256" spans="1:37">
      <c r="A256" s="1289"/>
      <c r="B256" s="1085"/>
      <c r="C256" s="1318"/>
      <c r="D256" s="1319"/>
      <c r="E256" s="1319"/>
      <c r="F256" s="1319"/>
      <c r="G256" s="1319"/>
      <c r="H256" s="1319"/>
      <c r="I256" s="1319"/>
      <c r="J256" s="1319"/>
      <c r="K256" s="1208"/>
      <c r="L256" s="1208"/>
      <c r="M256" s="1208"/>
      <c r="N256" s="1208"/>
      <c r="O256" s="1208"/>
      <c r="P256" s="1208"/>
      <c r="Q256" s="1208"/>
      <c r="R256" s="1208"/>
      <c r="S256" s="1208"/>
      <c r="T256" s="1208"/>
      <c r="U256" s="1208"/>
      <c r="V256" s="1208"/>
      <c r="W256" s="1208"/>
      <c r="X256" s="1208"/>
      <c r="Y256" s="1320"/>
      <c r="Z256" s="1320"/>
      <c r="AA256" s="1320"/>
      <c r="AB256" s="1320"/>
      <c r="AC256" s="1208"/>
      <c r="AD256" s="1208"/>
      <c r="AE256" s="1305"/>
      <c r="AF256" s="1305"/>
      <c r="AG256" s="1305"/>
      <c r="AH256" s="1305"/>
      <c r="AI256" s="1305"/>
      <c r="AJ256" s="1305"/>
      <c r="AK256" s="1305"/>
    </row>
    <row r="257" spans="1:52">
      <c r="A257" s="1368"/>
      <c r="B257" s="1217" t="s">
        <v>1574</v>
      </c>
      <c r="C257" s="1323"/>
      <c r="D257" s="1323"/>
      <c r="E257" s="1323"/>
      <c r="F257" s="1323"/>
      <c r="H257" s="1369"/>
      <c r="I257" s="1369"/>
      <c r="J257" s="1369"/>
      <c r="K257" s="1369"/>
      <c r="L257" s="1369"/>
      <c r="M257" s="1369"/>
      <c r="N257" s="1369"/>
      <c r="O257" s="1369"/>
      <c r="P257" s="1369"/>
      <c r="Q257" s="1369"/>
      <c r="R257" s="1369"/>
      <c r="Y257" s="1369"/>
      <c r="Z257" s="1369"/>
      <c r="AA257" s="1369"/>
      <c r="AB257" s="1368"/>
      <c r="AC257" s="1368"/>
      <c r="AD257" s="1368"/>
      <c r="AE257" s="1368"/>
      <c r="AG257" s="2496">
        <f>AD200*(1-AB255)</f>
        <v>5600000</v>
      </c>
      <c r="AH257" s="2496"/>
      <c r="AI257" s="2496"/>
      <c r="AJ257" s="2496"/>
      <c r="AK257" s="2496"/>
    </row>
    <row r="258" spans="1:52">
      <c r="A258" s="1368"/>
      <c r="B258" s="1371" t="s">
        <v>1575</v>
      </c>
      <c r="C258" s="1372"/>
      <c r="D258" s="1369"/>
      <c r="E258" s="1369"/>
      <c r="F258" s="1372"/>
      <c r="G258" s="1372"/>
      <c r="H258" s="1372"/>
      <c r="I258" s="1372"/>
      <c r="J258" s="1372"/>
      <c r="K258" s="1372"/>
      <c r="L258" s="1372"/>
      <c r="M258" s="1369"/>
      <c r="N258" s="1372"/>
      <c r="O258" s="1372"/>
      <c r="P258" s="1372"/>
      <c r="Q258" s="1372"/>
      <c r="R258" s="1372"/>
      <c r="Y258" s="1369"/>
      <c r="Z258" s="1369"/>
      <c r="AA258" s="1369"/>
      <c r="AB258" s="1368"/>
      <c r="AC258" s="1368"/>
      <c r="AD258" s="1368"/>
      <c r="AE258" s="1368"/>
      <c r="AG258" s="2496">
        <f>'Sources and Uses Budget'!C105</f>
        <v>62669479</v>
      </c>
      <c r="AH258" s="2496"/>
      <c r="AI258" s="2496"/>
      <c r="AJ258" s="2496"/>
      <c r="AK258" s="2496"/>
    </row>
    <row r="259" spans="1:52">
      <c r="A259" s="1368"/>
      <c r="B259" s="1369" t="s">
        <v>13</v>
      </c>
      <c r="C259" s="1369"/>
      <c r="D259" s="1369"/>
      <c r="E259" s="1369"/>
      <c r="F259" s="1369"/>
      <c r="G259" s="1369"/>
      <c r="H259" s="1369"/>
      <c r="I259" s="1369"/>
      <c r="J259" s="1369"/>
      <c r="K259" s="1369"/>
      <c r="L259" s="1369"/>
      <c r="M259" s="1369"/>
      <c r="N259" s="1369"/>
      <c r="O259" s="1369"/>
      <c r="P259" s="1369"/>
      <c r="Q259" s="1369"/>
      <c r="R259" s="1369"/>
      <c r="Y259" s="1369"/>
      <c r="Z259" s="1369"/>
      <c r="AA259" s="1369"/>
      <c r="AB259" s="1368"/>
      <c r="AC259" s="1368"/>
      <c r="AD259" s="1368"/>
      <c r="AE259" s="1368"/>
      <c r="AG259" s="2585">
        <f>ROUNDDOWN(IF(AND(C281="Yes",AK78=10),((AG257*2)/AG258),AG257/AG258),2)</f>
        <v>0.08</v>
      </c>
      <c r="AH259" s="2585"/>
      <c r="AI259" s="2585"/>
      <c r="AJ259" s="2585"/>
      <c r="AK259" s="2585"/>
    </row>
    <row r="260" spans="1:52">
      <c r="A260" s="1368"/>
      <c r="B260" s="1373" t="s">
        <v>2061</v>
      </c>
      <c r="C260" s="1369"/>
      <c r="D260" s="1369"/>
      <c r="E260" s="1369"/>
      <c r="F260" s="1369"/>
      <c r="G260" s="1369"/>
      <c r="H260" s="1369"/>
      <c r="I260" s="1369"/>
      <c r="J260" s="1369"/>
      <c r="K260" s="1369"/>
      <c r="L260" s="1369"/>
      <c r="M260" s="1369"/>
      <c r="N260" s="1369"/>
      <c r="O260" s="1369"/>
      <c r="P260" s="1369"/>
      <c r="Q260" s="1369"/>
      <c r="R260" s="1369"/>
      <c r="Y260" s="1369"/>
      <c r="Z260" s="1369"/>
      <c r="AA260" s="1369"/>
      <c r="AB260" s="1368"/>
      <c r="AC260" s="1368"/>
      <c r="AD260" s="1368"/>
      <c r="AE260" s="1368"/>
      <c r="AG260" s="1374"/>
      <c r="AH260" s="1374"/>
      <c r="AI260" s="1374"/>
      <c r="AJ260" s="1374"/>
      <c r="AK260" s="1374"/>
    </row>
    <row r="261" spans="1:52">
      <c r="A261" s="1375"/>
      <c r="B261" s="1375"/>
      <c r="C261" s="1375"/>
      <c r="D261" s="1375"/>
      <c r="E261" s="1375"/>
      <c r="F261" s="1375"/>
      <c r="G261" s="1375"/>
      <c r="H261" s="1375"/>
      <c r="I261" s="1375"/>
      <c r="J261" s="1375"/>
      <c r="K261" s="1375"/>
      <c r="L261" s="1375"/>
      <c r="M261" s="1375"/>
      <c r="N261" s="1375"/>
      <c r="O261" s="1375"/>
      <c r="P261" s="1375"/>
      <c r="Q261" s="1375"/>
      <c r="R261" s="1375"/>
      <c r="S261" s="1375"/>
      <c r="T261" s="1375"/>
      <c r="U261" s="1375"/>
      <c r="V261" s="1375"/>
      <c r="W261" s="1375"/>
      <c r="X261" s="1375"/>
      <c r="Y261" s="1375"/>
      <c r="Z261" s="1375"/>
      <c r="AA261" s="1375"/>
      <c r="AB261" s="1375"/>
      <c r="AC261" s="1375"/>
      <c r="AD261" s="1375"/>
      <c r="AE261" s="1375"/>
      <c r="AF261" s="1375"/>
      <c r="AG261" s="1375"/>
      <c r="AH261" s="1375"/>
      <c r="AI261" s="1375"/>
      <c r="AJ261" s="1375"/>
    </row>
    <row r="262" spans="1:52">
      <c r="A262" s="1376"/>
      <c r="B262" s="1376"/>
      <c r="C262" s="1376"/>
      <c r="D262" s="1376"/>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6"/>
      <c r="AB262" s="1376"/>
      <c r="AC262" s="1376"/>
      <c r="AD262" s="1376"/>
      <c r="AE262" s="1376"/>
      <c r="AF262" s="1376"/>
      <c r="AG262" s="1376"/>
      <c r="AH262" s="1377"/>
      <c r="AI262" s="1240"/>
      <c r="AJ262" s="1240" t="s">
        <v>1576</v>
      </c>
      <c r="AK262" s="2561">
        <f>IFERROR(IF(AG259=0,0,IF((AG259*100)&gt;8,8,(AG259*100))),0)</f>
        <v>8</v>
      </c>
      <c r="AL262" s="2561"/>
      <c r="AM262" s="2562"/>
    </row>
    <row r="263" spans="1:52" ht="13.5" thickBot="1"/>
    <row r="264" spans="1:52" s="1223" customFormat="1" ht="12.75" customHeight="1" thickTop="1">
      <c r="A264" s="1307"/>
      <c r="B264" s="1378"/>
      <c r="C264" s="1378"/>
      <c r="D264" s="1378"/>
      <c r="E264" s="1378"/>
      <c r="F264" s="1378"/>
      <c r="G264" s="1378"/>
      <c r="H264" s="1378"/>
      <c r="I264" s="1378"/>
      <c r="J264" s="1378"/>
      <c r="K264" s="1378"/>
      <c r="L264" s="1378"/>
      <c r="M264" s="1378"/>
      <c r="N264" s="1378"/>
      <c r="O264" s="1378"/>
      <c r="P264" s="1378"/>
      <c r="Q264" s="1378"/>
      <c r="R264" s="1378"/>
      <c r="S264" s="1378"/>
      <c r="T264" s="1378"/>
      <c r="U264" s="1378"/>
      <c r="V264" s="1378"/>
      <c r="W264" s="1378"/>
      <c r="X264" s="1378"/>
      <c r="Y264" s="1378"/>
      <c r="Z264" s="1378"/>
      <c r="AA264" s="1378"/>
      <c r="AB264" s="1378"/>
      <c r="AC264" s="1379"/>
      <c r="AD264" s="1378"/>
      <c r="AE264" s="1378"/>
      <c r="AF264" s="1378"/>
      <c r="AG264" s="1378"/>
      <c r="AH264" s="1307"/>
      <c r="AI264" s="1380"/>
      <c r="AJ264" s="1380"/>
      <c r="AK264" s="1381"/>
      <c r="AL264" s="1381"/>
      <c r="AM264" s="1382"/>
      <c r="AN264" s="1297"/>
      <c r="AP264" s="1208"/>
      <c r="AQ264" s="1208"/>
      <c r="AR264" s="1208"/>
      <c r="AS264" s="1208"/>
      <c r="AT264" s="1208"/>
      <c r="AU264" s="1208"/>
      <c r="AV264" s="1208"/>
      <c r="AW264" s="1208"/>
      <c r="AX264" s="1208"/>
      <c r="AY264" s="1208"/>
      <c r="AZ264" s="1208"/>
    </row>
    <row r="265" spans="1:52">
      <c r="A265" s="1210" t="s">
        <v>1577</v>
      </c>
      <c r="B265" s="1210" t="s">
        <v>1578</v>
      </c>
      <c r="C265" s="1211"/>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c r="AA265" s="1223"/>
      <c r="AB265" s="1223"/>
      <c r="AC265" s="1223"/>
      <c r="AD265" s="1223"/>
      <c r="AE265" s="1223"/>
      <c r="AF265" s="1223"/>
      <c r="AG265" s="1223"/>
      <c r="AH265" s="1287" t="s">
        <v>1515</v>
      </c>
      <c r="AI265" s="1223"/>
      <c r="AJ265" s="1223"/>
      <c r="AK265" s="1223"/>
      <c r="AL265" s="1223"/>
      <c r="AM265" s="1223"/>
      <c r="AO265" s="1223"/>
    </row>
    <row r="266" spans="1:52" ht="14.25" customHeight="1">
      <c r="A266" s="1287"/>
      <c r="AI266" s="1224"/>
      <c r="AJ266" s="1223"/>
      <c r="AK266" s="1223"/>
      <c r="AL266" s="1223"/>
      <c r="AM266" s="1223"/>
      <c r="AO266" s="1223"/>
    </row>
    <row r="267" spans="1:52" ht="13.7" customHeight="1">
      <c r="A267" s="1223"/>
      <c r="B267" s="1383"/>
      <c r="C267" s="2469" t="s">
        <v>571</v>
      </c>
      <c r="D267" s="2469"/>
      <c r="E267" s="1220"/>
      <c r="F267" s="2567" t="s">
        <v>2676</v>
      </c>
      <c r="G267" s="2568"/>
      <c r="H267" s="2568"/>
      <c r="I267" s="2568"/>
      <c r="J267" s="2568"/>
      <c r="K267" s="2568"/>
      <c r="L267" s="2568"/>
      <c r="M267" s="2568"/>
      <c r="N267" s="2568"/>
      <c r="O267" s="2568"/>
      <c r="P267" s="2568"/>
      <c r="Q267" s="2568"/>
      <c r="R267" s="2568"/>
      <c r="S267" s="2568"/>
      <c r="T267" s="2568"/>
      <c r="U267" s="2568"/>
      <c r="V267" s="2568"/>
      <c r="W267" s="2568"/>
      <c r="X267" s="2568"/>
      <c r="Y267" s="2568"/>
      <c r="Z267" s="2568"/>
      <c r="AA267" s="2568"/>
      <c r="AB267" s="2568"/>
      <c r="AC267" s="2568"/>
      <c r="AD267" s="2569"/>
      <c r="AE267" s="1223"/>
      <c r="AF267" s="1384"/>
      <c r="AG267" s="2576" t="s">
        <v>1564</v>
      </c>
      <c r="AH267" s="2576"/>
      <c r="AI267" s="2576"/>
      <c r="AJ267" s="2576"/>
      <c r="AK267" s="1223"/>
      <c r="AL267" s="1223"/>
      <c r="AM267" s="1223"/>
      <c r="AO267" s="1223"/>
    </row>
    <row r="268" spans="1:52" ht="13.7" customHeight="1">
      <c r="A268" s="1223"/>
      <c r="B268" s="1383"/>
      <c r="C268" s="1385"/>
      <c r="D268" s="1223"/>
      <c r="E268" s="1220"/>
      <c r="F268" s="2570"/>
      <c r="G268" s="2571"/>
      <c r="H268" s="2571"/>
      <c r="I268" s="2571"/>
      <c r="J268" s="2571"/>
      <c r="K268" s="2571"/>
      <c r="L268" s="2571"/>
      <c r="M268" s="2571"/>
      <c r="N268" s="2571"/>
      <c r="O268" s="2571"/>
      <c r="P268" s="2571"/>
      <c r="Q268" s="2571"/>
      <c r="R268" s="2571"/>
      <c r="S268" s="2571"/>
      <c r="T268" s="2571"/>
      <c r="U268" s="2571"/>
      <c r="V268" s="2571"/>
      <c r="W268" s="2571"/>
      <c r="X268" s="2571"/>
      <c r="Y268" s="2571"/>
      <c r="Z268" s="2571"/>
      <c r="AA268" s="2571"/>
      <c r="AB268" s="2571"/>
      <c r="AC268" s="2571"/>
      <c r="AD268" s="2572"/>
      <c r="AE268" s="1223"/>
      <c r="AF268" s="1384"/>
      <c r="AG268" s="1384"/>
      <c r="AH268" s="1384"/>
      <c r="AI268" s="1384"/>
      <c r="AJ268" s="1223"/>
      <c r="AK268" s="1223"/>
      <c r="AL268" s="1223"/>
      <c r="AM268" s="1223"/>
      <c r="AO268" s="1223"/>
    </row>
    <row r="269" spans="1:52">
      <c r="A269" s="1223"/>
      <c r="B269" s="1383"/>
      <c r="C269" s="1385"/>
      <c r="D269" s="1223"/>
      <c r="E269" s="1220"/>
      <c r="F269" s="2570"/>
      <c r="G269" s="2571"/>
      <c r="H269" s="2571"/>
      <c r="I269" s="2571"/>
      <c r="J269" s="2571"/>
      <c r="K269" s="2571"/>
      <c r="L269" s="2571"/>
      <c r="M269" s="2571"/>
      <c r="N269" s="2571"/>
      <c r="O269" s="2571"/>
      <c r="P269" s="2571"/>
      <c r="Q269" s="2571"/>
      <c r="R269" s="2571"/>
      <c r="S269" s="2571"/>
      <c r="T269" s="2571"/>
      <c r="U269" s="2571"/>
      <c r="V269" s="2571"/>
      <c r="W269" s="2571"/>
      <c r="X269" s="2571"/>
      <c r="Y269" s="2571"/>
      <c r="Z269" s="2571"/>
      <c r="AA269" s="2571"/>
      <c r="AB269" s="2571"/>
      <c r="AC269" s="2571"/>
      <c r="AD269" s="2572"/>
      <c r="AE269" s="1223"/>
      <c r="AF269" s="1384"/>
      <c r="AG269" s="1384"/>
      <c r="AH269" s="1384"/>
      <c r="AI269" s="1384"/>
      <c r="AJ269" s="1223"/>
      <c r="AK269" s="1223"/>
      <c r="AL269" s="1223"/>
      <c r="AM269" s="1223"/>
      <c r="AO269" s="1223"/>
      <c r="AP269" s="1386"/>
    </row>
    <row r="270" spans="1:52">
      <c r="A270" s="1223"/>
      <c r="B270" s="1383"/>
      <c r="C270" s="1385"/>
      <c r="D270" s="1223"/>
      <c r="E270" s="1220"/>
      <c r="F270" s="2570"/>
      <c r="G270" s="2571"/>
      <c r="H270" s="2571"/>
      <c r="I270" s="2571"/>
      <c r="J270" s="2571"/>
      <c r="K270" s="2571"/>
      <c r="L270" s="2571"/>
      <c r="M270" s="2571"/>
      <c r="N270" s="2571"/>
      <c r="O270" s="2571"/>
      <c r="P270" s="2571"/>
      <c r="Q270" s="2571"/>
      <c r="R270" s="2571"/>
      <c r="S270" s="2571"/>
      <c r="T270" s="2571"/>
      <c r="U270" s="2571"/>
      <c r="V270" s="2571"/>
      <c r="W270" s="2571"/>
      <c r="X270" s="2571"/>
      <c r="Y270" s="2571"/>
      <c r="Z270" s="2571"/>
      <c r="AA270" s="2571"/>
      <c r="AB270" s="2571"/>
      <c r="AC270" s="2571"/>
      <c r="AD270" s="2572"/>
      <c r="AE270" s="1223"/>
      <c r="AF270" s="1384"/>
      <c r="AG270" s="1384"/>
      <c r="AH270" s="1384"/>
      <c r="AI270" s="1384"/>
      <c r="AJ270" s="1223"/>
      <c r="AK270" s="1223"/>
      <c r="AL270" s="1223"/>
      <c r="AM270" s="1223"/>
      <c r="AO270" s="1223"/>
      <c r="AP270" s="1386"/>
    </row>
    <row r="271" spans="1:52" ht="13.7" customHeight="1">
      <c r="A271" s="1223"/>
      <c r="B271" s="1383"/>
      <c r="C271" s="2577"/>
      <c r="D271" s="2577"/>
      <c r="E271" s="1220"/>
      <c r="F271" s="2573"/>
      <c r="G271" s="2574"/>
      <c r="H271" s="2574"/>
      <c r="I271" s="2574"/>
      <c r="J271" s="2574"/>
      <c r="K271" s="2574"/>
      <c r="L271" s="2574"/>
      <c r="M271" s="2574"/>
      <c r="N271" s="2574"/>
      <c r="O271" s="2574"/>
      <c r="P271" s="2574"/>
      <c r="Q271" s="2574"/>
      <c r="R271" s="2574"/>
      <c r="S271" s="2574"/>
      <c r="T271" s="2574"/>
      <c r="U271" s="2574"/>
      <c r="V271" s="2574"/>
      <c r="W271" s="2574"/>
      <c r="X271" s="2574"/>
      <c r="Y271" s="2574"/>
      <c r="Z271" s="2574"/>
      <c r="AA271" s="2574"/>
      <c r="AB271" s="2574"/>
      <c r="AC271" s="2574"/>
      <c r="AD271" s="2575"/>
      <c r="AE271" s="1223"/>
      <c r="AF271" s="1384"/>
      <c r="AG271" s="2576"/>
      <c r="AH271" s="2576"/>
      <c r="AI271" s="2576"/>
      <c r="AJ271" s="2576"/>
      <c r="AK271" s="1223"/>
      <c r="AL271" s="1223"/>
      <c r="AM271" s="1223"/>
    </row>
    <row r="272" spans="1:52" ht="13.7" hidden="1" customHeight="1">
      <c r="A272" s="1223"/>
      <c r="C272" s="1296"/>
      <c r="D272" s="1296"/>
      <c r="E272" s="1296"/>
      <c r="F272" s="1387"/>
      <c r="G272" s="1388"/>
      <c r="H272" s="1388"/>
      <c r="I272" s="1388"/>
      <c r="J272" s="1388"/>
      <c r="K272" s="1388"/>
      <c r="L272" s="1388"/>
      <c r="M272" s="1388"/>
      <c r="N272" s="1388"/>
      <c r="O272" s="1388"/>
      <c r="P272" s="1388"/>
      <c r="Q272" s="1388"/>
      <c r="R272" s="1388"/>
      <c r="S272" s="1388"/>
      <c r="T272" s="1388"/>
      <c r="U272" s="1388"/>
      <c r="V272" s="1388"/>
      <c r="W272" s="1388"/>
      <c r="X272" s="1388"/>
      <c r="Y272" s="1388"/>
      <c r="Z272" s="1388"/>
      <c r="AA272" s="1388"/>
      <c r="AB272" s="1388"/>
      <c r="AC272" s="1388"/>
      <c r="AD272" s="1389"/>
      <c r="AE272" s="1296"/>
      <c r="AF272" s="1296"/>
      <c r="AG272" s="1296"/>
      <c r="AH272" s="1296"/>
      <c r="AI272" s="1384"/>
      <c r="AJ272" s="1223"/>
      <c r="AK272" s="1223"/>
      <c r="AL272" s="1223"/>
      <c r="AM272" s="1223"/>
    </row>
    <row r="273" spans="1:49">
      <c r="A273" s="1223"/>
      <c r="B273" s="1296"/>
      <c r="C273" s="1296"/>
      <c r="D273" s="1296"/>
      <c r="E273" s="1296"/>
      <c r="F273" s="1296"/>
      <c r="G273" s="1296"/>
      <c r="H273" s="1296"/>
      <c r="I273" s="1296"/>
      <c r="J273" s="1296"/>
      <c r="K273" s="1296"/>
      <c r="L273" s="1296"/>
      <c r="M273" s="1296"/>
      <c r="N273" s="1296"/>
      <c r="O273" s="1296"/>
      <c r="P273" s="1296"/>
      <c r="Q273" s="1296"/>
      <c r="R273" s="1296"/>
      <c r="S273" s="1296"/>
      <c r="T273" s="1296"/>
      <c r="U273" s="1296"/>
      <c r="V273" s="1296"/>
      <c r="W273" s="1296"/>
      <c r="X273" s="1296"/>
      <c r="Y273" s="1296"/>
      <c r="Z273" s="1296"/>
      <c r="AA273" s="1296"/>
      <c r="AB273" s="1296"/>
      <c r="AC273" s="1296"/>
      <c r="AD273" s="1296"/>
      <c r="AE273" s="1296"/>
      <c r="AF273" s="1296"/>
      <c r="AG273" s="1296"/>
      <c r="AH273" s="1296"/>
      <c r="AI273" s="1296"/>
      <c r="AJ273" s="1296"/>
      <c r="AK273" s="1296"/>
      <c r="AL273" s="1223"/>
      <c r="AM273" s="1223"/>
      <c r="AN273" s="1390"/>
    </row>
    <row r="274" spans="1:49">
      <c r="A274" s="1301"/>
      <c r="B274" s="1239"/>
      <c r="C274" s="1239"/>
      <c r="D274" s="1239"/>
      <c r="E274" s="1239"/>
      <c r="F274" s="1239"/>
      <c r="G274" s="1239"/>
      <c r="H274" s="1239"/>
      <c r="I274" s="1239"/>
      <c r="J274" s="1239"/>
      <c r="K274" s="1239"/>
      <c r="L274" s="1239"/>
      <c r="M274" s="1239"/>
      <c r="N274" s="1239"/>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40"/>
      <c r="AJ274" s="1240" t="s">
        <v>1580</v>
      </c>
      <c r="AK274" s="2561">
        <f>IF($C$267="yes",10,0)</f>
        <v>10</v>
      </c>
      <c r="AL274" s="2561"/>
      <c r="AM274" s="2562"/>
      <c r="AN274" s="1390"/>
    </row>
    <row r="275" spans="1:49" ht="13.5" thickBot="1"/>
    <row r="276" spans="1:49" ht="13.5" thickTop="1">
      <c r="A276" s="1391"/>
      <c r="B276" s="1391"/>
      <c r="C276" s="1391"/>
      <c r="D276" s="1391"/>
      <c r="E276" s="1391"/>
      <c r="F276" s="1391"/>
      <c r="G276" s="1391"/>
      <c r="H276" s="1391"/>
      <c r="I276" s="1391"/>
      <c r="J276" s="1391"/>
      <c r="K276" s="1391"/>
      <c r="L276" s="1391"/>
      <c r="M276" s="1391"/>
      <c r="N276" s="1391"/>
      <c r="O276" s="1391"/>
      <c r="P276" s="1391"/>
      <c r="Q276" s="1391"/>
      <c r="R276" s="1391"/>
      <c r="S276" s="1391"/>
      <c r="T276" s="1391"/>
      <c r="U276" s="1391"/>
      <c r="V276" s="1391"/>
      <c r="W276" s="1391"/>
      <c r="X276" s="1391"/>
      <c r="Y276" s="1391"/>
      <c r="Z276" s="1391"/>
      <c r="AA276" s="1391"/>
      <c r="AB276" s="1391"/>
      <c r="AC276" s="1391"/>
      <c r="AD276" s="1391"/>
      <c r="AE276" s="1391"/>
      <c r="AF276" s="1391"/>
      <c r="AG276" s="1391"/>
      <c r="AH276" s="1391"/>
      <c r="AI276" s="1391"/>
      <c r="AJ276" s="1391"/>
      <c r="AK276" s="1391"/>
      <c r="AL276" s="1391"/>
      <c r="AM276" s="1392"/>
    </row>
    <row r="277" spans="1:49">
      <c r="A277" s="1210" t="s">
        <v>1581</v>
      </c>
      <c r="B277" s="1210" t="s">
        <v>2185</v>
      </c>
      <c r="AH277" s="1287" t="s">
        <v>1515</v>
      </c>
    </row>
    <row r="278" spans="1:49" ht="15" customHeight="1">
      <c r="B278" s="1211"/>
    </row>
    <row r="279" spans="1:49" ht="15" customHeight="1">
      <c r="B279" s="1211"/>
    </row>
    <row r="280" spans="1:49">
      <c r="B280" s="1223"/>
      <c r="C280" s="1393"/>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c r="AA280" s="1223"/>
      <c r="AB280" s="1223"/>
      <c r="AC280" s="1223"/>
      <c r="AD280" s="1223"/>
      <c r="AG280" s="1223"/>
      <c r="AI280" s="1223"/>
      <c r="AJ280" s="1223"/>
      <c r="AK280" s="1223"/>
      <c r="AL280" s="1223"/>
      <c r="AM280" s="1223"/>
      <c r="AN280" s="1390"/>
      <c r="AO280" s="1206"/>
      <c r="AP280" s="1208"/>
      <c r="AQ280" s="1394"/>
      <c r="AR280" s="1208"/>
      <c r="AS280" s="1208"/>
      <c r="AT280" s="1208"/>
      <c r="AU280" s="1208"/>
      <c r="AV280" s="1370"/>
      <c r="AW280" s="1370"/>
    </row>
    <row r="281" spans="1:49" ht="12.75" customHeight="1">
      <c r="A281" s="2550" t="s">
        <v>1583</v>
      </c>
      <c r="B281" s="2550"/>
      <c r="C281" s="2469" t="s">
        <v>618</v>
      </c>
      <c r="D281" s="2469"/>
      <c r="E281" s="1220"/>
      <c r="F281" s="2563" t="s">
        <v>1584</v>
      </c>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1295"/>
      <c r="AF281" s="1223"/>
      <c r="AG281" s="2566" t="s">
        <v>2677</v>
      </c>
      <c r="AH281" s="2566"/>
      <c r="AI281" s="2566"/>
      <c r="AJ281" s="2566"/>
      <c r="AK281" s="2566"/>
      <c r="AL281" s="1223"/>
      <c r="AM281" s="1223"/>
      <c r="AN281" s="1390"/>
      <c r="AO281" s="1206"/>
      <c r="AP281" s="1205"/>
      <c r="AS281" s="1208"/>
      <c r="AT281" s="1208"/>
      <c r="AU281" s="1208"/>
      <c r="AV281" s="1370"/>
      <c r="AW281" s="1370"/>
    </row>
    <row r="282" spans="1:49">
      <c r="A282" s="1393"/>
      <c r="B282" s="1383"/>
      <c r="F282" s="2492"/>
      <c r="G282" s="2462"/>
      <c r="H282" s="2462"/>
      <c r="I282" s="2462"/>
      <c r="J282" s="2462"/>
      <c r="K282" s="2462"/>
      <c r="L282" s="2462"/>
      <c r="M282" s="2462"/>
      <c r="N282" s="2462"/>
      <c r="O282" s="2462"/>
      <c r="P282" s="2462"/>
      <c r="Q282" s="2462"/>
      <c r="R282" s="2462"/>
      <c r="S282" s="2462"/>
      <c r="T282" s="2462"/>
      <c r="U282" s="2462"/>
      <c r="V282" s="2462"/>
      <c r="W282" s="2462"/>
      <c r="X282" s="2462"/>
      <c r="Y282" s="2462"/>
      <c r="Z282" s="2462"/>
      <c r="AA282" s="2462"/>
      <c r="AB282" s="2462"/>
      <c r="AC282" s="2462"/>
      <c r="AD282" s="2493"/>
      <c r="AE282" s="1295"/>
      <c r="AF282" s="1224"/>
      <c r="AH282" s="1224"/>
      <c r="AI282" s="1224"/>
      <c r="AJ282" s="1223"/>
      <c r="AK282" s="1223"/>
      <c r="AL282" s="1223"/>
      <c r="AM282" s="1223"/>
      <c r="AN282" s="1390"/>
      <c r="AO282" s="1206"/>
      <c r="AP282" s="1223">
        <f>IF($C$281="yes",10,IF(C281="50% Met",9,0))</f>
        <v>0</v>
      </c>
      <c r="AS282" s="1208"/>
      <c r="AT282" s="1208"/>
      <c r="AU282" s="1208"/>
      <c r="AV282" s="1370"/>
      <c r="AW282" s="1370"/>
    </row>
    <row r="283" spans="1:49" ht="15" customHeight="1">
      <c r="A283" s="1393"/>
      <c r="B283" s="1383"/>
      <c r="F283" s="2492"/>
      <c r="G283" s="2462"/>
      <c r="H283" s="2462"/>
      <c r="I283" s="2462"/>
      <c r="J283" s="2462"/>
      <c r="K283" s="2462"/>
      <c r="L283" s="2462"/>
      <c r="M283" s="2462"/>
      <c r="N283" s="2462"/>
      <c r="O283" s="2462"/>
      <c r="P283" s="2462"/>
      <c r="Q283" s="2462"/>
      <c r="R283" s="2462"/>
      <c r="S283" s="2462"/>
      <c r="T283" s="2462"/>
      <c r="U283" s="2462"/>
      <c r="V283" s="2462"/>
      <c r="W283" s="2462"/>
      <c r="X283" s="2462"/>
      <c r="Y283" s="2462"/>
      <c r="Z283" s="2462"/>
      <c r="AA283" s="2462"/>
      <c r="AB283" s="2462"/>
      <c r="AC283" s="2462"/>
      <c r="AD283" s="2493"/>
      <c r="AE283" s="1295"/>
      <c r="AF283" s="1224"/>
      <c r="AH283" s="1224"/>
      <c r="AI283" s="1224"/>
      <c r="AJ283" s="1223"/>
      <c r="AK283" s="1223"/>
      <c r="AL283" s="1223"/>
      <c r="AM283" s="1223"/>
      <c r="AN283" s="1390"/>
      <c r="AO283" s="1206"/>
      <c r="AP283" s="1223">
        <f>IF($C$291="yes",9,0)</f>
        <v>9</v>
      </c>
      <c r="AS283" s="1208"/>
      <c r="AT283" s="1208"/>
      <c r="AU283" s="1208"/>
      <c r="AV283" s="1370"/>
      <c r="AW283" s="1370"/>
    </row>
    <row r="284" spans="1:49" ht="12.75" customHeight="1">
      <c r="A284" s="1393"/>
      <c r="B284" s="1383"/>
      <c r="F284" s="2492" t="s">
        <v>2678</v>
      </c>
      <c r="G284" s="2462"/>
      <c r="H284" s="2462"/>
      <c r="I284" s="2462"/>
      <c r="J284" s="2462"/>
      <c r="K284" s="2462"/>
      <c r="L284" s="2462"/>
      <c r="M284" s="2462"/>
      <c r="N284" s="2462"/>
      <c r="O284" s="2462"/>
      <c r="P284" s="2462"/>
      <c r="Q284" s="2462"/>
      <c r="R284" s="2462"/>
      <c r="S284" s="2462"/>
      <c r="T284" s="2462"/>
      <c r="U284" s="2462"/>
      <c r="V284" s="2462"/>
      <c r="W284" s="2462"/>
      <c r="X284" s="2462"/>
      <c r="Y284" s="2462"/>
      <c r="Z284" s="2462"/>
      <c r="AA284" s="2462"/>
      <c r="AB284" s="2462"/>
      <c r="AC284" s="2462"/>
      <c r="AD284" s="2493"/>
      <c r="AE284" s="1295"/>
      <c r="AF284" s="1224"/>
      <c r="AH284" s="1224"/>
      <c r="AI284" s="1224"/>
      <c r="AJ284" s="1223"/>
      <c r="AK284" s="1223"/>
      <c r="AL284" s="1223"/>
      <c r="AM284" s="1223"/>
      <c r="AN284" s="1390"/>
      <c r="AO284" s="1206"/>
      <c r="AP284" s="1306">
        <f>MAX(AP282,AP283)</f>
        <v>9</v>
      </c>
      <c r="AQ284" s="1246" t="s">
        <v>1517</v>
      </c>
      <c r="AS284" s="1208"/>
      <c r="AT284" s="1208"/>
      <c r="AU284" s="1208"/>
      <c r="AV284" s="1370"/>
      <c r="AW284" s="1370"/>
    </row>
    <row r="285" spans="1:49">
      <c r="A285" s="1393"/>
      <c r="B285" s="1383"/>
      <c r="F285" s="2492"/>
      <c r="G285" s="2462"/>
      <c r="H285" s="2462"/>
      <c r="I285" s="2462"/>
      <c r="J285" s="2462"/>
      <c r="K285" s="2462"/>
      <c r="L285" s="2462"/>
      <c r="M285" s="2462"/>
      <c r="N285" s="2462"/>
      <c r="O285" s="2462"/>
      <c r="P285" s="2462"/>
      <c r="Q285" s="2462"/>
      <c r="R285" s="2462"/>
      <c r="S285" s="2462"/>
      <c r="T285" s="2462"/>
      <c r="U285" s="2462"/>
      <c r="V285" s="2462"/>
      <c r="W285" s="2462"/>
      <c r="X285" s="2462"/>
      <c r="Y285" s="2462"/>
      <c r="Z285" s="2462"/>
      <c r="AA285" s="2462"/>
      <c r="AB285" s="2462"/>
      <c r="AC285" s="2462"/>
      <c r="AD285" s="2493"/>
      <c r="AE285" s="1295"/>
      <c r="AF285" s="1224"/>
      <c r="AH285" s="1224"/>
      <c r="AI285" s="1224"/>
      <c r="AJ285" s="1223"/>
      <c r="AK285" s="1223"/>
      <c r="AL285" s="1223"/>
      <c r="AM285" s="1223"/>
      <c r="AN285" s="1390"/>
      <c r="AO285" s="1206"/>
      <c r="AP285" s="1223"/>
      <c r="AS285" s="1208"/>
      <c r="AT285" s="1208"/>
      <c r="AU285" s="1208"/>
      <c r="AV285" s="1370"/>
      <c r="AW285" s="1370"/>
    </row>
    <row r="286" spans="1:49" ht="12.75" customHeight="1">
      <c r="A286" s="1223"/>
      <c r="B286" s="1224"/>
      <c r="C286" s="1223"/>
      <c r="D286" s="1224"/>
      <c r="E286" s="1223"/>
      <c r="F286" s="2492" t="s">
        <v>1585</v>
      </c>
      <c r="G286" s="2462"/>
      <c r="H286" s="2462"/>
      <c r="I286" s="2462"/>
      <c r="J286" s="2462"/>
      <c r="K286" s="2462"/>
      <c r="L286" s="2462"/>
      <c r="M286" s="2462"/>
      <c r="N286" s="2462"/>
      <c r="O286" s="2462"/>
      <c r="P286" s="2462"/>
      <c r="Q286" s="2462"/>
      <c r="R286" s="2462"/>
      <c r="S286" s="2462"/>
      <c r="T286" s="2462"/>
      <c r="U286" s="2462"/>
      <c r="V286" s="2462"/>
      <c r="W286" s="2462"/>
      <c r="X286" s="2462"/>
      <c r="Y286" s="2462"/>
      <c r="Z286" s="2462"/>
      <c r="AA286" s="2462"/>
      <c r="AB286" s="2462"/>
      <c r="AC286" s="2462"/>
      <c r="AD286" s="2493"/>
      <c r="AE286" s="1295"/>
      <c r="AF286" s="1224"/>
      <c r="AG286" s="1224"/>
      <c r="AH286" s="1224"/>
      <c r="AI286" s="1224"/>
      <c r="AJ286" s="1223"/>
      <c r="AK286" s="1223"/>
      <c r="AL286" s="1223"/>
      <c r="AM286" s="1223"/>
      <c r="AN286" s="1390"/>
      <c r="AO286" s="1206"/>
      <c r="AS286" s="1208"/>
      <c r="AT286" s="1208"/>
      <c r="AU286" s="1208"/>
      <c r="AV286" s="1370"/>
      <c r="AW286" s="1370"/>
    </row>
    <row r="287" spans="1:49" ht="15" customHeight="1">
      <c r="A287" s="1223"/>
      <c r="B287" s="1224"/>
      <c r="C287" s="1224"/>
      <c r="D287" s="1224"/>
      <c r="E287" s="1224"/>
      <c r="F287" s="2492"/>
      <c r="G287" s="2462"/>
      <c r="H287" s="2462"/>
      <c r="I287" s="2462"/>
      <c r="J287" s="2462"/>
      <c r="K287" s="2462"/>
      <c r="L287" s="2462"/>
      <c r="M287" s="2462"/>
      <c r="N287" s="2462"/>
      <c r="O287" s="2462"/>
      <c r="P287" s="2462"/>
      <c r="Q287" s="2462"/>
      <c r="R287" s="2462"/>
      <c r="S287" s="2462"/>
      <c r="T287" s="2462"/>
      <c r="U287" s="2462"/>
      <c r="V287" s="2462"/>
      <c r="W287" s="2462"/>
      <c r="X287" s="2462"/>
      <c r="Y287" s="2462"/>
      <c r="Z287" s="2462"/>
      <c r="AA287" s="2462"/>
      <c r="AB287" s="2462"/>
      <c r="AC287" s="2462"/>
      <c r="AD287" s="2493"/>
      <c r="AE287" s="1295"/>
      <c r="AF287" s="1224"/>
      <c r="AG287" s="1224"/>
      <c r="AH287" s="1224"/>
      <c r="AI287" s="1224"/>
      <c r="AJ287" s="1223"/>
      <c r="AK287" s="1223"/>
      <c r="AL287" s="1223"/>
      <c r="AM287" s="1223"/>
      <c r="AN287" s="1390"/>
      <c r="AO287" s="1206"/>
      <c r="AS287" s="1208"/>
      <c r="AT287" s="1208"/>
      <c r="AU287" s="1208"/>
      <c r="AV287" s="1370"/>
      <c r="AW287" s="1370"/>
    </row>
    <row r="288" spans="1:49" ht="12.75" customHeight="1">
      <c r="A288" s="1223"/>
      <c r="B288" s="1224"/>
      <c r="C288" s="1224"/>
      <c r="D288" s="1224"/>
      <c r="E288" s="1224"/>
      <c r="F288" s="2492" t="s">
        <v>1586</v>
      </c>
      <c r="G288" s="2462"/>
      <c r="H288" s="2462"/>
      <c r="I288" s="2462"/>
      <c r="J288" s="2462"/>
      <c r="K288" s="2462"/>
      <c r="L288" s="2462"/>
      <c r="M288" s="2462"/>
      <c r="N288" s="2462"/>
      <c r="O288" s="2462"/>
      <c r="P288" s="2462"/>
      <c r="Q288" s="2462"/>
      <c r="R288" s="2462"/>
      <c r="S288" s="2462"/>
      <c r="T288" s="2462"/>
      <c r="U288" s="2462"/>
      <c r="V288" s="2462"/>
      <c r="W288" s="2462"/>
      <c r="X288" s="2462"/>
      <c r="Y288" s="2462"/>
      <c r="Z288" s="2462"/>
      <c r="AA288" s="2462"/>
      <c r="AB288" s="2462"/>
      <c r="AC288" s="2462"/>
      <c r="AD288" s="2493"/>
      <c r="AE288" s="1320"/>
      <c r="AF288" s="1224"/>
      <c r="AG288" s="1224"/>
      <c r="AH288" s="1224"/>
      <c r="AI288" s="1224"/>
      <c r="AJ288" s="1223"/>
      <c r="AK288" s="1223"/>
      <c r="AL288" s="1223"/>
      <c r="AM288" s="1223"/>
      <c r="AN288" s="1390"/>
      <c r="AO288" s="1206"/>
      <c r="AP288" s="1223"/>
      <c r="AS288" s="1208"/>
      <c r="AT288" s="1208"/>
      <c r="AU288" s="1208"/>
      <c r="AV288" s="1370"/>
      <c r="AW288" s="1370"/>
    </row>
    <row r="289" spans="1:49">
      <c r="A289" s="1223"/>
      <c r="B289" s="1224"/>
      <c r="C289" s="1224"/>
      <c r="D289" s="1224"/>
      <c r="E289" s="1224"/>
      <c r="F289" s="2494"/>
      <c r="G289" s="2495"/>
      <c r="H289" s="2495"/>
      <c r="I289" s="2495"/>
      <c r="J289" s="2495"/>
      <c r="K289" s="2495"/>
      <c r="L289" s="2495"/>
      <c r="M289" s="2495"/>
      <c r="N289" s="2495"/>
      <c r="O289" s="2495"/>
      <c r="P289" s="2495"/>
      <c r="Q289" s="2495"/>
      <c r="R289" s="2495"/>
      <c r="S289" s="2495"/>
      <c r="T289" s="2495"/>
      <c r="U289" s="2495"/>
      <c r="V289" s="2495"/>
      <c r="W289" s="2495"/>
      <c r="X289" s="2495"/>
      <c r="Y289" s="2495"/>
      <c r="Z289" s="2495"/>
      <c r="AA289" s="2495"/>
      <c r="AB289" s="2495"/>
      <c r="AC289" s="2495"/>
      <c r="AD289" s="2557"/>
      <c r="AE289" s="1320"/>
      <c r="AF289" s="1224"/>
      <c r="AG289" s="1224"/>
      <c r="AH289" s="1224"/>
      <c r="AI289" s="1224"/>
      <c r="AJ289" s="1223"/>
      <c r="AK289" s="1223"/>
      <c r="AL289" s="1223"/>
      <c r="AM289" s="1223"/>
      <c r="AN289" s="1390"/>
      <c r="AO289" s="1206"/>
      <c r="AP289" s="1223"/>
      <c r="AS289" s="1208"/>
      <c r="AT289" s="1208"/>
      <c r="AU289" s="1208"/>
      <c r="AV289" s="1370"/>
      <c r="AW289" s="1370"/>
    </row>
    <row r="290" spans="1:49">
      <c r="A290" s="1223"/>
      <c r="B290" s="1224"/>
      <c r="C290" s="1224"/>
      <c r="D290" s="1224"/>
      <c r="E290" s="1224"/>
      <c r="F290" s="1320"/>
      <c r="G290" s="1320"/>
      <c r="H290" s="1320"/>
      <c r="I290" s="1320"/>
      <c r="J290" s="1320"/>
      <c r="K290" s="1320"/>
      <c r="L290" s="1320"/>
      <c r="M290" s="1320"/>
      <c r="N290" s="1320"/>
      <c r="O290" s="1320"/>
      <c r="P290" s="1320"/>
      <c r="Q290" s="1320"/>
      <c r="R290" s="1320"/>
      <c r="S290" s="1320"/>
      <c r="T290" s="1320"/>
      <c r="U290" s="1320"/>
      <c r="V290" s="1320"/>
      <c r="W290" s="1320"/>
      <c r="X290" s="1320"/>
      <c r="Y290" s="1320"/>
      <c r="Z290" s="1320"/>
      <c r="AA290" s="1320"/>
      <c r="AB290" s="1320"/>
      <c r="AC290" s="1320"/>
      <c r="AD290" s="1320"/>
      <c r="AE290" s="1224"/>
      <c r="AF290" s="1224"/>
      <c r="AG290" s="1224"/>
      <c r="AH290" s="1224"/>
      <c r="AI290" s="1224"/>
      <c r="AJ290" s="1223"/>
      <c r="AK290" s="1223"/>
      <c r="AL290" s="1223"/>
      <c r="AM290" s="1223"/>
      <c r="AN290" s="1390"/>
      <c r="AO290" s="1206"/>
      <c r="AS290" s="1208"/>
      <c r="AT290" s="1208"/>
      <c r="AU290" s="1208"/>
      <c r="AV290" s="1370"/>
      <c r="AW290" s="1370"/>
    </row>
    <row r="291" spans="1:49" ht="15" customHeight="1">
      <c r="A291" s="2550" t="s">
        <v>1587</v>
      </c>
      <c r="B291" s="2550"/>
      <c r="C291" s="2469" t="s">
        <v>571</v>
      </c>
      <c r="D291" s="2469"/>
      <c r="E291" s="1220"/>
      <c r="F291" s="1395" t="s">
        <v>2679</v>
      </c>
      <c r="G291" s="1396"/>
      <c r="H291" s="1396"/>
      <c r="I291" s="1396"/>
      <c r="J291" s="1396"/>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7"/>
      <c r="AE291" s="1224"/>
      <c r="AF291" s="1224"/>
      <c r="AG291" s="1211" t="s">
        <v>1589</v>
      </c>
      <c r="AH291" s="1224"/>
      <c r="AI291" s="1224"/>
      <c r="AJ291" s="1223"/>
      <c r="AK291" s="1223"/>
      <c r="AL291" s="1223"/>
      <c r="AM291" s="1223"/>
      <c r="AN291" s="1398"/>
      <c r="AO291" s="1206"/>
    </row>
    <row r="292" spans="1:49">
      <c r="A292" s="1223"/>
      <c r="B292" s="1224"/>
      <c r="C292" s="1223"/>
      <c r="D292" s="1224"/>
      <c r="E292" s="1223"/>
      <c r="F292" s="2554" t="s">
        <v>2680</v>
      </c>
      <c r="G292" s="2555"/>
      <c r="H292" s="2555"/>
      <c r="I292" s="2555"/>
      <c r="J292" s="2555"/>
      <c r="K292" s="2555"/>
      <c r="L292" s="2555"/>
      <c r="M292" s="2555"/>
      <c r="N292" s="2555"/>
      <c r="O292" s="2555"/>
      <c r="P292" s="2555"/>
      <c r="Q292" s="2555"/>
      <c r="R292" s="2555"/>
      <c r="S292" s="2555"/>
      <c r="T292" s="2555"/>
      <c r="U292" s="2555"/>
      <c r="V292" s="2555"/>
      <c r="W292" s="2555"/>
      <c r="X292" s="2555"/>
      <c r="Y292" s="2555"/>
      <c r="Z292" s="2555"/>
      <c r="AA292" s="2555"/>
      <c r="AB292" s="2555"/>
      <c r="AC292" s="2555"/>
      <c r="AD292" s="2556"/>
      <c r="AE292" s="1224"/>
      <c r="AF292" s="1224"/>
      <c r="AG292" s="1224"/>
      <c r="AH292" s="1224"/>
      <c r="AI292" s="1224"/>
      <c r="AJ292" s="1223"/>
      <c r="AK292" s="1223"/>
      <c r="AL292" s="1223"/>
      <c r="AM292" s="1223"/>
      <c r="AR292" s="1399"/>
    </row>
    <row r="293" spans="1:49" ht="15" customHeight="1">
      <c r="A293" s="1223"/>
      <c r="B293" s="1224"/>
      <c r="C293" s="1223"/>
      <c r="D293" s="1224"/>
      <c r="E293" s="1223"/>
      <c r="F293" s="2554"/>
      <c r="G293" s="2555"/>
      <c r="H293" s="2555"/>
      <c r="I293" s="2555"/>
      <c r="J293" s="2555"/>
      <c r="K293" s="2555"/>
      <c r="L293" s="2555"/>
      <c r="M293" s="2555"/>
      <c r="N293" s="2555"/>
      <c r="O293" s="2555"/>
      <c r="P293" s="2555"/>
      <c r="Q293" s="2555"/>
      <c r="R293" s="2555"/>
      <c r="S293" s="2555"/>
      <c r="T293" s="2555"/>
      <c r="U293" s="2555"/>
      <c r="V293" s="2555"/>
      <c r="W293" s="2555"/>
      <c r="X293" s="2555"/>
      <c r="Y293" s="2555"/>
      <c r="Z293" s="2555"/>
      <c r="AA293" s="2555"/>
      <c r="AB293" s="2555"/>
      <c r="AC293" s="2555"/>
      <c r="AD293" s="2556"/>
      <c r="AE293" s="1224"/>
      <c r="AF293" s="1224"/>
      <c r="AG293" s="1224"/>
      <c r="AH293" s="1224"/>
      <c r="AI293" s="1224"/>
      <c r="AJ293" s="1223"/>
      <c r="AK293" s="1223"/>
      <c r="AL293" s="1223"/>
      <c r="AM293" s="1223"/>
      <c r="AR293" s="1399"/>
    </row>
    <row r="294" spans="1:49">
      <c r="A294" s="1223"/>
      <c r="B294" s="1224"/>
      <c r="C294" s="1223"/>
      <c r="D294" s="1224"/>
      <c r="E294" s="1223"/>
      <c r="F294" s="2554"/>
      <c r="G294" s="2555"/>
      <c r="H294" s="2555"/>
      <c r="I294" s="2555"/>
      <c r="J294" s="2555"/>
      <c r="K294" s="2555"/>
      <c r="L294" s="2555"/>
      <c r="M294" s="2555"/>
      <c r="N294" s="2555"/>
      <c r="O294" s="2555"/>
      <c r="P294" s="2555"/>
      <c r="Q294" s="2555"/>
      <c r="R294" s="2555"/>
      <c r="S294" s="2555"/>
      <c r="T294" s="2555"/>
      <c r="U294" s="2555"/>
      <c r="V294" s="2555"/>
      <c r="W294" s="2555"/>
      <c r="X294" s="2555"/>
      <c r="Y294" s="2555"/>
      <c r="Z294" s="2555"/>
      <c r="AA294" s="2555"/>
      <c r="AB294" s="2555"/>
      <c r="AC294" s="2555"/>
      <c r="AD294" s="2556"/>
      <c r="AE294" s="1224"/>
      <c r="AF294" s="1224"/>
      <c r="AG294" s="1224"/>
      <c r="AH294" s="1224"/>
      <c r="AI294" s="1224"/>
      <c r="AJ294" s="1223"/>
      <c r="AK294" s="1223"/>
      <c r="AL294" s="1223"/>
      <c r="AM294" s="1223"/>
      <c r="AP294" s="1306"/>
      <c r="AQ294" s="1246"/>
      <c r="AR294" s="1399"/>
    </row>
    <row r="295" spans="1:49" ht="15" customHeight="1">
      <c r="A295" s="1223"/>
      <c r="B295" s="1224"/>
      <c r="C295" s="1223"/>
      <c r="D295" s="1224"/>
      <c r="E295" s="1223"/>
      <c r="F295" s="2558"/>
      <c r="G295" s="2559"/>
      <c r="H295" s="2559"/>
      <c r="I295" s="2559"/>
      <c r="J295" s="2559"/>
      <c r="K295" s="2559"/>
      <c r="L295" s="2559"/>
      <c r="M295" s="2559"/>
      <c r="N295" s="2559"/>
      <c r="O295" s="2559"/>
      <c r="P295" s="2559"/>
      <c r="Q295" s="2559"/>
      <c r="R295" s="2559"/>
      <c r="S295" s="2559"/>
      <c r="T295" s="2559"/>
      <c r="U295" s="2559"/>
      <c r="V295" s="2559"/>
      <c r="W295" s="2559"/>
      <c r="X295" s="2559"/>
      <c r="Y295" s="2559"/>
      <c r="Z295" s="2559"/>
      <c r="AA295" s="2559"/>
      <c r="AB295" s="2559"/>
      <c r="AC295" s="2559"/>
      <c r="AD295" s="2560"/>
      <c r="AE295" s="1224"/>
      <c r="AF295" s="1224"/>
      <c r="AG295" s="1224"/>
      <c r="AH295" s="1224"/>
      <c r="AI295" s="1224"/>
      <c r="AJ295" s="1223"/>
      <c r="AK295" s="1223"/>
      <c r="AL295" s="1223"/>
      <c r="AM295" s="1223"/>
      <c r="AP295" s="1306"/>
      <c r="AQ295" s="1246"/>
      <c r="AR295" s="1399"/>
    </row>
    <row r="296" spans="1:49">
      <c r="A296" s="1223"/>
      <c r="B296" s="1224"/>
      <c r="C296" s="1224"/>
      <c r="D296" s="1224"/>
      <c r="E296" s="1224"/>
      <c r="F296" s="1224"/>
      <c r="G296" s="1224"/>
      <c r="H296" s="1224"/>
      <c r="I296" s="1224"/>
      <c r="J296" s="1224"/>
      <c r="K296" s="1224"/>
      <c r="L296" s="1224"/>
      <c r="M296" s="1224"/>
      <c r="N296" s="1224"/>
      <c r="O296" s="1224"/>
      <c r="P296" s="1224"/>
      <c r="Q296" s="1224"/>
      <c r="R296" s="1224"/>
      <c r="S296" s="1224"/>
      <c r="T296" s="1224"/>
      <c r="U296" s="1224"/>
      <c r="V296" s="1224"/>
      <c r="W296" s="1224"/>
      <c r="X296" s="1224"/>
      <c r="Y296" s="1224"/>
      <c r="Z296" s="1224"/>
      <c r="AA296" s="1224"/>
      <c r="AB296" s="1224"/>
      <c r="AC296" s="1224"/>
      <c r="AD296" s="1224"/>
      <c r="AE296" s="1224"/>
      <c r="AF296" s="1224"/>
      <c r="AG296" s="1224"/>
      <c r="AH296" s="1224"/>
      <c r="AI296" s="1224"/>
      <c r="AJ296" s="1223"/>
      <c r="AK296" s="1223"/>
      <c r="AL296" s="1223"/>
      <c r="AM296" s="1223"/>
      <c r="AP296" s="1306"/>
      <c r="AQ296" s="1246"/>
      <c r="AR296" s="1399"/>
    </row>
    <row r="297" spans="1:49" hidden="1">
      <c r="A297" s="1223"/>
      <c r="B297" s="1224"/>
      <c r="C297" s="1224"/>
      <c r="D297" s="1224"/>
      <c r="E297" s="1224"/>
      <c r="F297" s="1224"/>
      <c r="G297" s="1224"/>
      <c r="H297" s="1224"/>
      <c r="I297" s="1224"/>
      <c r="J297" s="1224"/>
      <c r="K297" s="1224"/>
      <c r="L297" s="1224"/>
      <c r="M297" s="1224"/>
      <c r="N297" s="1224"/>
      <c r="O297" s="1224"/>
      <c r="P297" s="1224"/>
      <c r="Q297" s="1224"/>
      <c r="R297" s="1224"/>
      <c r="S297" s="1224"/>
      <c r="T297" s="1224"/>
      <c r="U297" s="1224"/>
      <c r="V297" s="1224"/>
      <c r="W297" s="1224"/>
      <c r="X297" s="1224"/>
      <c r="Y297" s="1224"/>
      <c r="Z297" s="1224"/>
      <c r="AA297" s="1224"/>
      <c r="AB297" s="1224"/>
      <c r="AC297" s="1224"/>
      <c r="AD297" s="1224"/>
      <c r="AE297" s="1224"/>
      <c r="AF297" s="1224"/>
      <c r="AG297" s="1224"/>
      <c r="AH297" s="1224"/>
      <c r="AI297" s="1224"/>
      <c r="AJ297" s="1223"/>
      <c r="AK297" s="1223"/>
      <c r="AL297" s="1223"/>
      <c r="AM297" s="1223"/>
      <c r="AP297" s="1306"/>
      <c r="AQ297" s="1246"/>
      <c r="AR297" s="1399"/>
    </row>
    <row r="298" spans="1:49" hidden="1">
      <c r="A298" s="1223"/>
      <c r="B298" s="1224"/>
      <c r="C298" s="1224"/>
      <c r="D298" s="1224"/>
      <c r="E298" s="1224"/>
      <c r="F298" s="1224"/>
      <c r="G298" s="1224"/>
      <c r="H298" s="1224"/>
      <c r="I298" s="1224"/>
      <c r="J298" s="1224"/>
      <c r="K298" s="1224"/>
      <c r="L298" s="1224"/>
      <c r="M298" s="1224"/>
      <c r="N298" s="1224"/>
      <c r="O298" s="1224"/>
      <c r="P298" s="1224"/>
      <c r="Q298" s="1224"/>
      <c r="R298" s="1224"/>
      <c r="S298" s="1224"/>
      <c r="T298" s="1224"/>
      <c r="U298" s="1224"/>
      <c r="V298" s="1224"/>
      <c r="W298" s="1224"/>
      <c r="X298" s="1224"/>
      <c r="Y298" s="1224"/>
      <c r="Z298" s="1224"/>
      <c r="AA298" s="1224"/>
      <c r="AB298" s="1224"/>
      <c r="AC298" s="1224"/>
      <c r="AD298" s="1224"/>
      <c r="AE298" s="1224"/>
      <c r="AF298" s="1224"/>
      <c r="AG298" s="1224"/>
      <c r="AH298" s="1224"/>
      <c r="AI298" s="1224"/>
      <c r="AJ298" s="1223"/>
      <c r="AK298" s="1223"/>
      <c r="AL298" s="1223"/>
      <c r="AM298" s="1223"/>
      <c r="AN298" s="1390"/>
      <c r="AO298" s="1206"/>
    </row>
    <row r="299" spans="1:49" hidden="1">
      <c r="A299" s="2550" t="s">
        <v>1590</v>
      </c>
      <c r="B299" s="2550"/>
      <c r="C299" s="2469" t="s">
        <v>618</v>
      </c>
      <c r="D299" s="2469"/>
      <c r="E299" s="1220"/>
      <c r="F299" s="1395" t="s">
        <v>1588</v>
      </c>
      <c r="G299" s="1400"/>
      <c r="H299" s="1400"/>
      <c r="I299" s="1400"/>
      <c r="J299" s="1400"/>
      <c r="K299" s="1400"/>
      <c r="L299" s="1400"/>
      <c r="M299" s="1400"/>
      <c r="N299" s="1400"/>
      <c r="O299" s="1400"/>
      <c r="P299" s="1400"/>
      <c r="Q299" s="1400"/>
      <c r="R299" s="1400"/>
      <c r="S299" s="1400"/>
      <c r="T299" s="1400"/>
      <c r="U299" s="1400"/>
      <c r="V299" s="1400"/>
      <c r="W299" s="1400"/>
      <c r="X299" s="1400"/>
      <c r="Y299" s="1400"/>
      <c r="Z299" s="1400"/>
      <c r="AA299" s="1400"/>
      <c r="AB299" s="1400"/>
      <c r="AC299" s="1400"/>
      <c r="AD299" s="1401"/>
      <c r="AE299" s="1224"/>
      <c r="AF299" s="1224"/>
      <c r="AG299" s="1211" t="s">
        <v>1589</v>
      </c>
      <c r="AH299" s="1224"/>
      <c r="AI299" s="1224"/>
      <c r="AJ299" s="1223"/>
      <c r="AK299" s="1223"/>
      <c r="AL299" s="1223"/>
      <c r="AM299" s="1223"/>
      <c r="AN299" s="1390"/>
      <c r="AO299" s="1206"/>
    </row>
    <row r="300" spans="1:49" hidden="1">
      <c r="A300" s="1402"/>
      <c r="B300" s="1402"/>
      <c r="C300" s="1268"/>
      <c r="D300" s="1268"/>
      <c r="E300" s="1220"/>
      <c r="F300" s="2492" t="s">
        <v>2681</v>
      </c>
      <c r="G300" s="2462"/>
      <c r="H300" s="2462"/>
      <c r="I300" s="2462"/>
      <c r="J300" s="2462"/>
      <c r="K300" s="2462"/>
      <c r="L300" s="2462"/>
      <c r="M300" s="2462"/>
      <c r="N300" s="2462"/>
      <c r="O300" s="2462"/>
      <c r="P300" s="2462"/>
      <c r="Q300" s="2462"/>
      <c r="R300" s="2462"/>
      <c r="S300" s="2462"/>
      <c r="T300" s="2462"/>
      <c r="U300" s="2462"/>
      <c r="V300" s="2462"/>
      <c r="W300" s="2462"/>
      <c r="X300" s="2462"/>
      <c r="Y300" s="2462"/>
      <c r="Z300" s="2462"/>
      <c r="AA300" s="2462"/>
      <c r="AB300" s="2462"/>
      <c r="AC300" s="2462"/>
      <c r="AD300" s="2493"/>
      <c r="AE300" s="1224"/>
      <c r="AF300" s="1224"/>
      <c r="AG300" s="1211"/>
      <c r="AH300" s="1224"/>
      <c r="AI300" s="1224"/>
      <c r="AJ300" s="1223"/>
      <c r="AK300" s="1223"/>
      <c r="AL300" s="1223"/>
      <c r="AM300" s="1223"/>
      <c r="AN300" s="1390"/>
      <c r="AO300" s="1206"/>
      <c r="AP300" s="1232" t="s">
        <v>1348</v>
      </c>
    </row>
    <row r="301" spans="1:49" hidden="1">
      <c r="F301" s="2492"/>
      <c r="G301" s="2462"/>
      <c r="H301" s="2462"/>
      <c r="I301" s="2462"/>
      <c r="J301" s="2462"/>
      <c r="K301" s="2462"/>
      <c r="L301" s="2462"/>
      <c r="M301" s="2462"/>
      <c r="N301" s="2462"/>
      <c r="O301" s="2462"/>
      <c r="P301" s="2462"/>
      <c r="Q301" s="2462"/>
      <c r="R301" s="2462"/>
      <c r="S301" s="2462"/>
      <c r="T301" s="2462"/>
      <c r="U301" s="2462"/>
      <c r="V301" s="2462"/>
      <c r="W301" s="2462"/>
      <c r="X301" s="2462"/>
      <c r="Y301" s="2462"/>
      <c r="Z301" s="2462"/>
      <c r="AA301" s="2462"/>
      <c r="AB301" s="2462"/>
      <c r="AC301" s="2462"/>
      <c r="AD301" s="2493"/>
      <c r="AE301" s="1224"/>
      <c r="AF301" s="1224"/>
      <c r="AH301" s="1224"/>
      <c r="AI301" s="1224"/>
      <c r="AJ301" s="1223"/>
      <c r="AK301" s="1223"/>
      <c r="AL301" s="1223"/>
      <c r="AM301" s="1223"/>
      <c r="AN301" s="1390"/>
      <c r="AO301" s="1206"/>
      <c r="AP301" s="1232" t="s">
        <v>2050</v>
      </c>
    </row>
    <row r="302" spans="1:49" hidden="1">
      <c r="A302" s="1223"/>
      <c r="B302" s="1224"/>
      <c r="C302" s="1268"/>
      <c r="D302" s="1268"/>
      <c r="E302" s="1220"/>
      <c r="F302" s="1403" t="s">
        <v>1591</v>
      </c>
      <c r="G302" s="1318"/>
      <c r="H302" s="1318"/>
      <c r="I302" s="1318"/>
      <c r="J302" s="1318"/>
      <c r="K302" s="1318"/>
      <c r="L302" s="1318"/>
      <c r="M302" s="1318"/>
      <c r="N302" s="1318"/>
      <c r="O302" s="1318"/>
      <c r="P302" s="1318"/>
      <c r="Q302" s="1318"/>
      <c r="R302" s="1318"/>
      <c r="S302" s="1318"/>
      <c r="T302" s="1318"/>
      <c r="U302" s="1318"/>
      <c r="V302" s="1318"/>
      <c r="W302" s="1318"/>
      <c r="X302" s="1318"/>
      <c r="Y302" s="1318"/>
      <c r="Z302" s="1318"/>
      <c r="AA302" s="1318"/>
      <c r="AB302" s="1318"/>
      <c r="AC302" s="1318"/>
      <c r="AD302" s="1404"/>
      <c r="AE302" s="1224"/>
      <c r="AF302" s="1224"/>
      <c r="AG302" s="1211"/>
      <c r="AH302" s="1224"/>
      <c r="AI302" s="1224"/>
      <c r="AJ302" s="1223"/>
      <c r="AK302" s="1223"/>
      <c r="AL302" s="1223"/>
      <c r="AM302" s="1223"/>
      <c r="AN302" s="1390"/>
      <c r="AO302" s="1206"/>
      <c r="AP302" s="1232" t="s">
        <v>2052</v>
      </c>
    </row>
    <row r="303" spans="1:49" hidden="1">
      <c r="A303" s="1223"/>
      <c r="B303" s="1224"/>
      <c r="C303" s="1268"/>
      <c r="D303" s="1268"/>
      <c r="E303" s="1220"/>
      <c r="F303" s="1403"/>
      <c r="G303" s="1318"/>
      <c r="H303" s="1318"/>
      <c r="I303" s="1318"/>
      <c r="J303" s="1318"/>
      <c r="K303" s="1318"/>
      <c r="L303" s="1318"/>
      <c r="M303" s="1318"/>
      <c r="N303" s="1318"/>
      <c r="O303" s="1318"/>
      <c r="P303" s="1318"/>
      <c r="Q303" s="1318"/>
      <c r="R303" s="1318"/>
      <c r="S303" s="1318"/>
      <c r="T303" s="1318"/>
      <c r="U303" s="1318"/>
      <c r="V303" s="1318"/>
      <c r="W303" s="1318"/>
      <c r="X303" s="1318"/>
      <c r="Y303" s="1318"/>
      <c r="Z303" s="1318"/>
      <c r="AA303" s="1318"/>
      <c r="AB303" s="1318"/>
      <c r="AC303" s="1318"/>
      <c r="AD303" s="1404"/>
      <c r="AE303" s="1224"/>
      <c r="AF303" s="1224"/>
      <c r="AG303" s="1211"/>
      <c r="AH303" s="1224"/>
      <c r="AI303" s="1224"/>
      <c r="AJ303" s="1223"/>
      <c r="AK303" s="1223"/>
      <c r="AL303" s="1223"/>
      <c r="AM303" s="1223"/>
      <c r="AN303" s="1390"/>
      <c r="AO303" s="1206"/>
      <c r="AP303" s="1232" t="s">
        <v>2187</v>
      </c>
    </row>
    <row r="304" spans="1:49" ht="12.75" hidden="1" customHeight="1">
      <c r="A304" s="1223"/>
      <c r="B304" s="1224"/>
      <c r="C304" s="1268"/>
      <c r="D304" s="1268"/>
      <c r="E304" s="1220"/>
      <c r="F304" s="1403"/>
      <c r="G304" s="1295"/>
      <c r="H304" s="1295"/>
      <c r="I304" s="1295"/>
      <c r="J304" s="1295"/>
      <c r="K304" s="1295"/>
      <c r="L304" s="1295"/>
      <c r="M304" s="1295"/>
      <c r="N304" s="1295"/>
      <c r="O304" s="1295"/>
      <c r="P304" s="1295"/>
      <c r="Q304" s="1295"/>
      <c r="R304" s="1295"/>
      <c r="S304" s="1295"/>
      <c r="T304" s="1295"/>
      <c r="U304" s="1295"/>
      <c r="V304" s="1295"/>
      <c r="W304" s="1295"/>
      <c r="X304" s="1295"/>
      <c r="Y304" s="1295"/>
      <c r="Z304" s="1295"/>
      <c r="AA304" s="1295"/>
      <c r="AB304" s="1295"/>
      <c r="AC304" s="1295"/>
      <c r="AD304" s="1405"/>
      <c r="AE304" s="1224"/>
      <c r="AF304" s="1224"/>
      <c r="AG304" s="1211"/>
      <c r="AH304" s="1224"/>
      <c r="AI304" s="1224"/>
      <c r="AJ304" s="1223"/>
      <c r="AK304" s="1223"/>
      <c r="AL304" s="1223"/>
      <c r="AM304" s="1223"/>
      <c r="AN304" s="1390"/>
      <c r="AO304" s="1206"/>
      <c r="AP304" s="1205"/>
    </row>
    <row r="305" spans="1:42" ht="12.75" hidden="1" customHeight="1">
      <c r="A305" s="1223"/>
      <c r="B305" s="1224"/>
      <c r="C305" s="1268"/>
      <c r="D305" s="1268"/>
      <c r="E305" s="1220"/>
      <c r="F305" s="2540" t="s">
        <v>1348</v>
      </c>
      <c r="G305" s="2541"/>
      <c r="H305" s="2541"/>
      <c r="I305" s="2541"/>
      <c r="J305" s="2541"/>
      <c r="K305" s="2541"/>
      <c r="L305" s="2541"/>
      <c r="M305" s="2541"/>
      <c r="N305" s="2541"/>
      <c r="O305" s="2541"/>
      <c r="P305" s="2541"/>
      <c r="Q305" s="2541"/>
      <c r="R305" s="2541"/>
      <c r="S305" s="2541"/>
      <c r="T305" s="2541"/>
      <c r="U305" s="2541"/>
      <c r="V305" s="2541"/>
      <c r="W305" s="2541"/>
      <c r="X305" s="2541"/>
      <c r="Y305" s="2541"/>
      <c r="Z305" s="2541"/>
      <c r="AA305" s="2541"/>
      <c r="AB305" s="2541"/>
      <c r="AC305" s="2541"/>
      <c r="AD305" s="2542"/>
      <c r="AE305" s="1295"/>
      <c r="AF305" s="1295"/>
      <c r="AG305" s="1295"/>
      <c r="AH305" s="1295"/>
      <c r="AI305" s="1295"/>
      <c r="AJ305" s="1295"/>
      <c r="AK305" s="1295"/>
      <c r="AL305" s="1223"/>
      <c r="AM305" s="1223"/>
      <c r="AN305" s="1390"/>
      <c r="AO305" s="1206"/>
      <c r="AP305" s="1205"/>
    </row>
    <row r="306" spans="1:42" hidden="1">
      <c r="A306" s="1223"/>
      <c r="B306" s="1224"/>
      <c r="C306" s="1268"/>
      <c r="D306" s="1268"/>
      <c r="E306" s="1220"/>
      <c r="F306" s="2540"/>
      <c r="G306" s="2541"/>
      <c r="H306" s="2541"/>
      <c r="I306" s="2541"/>
      <c r="J306" s="2541"/>
      <c r="K306" s="2541"/>
      <c r="L306" s="2541"/>
      <c r="M306" s="2541"/>
      <c r="N306" s="2541"/>
      <c r="O306" s="2541"/>
      <c r="P306" s="2541"/>
      <c r="Q306" s="2541"/>
      <c r="R306" s="2541"/>
      <c r="S306" s="2541"/>
      <c r="T306" s="2541"/>
      <c r="U306" s="2541"/>
      <c r="V306" s="2541"/>
      <c r="W306" s="2541"/>
      <c r="X306" s="2541"/>
      <c r="Y306" s="2541"/>
      <c r="Z306" s="2541"/>
      <c r="AA306" s="2541"/>
      <c r="AB306" s="2541"/>
      <c r="AC306" s="2541"/>
      <c r="AD306" s="2542"/>
      <c r="AE306" s="1224"/>
      <c r="AF306" s="1224"/>
      <c r="AG306" s="1211"/>
      <c r="AH306" s="1224"/>
      <c r="AI306" s="1224"/>
      <c r="AJ306" s="1223"/>
      <c r="AK306" s="1223"/>
      <c r="AL306" s="1223"/>
      <c r="AM306" s="1223"/>
      <c r="AN306" s="1390"/>
      <c r="AO306" s="1206"/>
      <c r="AP306" s="1205"/>
    </row>
    <row r="307" spans="1:42" hidden="1">
      <c r="A307" s="1223"/>
      <c r="B307" s="1224"/>
      <c r="C307" s="1268"/>
      <c r="D307" s="1268"/>
      <c r="E307" s="1220"/>
      <c r="F307" s="2540"/>
      <c r="G307" s="2541"/>
      <c r="H307" s="2541"/>
      <c r="I307" s="2541"/>
      <c r="J307" s="2541"/>
      <c r="K307" s="2541"/>
      <c r="L307" s="2541"/>
      <c r="M307" s="2541"/>
      <c r="N307" s="2541"/>
      <c r="O307" s="2541"/>
      <c r="P307" s="2541"/>
      <c r="Q307" s="2541"/>
      <c r="R307" s="2541"/>
      <c r="S307" s="2541"/>
      <c r="T307" s="2541"/>
      <c r="U307" s="2541"/>
      <c r="V307" s="2541"/>
      <c r="W307" s="2541"/>
      <c r="X307" s="2541"/>
      <c r="Y307" s="2541"/>
      <c r="Z307" s="2541"/>
      <c r="AA307" s="2541"/>
      <c r="AB307" s="2541"/>
      <c r="AC307" s="2541"/>
      <c r="AD307" s="2542"/>
      <c r="AE307" s="1224"/>
      <c r="AF307" s="1224"/>
      <c r="AG307" s="1211"/>
      <c r="AH307" s="1224"/>
      <c r="AI307" s="1224"/>
      <c r="AJ307" s="1223"/>
      <c r="AK307" s="1223"/>
      <c r="AL307" s="1223"/>
      <c r="AM307" s="1223"/>
      <c r="AN307" s="1390"/>
      <c r="AO307" s="1206"/>
      <c r="AP307" s="1205"/>
    </row>
    <row r="308" spans="1:42" hidden="1">
      <c r="A308" s="1223"/>
      <c r="B308" s="1224"/>
      <c r="C308" s="1268"/>
      <c r="D308" s="1268"/>
      <c r="E308" s="1220"/>
      <c r="F308" s="2540"/>
      <c r="G308" s="2541"/>
      <c r="H308" s="2541"/>
      <c r="I308" s="2541"/>
      <c r="J308" s="2541"/>
      <c r="K308" s="2541"/>
      <c r="L308" s="2541"/>
      <c r="M308" s="2541"/>
      <c r="N308" s="2541"/>
      <c r="O308" s="2541"/>
      <c r="P308" s="2541"/>
      <c r="Q308" s="2541"/>
      <c r="R308" s="2541"/>
      <c r="S308" s="2541"/>
      <c r="T308" s="2541"/>
      <c r="U308" s="2541"/>
      <c r="V308" s="2541"/>
      <c r="W308" s="2541"/>
      <c r="X308" s="2541"/>
      <c r="Y308" s="2541"/>
      <c r="Z308" s="2541"/>
      <c r="AA308" s="2541"/>
      <c r="AB308" s="2541"/>
      <c r="AC308" s="2541"/>
      <c r="AD308" s="2542"/>
      <c r="AE308" s="1224"/>
      <c r="AF308" s="1224"/>
      <c r="AG308" s="1211"/>
      <c r="AH308" s="1224"/>
      <c r="AI308" s="1224"/>
      <c r="AJ308" s="1223"/>
      <c r="AK308" s="1223"/>
      <c r="AL308" s="1223"/>
      <c r="AM308" s="1223"/>
      <c r="AN308" s="1390"/>
      <c r="AO308" s="1206"/>
      <c r="AP308" s="1205"/>
    </row>
    <row r="309" spans="1:42" hidden="1">
      <c r="A309" s="1223"/>
      <c r="B309" s="1224"/>
      <c r="C309" s="1268"/>
      <c r="D309" s="1268"/>
      <c r="E309" s="1220"/>
      <c r="F309" s="2543"/>
      <c r="G309" s="2544"/>
      <c r="H309" s="2544"/>
      <c r="I309" s="2544"/>
      <c r="J309" s="2544"/>
      <c r="K309" s="2544"/>
      <c r="L309" s="2544"/>
      <c r="M309" s="2544"/>
      <c r="N309" s="2544"/>
      <c r="O309" s="2544"/>
      <c r="P309" s="2544"/>
      <c r="Q309" s="2544"/>
      <c r="R309" s="2544"/>
      <c r="S309" s="2544"/>
      <c r="T309" s="2544"/>
      <c r="U309" s="2544"/>
      <c r="V309" s="2544"/>
      <c r="W309" s="2544"/>
      <c r="X309" s="2544"/>
      <c r="Y309" s="2544"/>
      <c r="Z309" s="2544"/>
      <c r="AA309" s="2544"/>
      <c r="AB309" s="2544"/>
      <c r="AC309" s="2544"/>
      <c r="AD309" s="2545"/>
      <c r="AE309" s="1224"/>
      <c r="AF309" s="1224"/>
      <c r="AG309" s="1211"/>
      <c r="AH309" s="1224"/>
      <c r="AI309" s="1224"/>
      <c r="AJ309" s="1223"/>
      <c r="AK309" s="1223"/>
      <c r="AL309" s="1223"/>
      <c r="AM309" s="1223"/>
      <c r="AN309" s="1390"/>
      <c r="AO309" s="1206"/>
      <c r="AP309" s="1205"/>
    </row>
    <row r="310" spans="1:42" hidden="1">
      <c r="A310" s="1223"/>
      <c r="B310" s="1224"/>
      <c r="C310" s="1268"/>
      <c r="D310" s="1268"/>
      <c r="E310" s="1220"/>
      <c r="F310" s="1406"/>
      <c r="G310" s="1295"/>
      <c r="H310" s="1295"/>
      <c r="I310" s="1295"/>
      <c r="J310" s="1295"/>
      <c r="K310" s="1295"/>
      <c r="L310" s="1295"/>
      <c r="M310" s="1295"/>
      <c r="N310" s="1295"/>
      <c r="O310" s="1295"/>
      <c r="P310" s="1295"/>
      <c r="Q310" s="1295"/>
      <c r="R310" s="1295"/>
      <c r="S310" s="1295"/>
      <c r="T310" s="1295"/>
      <c r="U310" s="1295"/>
      <c r="V310" s="1295"/>
      <c r="W310" s="1295"/>
      <c r="X310" s="1295"/>
      <c r="Y310" s="1295"/>
      <c r="Z310" s="1295"/>
      <c r="AA310" s="1295"/>
      <c r="AB310" s="1295"/>
      <c r="AC310" s="1295"/>
      <c r="AD310" s="1405"/>
      <c r="AE310" s="1224"/>
      <c r="AF310" s="1224"/>
      <c r="AG310" s="1211"/>
      <c r="AH310" s="1224"/>
      <c r="AI310" s="1224"/>
      <c r="AJ310" s="1223"/>
      <c r="AK310" s="1223"/>
      <c r="AL310" s="1223"/>
      <c r="AM310" s="1223"/>
      <c r="AN310" s="1390"/>
      <c r="AO310" s="1206"/>
      <c r="AP310" s="1205"/>
    </row>
    <row r="311" spans="1:42" hidden="1">
      <c r="A311" s="1223"/>
      <c r="B311" s="1224"/>
      <c r="C311" s="1268"/>
      <c r="D311" s="1268"/>
      <c r="E311" s="1220"/>
      <c r="F311" s="1407" t="s">
        <v>2051</v>
      </c>
      <c r="G311" s="1224"/>
      <c r="H311" s="1224"/>
      <c r="I311" s="1224"/>
      <c r="J311" s="1224"/>
      <c r="K311" s="1224"/>
      <c r="L311" s="1224"/>
      <c r="M311" s="1224"/>
      <c r="N311" s="1224"/>
      <c r="O311" s="1224"/>
      <c r="P311" s="1224"/>
      <c r="Q311" s="1224"/>
      <c r="R311" s="1224"/>
      <c r="S311" s="1224"/>
      <c r="T311" s="1224"/>
      <c r="U311" s="1224"/>
      <c r="V311" s="1224"/>
      <c r="W311" s="1224"/>
      <c r="X311" s="1224"/>
      <c r="Y311" s="1224"/>
      <c r="Z311" s="1224"/>
      <c r="AA311" s="1224"/>
      <c r="AB311" s="1224"/>
      <c r="AC311" s="1224"/>
      <c r="AD311" s="1408"/>
      <c r="AE311" s="1224"/>
      <c r="AF311" s="1224"/>
      <c r="AG311" s="1211"/>
      <c r="AH311" s="1224"/>
      <c r="AI311" s="1224"/>
      <c r="AJ311" s="1223"/>
      <c r="AK311" s="1223"/>
      <c r="AL311" s="1223"/>
      <c r="AM311" s="1223"/>
      <c r="AN311" s="1390"/>
      <c r="AO311" s="1206"/>
      <c r="AP311" s="1205"/>
    </row>
    <row r="312" spans="1:42" hidden="1">
      <c r="A312" s="1223"/>
      <c r="B312" s="1224"/>
      <c r="C312" s="1268"/>
      <c r="D312" s="1268"/>
      <c r="E312" s="1220"/>
      <c r="F312" s="1407"/>
      <c r="G312" s="1224"/>
      <c r="H312" s="1224"/>
      <c r="I312" s="1224"/>
      <c r="J312" s="1224"/>
      <c r="K312" s="1224"/>
      <c r="L312" s="1224"/>
      <c r="M312" s="1224"/>
      <c r="N312" s="1224"/>
      <c r="O312" s="1224"/>
      <c r="P312" s="1224"/>
      <c r="Q312" s="1224"/>
      <c r="R312" s="1224"/>
      <c r="S312" s="1224"/>
      <c r="T312" s="1224"/>
      <c r="U312" s="1224"/>
      <c r="V312" s="1224"/>
      <c r="W312" s="1224"/>
      <c r="X312" s="1224"/>
      <c r="Y312" s="1224"/>
      <c r="Z312" s="1224"/>
      <c r="AA312" s="1224"/>
      <c r="AB312" s="1224"/>
      <c r="AC312" s="1224"/>
      <c r="AD312" s="1408"/>
      <c r="AE312" s="1224"/>
      <c r="AF312" s="1224"/>
      <c r="AG312" s="1211"/>
      <c r="AH312" s="1224"/>
      <c r="AI312" s="1224"/>
      <c r="AJ312" s="1223"/>
      <c r="AK312" s="1223"/>
      <c r="AL312" s="1223"/>
      <c r="AM312" s="1223"/>
      <c r="AN312" s="1390"/>
      <c r="AO312" s="1206"/>
      <c r="AP312" s="1232" t="s">
        <v>1348</v>
      </c>
    </row>
    <row r="313" spans="1:42" ht="12.75" hidden="1" customHeight="1">
      <c r="A313" s="1223"/>
      <c r="B313" s="1224"/>
      <c r="C313" s="1268"/>
      <c r="D313" s="1268"/>
      <c r="E313" s="1220"/>
      <c r="F313" s="1253"/>
      <c r="G313" s="1250" t="s">
        <v>715</v>
      </c>
      <c r="H313" s="1250"/>
      <c r="I313" s="2546" t="s">
        <v>1348</v>
      </c>
      <c r="J313" s="2546"/>
      <c r="K313" s="2546"/>
      <c r="L313" s="2546"/>
      <c r="M313" s="2546"/>
      <c r="N313" s="2546"/>
      <c r="O313" s="2546"/>
      <c r="P313" s="2546"/>
      <c r="Q313" s="2546"/>
      <c r="R313" s="2546"/>
      <c r="S313" s="2546"/>
      <c r="T313" s="2546"/>
      <c r="U313" s="2546"/>
      <c r="V313" s="2546"/>
      <c r="W313" s="2546"/>
      <c r="X313" s="2546"/>
      <c r="Y313" s="2546"/>
      <c r="Z313" s="2546"/>
      <c r="AA313" s="2546"/>
      <c r="AB313" s="2546"/>
      <c r="AC313" s="2546"/>
      <c r="AD313" s="2547"/>
      <c r="AE313" s="1224"/>
      <c r="AF313" s="1224"/>
      <c r="AG313" s="1211"/>
      <c r="AH313" s="1224"/>
      <c r="AI313" s="1224"/>
      <c r="AJ313" s="1223"/>
      <c r="AK313" s="1223"/>
      <c r="AL313" s="1223"/>
      <c r="AM313" s="1223"/>
      <c r="AN313" s="1390"/>
      <c r="AO313" s="1206"/>
      <c r="AP313" s="1232" t="s">
        <v>1850</v>
      </c>
    </row>
    <row r="314" spans="1:42" hidden="1">
      <c r="A314" s="1223"/>
      <c r="B314" s="1224"/>
      <c r="C314" s="1268"/>
      <c r="D314" s="1268"/>
      <c r="E314" s="1220"/>
      <c r="F314" s="1253"/>
      <c r="G314" s="1250"/>
      <c r="H314" s="1250"/>
      <c r="I314" s="2546"/>
      <c r="J314" s="2546"/>
      <c r="K314" s="2546"/>
      <c r="L314" s="2546"/>
      <c r="M314" s="2546"/>
      <c r="N314" s="2546"/>
      <c r="O314" s="2546"/>
      <c r="P314" s="2546"/>
      <c r="Q314" s="2546"/>
      <c r="R314" s="2546"/>
      <c r="S314" s="2546"/>
      <c r="T314" s="2546"/>
      <c r="U314" s="2546"/>
      <c r="V314" s="2546"/>
      <c r="W314" s="2546"/>
      <c r="X314" s="2546"/>
      <c r="Y314" s="2546"/>
      <c r="Z314" s="2546"/>
      <c r="AA314" s="2546"/>
      <c r="AB314" s="2546"/>
      <c r="AC314" s="2546"/>
      <c r="AD314" s="2547"/>
      <c r="AE314" s="1224"/>
      <c r="AF314" s="1224"/>
      <c r="AG314" s="1211"/>
      <c r="AH314" s="1224"/>
      <c r="AI314" s="1224"/>
      <c r="AJ314" s="1223"/>
      <c r="AK314" s="1223"/>
      <c r="AL314" s="1223"/>
      <c r="AM314" s="1223"/>
      <c r="AN314" s="1390"/>
      <c r="AO314" s="1206"/>
      <c r="AP314" s="1232" t="s">
        <v>2053</v>
      </c>
    </row>
    <row r="315" spans="1:42" hidden="1">
      <c r="A315" s="1223"/>
      <c r="B315" s="1224"/>
      <c r="C315" s="1409"/>
      <c r="D315" s="1409"/>
      <c r="E315" s="1220"/>
      <c r="F315" s="1253"/>
      <c r="G315" s="1250"/>
      <c r="H315" s="1250"/>
      <c r="I315" s="2546"/>
      <c r="J315" s="2546"/>
      <c r="K315" s="2546"/>
      <c r="L315" s="2546"/>
      <c r="M315" s="2546"/>
      <c r="N315" s="2546"/>
      <c r="O315" s="2546"/>
      <c r="P315" s="2546"/>
      <c r="Q315" s="2546"/>
      <c r="R315" s="2546"/>
      <c r="S315" s="2546"/>
      <c r="T315" s="2546"/>
      <c r="U315" s="2546"/>
      <c r="V315" s="2546"/>
      <c r="W315" s="2546"/>
      <c r="X315" s="2546"/>
      <c r="Y315" s="2546"/>
      <c r="Z315" s="2546"/>
      <c r="AA315" s="2546"/>
      <c r="AB315" s="2546"/>
      <c r="AC315" s="2546"/>
      <c r="AD315" s="2547"/>
      <c r="AE315" s="1224"/>
      <c r="AF315" s="1224"/>
      <c r="AG315" s="1211"/>
      <c r="AH315" s="1224"/>
      <c r="AI315" s="1224"/>
      <c r="AJ315" s="1223"/>
      <c r="AK315" s="1223"/>
      <c r="AL315" s="1223"/>
      <c r="AM315" s="1223"/>
      <c r="AN315" s="1390"/>
      <c r="AO315" s="1206"/>
      <c r="AP315" s="1232" t="s">
        <v>2055</v>
      </c>
    </row>
    <row r="316" spans="1:42" hidden="1">
      <c r="A316" s="1223"/>
      <c r="B316" s="1224"/>
      <c r="C316" s="1409"/>
      <c r="D316" s="1409"/>
      <c r="E316" s="1220"/>
      <c r="F316" s="1407"/>
      <c r="G316" s="1224"/>
      <c r="H316" s="1224"/>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1224"/>
      <c r="AF316" s="1224"/>
      <c r="AG316" s="1211"/>
      <c r="AH316" s="1224"/>
      <c r="AI316" s="1224"/>
      <c r="AJ316" s="1223"/>
      <c r="AK316" s="1223"/>
      <c r="AL316" s="1223"/>
      <c r="AM316" s="1223"/>
      <c r="AN316" s="1390"/>
      <c r="AO316" s="1206"/>
      <c r="AP316" s="1232" t="s">
        <v>2054</v>
      </c>
    </row>
    <row r="317" spans="1:42" hidden="1">
      <c r="A317" s="1223"/>
      <c r="B317" s="1224"/>
      <c r="C317" s="1409"/>
      <c r="D317" s="1409"/>
      <c r="E317" s="1220"/>
      <c r="F317" s="1407"/>
      <c r="G317" s="1224"/>
      <c r="H317" s="1224"/>
      <c r="I317" s="1224"/>
      <c r="J317" s="1224"/>
      <c r="K317" s="1224"/>
      <c r="L317" s="1224"/>
      <c r="M317" s="1224"/>
      <c r="N317" s="1224"/>
      <c r="O317" s="1224"/>
      <c r="P317" s="1224"/>
      <c r="Q317" s="1224"/>
      <c r="R317" s="1224"/>
      <c r="S317" s="1224"/>
      <c r="T317" s="1224"/>
      <c r="U317" s="1224"/>
      <c r="V317" s="1224"/>
      <c r="W317" s="1224"/>
      <c r="X317" s="1224"/>
      <c r="Y317" s="1224"/>
      <c r="Z317" s="1224"/>
      <c r="AA317" s="1224"/>
      <c r="AB317" s="1224"/>
      <c r="AC317" s="1224"/>
      <c r="AD317" s="1408"/>
      <c r="AE317" s="1224"/>
      <c r="AF317" s="1224"/>
      <c r="AG317" s="1211"/>
      <c r="AH317" s="1224"/>
      <c r="AI317" s="1224"/>
      <c r="AJ317" s="1223"/>
      <c r="AK317" s="1223"/>
      <c r="AL317" s="1223"/>
      <c r="AM317" s="1223"/>
      <c r="AN317" s="1390"/>
      <c r="AO317" s="1206"/>
      <c r="AP317" s="1205"/>
    </row>
    <row r="318" spans="1:42" hidden="1">
      <c r="A318" s="1223"/>
      <c r="B318" s="1224"/>
      <c r="C318" s="1409"/>
      <c r="D318" s="1409"/>
      <c r="E318" s="1220"/>
      <c r="F318" s="1407"/>
      <c r="G318" s="1224" t="s">
        <v>535</v>
      </c>
      <c r="H318" s="1224"/>
      <c r="I318" s="2546" t="s">
        <v>1348</v>
      </c>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1224"/>
      <c r="AF318" s="1224"/>
      <c r="AG318" s="1211"/>
      <c r="AH318" s="1224"/>
      <c r="AI318" s="1224"/>
      <c r="AJ318" s="1223"/>
      <c r="AK318" s="1223"/>
      <c r="AL318" s="1223"/>
      <c r="AM318" s="1223"/>
      <c r="AN318" s="1390"/>
      <c r="AO318" s="1206"/>
    </row>
    <row r="319" spans="1:42" hidden="1">
      <c r="A319" s="1223"/>
      <c r="B319" s="1224"/>
      <c r="C319" s="1409"/>
      <c r="D319" s="1409"/>
      <c r="E319" s="1220"/>
      <c r="F319" s="1407"/>
      <c r="G319" s="1224"/>
      <c r="H319" s="1224"/>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1224"/>
      <c r="AF319" s="1224"/>
      <c r="AG319" s="1211"/>
      <c r="AH319" s="1224"/>
      <c r="AI319" s="1224"/>
      <c r="AJ319" s="1223"/>
      <c r="AK319" s="1223"/>
      <c r="AL319" s="1223"/>
      <c r="AM319" s="1223"/>
      <c r="AN319" s="1390"/>
      <c r="AO319" s="1206"/>
      <c r="AP319" s="1232" t="s">
        <v>1348</v>
      </c>
    </row>
    <row r="320" spans="1:42" hidden="1">
      <c r="A320" s="1223"/>
      <c r="B320" s="1224"/>
      <c r="C320" s="1409"/>
      <c r="D320" s="1409"/>
      <c r="E320" s="1220"/>
      <c r="F320" s="1410"/>
      <c r="G320" s="1411"/>
      <c r="H320" s="1411"/>
      <c r="I320" s="2548"/>
      <c r="J320" s="2548"/>
      <c r="K320" s="2548"/>
      <c r="L320" s="2548"/>
      <c r="M320" s="2548"/>
      <c r="N320" s="2548"/>
      <c r="O320" s="2548"/>
      <c r="P320" s="2548"/>
      <c r="Q320" s="2548"/>
      <c r="R320" s="2548"/>
      <c r="S320" s="2548"/>
      <c r="T320" s="2548"/>
      <c r="U320" s="2548"/>
      <c r="V320" s="2548"/>
      <c r="W320" s="2548"/>
      <c r="X320" s="2548"/>
      <c r="Y320" s="2548"/>
      <c r="Z320" s="2548"/>
      <c r="AA320" s="2548"/>
      <c r="AB320" s="2548"/>
      <c r="AC320" s="2548"/>
      <c r="AD320" s="2549"/>
      <c r="AE320" s="1224"/>
      <c r="AF320" s="1224"/>
      <c r="AG320" s="1211"/>
      <c r="AH320" s="1224"/>
      <c r="AI320" s="1224"/>
      <c r="AJ320" s="1223"/>
      <c r="AK320" s="1223"/>
      <c r="AL320" s="1223"/>
      <c r="AM320" s="1223"/>
      <c r="AN320" s="1390"/>
      <c r="AO320" s="1206"/>
      <c r="AP320" s="1232" t="s">
        <v>1592</v>
      </c>
    </row>
    <row r="321" spans="1:44" hidden="1">
      <c r="A321" s="1223"/>
      <c r="B321" s="1224"/>
      <c r="C321" s="1223"/>
      <c r="D321" s="1224"/>
      <c r="E321" s="1223"/>
      <c r="F321" s="1311"/>
      <c r="G321" s="1224"/>
      <c r="H321" s="1224"/>
      <c r="I321" s="1224"/>
      <c r="J321" s="1224"/>
      <c r="K321" s="1224"/>
      <c r="L321" s="1224"/>
      <c r="M321" s="1224"/>
      <c r="N321" s="1224"/>
      <c r="O321" s="1224"/>
      <c r="P321" s="1224"/>
      <c r="Q321" s="1224"/>
      <c r="R321" s="1224"/>
      <c r="S321" s="1224"/>
      <c r="T321" s="1224"/>
      <c r="U321" s="1224"/>
      <c r="V321" s="1224"/>
      <c r="W321" s="1224"/>
      <c r="X321" s="1224"/>
      <c r="Y321" s="1224"/>
      <c r="Z321" s="1224"/>
      <c r="AA321" s="1224"/>
      <c r="AB321" s="1224"/>
      <c r="AC321" s="1224"/>
      <c r="AD321" s="1224"/>
      <c r="AE321" s="1224"/>
      <c r="AF321" s="1224"/>
      <c r="AG321" s="1224"/>
      <c r="AH321" s="1224"/>
      <c r="AI321" s="1224"/>
      <c r="AJ321" s="1223"/>
      <c r="AK321" s="1223"/>
      <c r="AL321" s="1223"/>
      <c r="AM321" s="1223"/>
      <c r="AN321" s="1390"/>
      <c r="AO321" s="1206"/>
      <c r="AP321" s="1232" t="s">
        <v>1851</v>
      </c>
    </row>
    <row r="322" spans="1:44" ht="12.75" hidden="1" customHeight="1">
      <c r="A322" s="2550" t="s">
        <v>1593</v>
      </c>
      <c r="B322" s="2550"/>
      <c r="C322" s="2469" t="s">
        <v>618</v>
      </c>
      <c r="D322" s="2469"/>
      <c r="E322" s="1220"/>
      <c r="F322" s="2551" t="s">
        <v>2682</v>
      </c>
      <c r="G322" s="2552"/>
      <c r="H322" s="2552"/>
      <c r="I322" s="2552"/>
      <c r="J322" s="2552"/>
      <c r="K322" s="2552"/>
      <c r="L322" s="2552"/>
      <c r="M322" s="2552"/>
      <c r="N322" s="2552"/>
      <c r="O322" s="2552"/>
      <c r="P322" s="2552"/>
      <c r="Q322" s="2552"/>
      <c r="R322" s="2552"/>
      <c r="S322" s="2552"/>
      <c r="T322" s="2552"/>
      <c r="U322" s="2552"/>
      <c r="V322" s="2552"/>
      <c r="W322" s="2552"/>
      <c r="X322" s="2552"/>
      <c r="Y322" s="2552"/>
      <c r="Z322" s="2552"/>
      <c r="AA322" s="2552"/>
      <c r="AB322" s="2552"/>
      <c r="AC322" s="2552"/>
      <c r="AD322" s="2553"/>
      <c r="AE322" s="1224"/>
      <c r="AF322" s="1224"/>
      <c r="AG322" s="1211" t="s">
        <v>1589</v>
      </c>
      <c r="AH322" s="1224"/>
      <c r="AI322" s="1224"/>
      <c r="AJ322" s="1223"/>
      <c r="AK322" s="1223"/>
      <c r="AL322" s="1223"/>
      <c r="AM322" s="1223"/>
      <c r="AN322" s="1390"/>
      <c r="AO322" s="1206"/>
    </row>
    <row r="323" spans="1:44" ht="15" hidden="1" customHeight="1">
      <c r="A323" s="1223"/>
      <c r="B323" s="1224"/>
      <c r="C323" s="1224"/>
      <c r="D323" s="1224"/>
      <c r="E323" s="1224"/>
      <c r="F323" s="2554"/>
      <c r="G323" s="2555"/>
      <c r="H323" s="2555"/>
      <c r="I323" s="2555"/>
      <c r="J323" s="2555"/>
      <c r="K323" s="2555"/>
      <c r="L323" s="2555"/>
      <c r="M323" s="2555"/>
      <c r="N323" s="2555"/>
      <c r="O323" s="2555"/>
      <c r="P323" s="2555"/>
      <c r="Q323" s="2555"/>
      <c r="R323" s="2555"/>
      <c r="S323" s="2555"/>
      <c r="T323" s="2555"/>
      <c r="U323" s="2555"/>
      <c r="V323" s="2555"/>
      <c r="W323" s="2555"/>
      <c r="X323" s="2555"/>
      <c r="Y323" s="2555"/>
      <c r="Z323" s="2555"/>
      <c r="AA323" s="2555"/>
      <c r="AB323" s="2555"/>
      <c r="AC323" s="2555"/>
      <c r="AD323" s="2556"/>
      <c r="AE323" s="1224"/>
      <c r="AF323" s="1224"/>
      <c r="AG323" s="1224"/>
      <c r="AH323" s="1224"/>
      <c r="AI323" s="1224"/>
      <c r="AJ323" s="1223"/>
      <c r="AK323" s="1223"/>
      <c r="AL323" s="1223"/>
      <c r="AM323" s="1223"/>
      <c r="AN323" s="1390"/>
      <c r="AO323" s="1206"/>
    </row>
    <row r="324" spans="1:44" ht="15" hidden="1" customHeight="1">
      <c r="A324" s="1223"/>
      <c r="B324" s="1224"/>
      <c r="C324" s="1224"/>
      <c r="D324" s="1224"/>
      <c r="E324" s="1224"/>
      <c r="F324" s="2554"/>
      <c r="G324" s="2555"/>
      <c r="H324" s="2555"/>
      <c r="I324" s="2555"/>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1224"/>
      <c r="AF324" s="1224"/>
      <c r="AG324" s="1224"/>
      <c r="AH324" s="1224"/>
      <c r="AI324" s="1224"/>
      <c r="AJ324" s="1223"/>
      <c r="AK324" s="1223"/>
      <c r="AL324" s="1223"/>
      <c r="AM324" s="1412"/>
      <c r="AN324" s="1206"/>
      <c r="AO324" s="1206"/>
    </row>
    <row r="325" spans="1:44" hidden="1">
      <c r="A325" s="1223"/>
      <c r="B325" s="1224"/>
      <c r="C325" s="1223"/>
      <c r="D325" s="1224"/>
      <c r="E325" s="1223"/>
      <c r="F325" s="1413" t="s">
        <v>1594</v>
      </c>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c r="AB325" s="1414"/>
      <c r="AC325" s="1414"/>
      <c r="AD325" s="1415"/>
      <c r="AE325" s="1224"/>
      <c r="AF325" s="1224"/>
      <c r="AG325" s="1224"/>
      <c r="AH325" s="1224"/>
      <c r="AI325" s="1224"/>
      <c r="AJ325" s="1223"/>
      <c r="AK325" s="1223"/>
      <c r="AL325" s="1223"/>
      <c r="AM325" s="1412"/>
      <c r="AN325" s="1205"/>
    </row>
    <row r="326" spans="1:44" hidden="1">
      <c r="A326" s="1223"/>
      <c r="B326" s="1224"/>
      <c r="C326" s="1223"/>
      <c r="D326" s="1224"/>
      <c r="E326" s="1223"/>
      <c r="F326" s="1318"/>
      <c r="G326" s="1318"/>
      <c r="H326" s="1318"/>
      <c r="I326" s="1318"/>
      <c r="J326" s="1318"/>
      <c r="K326" s="1318"/>
      <c r="L326" s="1318"/>
      <c r="M326" s="1318"/>
      <c r="N326" s="1318"/>
      <c r="O326" s="1318"/>
      <c r="P326" s="1318"/>
      <c r="Q326" s="1318"/>
      <c r="R326" s="1318"/>
      <c r="S326" s="1318"/>
      <c r="T326" s="1318"/>
      <c r="U326" s="1318"/>
      <c r="V326" s="1318"/>
      <c r="W326" s="1318"/>
      <c r="X326" s="1318"/>
      <c r="Y326" s="1318"/>
      <c r="Z326" s="1318"/>
      <c r="AA326" s="1318"/>
      <c r="AB326" s="1318"/>
      <c r="AC326" s="1318"/>
      <c r="AD326" s="1318"/>
      <c r="AE326" s="1224"/>
      <c r="AF326" s="1224"/>
      <c r="AG326" s="1224"/>
      <c r="AH326" s="1224"/>
      <c r="AI326" s="1224"/>
      <c r="AJ326" s="1223"/>
      <c r="AK326" s="1223"/>
      <c r="AL326" s="1223"/>
      <c r="AM326" s="1412"/>
      <c r="AN326" s="1205"/>
    </row>
    <row r="327" spans="1:44">
      <c r="A327" s="1301"/>
      <c r="B327" s="1416"/>
      <c r="C327" s="1416"/>
      <c r="D327" s="1416"/>
      <c r="E327" s="1416"/>
      <c r="F327" s="1416"/>
      <c r="G327" s="1416"/>
      <c r="H327" s="1416"/>
      <c r="I327" s="1416"/>
      <c r="J327" s="1416"/>
      <c r="K327" s="1416"/>
      <c r="L327" s="1416"/>
      <c r="M327" s="1416"/>
      <c r="N327" s="1416"/>
      <c r="O327" s="1416"/>
      <c r="P327" s="1416"/>
      <c r="Q327" s="1416"/>
      <c r="R327" s="1416"/>
      <c r="S327" s="1416"/>
      <c r="T327" s="1416"/>
      <c r="U327" s="1416"/>
      <c r="V327" s="1416"/>
      <c r="W327" s="1416"/>
      <c r="X327" s="1416"/>
      <c r="Y327" s="1416"/>
      <c r="Z327" s="1416"/>
      <c r="AA327" s="1416"/>
      <c r="AB327" s="1416"/>
      <c r="AC327" s="1417"/>
      <c r="AD327" s="1416"/>
      <c r="AE327" s="1239"/>
      <c r="AF327" s="1239"/>
      <c r="AG327" s="1239"/>
      <c r="AH327" s="1239"/>
      <c r="AI327" s="1240"/>
      <c r="AJ327" s="1240" t="s">
        <v>1657</v>
      </c>
      <c r="AK327" s="2442">
        <f>AP284</f>
        <v>9</v>
      </c>
      <c r="AL327" s="2443"/>
      <c r="AM327" s="2444"/>
      <c r="AN327" s="1205"/>
    </row>
    <row r="328" spans="1:44" s="1223" customFormat="1" ht="12.75" customHeight="1" thickBot="1">
      <c r="A328" s="1316"/>
      <c r="B328" s="1316"/>
      <c r="C328" s="1316"/>
      <c r="D328" s="1316"/>
      <c r="E328" s="1316"/>
      <c r="F328" s="1316"/>
      <c r="G328" s="1316"/>
      <c r="H328" s="1316"/>
      <c r="I328" s="1316"/>
      <c r="J328" s="1316"/>
      <c r="K328" s="1316"/>
      <c r="L328" s="1316"/>
      <c r="M328" s="1316"/>
      <c r="N328" s="1316"/>
      <c r="O328" s="1316"/>
      <c r="P328" s="1316"/>
      <c r="Q328" s="1316"/>
      <c r="R328" s="1316"/>
      <c r="S328" s="1316"/>
      <c r="T328" s="1316"/>
      <c r="U328" s="1316"/>
      <c r="V328" s="1316"/>
      <c r="W328" s="1316"/>
      <c r="X328" s="1316"/>
      <c r="Y328" s="1316"/>
      <c r="Z328" s="1316"/>
      <c r="AA328" s="1316"/>
      <c r="AB328" s="1316"/>
      <c r="AC328" s="1316"/>
      <c r="AD328" s="1316"/>
      <c r="AE328" s="1316"/>
      <c r="AF328" s="1316"/>
      <c r="AG328" s="1316"/>
      <c r="AH328" s="1316"/>
      <c r="AI328" s="1316"/>
      <c r="AJ328" s="1316"/>
      <c r="AK328" s="1316"/>
      <c r="AL328" s="1316"/>
      <c r="AM328" s="1316"/>
      <c r="AN328" s="1297"/>
    </row>
    <row r="329" spans="1:44" s="1223" customFormat="1" ht="12.75" customHeight="1" thickTop="1">
      <c r="A329" s="1206"/>
      <c r="B329" s="1206"/>
      <c r="C329" s="1206"/>
      <c r="D329" s="1206"/>
      <c r="E329" s="1206"/>
      <c r="F329" s="1206"/>
      <c r="G329" s="1206"/>
      <c r="H329" s="1206"/>
      <c r="I329" s="1206"/>
      <c r="J329" s="1206"/>
      <c r="K329" s="1206"/>
      <c r="L329" s="1206"/>
      <c r="M329" s="1206"/>
      <c r="N329" s="1206"/>
      <c r="O329" s="1206"/>
      <c r="P329" s="1206"/>
      <c r="Q329" s="1206"/>
      <c r="R329" s="1206"/>
      <c r="S329" s="1206"/>
      <c r="T329" s="1206"/>
      <c r="U329" s="1206"/>
      <c r="V329" s="1206"/>
      <c r="W329" s="1206"/>
      <c r="X329" s="1206"/>
      <c r="Y329" s="1206"/>
      <c r="Z329" s="1206"/>
      <c r="AA329" s="1206"/>
      <c r="AB329" s="1206"/>
      <c r="AC329" s="1206"/>
      <c r="AD329" s="1206"/>
      <c r="AE329" s="1206"/>
      <c r="AF329" s="1206"/>
      <c r="AG329" s="1206"/>
      <c r="AH329" s="1206"/>
      <c r="AI329" s="1206"/>
      <c r="AJ329" s="1206"/>
      <c r="AK329" s="1206"/>
      <c r="AL329" s="1206"/>
      <c r="AM329" s="1206"/>
      <c r="AN329" s="1297"/>
    </row>
    <row r="330" spans="1:44" s="1223" customFormat="1" ht="12.75" customHeight="1">
      <c r="A330" s="1211" t="s">
        <v>1658</v>
      </c>
      <c r="B330" s="1211" t="s">
        <v>892</v>
      </c>
      <c r="C330" s="1208"/>
      <c r="AC330" s="1211"/>
      <c r="AE330" s="2478" t="s">
        <v>1515</v>
      </c>
      <c r="AF330" s="2478"/>
      <c r="AG330" s="2478"/>
      <c r="AH330" s="2478"/>
      <c r="AI330" s="2478"/>
      <c r="AJ330" s="2478"/>
      <c r="AK330" s="2478"/>
      <c r="AL330" s="1211"/>
      <c r="AM330" s="1211"/>
      <c r="AN330" s="1288"/>
    </row>
    <row r="331" spans="1:44" s="1223" customFormat="1" ht="12.75" customHeight="1">
      <c r="A331" s="1211"/>
      <c r="B331" s="1211"/>
      <c r="C331" s="1208"/>
      <c r="AC331" s="1211"/>
      <c r="AE331" s="1215"/>
      <c r="AF331" s="1215"/>
      <c r="AG331" s="1215"/>
      <c r="AH331" s="1215"/>
      <c r="AI331" s="1215"/>
      <c r="AJ331" s="1215"/>
      <c r="AK331" s="1215"/>
      <c r="AL331" s="1211"/>
      <c r="AM331" s="1211"/>
      <c r="AN331" s="1288"/>
    </row>
    <row r="332" spans="1:44" s="1223" customFormat="1" ht="12.75" customHeight="1">
      <c r="A332" s="1296"/>
      <c r="B332" s="1306"/>
      <c r="C332" s="2539" t="s">
        <v>1659</v>
      </c>
      <c r="D332" s="2539"/>
      <c r="E332" s="2539"/>
      <c r="F332" s="2539"/>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39"/>
      <c r="AE332" s="2539"/>
      <c r="AF332" s="2539"/>
      <c r="AG332" s="2539"/>
      <c r="AH332" s="2539"/>
      <c r="AI332" s="2539"/>
      <c r="AJ332" s="2539"/>
      <c r="AK332" s="1296"/>
      <c r="AL332" s="1296"/>
      <c r="AM332" s="1296"/>
      <c r="AN332" s="1297"/>
    </row>
    <row r="333" spans="1:44" s="1223" customFormat="1" ht="12.75" customHeight="1">
      <c r="A333" s="1296"/>
      <c r="B333" s="1306"/>
      <c r="C333" s="2539"/>
      <c r="D333" s="2539"/>
      <c r="E333" s="2539"/>
      <c r="F333" s="2539"/>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39"/>
      <c r="AE333" s="2539"/>
      <c r="AF333" s="2539"/>
      <c r="AG333" s="2539"/>
      <c r="AH333" s="2539"/>
      <c r="AI333" s="2539"/>
      <c r="AJ333" s="2539"/>
      <c r="AK333" s="1296"/>
      <c r="AL333" s="1296"/>
      <c r="AM333" s="1296"/>
      <c r="AN333" s="1297"/>
    </row>
    <row r="334" spans="1:44" s="1223" customFormat="1" ht="12.75" customHeight="1">
      <c r="A334" s="1296"/>
      <c r="B334" s="1306"/>
      <c r="C334" s="2539"/>
      <c r="D334" s="2539"/>
      <c r="E334" s="2539"/>
      <c r="F334" s="2539"/>
      <c r="G334" s="2539"/>
      <c r="H334" s="2539"/>
      <c r="I334" s="2539"/>
      <c r="J334" s="2539"/>
      <c r="K334" s="2539"/>
      <c r="L334" s="2539"/>
      <c r="M334" s="2539"/>
      <c r="N334" s="2539"/>
      <c r="O334" s="2539"/>
      <c r="P334" s="2539"/>
      <c r="Q334" s="2539"/>
      <c r="R334" s="2539"/>
      <c r="S334" s="2539"/>
      <c r="T334" s="2539"/>
      <c r="U334" s="2539"/>
      <c r="V334" s="2539"/>
      <c r="W334" s="2539"/>
      <c r="X334" s="2539"/>
      <c r="Y334" s="2539"/>
      <c r="Z334" s="2539"/>
      <c r="AA334" s="2539"/>
      <c r="AB334" s="2539"/>
      <c r="AC334" s="2539"/>
      <c r="AD334" s="2539"/>
      <c r="AE334" s="2539"/>
      <c r="AF334" s="2539"/>
      <c r="AG334" s="2539"/>
      <c r="AH334" s="2539"/>
      <c r="AI334" s="2539"/>
      <c r="AJ334" s="2539"/>
      <c r="AK334" s="1296"/>
      <c r="AL334" s="1296"/>
      <c r="AM334" s="1296"/>
      <c r="AN334" s="1297"/>
      <c r="AQ334" s="1208"/>
    </row>
    <row r="335" spans="1:44" s="1223" customFormat="1" ht="12.75" customHeight="1">
      <c r="A335" s="1296"/>
      <c r="B335" s="1306"/>
      <c r="C335" s="2539"/>
      <c r="D335" s="2539"/>
      <c r="E335" s="2539"/>
      <c r="F335" s="2539"/>
      <c r="G335" s="2539"/>
      <c r="H335" s="2539"/>
      <c r="I335" s="2539"/>
      <c r="J335" s="2539"/>
      <c r="K335" s="2539"/>
      <c r="L335" s="2539"/>
      <c r="M335" s="2539"/>
      <c r="N335" s="2539"/>
      <c r="O335" s="2539"/>
      <c r="P335" s="2539"/>
      <c r="Q335" s="2539"/>
      <c r="R335" s="2539"/>
      <c r="S335" s="2539"/>
      <c r="T335" s="2539"/>
      <c r="U335" s="2539"/>
      <c r="V335" s="2539"/>
      <c r="W335" s="2539"/>
      <c r="X335" s="2539"/>
      <c r="Y335" s="2539"/>
      <c r="Z335" s="2539"/>
      <c r="AA335" s="2539"/>
      <c r="AB335" s="2539"/>
      <c r="AC335" s="2539"/>
      <c r="AD335" s="2539"/>
      <c r="AE335" s="2539"/>
      <c r="AF335" s="2539"/>
      <c r="AG335" s="2539"/>
      <c r="AH335" s="2539"/>
      <c r="AI335" s="2539"/>
      <c r="AJ335" s="2539"/>
      <c r="AK335" s="1296"/>
      <c r="AL335" s="1296"/>
      <c r="AM335" s="1296"/>
      <c r="AN335" s="1297"/>
      <c r="AQ335" s="1208"/>
    </row>
    <row r="336" spans="1:44" s="1223" customFormat="1" ht="12.4" customHeight="1">
      <c r="A336" s="1296"/>
      <c r="B336" s="1306"/>
      <c r="C336" s="2539"/>
      <c r="D336" s="2539"/>
      <c r="E336" s="2539"/>
      <c r="F336" s="2539"/>
      <c r="G336" s="2539"/>
      <c r="H336" s="2539"/>
      <c r="I336" s="2539"/>
      <c r="J336" s="2539"/>
      <c r="K336" s="2539"/>
      <c r="L336" s="2539"/>
      <c r="M336" s="2539"/>
      <c r="N336" s="2539"/>
      <c r="O336" s="2539"/>
      <c r="P336" s="2539"/>
      <c r="Q336" s="2539"/>
      <c r="R336" s="2539"/>
      <c r="S336" s="2539"/>
      <c r="T336" s="2539"/>
      <c r="U336" s="2539"/>
      <c r="V336" s="2539"/>
      <c r="W336" s="2539"/>
      <c r="X336" s="2539"/>
      <c r="Y336" s="2539"/>
      <c r="Z336" s="2539"/>
      <c r="AA336" s="2539"/>
      <c r="AB336" s="2539"/>
      <c r="AC336" s="2539"/>
      <c r="AD336" s="2539"/>
      <c r="AE336" s="2539"/>
      <c r="AF336" s="2539"/>
      <c r="AG336" s="2539"/>
      <c r="AH336" s="2539"/>
      <c r="AI336" s="2539"/>
      <c r="AJ336" s="2539"/>
      <c r="AK336" s="1296"/>
      <c r="AL336" s="1296"/>
      <c r="AM336" s="1296"/>
      <c r="AN336" s="1297"/>
      <c r="AQ336" s="1208"/>
      <c r="AR336" s="1208"/>
    </row>
    <row r="337" spans="1:46" s="1223" customFormat="1" ht="45.75" customHeight="1">
      <c r="A337" s="1296"/>
      <c r="B337" s="1306"/>
      <c r="C337" s="2539" t="s">
        <v>2683</v>
      </c>
      <c r="D337" s="2539"/>
      <c r="E337" s="2539"/>
      <c r="F337" s="2539"/>
      <c r="G337" s="2539"/>
      <c r="H337" s="2539"/>
      <c r="I337" s="2539"/>
      <c r="J337" s="2539"/>
      <c r="K337" s="2539"/>
      <c r="L337" s="2539"/>
      <c r="M337" s="2539"/>
      <c r="N337" s="2539"/>
      <c r="O337" s="2539"/>
      <c r="P337" s="2539"/>
      <c r="Q337" s="2539"/>
      <c r="R337" s="2539"/>
      <c r="S337" s="2539"/>
      <c r="T337" s="2539"/>
      <c r="U337" s="2539"/>
      <c r="V337" s="2539"/>
      <c r="W337" s="2539"/>
      <c r="X337" s="2539"/>
      <c r="Y337" s="2539"/>
      <c r="Z337" s="2539"/>
      <c r="AA337" s="2539"/>
      <c r="AB337" s="2539"/>
      <c r="AC337" s="2539"/>
      <c r="AD337" s="2539"/>
      <c r="AE337" s="2539"/>
      <c r="AF337" s="2539"/>
      <c r="AG337" s="2539"/>
      <c r="AH337" s="2539"/>
      <c r="AI337" s="2539"/>
      <c r="AJ337" s="2539"/>
      <c r="AK337" s="1296"/>
      <c r="AL337" s="1296"/>
      <c r="AM337" s="1296"/>
      <c r="AN337" s="1297"/>
      <c r="AQ337" s="1208"/>
      <c r="AR337" s="1208"/>
    </row>
    <row r="338" spans="1:46" s="1223" customFormat="1" ht="12.4" customHeight="1">
      <c r="A338" s="1296"/>
      <c r="B338" s="1306"/>
      <c r="C338" s="1418"/>
      <c r="D338" s="1418"/>
      <c r="E338" s="1418"/>
      <c r="F338" s="1418"/>
      <c r="G338" s="1418"/>
      <c r="H338" s="1418"/>
      <c r="I338" s="1418"/>
      <c r="J338" s="1418"/>
      <c r="K338" s="1418"/>
      <c r="L338" s="1418"/>
      <c r="M338" s="1418"/>
      <c r="N338" s="1418"/>
      <c r="O338" s="1418"/>
      <c r="P338" s="1418"/>
      <c r="Q338" s="1418"/>
      <c r="R338" s="1418"/>
      <c r="S338" s="1418"/>
      <c r="T338" s="1418"/>
      <c r="U338" s="1418"/>
      <c r="V338" s="1418"/>
      <c r="W338" s="1418"/>
      <c r="X338" s="1418"/>
      <c r="Y338" s="1418"/>
      <c r="Z338" s="1418"/>
      <c r="AA338" s="1418"/>
      <c r="AB338" s="1418"/>
      <c r="AC338" s="1418"/>
      <c r="AD338" s="1418"/>
      <c r="AE338" s="1418"/>
      <c r="AF338" s="1418"/>
      <c r="AG338" s="1418"/>
      <c r="AH338" s="1418"/>
      <c r="AI338" s="1418"/>
      <c r="AJ338" s="1418"/>
      <c r="AK338" s="1296"/>
      <c r="AL338" s="1296"/>
      <c r="AM338" s="1296"/>
      <c r="AN338" s="1297"/>
      <c r="AQ338" s="1208"/>
      <c r="AR338" s="1208"/>
    </row>
    <row r="339" spans="1:46" s="1223" customFormat="1" ht="12.75" customHeight="1">
      <c r="A339" s="1296"/>
      <c r="B339" s="1306"/>
      <c r="C339" s="2539" t="s">
        <v>2196</v>
      </c>
      <c r="D339" s="2539"/>
      <c r="E339" s="2539"/>
      <c r="F339" s="2539"/>
      <c r="G339" s="2539"/>
      <c r="H339" s="2539"/>
      <c r="I339" s="2539"/>
      <c r="J339" s="2539"/>
      <c r="K339" s="2539"/>
      <c r="L339" s="2539"/>
      <c r="M339" s="2539"/>
      <c r="N339" s="2539"/>
      <c r="O339" s="2539"/>
      <c r="P339" s="2539"/>
      <c r="Q339" s="2539"/>
      <c r="R339" s="2539"/>
      <c r="S339" s="2539"/>
      <c r="T339" s="2539"/>
      <c r="U339" s="2539"/>
      <c r="V339" s="2539"/>
      <c r="W339" s="2539"/>
      <c r="X339" s="2539"/>
      <c r="Y339" s="2539"/>
      <c r="Z339" s="2539"/>
      <c r="AA339" s="2539"/>
      <c r="AB339" s="2539"/>
      <c r="AC339" s="2539"/>
      <c r="AD339" s="2539"/>
      <c r="AE339" s="2539"/>
      <c r="AF339" s="2539"/>
      <c r="AG339" s="2539"/>
      <c r="AH339" s="2539"/>
      <c r="AI339" s="2539"/>
      <c r="AJ339" s="2539"/>
      <c r="AK339" s="1296"/>
      <c r="AL339" s="1296"/>
      <c r="AM339" s="1296"/>
      <c r="AN339" s="1297"/>
      <c r="AQ339" s="1208"/>
      <c r="AR339" s="1208"/>
    </row>
    <row r="340" spans="1:46" s="1223" customFormat="1" ht="30" customHeight="1">
      <c r="A340" s="1296"/>
      <c r="B340" s="1306"/>
      <c r="C340" s="2539"/>
      <c r="D340" s="2539"/>
      <c r="E340" s="2539"/>
      <c r="F340" s="2539"/>
      <c r="G340" s="2539"/>
      <c r="H340" s="2539"/>
      <c r="I340" s="2539"/>
      <c r="J340" s="2539"/>
      <c r="K340" s="2539"/>
      <c r="L340" s="2539"/>
      <c r="M340" s="2539"/>
      <c r="N340" s="2539"/>
      <c r="O340" s="2539"/>
      <c r="P340" s="2539"/>
      <c r="Q340" s="2539"/>
      <c r="R340" s="2539"/>
      <c r="S340" s="2539"/>
      <c r="T340" s="2539"/>
      <c r="U340" s="2539"/>
      <c r="V340" s="2539"/>
      <c r="W340" s="2539"/>
      <c r="X340" s="2539"/>
      <c r="Y340" s="2539"/>
      <c r="Z340" s="2539"/>
      <c r="AA340" s="2539"/>
      <c r="AB340" s="2539"/>
      <c r="AC340" s="2539"/>
      <c r="AD340" s="2539"/>
      <c r="AE340" s="2539"/>
      <c r="AF340" s="2539"/>
      <c r="AG340" s="2539"/>
      <c r="AH340" s="2539"/>
      <c r="AI340" s="2539"/>
      <c r="AJ340" s="2539"/>
      <c r="AK340" s="1296"/>
      <c r="AL340" s="1296"/>
      <c r="AM340" s="1296"/>
      <c r="AN340" s="1297"/>
      <c r="AR340" s="1208"/>
    </row>
    <row r="341" spans="1:46" s="1223" customFormat="1" ht="12.75" customHeight="1">
      <c r="A341" s="1296"/>
      <c r="B341" s="1306"/>
      <c r="C341" s="2539"/>
      <c r="D341" s="2539"/>
      <c r="E341" s="2539"/>
      <c r="F341" s="2539"/>
      <c r="G341" s="2539"/>
      <c r="H341" s="2539"/>
      <c r="I341" s="2539"/>
      <c r="J341" s="2539"/>
      <c r="K341" s="2539"/>
      <c r="L341" s="2539"/>
      <c r="M341" s="2539"/>
      <c r="N341" s="2539"/>
      <c r="O341" s="2539"/>
      <c r="P341" s="2539"/>
      <c r="Q341" s="2539"/>
      <c r="R341" s="2539"/>
      <c r="S341" s="2539"/>
      <c r="T341" s="2539"/>
      <c r="U341" s="2539"/>
      <c r="V341" s="2539"/>
      <c r="W341" s="2539"/>
      <c r="X341" s="2539"/>
      <c r="Y341" s="2539"/>
      <c r="Z341" s="2539"/>
      <c r="AA341" s="2539"/>
      <c r="AB341" s="2539"/>
      <c r="AC341" s="2539"/>
      <c r="AD341" s="2539"/>
      <c r="AE341" s="2539"/>
      <c r="AF341" s="2539"/>
      <c r="AG341" s="2539"/>
      <c r="AH341" s="2539"/>
      <c r="AI341" s="2539"/>
      <c r="AJ341" s="2539"/>
      <c r="AK341" s="1296"/>
      <c r="AL341" s="1296"/>
      <c r="AM341" s="1296"/>
      <c r="AN341" s="1297"/>
      <c r="AR341" s="1208"/>
    </row>
    <row r="342" spans="1:46" s="1223" customFormat="1" ht="12.75" customHeight="1">
      <c r="A342" s="1296"/>
      <c r="B342" s="1306"/>
      <c r="C342" s="2539" t="s">
        <v>1660</v>
      </c>
      <c r="D342" s="2539"/>
      <c r="E342" s="2539"/>
      <c r="F342" s="2539"/>
      <c r="G342" s="2539"/>
      <c r="H342" s="2539"/>
      <c r="I342" s="2539"/>
      <c r="J342" s="2539"/>
      <c r="K342" s="2539"/>
      <c r="L342" s="2539"/>
      <c r="M342" s="2539"/>
      <c r="N342" s="2539"/>
      <c r="O342" s="2539"/>
      <c r="P342" s="2539"/>
      <c r="Q342" s="2539"/>
      <c r="R342" s="2539"/>
      <c r="S342" s="2539"/>
      <c r="T342" s="2539"/>
      <c r="U342" s="2539"/>
      <c r="V342" s="2539"/>
      <c r="W342" s="2539"/>
      <c r="X342" s="2539"/>
      <c r="Y342" s="2539"/>
      <c r="Z342" s="2539"/>
      <c r="AA342" s="2539"/>
      <c r="AB342" s="2539"/>
      <c r="AC342" s="2539"/>
      <c r="AD342" s="2539"/>
      <c r="AE342" s="2539"/>
      <c r="AF342" s="2539"/>
      <c r="AG342" s="2539"/>
      <c r="AH342" s="2539"/>
      <c r="AI342" s="2539"/>
      <c r="AJ342" s="2539"/>
      <c r="AK342" s="1296"/>
      <c r="AL342" s="1296"/>
      <c r="AM342" s="1296"/>
      <c r="AN342" s="1297"/>
      <c r="AQ342" s="1208"/>
      <c r="AR342" s="1208"/>
    </row>
    <row r="343" spans="1:46" s="1223" customFormat="1" ht="12.75" customHeight="1">
      <c r="A343" s="1296"/>
      <c r="B343" s="1306"/>
      <c r="C343" s="2539"/>
      <c r="D343" s="2539"/>
      <c r="E343" s="2539"/>
      <c r="F343" s="2539"/>
      <c r="G343" s="2539"/>
      <c r="H343" s="2539"/>
      <c r="I343" s="2539"/>
      <c r="J343" s="2539"/>
      <c r="K343" s="2539"/>
      <c r="L343" s="2539"/>
      <c r="M343" s="2539"/>
      <c r="N343" s="2539"/>
      <c r="O343" s="2539"/>
      <c r="P343" s="2539"/>
      <c r="Q343" s="2539"/>
      <c r="R343" s="2539"/>
      <c r="S343" s="2539"/>
      <c r="T343" s="2539"/>
      <c r="U343" s="2539"/>
      <c r="V343" s="2539"/>
      <c r="W343" s="2539"/>
      <c r="X343" s="2539"/>
      <c r="Y343" s="2539"/>
      <c r="Z343" s="2539"/>
      <c r="AA343" s="2539"/>
      <c r="AB343" s="2539"/>
      <c r="AC343" s="2539"/>
      <c r="AD343" s="2539"/>
      <c r="AE343" s="2539"/>
      <c r="AF343" s="2539"/>
      <c r="AG343" s="2539"/>
      <c r="AH343" s="2539"/>
      <c r="AI343" s="2539"/>
      <c r="AJ343" s="2539"/>
      <c r="AK343" s="1296"/>
      <c r="AL343" s="1296"/>
      <c r="AM343" s="1296"/>
      <c r="AN343" s="1297"/>
      <c r="AQ343" s="1208"/>
      <c r="AR343" s="1208"/>
    </row>
    <row r="344" spans="1:46" s="1223" customFormat="1" ht="13.15" customHeight="1">
      <c r="A344" s="1296"/>
      <c r="B344" s="1306"/>
      <c r="C344" s="2539"/>
      <c r="D344" s="2539"/>
      <c r="E344" s="2539"/>
      <c r="F344" s="2539"/>
      <c r="G344" s="2539"/>
      <c r="H344" s="2539"/>
      <c r="I344" s="2539"/>
      <c r="J344" s="2539"/>
      <c r="K344" s="2539"/>
      <c r="L344" s="2539"/>
      <c r="M344" s="2539"/>
      <c r="N344" s="2539"/>
      <c r="O344" s="2539"/>
      <c r="P344" s="2539"/>
      <c r="Q344" s="2539"/>
      <c r="R344" s="2539"/>
      <c r="S344" s="2539"/>
      <c r="T344" s="2539"/>
      <c r="U344" s="2539"/>
      <c r="V344" s="2539"/>
      <c r="W344" s="2539"/>
      <c r="X344" s="2539"/>
      <c r="Y344" s="2539"/>
      <c r="Z344" s="2539"/>
      <c r="AA344" s="2539"/>
      <c r="AB344" s="2539"/>
      <c r="AC344" s="2539"/>
      <c r="AD344" s="2539"/>
      <c r="AE344" s="2539"/>
      <c r="AF344" s="2539"/>
      <c r="AG344" s="2539"/>
      <c r="AH344" s="2539"/>
      <c r="AI344" s="2539"/>
      <c r="AJ344" s="2539"/>
      <c r="AK344" s="1296"/>
      <c r="AL344" s="1296"/>
      <c r="AM344" s="1296"/>
      <c r="AN344" s="1297"/>
      <c r="AQ344" s="1208"/>
      <c r="AR344" s="1208"/>
    </row>
    <row r="345" spans="1:46" s="1223" customFormat="1" ht="12.75" customHeight="1">
      <c r="A345" s="1296"/>
      <c r="B345" s="1306"/>
      <c r="C345" s="2539"/>
      <c r="D345" s="2539"/>
      <c r="E345" s="2539"/>
      <c r="F345" s="2539"/>
      <c r="G345" s="2539"/>
      <c r="H345" s="2539"/>
      <c r="I345" s="2539"/>
      <c r="J345" s="2539"/>
      <c r="K345" s="2539"/>
      <c r="L345" s="2539"/>
      <c r="M345" s="2539"/>
      <c r="N345" s="2539"/>
      <c r="O345" s="2539"/>
      <c r="P345" s="2539"/>
      <c r="Q345" s="2539"/>
      <c r="R345" s="2539"/>
      <c r="S345" s="2539"/>
      <c r="T345" s="2539"/>
      <c r="U345" s="2539"/>
      <c r="V345" s="2539"/>
      <c r="W345" s="2539"/>
      <c r="X345" s="2539"/>
      <c r="Y345" s="2539"/>
      <c r="Z345" s="2539"/>
      <c r="AA345" s="2539"/>
      <c r="AB345" s="2539"/>
      <c r="AC345" s="2539"/>
      <c r="AD345" s="2539"/>
      <c r="AE345" s="2539"/>
      <c r="AF345" s="2539"/>
      <c r="AG345" s="2539"/>
      <c r="AH345" s="2539"/>
      <c r="AI345" s="2539"/>
      <c r="AJ345" s="2539"/>
      <c r="AK345" s="1296"/>
      <c r="AL345" s="1296"/>
      <c r="AM345" s="1296"/>
      <c r="AN345" s="1297"/>
      <c r="AO345" s="1419"/>
      <c r="AP345" s="1419"/>
      <c r="AQ345" s="1208"/>
    </row>
    <row r="346" spans="1:46" s="1223" customFormat="1" ht="11.85" customHeight="1">
      <c r="A346" s="1296"/>
      <c r="B346" s="1306"/>
      <c r="C346" s="2539"/>
      <c r="D346" s="2539"/>
      <c r="E346" s="2539"/>
      <c r="F346" s="2539"/>
      <c r="G346" s="2539"/>
      <c r="H346" s="2539"/>
      <c r="I346" s="2539"/>
      <c r="J346" s="2539"/>
      <c r="K346" s="2539"/>
      <c r="L346" s="2539"/>
      <c r="M346" s="2539"/>
      <c r="N346" s="2539"/>
      <c r="O346" s="2539"/>
      <c r="P346" s="2539"/>
      <c r="Q346" s="2539"/>
      <c r="R346" s="2539"/>
      <c r="S346" s="2539"/>
      <c r="T346" s="2539"/>
      <c r="U346" s="2539"/>
      <c r="V346" s="2539"/>
      <c r="W346" s="2539"/>
      <c r="X346" s="2539"/>
      <c r="Y346" s="2539"/>
      <c r="Z346" s="2539"/>
      <c r="AA346" s="2539"/>
      <c r="AB346" s="2539"/>
      <c r="AC346" s="2539"/>
      <c r="AD346" s="2539"/>
      <c r="AE346" s="2539"/>
      <c r="AF346" s="2539"/>
      <c r="AG346" s="2539"/>
      <c r="AH346" s="2539"/>
      <c r="AI346" s="2539"/>
      <c r="AJ346" s="2539"/>
      <c r="AK346" s="1296"/>
      <c r="AL346" s="1296"/>
      <c r="AM346" s="1296"/>
      <c r="AN346" s="1297"/>
      <c r="AO346" s="1420" t="s">
        <v>117</v>
      </c>
      <c r="AP346" s="1421">
        <f>IF(C370="Yes",5,0)</f>
        <v>0</v>
      </c>
      <c r="AS346" s="1211" t="s">
        <v>1661</v>
      </c>
    </row>
    <row r="347" spans="1:46" s="1223" customFormat="1" ht="12.75" customHeight="1">
      <c r="A347" s="1296"/>
      <c r="B347" s="1306"/>
      <c r="C347" s="2539"/>
      <c r="D347" s="2539"/>
      <c r="E347" s="2539"/>
      <c r="F347" s="2539"/>
      <c r="G347" s="2539"/>
      <c r="H347" s="2539"/>
      <c r="I347" s="2539"/>
      <c r="J347" s="2539"/>
      <c r="K347" s="2539"/>
      <c r="L347" s="2539"/>
      <c r="M347" s="2539"/>
      <c r="N347" s="2539"/>
      <c r="O347" s="2539"/>
      <c r="P347" s="2539"/>
      <c r="Q347" s="2539"/>
      <c r="R347" s="2539"/>
      <c r="S347" s="2539"/>
      <c r="T347" s="2539"/>
      <c r="U347" s="2539"/>
      <c r="V347" s="2539"/>
      <c r="W347" s="2539"/>
      <c r="X347" s="2539"/>
      <c r="Y347" s="2539"/>
      <c r="Z347" s="2539"/>
      <c r="AA347" s="2539"/>
      <c r="AB347" s="2539"/>
      <c r="AC347" s="2539"/>
      <c r="AD347" s="2539"/>
      <c r="AE347" s="2539"/>
      <c r="AF347" s="2539"/>
      <c r="AG347" s="2539"/>
      <c r="AH347" s="2539"/>
      <c r="AI347" s="2539"/>
      <c r="AJ347" s="2539"/>
      <c r="AK347" s="1296"/>
      <c r="AL347" s="1296"/>
      <c r="AM347" s="1296"/>
      <c r="AN347" s="1297"/>
      <c r="AO347" s="1420" t="s">
        <v>118</v>
      </c>
      <c r="AP347" s="1421">
        <f>IF(C378="Yes",5,0)</f>
        <v>0</v>
      </c>
      <c r="AS347" s="2537">
        <f>IF(Application!D210="Non-Targeted",(SUM(AQ355+AQ364)),AS351)</f>
        <v>10</v>
      </c>
      <c r="AT347" s="2537"/>
    </row>
    <row r="348" spans="1:46" s="1223" customFormat="1" ht="12.75" customHeight="1">
      <c r="A348" s="1296"/>
      <c r="B348" s="1306"/>
      <c r="C348" s="2539"/>
      <c r="D348" s="2539"/>
      <c r="E348" s="2539"/>
      <c r="F348" s="2539"/>
      <c r="G348" s="2539"/>
      <c r="H348" s="2539"/>
      <c r="I348" s="2539"/>
      <c r="J348" s="2539"/>
      <c r="K348" s="2539"/>
      <c r="L348" s="2539"/>
      <c r="M348" s="2539"/>
      <c r="N348" s="2539"/>
      <c r="O348" s="2539"/>
      <c r="P348" s="2539"/>
      <c r="Q348" s="2539"/>
      <c r="R348" s="2539"/>
      <c r="S348" s="2539"/>
      <c r="T348" s="2539"/>
      <c r="U348" s="2539"/>
      <c r="V348" s="2539"/>
      <c r="W348" s="2539"/>
      <c r="X348" s="2539"/>
      <c r="Y348" s="2539"/>
      <c r="Z348" s="2539"/>
      <c r="AA348" s="2539"/>
      <c r="AB348" s="2539"/>
      <c r="AC348" s="2539"/>
      <c r="AD348" s="2539"/>
      <c r="AE348" s="2539"/>
      <c r="AF348" s="2539"/>
      <c r="AG348" s="2539"/>
      <c r="AH348" s="2539"/>
      <c r="AI348" s="2539"/>
      <c r="AJ348" s="2539"/>
      <c r="AK348" s="1296"/>
      <c r="AL348" s="1296"/>
      <c r="AM348" s="1296"/>
      <c r="AN348" s="1297"/>
      <c r="AO348" s="1420" t="s">
        <v>124</v>
      </c>
      <c r="AP348" s="1421">
        <f>IF(C386="Yes",7,0)</f>
        <v>7</v>
      </c>
      <c r="AS348" s="1211" t="s">
        <v>1662</v>
      </c>
    </row>
    <row r="349" spans="1:46" s="1223" customFormat="1" ht="12.75" customHeight="1">
      <c r="A349" s="1296"/>
      <c r="B349" s="1306"/>
      <c r="C349" s="2539"/>
      <c r="D349" s="2539"/>
      <c r="E349" s="2539"/>
      <c r="F349" s="2539"/>
      <c r="G349" s="2539"/>
      <c r="H349" s="2539"/>
      <c r="I349" s="2539"/>
      <c r="J349" s="2539"/>
      <c r="K349" s="2539"/>
      <c r="L349" s="2539"/>
      <c r="M349" s="2539"/>
      <c r="N349" s="2539"/>
      <c r="O349" s="2539"/>
      <c r="P349" s="2539"/>
      <c r="Q349" s="2539"/>
      <c r="R349" s="2539"/>
      <c r="S349" s="2539"/>
      <c r="T349" s="2539"/>
      <c r="U349" s="2539"/>
      <c r="V349" s="2539"/>
      <c r="W349" s="2539"/>
      <c r="X349" s="2539"/>
      <c r="Y349" s="2539"/>
      <c r="Z349" s="2539"/>
      <c r="AA349" s="2539"/>
      <c r="AB349" s="2539"/>
      <c r="AC349" s="2539"/>
      <c r="AD349" s="2539"/>
      <c r="AE349" s="2539"/>
      <c r="AF349" s="2539"/>
      <c r="AG349" s="2539"/>
      <c r="AH349" s="2539"/>
      <c r="AI349" s="2539"/>
      <c r="AJ349" s="2539"/>
      <c r="AK349" s="1296"/>
      <c r="AL349" s="1296"/>
      <c r="AM349" s="1296"/>
      <c r="AN349" s="1297"/>
      <c r="AO349" s="1297"/>
      <c r="AP349" s="1421">
        <f>IF(C388="Yes",5,0)</f>
        <v>0</v>
      </c>
      <c r="AS349" s="2537">
        <f>IF(AND(AQ355&gt;0,AQ364&gt;0),(AQ355+AQ364)/2,0)</f>
        <v>0</v>
      </c>
      <c r="AT349" s="2537"/>
    </row>
    <row r="350" spans="1:46" s="1223" customFormat="1" ht="12.75" customHeight="1">
      <c r="A350" s="1296"/>
      <c r="B350" s="1306"/>
      <c r="C350" s="2539"/>
      <c r="D350" s="2539"/>
      <c r="E350" s="2539"/>
      <c r="F350" s="2539"/>
      <c r="G350" s="2539"/>
      <c r="H350" s="2539"/>
      <c r="I350" s="2539"/>
      <c r="J350" s="2539"/>
      <c r="K350" s="2539"/>
      <c r="L350" s="2539"/>
      <c r="M350" s="2539"/>
      <c r="N350" s="2539"/>
      <c r="O350" s="2539"/>
      <c r="P350" s="2539"/>
      <c r="Q350" s="2539"/>
      <c r="R350" s="2539"/>
      <c r="S350" s="2539"/>
      <c r="T350" s="2539"/>
      <c r="U350" s="2539"/>
      <c r="V350" s="2539"/>
      <c r="W350" s="2539"/>
      <c r="X350" s="2539"/>
      <c r="Y350" s="2539"/>
      <c r="Z350" s="2539"/>
      <c r="AA350" s="2539"/>
      <c r="AB350" s="2539"/>
      <c r="AC350" s="2539"/>
      <c r="AD350" s="2539"/>
      <c r="AE350" s="2539"/>
      <c r="AF350" s="2539"/>
      <c r="AG350" s="2539"/>
      <c r="AH350" s="2539"/>
      <c r="AI350" s="2539"/>
      <c r="AJ350" s="2539"/>
      <c r="AK350" s="1296"/>
      <c r="AL350" s="1296"/>
      <c r="AM350" s="1296"/>
      <c r="AN350" s="1297"/>
      <c r="AO350" s="1420" t="s">
        <v>608</v>
      </c>
      <c r="AP350" s="1421">
        <f>IF(C396="Yes",5,0)</f>
        <v>0</v>
      </c>
      <c r="AS350" s="1211" t="s">
        <v>2215</v>
      </c>
    </row>
    <row r="351" spans="1:46" s="1223" customFormat="1" ht="12.75" customHeight="1">
      <c r="A351" s="1296"/>
      <c r="B351" s="1306"/>
      <c r="C351" s="2538" t="s">
        <v>1663</v>
      </c>
      <c r="D351" s="2538"/>
      <c r="E351" s="2538"/>
      <c r="F351" s="2538"/>
      <c r="G351" s="2538"/>
      <c r="H351" s="2538"/>
      <c r="I351" s="2538"/>
      <c r="J351" s="2538"/>
      <c r="K351" s="2538"/>
      <c r="L351" s="2538"/>
      <c r="M351" s="2538"/>
      <c r="N351" s="2538"/>
      <c r="O351" s="2538"/>
      <c r="P351" s="2538"/>
      <c r="Q351" s="2538"/>
      <c r="R351" s="2538"/>
      <c r="S351" s="2538"/>
      <c r="T351" s="2538"/>
      <c r="U351" s="2538"/>
      <c r="V351" s="2538"/>
      <c r="W351" s="2538"/>
      <c r="X351" s="2538"/>
      <c r="Y351" s="2538"/>
      <c r="Z351" s="2538"/>
      <c r="AA351" s="2538"/>
      <c r="AB351" s="2538"/>
      <c r="AC351" s="2538"/>
      <c r="AD351" s="2538"/>
      <c r="AE351" s="2538"/>
      <c r="AF351" s="2538"/>
      <c r="AG351" s="2538"/>
      <c r="AH351" s="2538"/>
      <c r="AI351" s="2538"/>
      <c r="AJ351" s="2538"/>
      <c r="AK351" s="1296"/>
      <c r="AL351" s="1296"/>
      <c r="AM351" s="1296"/>
      <c r="AN351" s="1297"/>
      <c r="AO351" s="1297"/>
      <c r="AP351" s="1421">
        <f>IF(C398="Yes",3,0)</f>
        <v>3</v>
      </c>
      <c r="AS351" s="2537">
        <f>IF(AQ355=0,AQ364,AQ355)</f>
        <v>10</v>
      </c>
      <c r="AT351" s="2537"/>
    </row>
    <row r="352" spans="1:46" s="1223" customFormat="1" ht="12.75" customHeight="1">
      <c r="A352" s="1296"/>
      <c r="B352" s="1306"/>
      <c r="C352" s="2538"/>
      <c r="D352" s="2538"/>
      <c r="E352" s="2538"/>
      <c r="F352" s="2538"/>
      <c r="G352" s="2538"/>
      <c r="H352" s="2538"/>
      <c r="I352" s="2538"/>
      <c r="J352" s="2538"/>
      <c r="K352" s="2538"/>
      <c r="L352" s="2538"/>
      <c r="M352" s="2538"/>
      <c r="N352" s="2538"/>
      <c r="O352" s="2538"/>
      <c r="P352" s="2538"/>
      <c r="Q352" s="2538"/>
      <c r="R352" s="2538"/>
      <c r="S352" s="2538"/>
      <c r="T352" s="2538"/>
      <c r="U352" s="2538"/>
      <c r="V352" s="2538"/>
      <c r="W352" s="2538"/>
      <c r="X352" s="2538"/>
      <c r="Y352" s="2538"/>
      <c r="Z352" s="2538"/>
      <c r="AA352" s="2538"/>
      <c r="AB352" s="2538"/>
      <c r="AC352" s="2538"/>
      <c r="AD352" s="2538"/>
      <c r="AE352" s="2538"/>
      <c r="AF352" s="2538"/>
      <c r="AG352" s="2538"/>
      <c r="AH352" s="2538"/>
      <c r="AI352" s="2538"/>
      <c r="AJ352" s="2538"/>
      <c r="AK352" s="1296"/>
      <c r="AL352" s="1296"/>
      <c r="AM352" s="1296"/>
      <c r="AN352" s="1297"/>
      <c r="AO352" s="1420" t="s">
        <v>806</v>
      </c>
      <c r="AP352" s="1421">
        <f>IF(C401="Yes",5,0)</f>
        <v>0</v>
      </c>
    </row>
    <row r="353" spans="1:81" s="1223" customFormat="1" ht="12.75" customHeight="1">
      <c r="A353" s="1296"/>
      <c r="B353" s="1306"/>
      <c r="C353" s="2538"/>
      <c r="D353" s="2538"/>
      <c r="E353" s="2538"/>
      <c r="F353" s="2538"/>
      <c r="G353" s="2538"/>
      <c r="H353" s="2538"/>
      <c r="I353" s="2538"/>
      <c r="J353" s="2538"/>
      <c r="K353" s="2538"/>
      <c r="L353" s="2538"/>
      <c r="M353" s="2538"/>
      <c r="N353" s="2538"/>
      <c r="O353" s="2538"/>
      <c r="P353" s="2538"/>
      <c r="Q353" s="2538"/>
      <c r="R353" s="2538"/>
      <c r="S353" s="2538"/>
      <c r="T353" s="2538"/>
      <c r="U353" s="2538"/>
      <c r="V353" s="2538"/>
      <c r="W353" s="2538"/>
      <c r="X353" s="2538"/>
      <c r="Y353" s="2538"/>
      <c r="Z353" s="2538"/>
      <c r="AA353" s="2538"/>
      <c r="AB353" s="2538"/>
      <c r="AC353" s="2538"/>
      <c r="AD353" s="2538"/>
      <c r="AE353" s="2538"/>
      <c r="AF353" s="2538"/>
      <c r="AG353" s="2538"/>
      <c r="AH353" s="2538"/>
      <c r="AI353" s="2538"/>
      <c r="AJ353" s="2538"/>
      <c r="AK353" s="1296"/>
      <c r="AL353" s="1296"/>
      <c r="AM353" s="1296"/>
      <c r="AN353" s="1297"/>
      <c r="AO353" s="1420" t="s">
        <v>611</v>
      </c>
      <c r="AP353" s="1421">
        <f>IF(C410="Yes",5,0)</f>
        <v>0</v>
      </c>
    </row>
    <row r="354" spans="1:81" s="1223" customFormat="1" ht="11.85" customHeight="1">
      <c r="A354" s="1296"/>
      <c r="B354" s="1306"/>
      <c r="C354" s="2538"/>
      <c r="D354" s="2538"/>
      <c r="E354" s="2538"/>
      <c r="F354" s="2538"/>
      <c r="G354" s="2538"/>
      <c r="H354" s="2538"/>
      <c r="I354" s="2538"/>
      <c r="J354" s="2538"/>
      <c r="K354" s="2538"/>
      <c r="L354" s="2538"/>
      <c r="M354" s="2538"/>
      <c r="N354" s="2538"/>
      <c r="O354" s="2538"/>
      <c r="P354" s="2538"/>
      <c r="Q354" s="2538"/>
      <c r="R354" s="2538"/>
      <c r="S354" s="2538"/>
      <c r="T354" s="2538"/>
      <c r="U354" s="2538"/>
      <c r="V354" s="2538"/>
      <c r="W354" s="2538"/>
      <c r="X354" s="2538"/>
      <c r="Y354" s="2538"/>
      <c r="Z354" s="2538"/>
      <c r="AA354" s="2538"/>
      <c r="AB354" s="2538"/>
      <c r="AC354" s="2538"/>
      <c r="AD354" s="2538"/>
      <c r="AE354" s="2538"/>
      <c r="AF354" s="2538"/>
      <c r="AG354" s="2538"/>
      <c r="AH354" s="2538"/>
      <c r="AI354" s="2538"/>
      <c r="AJ354" s="2538"/>
      <c r="AK354" s="1296"/>
      <c r="AL354" s="1296"/>
      <c r="AM354" s="1296"/>
      <c r="AN354" s="1297"/>
      <c r="AO354" s="1422"/>
      <c r="AP354" s="1423">
        <f>IF(C412="Yes",3,0)</f>
        <v>0</v>
      </c>
    </row>
    <row r="355" spans="1:81" s="1223" customFormat="1" ht="12.4" customHeight="1">
      <c r="A355" s="1296"/>
      <c r="B355" s="1306"/>
      <c r="C355" s="2538"/>
      <c r="D355" s="2538"/>
      <c r="E355" s="2538"/>
      <c r="F355" s="2538"/>
      <c r="G355" s="2538"/>
      <c r="H355" s="2538"/>
      <c r="I355" s="2538"/>
      <c r="J355" s="2538"/>
      <c r="K355" s="2538"/>
      <c r="L355" s="2538"/>
      <c r="M355" s="2538"/>
      <c r="N355" s="2538"/>
      <c r="O355" s="2538"/>
      <c r="P355" s="2538"/>
      <c r="Q355" s="2538"/>
      <c r="R355" s="2538"/>
      <c r="S355" s="2538"/>
      <c r="T355" s="2538"/>
      <c r="U355" s="2538"/>
      <c r="V355" s="2538"/>
      <c r="W355" s="2538"/>
      <c r="X355" s="2538"/>
      <c r="Y355" s="2538"/>
      <c r="Z355" s="2538"/>
      <c r="AA355" s="2538"/>
      <c r="AB355" s="2538"/>
      <c r="AC355" s="2538"/>
      <c r="AD355" s="2538"/>
      <c r="AE355" s="2538"/>
      <c r="AF355" s="2538"/>
      <c r="AG355" s="2538"/>
      <c r="AH355" s="2538"/>
      <c r="AI355" s="2538"/>
      <c r="AJ355" s="2538"/>
      <c r="AK355" s="1296"/>
      <c r="AL355" s="1296"/>
      <c r="AM355" s="1296"/>
      <c r="AN355" s="1297"/>
      <c r="AO355" s="1424" t="s">
        <v>233</v>
      </c>
      <c r="AP355" s="1425">
        <f>SUM(AP346:AP354)</f>
        <v>10</v>
      </c>
      <c r="AQ355" s="2440">
        <f>IF(AP355&gt;0,AP355,0)</f>
        <v>10</v>
      </c>
      <c r="AR355" s="2440"/>
    </row>
    <row r="356" spans="1:81" s="1223" customFormat="1" ht="12.75" customHeight="1">
      <c r="A356" s="1296"/>
      <c r="B356" s="1306"/>
      <c r="C356" s="2538"/>
      <c r="D356" s="2538"/>
      <c r="E356" s="2538"/>
      <c r="F356" s="2538"/>
      <c r="G356" s="2538"/>
      <c r="H356" s="2538"/>
      <c r="I356" s="2538"/>
      <c r="J356" s="2538"/>
      <c r="K356" s="2538"/>
      <c r="L356" s="2538"/>
      <c r="M356" s="2538"/>
      <c r="N356" s="2538"/>
      <c r="O356" s="2538"/>
      <c r="P356" s="2538"/>
      <c r="Q356" s="2538"/>
      <c r="R356" s="2538"/>
      <c r="S356" s="2538"/>
      <c r="T356" s="2538"/>
      <c r="U356" s="2538"/>
      <c r="V356" s="2538"/>
      <c r="W356" s="2538"/>
      <c r="X356" s="2538"/>
      <c r="Y356" s="2538"/>
      <c r="Z356" s="2538"/>
      <c r="AA356" s="2538"/>
      <c r="AB356" s="2538"/>
      <c r="AC356" s="2538"/>
      <c r="AD356" s="2538"/>
      <c r="AE356" s="2538"/>
      <c r="AF356" s="2538"/>
      <c r="AG356" s="2538"/>
      <c r="AH356" s="2538"/>
      <c r="AI356" s="2538"/>
      <c r="AJ356" s="2538"/>
      <c r="AK356" s="1296"/>
      <c r="AL356" s="1296"/>
      <c r="AM356" s="1296"/>
      <c r="AN356" s="1297"/>
      <c r="AP356" s="1208"/>
    </row>
    <row r="357" spans="1:81" s="1223" customFormat="1" ht="12.75" customHeight="1">
      <c r="A357" s="1296"/>
      <c r="B357" s="1306"/>
      <c r="C357" s="1426"/>
      <c r="D357" s="1426"/>
      <c r="E357" s="1426"/>
      <c r="F357" s="1426"/>
      <c r="G357" s="1426"/>
      <c r="H357" s="1426"/>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c r="AK357" s="1296"/>
      <c r="AL357" s="1296"/>
      <c r="AM357" s="1296"/>
      <c r="AN357" s="1297"/>
      <c r="AO357" s="1420" t="s">
        <v>481</v>
      </c>
      <c r="AP357" s="1421">
        <f>IF(C419="Yes",5,0)</f>
        <v>0</v>
      </c>
    </row>
    <row r="358" spans="1:81" s="1223" customFormat="1" ht="12.75" customHeight="1">
      <c r="A358" s="1296"/>
      <c r="B358" s="1306"/>
      <c r="C358" s="2539" t="s">
        <v>1664</v>
      </c>
      <c r="D358" s="2539"/>
      <c r="E358" s="2539"/>
      <c r="F358" s="2539"/>
      <c r="G358" s="2539"/>
      <c r="H358" s="2539"/>
      <c r="I358" s="2539"/>
      <c r="J358" s="2539"/>
      <c r="K358" s="2539"/>
      <c r="L358" s="2539"/>
      <c r="M358" s="2539"/>
      <c r="N358" s="2539"/>
      <c r="O358" s="2539"/>
      <c r="P358" s="2539"/>
      <c r="Q358" s="2539"/>
      <c r="R358" s="2539"/>
      <c r="S358" s="2539"/>
      <c r="T358" s="2539"/>
      <c r="U358" s="2539"/>
      <c r="V358" s="2539"/>
      <c r="W358" s="2539"/>
      <c r="X358" s="2539"/>
      <c r="Y358" s="2539"/>
      <c r="Z358" s="2539"/>
      <c r="AA358" s="2539"/>
      <c r="AB358" s="2539"/>
      <c r="AC358" s="2539"/>
      <c r="AD358" s="2539"/>
      <c r="AE358" s="2539"/>
      <c r="AF358" s="2539"/>
      <c r="AG358" s="2539"/>
      <c r="AH358" s="2539"/>
      <c r="AI358" s="2539"/>
      <c r="AJ358" s="2539"/>
      <c r="AK358" s="1296"/>
      <c r="AL358" s="1296"/>
      <c r="AM358" s="1296"/>
      <c r="AN358" s="1297"/>
      <c r="AO358" s="1420" t="s">
        <v>482</v>
      </c>
      <c r="AP358" s="1421">
        <f>IF(C431="Yes",5,0)</f>
        <v>0</v>
      </c>
    </row>
    <row r="359" spans="1:81" s="1223" customFormat="1" ht="12.75" customHeight="1">
      <c r="A359" s="1296"/>
      <c r="B359" s="1306"/>
      <c r="C359" s="2539"/>
      <c r="D359" s="2539"/>
      <c r="E359" s="2539"/>
      <c r="F359" s="2539"/>
      <c r="G359" s="2539"/>
      <c r="H359" s="2539"/>
      <c r="I359" s="2539"/>
      <c r="J359" s="2539"/>
      <c r="K359" s="2539"/>
      <c r="L359" s="2539"/>
      <c r="M359" s="2539"/>
      <c r="N359" s="2539"/>
      <c r="O359" s="2539"/>
      <c r="P359" s="2539"/>
      <c r="Q359" s="2539"/>
      <c r="R359" s="2539"/>
      <c r="S359" s="2539"/>
      <c r="T359" s="2539"/>
      <c r="U359" s="2539"/>
      <c r="V359" s="2539"/>
      <c r="W359" s="2539"/>
      <c r="X359" s="2539"/>
      <c r="Y359" s="2539"/>
      <c r="Z359" s="2539"/>
      <c r="AA359" s="2539"/>
      <c r="AB359" s="2539"/>
      <c r="AC359" s="2539"/>
      <c r="AD359" s="2539"/>
      <c r="AE359" s="2539"/>
      <c r="AF359" s="2539"/>
      <c r="AG359" s="2539"/>
      <c r="AH359" s="2539"/>
      <c r="AI359" s="2539"/>
      <c r="AJ359" s="2539"/>
      <c r="AK359" s="1296"/>
      <c r="AL359" s="1296"/>
      <c r="AM359" s="1296"/>
      <c r="AN359" s="1297"/>
      <c r="AO359" s="1420" t="s">
        <v>487</v>
      </c>
      <c r="AP359" s="1421">
        <f>IF(C438="Yes",5,0)</f>
        <v>0</v>
      </c>
    </row>
    <row r="360" spans="1:81" s="1223" customFormat="1" ht="68.099999999999994" customHeight="1">
      <c r="A360" s="1296"/>
      <c r="B360" s="1306"/>
      <c r="C360" s="2539"/>
      <c r="D360" s="2539"/>
      <c r="E360" s="2539"/>
      <c r="F360" s="2539"/>
      <c r="G360" s="2539"/>
      <c r="H360" s="2539"/>
      <c r="I360" s="2539"/>
      <c r="J360" s="2539"/>
      <c r="K360" s="2539"/>
      <c r="L360" s="2539"/>
      <c r="M360" s="2539"/>
      <c r="N360" s="2539"/>
      <c r="O360" s="2539"/>
      <c r="P360" s="2539"/>
      <c r="Q360" s="2539"/>
      <c r="R360" s="2539"/>
      <c r="S360" s="2539"/>
      <c r="T360" s="2539"/>
      <c r="U360" s="2539"/>
      <c r="V360" s="2539"/>
      <c r="W360" s="2539"/>
      <c r="X360" s="2539"/>
      <c r="Y360" s="2539"/>
      <c r="Z360" s="2539"/>
      <c r="AA360" s="2539"/>
      <c r="AB360" s="2539"/>
      <c r="AC360" s="2539"/>
      <c r="AD360" s="2539"/>
      <c r="AE360" s="2539"/>
      <c r="AF360" s="2539"/>
      <c r="AG360" s="2539"/>
      <c r="AH360" s="2539"/>
      <c r="AI360" s="2539"/>
      <c r="AJ360" s="2539"/>
      <c r="AK360" s="1296"/>
      <c r="AL360" s="1296"/>
      <c r="AM360" s="1296"/>
      <c r="AN360" s="1297"/>
      <c r="AO360" s="1420" t="s">
        <v>673</v>
      </c>
      <c r="AP360" s="1427">
        <f>IF(C442="Yes",5,0)</f>
        <v>0</v>
      </c>
    </row>
    <row r="361" spans="1:81" s="1223" customFormat="1" ht="12.4" customHeight="1">
      <c r="A361" s="1296"/>
      <c r="B361" s="1306"/>
      <c r="C361" s="1223" t="s">
        <v>1665</v>
      </c>
      <c r="AF361" s="1296"/>
      <c r="AG361" s="1296"/>
      <c r="AH361" s="1296"/>
      <c r="AI361" s="1296"/>
      <c r="AJ361" s="1296"/>
      <c r="AK361" s="1296"/>
      <c r="AL361" s="1296"/>
      <c r="AM361" s="1296"/>
      <c r="AN361" s="1297"/>
      <c r="AO361" s="1420" t="s">
        <v>369</v>
      </c>
      <c r="AP361" s="1421">
        <f>IF(C446="Yes",5,0)</f>
        <v>0</v>
      </c>
    </row>
    <row r="362" spans="1:81" s="1223" customFormat="1" ht="12.75" customHeight="1">
      <c r="A362" s="1296"/>
      <c r="B362" s="1306"/>
      <c r="C362" s="1428" t="s">
        <v>1666</v>
      </c>
      <c r="D362" s="1429"/>
      <c r="E362" s="1429"/>
      <c r="F362" s="1429"/>
      <c r="G362" s="1429"/>
      <c r="H362" s="1429"/>
      <c r="I362" s="1429"/>
      <c r="J362" s="1429"/>
      <c r="K362" s="1429"/>
      <c r="L362" s="1429"/>
      <c r="M362" s="1430"/>
      <c r="N362" s="1430"/>
      <c r="O362" s="1431"/>
      <c r="P362" s="1429"/>
      <c r="Q362" s="1429"/>
      <c r="R362" s="1430"/>
      <c r="S362" s="1430"/>
      <c r="T362" s="1429"/>
      <c r="U362" s="2535">
        <f>Application!CS663-U363</f>
        <v>217</v>
      </c>
      <c r="V362" s="2535"/>
      <c r="W362" s="2535"/>
      <c r="X362" s="1429"/>
      <c r="Y362" s="1429"/>
      <c r="Z362" s="1429"/>
      <c r="AA362" s="1432"/>
      <c r="AB362" s="1433"/>
      <c r="AC362" s="1433"/>
      <c r="AD362" s="1433"/>
      <c r="AE362" s="1296"/>
      <c r="AF362" s="1296"/>
      <c r="AG362" s="1296"/>
      <c r="AH362" s="1296"/>
      <c r="AI362" s="1296"/>
      <c r="AJ362" s="1296"/>
      <c r="AK362" s="1296"/>
      <c r="AL362" s="1296"/>
      <c r="AM362" s="1296"/>
      <c r="AN362" s="1297"/>
      <c r="AO362" s="1420" t="s">
        <v>370</v>
      </c>
      <c r="AP362" s="1421">
        <f>IF(C455="Yes",5,0)</f>
        <v>0</v>
      </c>
    </row>
    <row r="363" spans="1:81" s="1223" customFormat="1" ht="12.75" customHeight="1">
      <c r="A363" s="1296"/>
      <c r="B363" s="1306"/>
      <c r="C363" s="1434" t="s">
        <v>1667</v>
      </c>
      <c r="D363" s="1419"/>
      <c r="E363" s="1419"/>
      <c r="F363" s="1419"/>
      <c r="G363" s="1419"/>
      <c r="H363" s="1419"/>
      <c r="I363" s="1419"/>
      <c r="J363" s="1419"/>
      <c r="K363" s="1419"/>
      <c r="L363" s="1419"/>
      <c r="M363" s="1419"/>
      <c r="N363" s="1419"/>
      <c r="O363" s="1419"/>
      <c r="P363" s="1419"/>
      <c r="Q363" s="1419"/>
      <c r="R363" s="1419"/>
      <c r="S363" s="1419"/>
      <c r="T363" s="1419"/>
      <c r="U363" s="2536">
        <f>Application!AG756</f>
        <v>0</v>
      </c>
      <c r="V363" s="2536"/>
      <c r="W363" s="2536"/>
      <c r="X363" s="1419"/>
      <c r="Y363" s="1419"/>
      <c r="Z363" s="1419"/>
      <c r="AA363" s="1435"/>
      <c r="AC363" s="1436"/>
      <c r="AD363" s="1436"/>
      <c r="AE363" s="1296"/>
      <c r="AF363" s="1296"/>
      <c r="AG363" s="1296"/>
      <c r="AH363" s="1296"/>
      <c r="AI363" s="1296"/>
      <c r="AJ363" s="1296"/>
      <c r="AK363" s="1296"/>
      <c r="AL363" s="1296"/>
      <c r="AM363" s="1296"/>
      <c r="AN363" s="1297"/>
      <c r="AO363" s="1422"/>
      <c r="AP363" s="1423"/>
    </row>
    <row r="364" spans="1:81" s="1223" customFormat="1" ht="12.75" customHeight="1">
      <c r="A364" s="1296"/>
      <c r="B364" s="1306"/>
      <c r="C364" s="1383"/>
      <c r="U364" s="1437"/>
      <c r="V364" s="1437"/>
      <c r="W364" s="1437"/>
      <c r="AC364" s="1436"/>
      <c r="AD364" s="1436"/>
      <c r="AE364" s="1296"/>
      <c r="AF364" s="1296"/>
      <c r="AG364" s="1296"/>
      <c r="AH364" s="1296"/>
      <c r="AI364" s="1296"/>
      <c r="AJ364" s="1296"/>
      <c r="AK364" s="1296"/>
      <c r="AL364" s="1296"/>
      <c r="AM364" s="1296"/>
      <c r="AN364" s="1297"/>
      <c r="AO364" s="1438" t="s">
        <v>233</v>
      </c>
      <c r="AP364" s="1439">
        <f>SUM(AP357:AP362)</f>
        <v>0</v>
      </c>
      <c r="AQ364" s="2440">
        <f>IF(AP364&gt;0,AP364,0)</f>
        <v>0</v>
      </c>
      <c r="AR364" s="2440"/>
    </row>
    <row r="365" spans="1:81" s="1223" customFormat="1" ht="12.75" customHeight="1">
      <c r="A365" s="1296"/>
      <c r="B365" s="1206"/>
      <c r="C365" s="1440" t="s">
        <v>1668</v>
      </c>
      <c r="D365" s="1296"/>
      <c r="E365" s="1296"/>
      <c r="F365" s="1296"/>
      <c r="G365" s="1296"/>
      <c r="H365" s="1296"/>
      <c r="I365" s="1296"/>
      <c r="J365" s="1296"/>
      <c r="K365" s="1296"/>
      <c r="L365" s="1296"/>
      <c r="M365" s="1296"/>
      <c r="N365" s="1296"/>
      <c r="O365" s="1296"/>
      <c r="P365" s="1296"/>
      <c r="Q365" s="1296"/>
      <c r="R365" s="1296"/>
      <c r="S365" s="1296"/>
      <c r="T365" s="1296"/>
      <c r="U365" s="1296"/>
      <c r="V365" s="1296"/>
      <c r="W365" s="1296"/>
      <c r="X365" s="1296"/>
      <c r="Y365" s="1296"/>
      <c r="Z365" s="1296"/>
      <c r="AA365" s="1296"/>
      <c r="AB365" s="1296"/>
      <c r="AC365" s="1296"/>
      <c r="AD365" s="1296"/>
      <c r="AE365" s="1296"/>
      <c r="AF365" s="1296"/>
      <c r="AG365" s="1296"/>
      <c r="AH365" s="1296"/>
      <c r="AI365" s="1296"/>
      <c r="AJ365" s="1296"/>
      <c r="AK365" s="1296"/>
      <c r="AL365" s="1296"/>
      <c r="AM365" s="1296"/>
      <c r="AN365" s="1297"/>
      <c r="BS365" s="1205"/>
      <c r="BT365" s="1205"/>
      <c r="BU365" s="1206"/>
      <c r="BV365" s="1206"/>
      <c r="BW365" s="1206"/>
    </row>
    <row r="366" spans="1:81" s="1223" customFormat="1" ht="12.75" customHeight="1">
      <c r="A366" s="1208"/>
      <c r="B366" s="1206"/>
      <c r="C366" s="1441"/>
      <c r="D366" s="1442"/>
      <c r="E366" s="1443" t="s">
        <v>1516</v>
      </c>
      <c r="F366" s="2528" t="s">
        <v>1669</v>
      </c>
      <c r="G366" s="2528"/>
      <c r="H366" s="2528"/>
      <c r="I366" s="2528"/>
      <c r="J366" s="2528"/>
      <c r="K366" s="2528"/>
      <c r="L366" s="2528"/>
      <c r="M366" s="2528"/>
      <c r="N366" s="2528"/>
      <c r="O366" s="2528"/>
      <c r="P366" s="2528"/>
      <c r="Q366" s="2528"/>
      <c r="R366" s="2528"/>
      <c r="S366" s="2528"/>
      <c r="T366" s="2528"/>
      <c r="U366" s="2528"/>
      <c r="V366" s="2528"/>
      <c r="W366" s="2528"/>
      <c r="X366" s="2528"/>
      <c r="Y366" s="2528"/>
      <c r="Z366" s="2528"/>
      <c r="AA366" s="2528"/>
      <c r="AB366" s="2528"/>
      <c r="AC366" s="2528"/>
      <c r="AD366" s="2528"/>
      <c r="AE366" s="2528"/>
      <c r="AF366" s="2528"/>
      <c r="AG366" s="1444"/>
      <c r="AH366" s="1444"/>
      <c r="AI366" s="1444"/>
      <c r="AJ366" s="1444"/>
      <c r="AK366" s="1444"/>
      <c r="AL366" s="1445"/>
      <c r="AM366" s="1208"/>
      <c r="AN366" s="1297"/>
      <c r="AP366" s="1208"/>
      <c r="BS366" s="1205"/>
      <c r="BT366" s="1205"/>
      <c r="BU366" s="1206"/>
      <c r="BV366" s="1206"/>
      <c r="BW366" s="1206"/>
      <c r="BX366" s="1206"/>
      <c r="BY366" s="1206"/>
      <c r="BZ366" s="1206"/>
      <c r="CA366" s="1206"/>
      <c r="CB366" s="1206"/>
      <c r="CC366" s="1206"/>
    </row>
    <row r="367" spans="1:81" s="1223" customFormat="1" ht="12.75" customHeight="1">
      <c r="A367" s="1208"/>
      <c r="B367" s="1206"/>
      <c r="C367" s="1446"/>
      <c r="D367" s="1208"/>
      <c r="E367" s="1447"/>
      <c r="F367" s="2515"/>
      <c r="G367" s="2515"/>
      <c r="H367" s="2515"/>
      <c r="I367" s="2515"/>
      <c r="J367" s="2515"/>
      <c r="K367" s="2515"/>
      <c r="L367" s="2515"/>
      <c r="M367" s="2515"/>
      <c r="N367" s="2515"/>
      <c r="O367" s="2515"/>
      <c r="P367" s="2515"/>
      <c r="Q367" s="2515"/>
      <c r="R367" s="2515"/>
      <c r="S367" s="2515"/>
      <c r="T367" s="2515"/>
      <c r="U367" s="2515"/>
      <c r="V367" s="2515"/>
      <c r="W367" s="2515"/>
      <c r="X367" s="2515"/>
      <c r="Y367" s="2515"/>
      <c r="Z367" s="2515"/>
      <c r="AA367" s="2515"/>
      <c r="AB367" s="2515"/>
      <c r="AC367" s="2515"/>
      <c r="AD367" s="2515"/>
      <c r="AE367" s="2515"/>
      <c r="AF367" s="2515"/>
      <c r="AG367" s="1211"/>
      <c r="AH367" s="1211"/>
      <c r="AI367" s="1211"/>
      <c r="AJ367" s="1211"/>
      <c r="AK367" s="1211"/>
      <c r="AL367" s="1448"/>
      <c r="AM367" s="1208"/>
      <c r="AN367" s="1297"/>
      <c r="AP367" s="1208"/>
      <c r="BS367" s="1205"/>
      <c r="BT367" s="1205"/>
      <c r="BU367" s="1206"/>
      <c r="BV367" s="1206"/>
      <c r="BW367" s="1206"/>
      <c r="BX367" s="1206"/>
      <c r="BY367" s="1206"/>
      <c r="BZ367" s="1206"/>
      <c r="CA367" s="1206"/>
      <c r="CB367" s="1206"/>
      <c r="CC367" s="1206"/>
    </row>
    <row r="368" spans="1:81" s="1223" customFormat="1" ht="12.75" customHeight="1">
      <c r="A368" s="1208"/>
      <c r="B368" s="1206"/>
      <c r="C368" s="1446"/>
      <c r="D368" s="1208"/>
      <c r="E368" s="1447"/>
      <c r="F368" s="2515"/>
      <c r="G368" s="2515"/>
      <c r="H368" s="2515"/>
      <c r="I368" s="2515"/>
      <c r="J368" s="2515"/>
      <c r="K368" s="2515"/>
      <c r="L368" s="2515"/>
      <c r="M368" s="2515"/>
      <c r="N368" s="2515"/>
      <c r="O368" s="2515"/>
      <c r="P368" s="2515"/>
      <c r="Q368" s="2515"/>
      <c r="R368" s="2515"/>
      <c r="S368" s="2515"/>
      <c r="T368" s="2515"/>
      <c r="U368" s="2515"/>
      <c r="V368" s="2515"/>
      <c r="W368" s="2515"/>
      <c r="X368" s="2515"/>
      <c r="Y368" s="2515"/>
      <c r="Z368" s="2515"/>
      <c r="AA368" s="2515"/>
      <c r="AB368" s="2515"/>
      <c r="AC368" s="2515"/>
      <c r="AD368" s="2515"/>
      <c r="AE368" s="2515"/>
      <c r="AF368" s="2515"/>
      <c r="AG368" s="1211"/>
      <c r="AH368" s="1211"/>
      <c r="AI368" s="1211"/>
      <c r="AJ368" s="1211"/>
      <c r="AK368" s="1211"/>
      <c r="AL368" s="1448"/>
      <c r="AM368" s="1208"/>
      <c r="AN368" s="1297"/>
      <c r="BS368" s="1205"/>
      <c r="BT368" s="1205"/>
      <c r="BU368" s="1206"/>
      <c r="BV368" s="1206"/>
      <c r="BW368" s="1206"/>
      <c r="BX368" s="1206"/>
      <c r="BY368" s="1206"/>
      <c r="BZ368" s="1206"/>
      <c r="CA368" s="1206"/>
      <c r="CB368" s="1206"/>
      <c r="CC368" s="1206"/>
    </row>
    <row r="369" spans="1:81" s="1223" customFormat="1" ht="12.75" customHeight="1">
      <c r="A369" s="1208"/>
      <c r="B369" s="1206"/>
      <c r="C369" s="1446"/>
      <c r="D369" s="1208"/>
      <c r="E369" s="1447"/>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1211"/>
      <c r="AH369" s="1211"/>
      <c r="AI369" s="1211"/>
      <c r="AJ369" s="1211"/>
      <c r="AK369" s="1211"/>
      <c r="AL369" s="1448"/>
      <c r="AM369" s="1208"/>
      <c r="AN369" s="1297"/>
      <c r="BS369" s="1205"/>
      <c r="BT369" s="1205"/>
      <c r="BU369" s="1206"/>
      <c r="BV369" s="1206"/>
      <c r="BW369" s="1206"/>
      <c r="BX369" s="1206"/>
      <c r="BY369" s="1206"/>
      <c r="BZ369" s="1206"/>
      <c r="CA369" s="1206"/>
      <c r="CB369" s="1206"/>
      <c r="CC369" s="1206"/>
    </row>
    <row r="370" spans="1:81" s="1223" customFormat="1" ht="12.75" customHeight="1">
      <c r="A370" s="1208"/>
      <c r="B370" s="1206"/>
      <c r="C370" s="2527" t="s">
        <v>618</v>
      </c>
      <c r="D370" s="2469"/>
      <c r="E370" s="1447"/>
      <c r="F370" s="1449" t="s">
        <v>1670</v>
      </c>
      <c r="G370" s="1296"/>
      <c r="H370" s="1296"/>
      <c r="I370" s="1296"/>
      <c r="J370" s="1296"/>
      <c r="K370" s="1296"/>
      <c r="L370" s="1296"/>
      <c r="M370" s="1296"/>
      <c r="N370" s="1296"/>
      <c r="O370" s="1296"/>
      <c r="P370" s="1296"/>
      <c r="Q370" s="1296"/>
      <c r="R370" s="1296"/>
      <c r="S370" s="1296"/>
      <c r="T370" s="1296"/>
      <c r="U370" s="1296"/>
      <c r="V370" s="1296"/>
      <c r="W370" s="1296"/>
      <c r="X370" s="1296"/>
      <c r="Y370" s="1296"/>
      <c r="Z370" s="1296"/>
      <c r="AA370" s="1296"/>
      <c r="AB370" s="1296"/>
      <c r="AC370" s="1296"/>
      <c r="AD370" s="1296"/>
      <c r="AF370" s="2455" t="s">
        <v>1671</v>
      </c>
      <c r="AG370" s="2455"/>
      <c r="AH370" s="2455"/>
      <c r="AI370" s="2455"/>
      <c r="AJ370" s="2455"/>
      <c r="AK370" s="2455"/>
      <c r="AL370" s="2531"/>
      <c r="AM370" s="1450"/>
      <c r="BS370" s="1205"/>
      <c r="BT370" s="1205"/>
      <c r="BU370" s="1206"/>
      <c r="BV370" s="1206"/>
      <c r="BW370" s="1206"/>
      <c r="BX370" s="1206"/>
      <c r="BY370" s="1206"/>
      <c r="BZ370" s="1206"/>
      <c r="CA370" s="1206"/>
      <c r="CB370" s="1206"/>
      <c r="CC370" s="1206"/>
    </row>
    <row r="371" spans="1:81" s="1223" customFormat="1" ht="12.75" customHeight="1">
      <c r="A371" s="1208"/>
      <c r="B371" s="1206"/>
      <c r="C371" s="1451"/>
      <c r="D371" s="1452"/>
      <c r="E371" s="1453"/>
      <c r="F371" s="1454"/>
      <c r="G371" s="1455"/>
      <c r="H371" s="145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6"/>
      <c r="AF371" s="1456"/>
      <c r="AG371" s="1456"/>
      <c r="AH371" s="1456"/>
      <c r="AI371" s="1456"/>
      <c r="AJ371" s="1456"/>
      <c r="AK371" s="1456"/>
      <c r="AL371" s="1457"/>
      <c r="AM371" s="1458"/>
      <c r="AN371" s="1297"/>
      <c r="CC371" s="1206"/>
    </row>
    <row r="372" spans="1:81" s="1223" customFormat="1" ht="12.75" customHeight="1">
      <c r="A372" s="1208"/>
      <c r="B372" s="1206"/>
      <c r="C372" s="1268"/>
      <c r="D372" s="1268"/>
      <c r="E372" s="1447"/>
      <c r="F372" s="1295"/>
      <c r="G372" s="1295"/>
      <c r="H372" s="1295"/>
      <c r="I372" s="1295"/>
      <c r="J372" s="1295"/>
      <c r="K372" s="1295"/>
      <c r="L372" s="1295"/>
      <c r="M372" s="1295"/>
      <c r="N372" s="1295"/>
      <c r="O372" s="1295"/>
      <c r="P372" s="1295"/>
      <c r="Q372" s="1295"/>
      <c r="R372" s="1295"/>
      <c r="S372" s="1295"/>
      <c r="T372" s="1295"/>
      <c r="U372" s="1295"/>
      <c r="V372" s="1295"/>
      <c r="W372" s="1295"/>
      <c r="X372" s="1295"/>
      <c r="Y372" s="1295"/>
      <c r="Z372" s="1295"/>
      <c r="AA372" s="1295"/>
      <c r="AB372" s="1295"/>
      <c r="AC372" s="1295"/>
      <c r="AD372" s="1295"/>
      <c r="AE372" s="1287"/>
      <c r="AF372" s="1287"/>
      <c r="AG372" s="1287"/>
      <c r="AH372" s="1287"/>
      <c r="AI372" s="1287"/>
      <c r="AJ372" s="1287"/>
      <c r="AK372" s="1287"/>
      <c r="AL372" s="1287"/>
      <c r="AM372" s="1208"/>
      <c r="AN372" s="1297"/>
      <c r="BS372" s="1205"/>
      <c r="BT372" s="1205"/>
      <c r="BU372" s="1206"/>
      <c r="BV372" s="1206"/>
      <c r="BW372" s="1206"/>
      <c r="BX372" s="1206"/>
      <c r="BY372" s="1206"/>
      <c r="BZ372" s="1206"/>
      <c r="CA372" s="1206"/>
      <c r="CB372" s="1206"/>
      <c r="CC372" s="1206"/>
    </row>
    <row r="373" spans="1:81" s="1223" customFormat="1" ht="12.75" customHeight="1">
      <c r="A373" s="1208"/>
      <c r="B373" s="1206"/>
      <c r="C373" s="1441"/>
      <c r="D373" s="1442"/>
      <c r="E373" s="1443" t="s">
        <v>1518</v>
      </c>
      <c r="F373" s="2528" t="s">
        <v>1672</v>
      </c>
      <c r="G373" s="2528"/>
      <c r="H373" s="2528"/>
      <c r="I373" s="2528"/>
      <c r="J373" s="2528"/>
      <c r="K373" s="2528"/>
      <c r="L373" s="2528"/>
      <c r="M373" s="2528"/>
      <c r="N373" s="2528"/>
      <c r="O373" s="2528"/>
      <c r="P373" s="2528"/>
      <c r="Q373" s="2528"/>
      <c r="R373" s="2528"/>
      <c r="S373" s="2528"/>
      <c r="T373" s="2528"/>
      <c r="U373" s="2528"/>
      <c r="V373" s="2528"/>
      <c r="W373" s="2528"/>
      <c r="X373" s="2528"/>
      <c r="Y373" s="2528"/>
      <c r="Z373" s="2528"/>
      <c r="AA373" s="2528"/>
      <c r="AB373" s="2528"/>
      <c r="AC373" s="2528"/>
      <c r="AD373" s="2528"/>
      <c r="AE373" s="2528"/>
      <c r="AF373" s="2528"/>
      <c r="AG373" s="1444"/>
      <c r="AH373" s="1444"/>
      <c r="AI373" s="1444"/>
      <c r="AJ373" s="1444"/>
      <c r="AK373" s="1444"/>
      <c r="AL373" s="1445"/>
      <c r="AM373" s="1208"/>
      <c r="AN373" s="1297"/>
      <c r="BS373" s="1205"/>
      <c r="BT373" s="1205"/>
      <c r="BU373" s="1206"/>
      <c r="BV373" s="1206"/>
      <c r="BW373" s="1206"/>
      <c r="BX373" s="1206"/>
      <c r="BY373" s="1206"/>
      <c r="BZ373" s="1206"/>
      <c r="CA373" s="1206"/>
      <c r="CB373" s="1206"/>
      <c r="CC373" s="1206"/>
    </row>
    <row r="374" spans="1:81" s="1223" customFormat="1" ht="12.75" customHeight="1">
      <c r="A374" s="1208"/>
      <c r="B374" s="1206"/>
      <c r="C374" s="1459"/>
      <c r="D374" s="1206"/>
      <c r="E374" s="1460"/>
      <c r="F374" s="2515"/>
      <c r="G374" s="2515"/>
      <c r="H374" s="2515"/>
      <c r="I374" s="2515"/>
      <c r="J374" s="2515"/>
      <c r="K374" s="2515"/>
      <c r="L374" s="2515"/>
      <c r="M374" s="2515"/>
      <c r="N374" s="2515"/>
      <c r="O374" s="2515"/>
      <c r="P374" s="2515"/>
      <c r="Q374" s="2515"/>
      <c r="R374" s="2515"/>
      <c r="S374" s="2515"/>
      <c r="T374" s="2515"/>
      <c r="U374" s="2515"/>
      <c r="V374" s="2515"/>
      <c r="W374" s="2515"/>
      <c r="X374" s="2515"/>
      <c r="Y374" s="2515"/>
      <c r="Z374" s="2515"/>
      <c r="AA374" s="2515"/>
      <c r="AB374" s="2515"/>
      <c r="AC374" s="2515"/>
      <c r="AD374" s="2515"/>
      <c r="AE374" s="2515"/>
      <c r="AF374" s="2515"/>
      <c r="AG374" s="1211"/>
      <c r="AH374" s="1211"/>
      <c r="AI374" s="1211"/>
      <c r="AJ374" s="1211"/>
      <c r="AK374" s="1211"/>
      <c r="AL374" s="1448"/>
      <c r="AM374" s="1208"/>
      <c r="AN374" s="1297"/>
      <c r="BS374" s="1205"/>
      <c r="BT374" s="1205"/>
      <c r="BU374" s="1206"/>
      <c r="BV374" s="1206"/>
      <c r="BW374" s="1206"/>
      <c r="BX374" s="1206"/>
      <c r="BY374" s="1206"/>
      <c r="BZ374" s="1206"/>
      <c r="CA374" s="1206"/>
      <c r="CB374" s="1206"/>
      <c r="CC374" s="1206"/>
    </row>
    <row r="375" spans="1:81" s="1223" customFormat="1" ht="12.75" customHeight="1">
      <c r="A375" s="1208"/>
      <c r="B375" s="1206"/>
      <c r="C375" s="1459"/>
      <c r="D375" s="1206"/>
      <c r="E375" s="1460"/>
      <c r="F375" s="2515"/>
      <c r="G375" s="2515"/>
      <c r="H375" s="2515"/>
      <c r="I375" s="2515"/>
      <c r="J375" s="2515"/>
      <c r="K375" s="2515"/>
      <c r="L375" s="2515"/>
      <c r="M375" s="2515"/>
      <c r="N375" s="2515"/>
      <c r="O375" s="2515"/>
      <c r="P375" s="2515"/>
      <c r="Q375" s="2515"/>
      <c r="R375" s="2515"/>
      <c r="S375" s="2515"/>
      <c r="T375" s="2515"/>
      <c r="U375" s="2515"/>
      <c r="V375" s="2515"/>
      <c r="W375" s="2515"/>
      <c r="X375" s="2515"/>
      <c r="Y375" s="2515"/>
      <c r="Z375" s="2515"/>
      <c r="AA375" s="2515"/>
      <c r="AB375" s="2515"/>
      <c r="AC375" s="2515"/>
      <c r="AD375" s="2515"/>
      <c r="AE375" s="2515"/>
      <c r="AF375" s="2515"/>
      <c r="AG375" s="1211"/>
      <c r="AH375" s="1211"/>
      <c r="AI375" s="1211"/>
      <c r="AJ375" s="1211"/>
      <c r="AK375" s="1211"/>
      <c r="AL375" s="1448"/>
      <c r="AM375" s="1208"/>
      <c r="AN375" s="1297"/>
      <c r="BS375" s="1205"/>
      <c r="BT375" s="1205"/>
      <c r="BU375" s="1206"/>
      <c r="BV375" s="1206"/>
      <c r="BW375" s="1206"/>
      <c r="BX375" s="1206"/>
      <c r="BY375" s="1206"/>
      <c r="BZ375" s="1206"/>
      <c r="CA375" s="1206"/>
      <c r="CB375" s="1206"/>
      <c r="CC375" s="1206"/>
    </row>
    <row r="376" spans="1:81" s="1223" customFormat="1" ht="12.75" customHeight="1">
      <c r="A376" s="1208"/>
      <c r="B376" s="1206"/>
      <c r="C376" s="1459"/>
      <c r="D376" s="1206"/>
      <c r="E376" s="1460"/>
      <c r="F376" s="2515"/>
      <c r="G376" s="2515"/>
      <c r="H376" s="2515"/>
      <c r="I376" s="2515"/>
      <c r="J376" s="2515"/>
      <c r="K376" s="2515"/>
      <c r="L376" s="2515"/>
      <c r="M376" s="2515"/>
      <c r="N376" s="2515"/>
      <c r="O376" s="2515"/>
      <c r="P376" s="2515"/>
      <c r="Q376" s="2515"/>
      <c r="R376" s="2515"/>
      <c r="S376" s="2515"/>
      <c r="T376" s="2515"/>
      <c r="U376" s="2515"/>
      <c r="V376" s="2515"/>
      <c r="W376" s="2515"/>
      <c r="X376" s="2515"/>
      <c r="Y376" s="2515"/>
      <c r="Z376" s="2515"/>
      <c r="AA376" s="2515"/>
      <c r="AB376" s="2515"/>
      <c r="AC376" s="2515"/>
      <c r="AD376" s="2515"/>
      <c r="AE376" s="2515"/>
      <c r="AF376" s="2515"/>
      <c r="AG376" s="1211"/>
      <c r="AH376" s="1211"/>
      <c r="AI376" s="1211"/>
      <c r="AJ376" s="1211"/>
      <c r="AK376" s="1211"/>
      <c r="AL376" s="1448"/>
      <c r="AM376" s="1208"/>
      <c r="AN376" s="1297"/>
      <c r="BS376" s="1205"/>
      <c r="BT376" s="1205"/>
      <c r="BU376" s="1206"/>
      <c r="BV376" s="1206"/>
      <c r="BW376" s="1206"/>
      <c r="BX376" s="1206"/>
      <c r="BY376" s="1206"/>
      <c r="BZ376" s="1206"/>
      <c r="CA376" s="1206"/>
      <c r="CB376" s="1206"/>
      <c r="CC376" s="1206"/>
    </row>
    <row r="377" spans="1:81" s="1223" customFormat="1" ht="12.75" customHeight="1">
      <c r="A377" s="1208"/>
      <c r="B377" s="1206"/>
      <c r="C377" s="1459"/>
      <c r="D377" s="1206"/>
      <c r="E377" s="1460"/>
      <c r="F377" s="2515"/>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L377" s="1461"/>
      <c r="AN377" s="1297"/>
      <c r="BS377" s="1205"/>
      <c r="BT377" s="1205"/>
      <c r="BU377" s="1206"/>
      <c r="BV377" s="1206"/>
      <c r="BW377" s="1206"/>
      <c r="BX377" s="1206"/>
      <c r="BY377" s="1206"/>
      <c r="BZ377" s="1206"/>
      <c r="CA377" s="1206"/>
      <c r="CB377" s="1206"/>
      <c r="CC377" s="1206"/>
    </row>
    <row r="378" spans="1:81" s="1223" customFormat="1" ht="12.75" customHeight="1">
      <c r="A378" s="1208"/>
      <c r="B378" s="1206"/>
      <c r="C378" s="2527" t="s">
        <v>618</v>
      </c>
      <c r="D378" s="2469"/>
      <c r="E378" s="1460"/>
      <c r="F378" s="1449" t="s">
        <v>1673</v>
      </c>
      <c r="G378" s="1296"/>
      <c r="H378" s="1296"/>
      <c r="I378" s="1296"/>
      <c r="J378" s="1296"/>
      <c r="K378" s="1296"/>
      <c r="L378" s="1296"/>
      <c r="M378" s="1296"/>
      <c r="N378" s="1296"/>
      <c r="O378" s="1296"/>
      <c r="P378" s="1296"/>
      <c r="Q378" s="1296"/>
      <c r="R378" s="1296"/>
      <c r="S378" s="1296"/>
      <c r="T378" s="1296"/>
      <c r="U378" s="1296"/>
      <c r="V378" s="1296"/>
      <c r="W378" s="1296"/>
      <c r="X378" s="1296"/>
      <c r="Y378" s="1296"/>
      <c r="Z378" s="1296"/>
      <c r="AA378" s="1296"/>
      <c r="AB378" s="1296"/>
      <c r="AC378" s="1296"/>
      <c r="AD378" s="1296"/>
      <c r="AF378" s="2455" t="s">
        <v>1671</v>
      </c>
      <c r="AG378" s="2455"/>
      <c r="AH378" s="2455"/>
      <c r="AI378" s="2455"/>
      <c r="AJ378" s="2455"/>
      <c r="AK378" s="2455"/>
      <c r="AL378" s="2531"/>
      <c r="AM378" s="1458"/>
      <c r="AN378" s="1297"/>
      <c r="BS378" s="1205"/>
      <c r="BT378" s="1205"/>
      <c r="BU378" s="1206"/>
      <c r="BV378" s="1206"/>
      <c r="BW378" s="1206"/>
      <c r="BX378" s="1206"/>
      <c r="BY378" s="1206"/>
      <c r="BZ378" s="1206"/>
      <c r="CA378" s="1206"/>
      <c r="CB378" s="1206"/>
      <c r="CC378" s="1206"/>
    </row>
    <row r="379" spans="1:81" s="1223" customFormat="1" ht="12.75" customHeight="1">
      <c r="A379" s="1208"/>
      <c r="B379" s="1206"/>
      <c r="C379" s="1462"/>
      <c r="D379" s="1463"/>
      <c r="E379" s="1464"/>
      <c r="F379" s="1465"/>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c r="AA379" s="1466"/>
      <c r="AB379" s="1466"/>
      <c r="AC379" s="1466"/>
      <c r="AD379" s="1466"/>
      <c r="AE379" s="1344"/>
      <c r="AF379" s="1262"/>
      <c r="AG379" s="1344"/>
      <c r="AH379" s="1456"/>
      <c r="AI379" s="1456"/>
      <c r="AJ379" s="1456"/>
      <c r="AK379" s="1456"/>
      <c r="AL379" s="1467"/>
      <c r="AM379" s="1458"/>
      <c r="AN379" s="1297"/>
      <c r="BS379" s="1205"/>
      <c r="BT379" s="1205"/>
      <c r="BU379" s="1206"/>
      <c r="BV379" s="1206"/>
      <c r="BW379" s="1206"/>
      <c r="BX379" s="1206"/>
      <c r="BY379" s="1206"/>
      <c r="BZ379" s="1206"/>
      <c r="CA379" s="1206"/>
      <c r="CB379" s="1206"/>
      <c r="CC379" s="1206"/>
    </row>
    <row r="380" spans="1:81" s="1223" customFormat="1" ht="12.75" customHeight="1">
      <c r="A380" s="1208"/>
      <c r="B380" s="1206"/>
      <c r="C380" s="1206"/>
      <c r="D380" s="1206"/>
      <c r="E380" s="1460"/>
      <c r="F380" s="1295"/>
      <c r="G380" s="1295"/>
      <c r="H380" s="1295"/>
      <c r="I380" s="1295"/>
      <c r="J380" s="1295"/>
      <c r="K380" s="1295"/>
      <c r="L380" s="1295"/>
      <c r="M380" s="1295"/>
      <c r="N380" s="1295"/>
      <c r="O380" s="1295"/>
      <c r="P380" s="1295"/>
      <c r="Q380" s="1295"/>
      <c r="R380" s="1295"/>
      <c r="S380" s="1295"/>
      <c r="T380" s="1295"/>
      <c r="U380" s="1295"/>
      <c r="V380" s="1295"/>
      <c r="W380" s="1295"/>
      <c r="X380" s="1295"/>
      <c r="Y380" s="1295"/>
      <c r="Z380" s="1295"/>
      <c r="AA380" s="1295"/>
      <c r="AB380" s="1295"/>
      <c r="AC380" s="1295"/>
      <c r="AD380" s="1295"/>
      <c r="AE380" s="1208"/>
      <c r="AF380" s="1211"/>
      <c r="AG380" s="1208"/>
      <c r="AM380" s="1208"/>
      <c r="AN380" s="1297"/>
      <c r="BS380" s="1205"/>
      <c r="BT380" s="1205"/>
      <c r="BU380" s="1206"/>
      <c r="BV380" s="1206"/>
      <c r="BW380" s="1206"/>
      <c r="BX380" s="1206"/>
      <c r="BY380" s="1206"/>
      <c r="BZ380" s="1206"/>
      <c r="CA380" s="1206"/>
      <c r="CB380" s="1206"/>
      <c r="CC380" s="1206"/>
    </row>
    <row r="381" spans="1:81" s="1223" customFormat="1" ht="12.75" customHeight="1">
      <c r="A381" s="1208"/>
      <c r="B381" s="1206"/>
      <c r="C381" s="1441"/>
      <c r="D381" s="1442"/>
      <c r="E381" s="1443" t="s">
        <v>1521</v>
      </c>
      <c r="F381" s="2528" t="s">
        <v>1674</v>
      </c>
      <c r="G381" s="2528"/>
      <c r="H381" s="2528"/>
      <c r="I381" s="2528"/>
      <c r="J381" s="2528"/>
      <c r="K381" s="2528"/>
      <c r="L381" s="2528"/>
      <c r="M381" s="2528"/>
      <c r="N381" s="2528"/>
      <c r="O381" s="2528"/>
      <c r="P381" s="2528"/>
      <c r="Q381" s="2528"/>
      <c r="R381" s="2528"/>
      <c r="S381" s="2528"/>
      <c r="T381" s="2528"/>
      <c r="U381" s="2528"/>
      <c r="V381" s="2528"/>
      <c r="W381" s="2528"/>
      <c r="X381" s="2528"/>
      <c r="Y381" s="2528"/>
      <c r="Z381" s="2528"/>
      <c r="AA381" s="2528"/>
      <c r="AB381" s="2528"/>
      <c r="AC381" s="2528"/>
      <c r="AD381" s="2528"/>
      <c r="AE381" s="2528"/>
      <c r="AF381" s="2528"/>
      <c r="AG381" s="1444"/>
      <c r="AH381" s="1444"/>
      <c r="AI381" s="1444"/>
      <c r="AJ381" s="1444"/>
      <c r="AK381" s="1444"/>
      <c r="AL381" s="1445"/>
      <c r="AM381" s="1208"/>
      <c r="AN381" s="1297"/>
      <c r="BS381" s="1208"/>
      <c r="BT381" s="1208"/>
      <c r="BU381" s="1208"/>
      <c r="BV381" s="1208"/>
      <c r="BW381" s="1208"/>
      <c r="BX381" s="1208"/>
      <c r="BY381" s="1208"/>
      <c r="BZ381" s="1208"/>
      <c r="CA381" s="1208"/>
      <c r="CB381" s="1208"/>
      <c r="CC381" s="1208"/>
    </row>
    <row r="382" spans="1:81" s="1223" customFormat="1" ht="12.75" customHeight="1">
      <c r="A382" s="1208"/>
      <c r="B382" s="1206"/>
      <c r="C382" s="1459"/>
      <c r="D382" s="1206"/>
      <c r="E382" s="1460"/>
      <c r="F382" s="2515"/>
      <c r="G382" s="2515"/>
      <c r="H382" s="2515"/>
      <c r="I382" s="2515"/>
      <c r="J382" s="2515"/>
      <c r="K382" s="2515"/>
      <c r="L382" s="2515"/>
      <c r="M382" s="2515"/>
      <c r="N382" s="2515"/>
      <c r="O382" s="2515"/>
      <c r="P382" s="2515"/>
      <c r="Q382" s="2515"/>
      <c r="R382" s="2515"/>
      <c r="S382" s="2515"/>
      <c r="T382" s="2515"/>
      <c r="U382" s="2515"/>
      <c r="V382" s="2515"/>
      <c r="W382" s="2515"/>
      <c r="X382" s="2515"/>
      <c r="Y382" s="2515"/>
      <c r="Z382" s="2515"/>
      <c r="AA382" s="2515"/>
      <c r="AB382" s="2515"/>
      <c r="AC382" s="2515"/>
      <c r="AD382" s="2515"/>
      <c r="AE382" s="2515"/>
      <c r="AF382" s="2515"/>
      <c r="AG382" s="1211"/>
      <c r="AH382" s="1211"/>
      <c r="AI382" s="1211"/>
      <c r="AJ382" s="1211"/>
      <c r="AK382" s="1211"/>
      <c r="AL382" s="1448"/>
      <c r="AM382" s="1208"/>
      <c r="AN382" s="1297"/>
      <c r="BS382" s="1208"/>
      <c r="BT382" s="1208"/>
      <c r="BU382" s="1208"/>
      <c r="BV382" s="1208"/>
      <c r="BW382" s="1208"/>
      <c r="BX382" s="1208"/>
      <c r="BY382" s="1208"/>
      <c r="BZ382" s="1208"/>
      <c r="CA382" s="1208"/>
      <c r="CB382" s="1208"/>
      <c r="CC382" s="1208"/>
    </row>
    <row r="383" spans="1:81" s="1223" customFormat="1" ht="12.75" customHeight="1">
      <c r="A383" s="1208"/>
      <c r="B383" s="1206"/>
      <c r="C383" s="1459"/>
      <c r="D383" s="1206"/>
      <c r="E383" s="1460"/>
      <c r="F383" s="2515"/>
      <c r="G383" s="2515"/>
      <c r="H383" s="2515"/>
      <c r="I383" s="2515"/>
      <c r="J383" s="2515"/>
      <c r="K383" s="2515"/>
      <c r="L383" s="2515"/>
      <c r="M383" s="2515"/>
      <c r="N383" s="2515"/>
      <c r="O383" s="2515"/>
      <c r="P383" s="2515"/>
      <c r="Q383" s="2515"/>
      <c r="R383" s="2515"/>
      <c r="S383" s="2515"/>
      <c r="T383" s="2515"/>
      <c r="U383" s="2515"/>
      <c r="V383" s="2515"/>
      <c r="W383" s="2515"/>
      <c r="X383" s="2515"/>
      <c r="Y383" s="2515"/>
      <c r="Z383" s="2515"/>
      <c r="AA383" s="2515"/>
      <c r="AB383" s="2515"/>
      <c r="AC383" s="2515"/>
      <c r="AD383" s="2515"/>
      <c r="AE383" s="2515"/>
      <c r="AF383" s="2515"/>
      <c r="AG383" s="1211"/>
      <c r="AH383" s="1211"/>
      <c r="AI383" s="1211"/>
      <c r="AJ383" s="1211"/>
      <c r="AK383" s="1211"/>
      <c r="AL383" s="1448"/>
      <c r="AM383" s="1208"/>
      <c r="AN383" s="1297"/>
      <c r="BS383" s="1208"/>
      <c r="BT383" s="1208"/>
      <c r="BU383" s="1208"/>
      <c r="BV383" s="1208"/>
      <c r="BW383" s="1208"/>
      <c r="BX383" s="1208"/>
      <c r="BY383" s="1208"/>
      <c r="BZ383" s="1208"/>
      <c r="CA383" s="1208"/>
      <c r="CB383" s="1208"/>
      <c r="CC383" s="1208"/>
    </row>
    <row r="384" spans="1:81" s="1223" customFormat="1" ht="12.75" customHeight="1">
      <c r="A384" s="1208"/>
      <c r="B384" s="1206"/>
      <c r="C384" s="1459"/>
      <c r="D384" s="1206"/>
      <c r="E384" s="1460"/>
      <c r="F384" s="2515"/>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1211"/>
      <c r="AH384" s="1211"/>
      <c r="AI384" s="1211"/>
      <c r="AJ384" s="1211"/>
      <c r="AK384" s="1211"/>
      <c r="AL384" s="1448"/>
      <c r="AM384" s="1208"/>
      <c r="AN384" s="1297"/>
      <c r="BS384" s="1208"/>
      <c r="BT384" s="1208"/>
      <c r="BU384" s="1208"/>
      <c r="BV384" s="1208"/>
      <c r="BW384" s="1208"/>
      <c r="BX384" s="1208"/>
      <c r="BY384" s="1208"/>
      <c r="BZ384" s="1208"/>
      <c r="CA384" s="1208"/>
      <c r="CB384" s="1208"/>
      <c r="CC384" s="1208"/>
    </row>
    <row r="385" spans="1:81" s="1223" customFormat="1" ht="12.75" customHeight="1">
      <c r="A385" s="1208"/>
      <c r="B385" s="1206"/>
      <c r="C385" s="1459"/>
      <c r="D385" s="1206"/>
      <c r="E385" s="1460"/>
      <c r="F385" s="2515"/>
      <c r="G385" s="2515"/>
      <c r="H385" s="2515"/>
      <c r="I385" s="2515"/>
      <c r="J385" s="2515"/>
      <c r="K385" s="2515"/>
      <c r="L385" s="2515"/>
      <c r="M385" s="2515"/>
      <c r="N385" s="2515"/>
      <c r="O385" s="2515"/>
      <c r="P385" s="2515"/>
      <c r="Q385" s="2515"/>
      <c r="R385" s="2515"/>
      <c r="S385" s="2515"/>
      <c r="T385" s="2515"/>
      <c r="U385" s="2515"/>
      <c r="V385" s="2515"/>
      <c r="W385" s="2515"/>
      <c r="X385" s="2515"/>
      <c r="Y385" s="2515"/>
      <c r="Z385" s="2515"/>
      <c r="AA385" s="2515"/>
      <c r="AB385" s="2515"/>
      <c r="AC385" s="2515"/>
      <c r="AD385" s="2515"/>
      <c r="AE385" s="2515"/>
      <c r="AF385" s="2515"/>
      <c r="AG385" s="1211"/>
      <c r="AH385" s="1211"/>
      <c r="AI385" s="1211"/>
      <c r="AJ385" s="1211"/>
      <c r="AK385" s="1211"/>
      <c r="AL385" s="1448"/>
      <c r="AM385" s="1208"/>
      <c r="AN385" s="1297"/>
      <c r="BS385" s="1208"/>
      <c r="BT385" s="1208"/>
      <c r="BU385" s="1208"/>
      <c r="BV385" s="1208"/>
      <c r="BW385" s="1208"/>
      <c r="BX385" s="1208"/>
      <c r="BY385" s="1208"/>
      <c r="BZ385" s="1208"/>
      <c r="CA385" s="1208"/>
      <c r="CB385" s="1208"/>
      <c r="CC385" s="1208"/>
    </row>
    <row r="386" spans="1:81" s="1223" customFormat="1" ht="12.75" customHeight="1">
      <c r="A386" s="1208"/>
      <c r="B386" s="1206"/>
      <c r="C386" s="2527" t="s">
        <v>571</v>
      </c>
      <c r="D386" s="2469"/>
      <c r="E386" s="1460"/>
      <c r="F386" s="1449" t="s">
        <v>1675</v>
      </c>
      <c r="G386" s="1296"/>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F386" s="2455" t="s">
        <v>1676</v>
      </c>
      <c r="AG386" s="2455"/>
      <c r="AH386" s="2455"/>
      <c r="AI386" s="2455"/>
      <c r="AJ386" s="2455"/>
      <c r="AK386" s="2455"/>
      <c r="AL386" s="2531"/>
      <c r="AM386" s="1450"/>
      <c r="BS386" s="1208"/>
      <c r="BT386" s="1208"/>
      <c r="BU386" s="1208"/>
      <c r="BV386" s="1208"/>
      <c r="BW386" s="1208"/>
      <c r="BX386" s="1208"/>
      <c r="BY386" s="1208"/>
      <c r="BZ386" s="1208"/>
      <c r="CA386" s="1208"/>
      <c r="CB386" s="1208"/>
      <c r="CC386" s="1208"/>
    </row>
    <row r="387" spans="1:81" s="1223" customFormat="1" ht="12.75" customHeight="1">
      <c r="A387" s="1208"/>
      <c r="B387" s="1206"/>
      <c r="C387" s="1459"/>
      <c r="D387" s="1206"/>
      <c r="E387" s="1460"/>
      <c r="F387" s="1245"/>
      <c r="G387" s="1245"/>
      <c r="H387" s="1245"/>
      <c r="I387" s="1245"/>
      <c r="J387" s="1245"/>
      <c r="K387" s="1245"/>
      <c r="L387" s="1245"/>
      <c r="M387" s="1245"/>
      <c r="N387" s="1245"/>
      <c r="O387" s="1245"/>
      <c r="P387" s="1245"/>
      <c r="Q387" s="1245"/>
      <c r="R387" s="1245"/>
      <c r="S387" s="1245"/>
      <c r="T387" s="1245"/>
      <c r="U387" s="1245"/>
      <c r="V387" s="1245"/>
      <c r="W387" s="1245"/>
      <c r="X387" s="1245"/>
      <c r="Y387" s="1245"/>
      <c r="Z387" s="1245"/>
      <c r="AA387" s="1245"/>
      <c r="AB387" s="1245"/>
      <c r="AC387" s="1245"/>
      <c r="AD387" s="1245"/>
      <c r="AL387" s="1461"/>
      <c r="AM387" s="1208"/>
      <c r="AN387" s="1297"/>
      <c r="BS387" s="1208"/>
      <c r="BT387" s="1208"/>
      <c r="BU387" s="1208"/>
      <c r="BV387" s="1208"/>
      <c r="BW387" s="1208"/>
      <c r="BX387" s="1208"/>
      <c r="BY387" s="1208"/>
      <c r="BZ387" s="1208"/>
      <c r="CA387" s="1208"/>
      <c r="CB387" s="1208"/>
      <c r="CC387" s="1208"/>
    </row>
    <row r="388" spans="1:81" s="1223" customFormat="1" ht="12.75" customHeight="1">
      <c r="A388" s="1208"/>
      <c r="B388" s="1206"/>
      <c r="C388" s="2527" t="s">
        <v>618</v>
      </c>
      <c r="D388" s="2469"/>
      <c r="E388" s="1460"/>
      <c r="F388" s="1468" t="s">
        <v>1677</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F388" s="2455" t="s">
        <v>1671</v>
      </c>
      <c r="AG388" s="2455"/>
      <c r="AH388" s="2455"/>
      <c r="AI388" s="2455"/>
      <c r="AJ388" s="2455"/>
      <c r="AK388" s="2455"/>
      <c r="AL388" s="2531"/>
      <c r="AM388" s="1208"/>
      <c r="AN388" s="1297"/>
      <c r="BS388" s="1208"/>
      <c r="BT388" s="1208"/>
      <c r="BU388" s="1208"/>
    </row>
    <row r="389" spans="1:81" s="1223" customFormat="1" ht="12.75" customHeight="1">
      <c r="A389" s="1208"/>
      <c r="B389" s="1206"/>
      <c r="C389" s="1469"/>
      <c r="E389" s="1460"/>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L389" s="1461"/>
      <c r="AM389" s="1208"/>
      <c r="AN389" s="1297"/>
      <c r="BS389" s="1208"/>
      <c r="BT389" s="1208"/>
      <c r="BU389" s="1208"/>
    </row>
    <row r="390" spans="1:81" s="1223" customFormat="1" ht="12.75" customHeight="1">
      <c r="A390" s="1208"/>
      <c r="B390" s="1206"/>
      <c r="C390" s="1462"/>
      <c r="D390" s="1463"/>
      <c r="E390" s="1464"/>
      <c r="F390" s="1470" t="s">
        <v>1678</v>
      </c>
      <c r="G390" s="1465"/>
      <c r="H390" s="1465"/>
      <c r="I390" s="1465"/>
      <c r="J390" s="1465"/>
      <c r="K390" s="1465"/>
      <c r="L390" s="1465"/>
      <c r="M390" s="1465"/>
      <c r="N390" s="1465"/>
      <c r="O390" s="1465"/>
      <c r="P390" s="1465"/>
      <c r="Q390" s="1465"/>
      <c r="R390" s="1465"/>
      <c r="S390" s="1465"/>
      <c r="T390" s="1465"/>
      <c r="U390" s="1465"/>
      <c r="V390" s="1465"/>
      <c r="W390" s="1465"/>
      <c r="X390" s="1465"/>
      <c r="Y390" s="1465"/>
      <c r="Z390" s="1465"/>
      <c r="AA390" s="1465"/>
      <c r="AB390" s="1465"/>
      <c r="AC390" s="1465"/>
      <c r="AD390" s="1465"/>
      <c r="AE390" s="1344"/>
      <c r="AF390" s="1262"/>
      <c r="AG390" s="1344"/>
      <c r="AH390" s="1456"/>
      <c r="AI390" s="1456"/>
      <c r="AJ390" s="1456"/>
      <c r="AK390" s="1456"/>
      <c r="AL390" s="1467"/>
      <c r="AM390" s="1208"/>
      <c r="AN390" s="1297"/>
      <c r="BS390" s="1208"/>
      <c r="BT390" s="1208"/>
      <c r="BU390" s="1208"/>
    </row>
    <row r="391" spans="1:81" s="1223" customFormat="1" ht="12.75" customHeight="1">
      <c r="A391" s="1208"/>
      <c r="B391" s="1206"/>
      <c r="C391" s="1206"/>
      <c r="D391" s="1206"/>
      <c r="E391" s="1460"/>
      <c r="F391" s="1295"/>
      <c r="G391" s="1295"/>
      <c r="H391" s="1295"/>
      <c r="I391" s="1295"/>
      <c r="J391" s="1295"/>
      <c r="K391" s="1295"/>
      <c r="L391" s="1295"/>
      <c r="M391" s="1295"/>
      <c r="N391" s="1295"/>
      <c r="O391" s="1295"/>
      <c r="P391" s="1295"/>
      <c r="Q391" s="1295"/>
      <c r="R391" s="1295"/>
      <c r="S391" s="1295"/>
      <c r="T391" s="1295"/>
      <c r="U391" s="1295"/>
      <c r="V391" s="1295"/>
      <c r="W391" s="1295"/>
      <c r="X391" s="1295"/>
      <c r="Y391" s="1295"/>
      <c r="Z391" s="1295"/>
      <c r="AA391" s="1295"/>
      <c r="AB391" s="1295"/>
      <c r="AC391" s="1295"/>
      <c r="AD391" s="1295"/>
      <c r="AE391" s="1208"/>
      <c r="AF391" s="1211"/>
      <c r="AG391" s="1208"/>
      <c r="AM391" s="1208"/>
      <c r="AN391" s="1297"/>
      <c r="BS391" s="1208"/>
      <c r="BT391" s="1208"/>
      <c r="BU391" s="1208"/>
    </row>
    <row r="392" spans="1:81" s="1223" customFormat="1" ht="12.75" customHeight="1">
      <c r="A392" s="1208"/>
      <c r="B392" s="1206"/>
      <c r="C392" s="1441"/>
      <c r="D392" s="1442"/>
      <c r="E392" s="1443" t="s">
        <v>1679</v>
      </c>
      <c r="F392" s="2528" t="s">
        <v>1680</v>
      </c>
      <c r="G392" s="2528"/>
      <c r="H392" s="2528"/>
      <c r="I392" s="2528"/>
      <c r="J392" s="2528"/>
      <c r="K392" s="2528"/>
      <c r="L392" s="2528"/>
      <c r="M392" s="2528"/>
      <c r="N392" s="2528"/>
      <c r="O392" s="2528"/>
      <c r="P392" s="2528"/>
      <c r="Q392" s="2528"/>
      <c r="R392" s="2528"/>
      <c r="S392" s="2528"/>
      <c r="T392" s="2528"/>
      <c r="U392" s="2528"/>
      <c r="V392" s="2528"/>
      <c r="W392" s="2528"/>
      <c r="X392" s="2528"/>
      <c r="Y392" s="2528"/>
      <c r="Z392" s="2528"/>
      <c r="AA392" s="2528"/>
      <c r="AB392" s="2528"/>
      <c r="AC392" s="2528"/>
      <c r="AD392" s="2528"/>
      <c r="AE392" s="2528"/>
      <c r="AF392" s="2528"/>
      <c r="AG392" s="1444"/>
      <c r="AH392" s="1444"/>
      <c r="AI392" s="1444"/>
      <c r="AJ392" s="1444"/>
      <c r="AK392" s="1444"/>
      <c r="AL392" s="1445"/>
      <c r="AM392" s="1208"/>
      <c r="AN392" s="1297"/>
      <c r="BS392" s="1208"/>
      <c r="BT392" s="1208"/>
      <c r="BU392" s="1208"/>
      <c r="BV392" s="1208"/>
      <c r="BW392" s="1208"/>
      <c r="BX392" s="1208"/>
      <c r="BY392" s="1208"/>
      <c r="BZ392" s="1208"/>
      <c r="CA392" s="1208"/>
      <c r="CB392" s="1208"/>
      <c r="CC392" s="1208"/>
    </row>
    <row r="393" spans="1:81" s="1223" customFormat="1" ht="12.75" customHeight="1">
      <c r="A393" s="1208"/>
      <c r="B393" s="1206"/>
      <c r="C393" s="1459"/>
      <c r="D393" s="1206"/>
      <c r="E393" s="1460"/>
      <c r="F393" s="2515"/>
      <c r="G393" s="2515"/>
      <c r="H393" s="2515"/>
      <c r="I393" s="2515"/>
      <c r="J393" s="2515"/>
      <c r="K393" s="2515"/>
      <c r="L393" s="2515"/>
      <c r="M393" s="2515"/>
      <c r="N393" s="2515"/>
      <c r="O393" s="2515"/>
      <c r="P393" s="2515"/>
      <c r="Q393" s="2515"/>
      <c r="R393" s="2515"/>
      <c r="S393" s="2515"/>
      <c r="T393" s="2515"/>
      <c r="U393" s="2515"/>
      <c r="V393" s="2515"/>
      <c r="W393" s="2515"/>
      <c r="X393" s="2515"/>
      <c r="Y393" s="2515"/>
      <c r="Z393" s="2515"/>
      <c r="AA393" s="2515"/>
      <c r="AB393" s="2515"/>
      <c r="AC393" s="2515"/>
      <c r="AD393" s="2515"/>
      <c r="AE393" s="2515"/>
      <c r="AF393" s="2515"/>
      <c r="AG393" s="1211"/>
      <c r="AH393" s="1211"/>
      <c r="AI393" s="1211"/>
      <c r="AJ393" s="1211"/>
      <c r="AK393" s="1211"/>
      <c r="AL393" s="1448"/>
      <c r="AM393" s="1208"/>
      <c r="AN393" s="1297"/>
      <c r="BS393" s="1208"/>
      <c r="BT393" s="1208"/>
      <c r="BU393" s="1208"/>
      <c r="BV393" s="1208"/>
      <c r="BW393" s="1208"/>
      <c r="BX393" s="1208"/>
      <c r="BY393" s="1208"/>
      <c r="BZ393" s="1208"/>
      <c r="CA393" s="1208"/>
      <c r="CB393" s="1208"/>
      <c r="CC393" s="1208"/>
    </row>
    <row r="394" spans="1:81">
      <c r="A394" s="1208"/>
      <c r="C394" s="1459"/>
      <c r="E394" s="1460"/>
      <c r="F394" s="2515"/>
      <c r="G394" s="2515"/>
      <c r="H394" s="2515"/>
      <c r="I394" s="2515"/>
      <c r="J394" s="2515"/>
      <c r="K394" s="2515"/>
      <c r="L394" s="2515"/>
      <c r="M394" s="2515"/>
      <c r="N394" s="2515"/>
      <c r="O394" s="2515"/>
      <c r="P394" s="2515"/>
      <c r="Q394" s="2515"/>
      <c r="R394" s="2515"/>
      <c r="S394" s="2515"/>
      <c r="T394" s="2515"/>
      <c r="U394" s="2515"/>
      <c r="V394" s="2515"/>
      <c r="W394" s="2515"/>
      <c r="X394" s="2515"/>
      <c r="Y394" s="2515"/>
      <c r="Z394" s="2515"/>
      <c r="AA394" s="2515"/>
      <c r="AB394" s="2515"/>
      <c r="AC394" s="2515"/>
      <c r="AD394" s="2515"/>
      <c r="AE394" s="2515"/>
      <c r="AF394" s="2515"/>
      <c r="AG394" s="1211"/>
      <c r="AH394" s="1211"/>
      <c r="AI394" s="1211"/>
      <c r="AJ394" s="1211"/>
      <c r="AK394" s="1211"/>
      <c r="AL394" s="1448"/>
      <c r="AM394" s="1208"/>
      <c r="BS394" s="1208"/>
      <c r="BT394" s="1208"/>
      <c r="BU394" s="1208"/>
      <c r="BV394" s="1208"/>
      <c r="BW394" s="1208"/>
      <c r="BX394" s="1208"/>
      <c r="BY394" s="1208"/>
      <c r="BZ394" s="1208"/>
      <c r="CA394" s="1208"/>
      <c r="CB394" s="1208"/>
      <c r="CC394" s="1208"/>
    </row>
    <row r="395" spans="1:81" s="1223" customFormat="1" ht="12.75" customHeight="1">
      <c r="A395" s="1208"/>
      <c r="B395" s="1206"/>
      <c r="C395" s="1459"/>
      <c r="D395" s="1206"/>
      <c r="E395" s="1460"/>
      <c r="F395" s="2515"/>
      <c r="G395" s="2515"/>
      <c r="H395" s="2515"/>
      <c r="I395" s="2515"/>
      <c r="J395" s="2515"/>
      <c r="K395" s="2515"/>
      <c r="L395" s="2515"/>
      <c r="M395" s="2515"/>
      <c r="N395" s="2515"/>
      <c r="O395" s="2515"/>
      <c r="P395" s="2515"/>
      <c r="Q395" s="2515"/>
      <c r="R395" s="2515"/>
      <c r="S395" s="2515"/>
      <c r="T395" s="2515"/>
      <c r="U395" s="2515"/>
      <c r="V395" s="2515"/>
      <c r="W395" s="2515"/>
      <c r="X395" s="2515"/>
      <c r="Y395" s="2515"/>
      <c r="Z395" s="2515"/>
      <c r="AA395" s="2515"/>
      <c r="AB395" s="2515"/>
      <c r="AC395" s="2515"/>
      <c r="AD395" s="2515"/>
      <c r="AE395" s="2515"/>
      <c r="AF395" s="2515"/>
      <c r="AG395" s="1211"/>
      <c r="AH395" s="1211"/>
      <c r="AI395" s="1211"/>
      <c r="AJ395" s="1211"/>
      <c r="AK395" s="1211"/>
      <c r="AL395" s="1448"/>
      <c r="AM395" s="1208"/>
      <c r="AN395" s="1297"/>
      <c r="BS395" s="1208"/>
      <c r="BT395" s="1208"/>
      <c r="BY395" s="1208"/>
      <c r="BZ395" s="1208"/>
      <c r="CA395" s="1208"/>
      <c r="CB395" s="1208"/>
      <c r="CC395" s="1208"/>
    </row>
    <row r="396" spans="1:81" s="1223" customFormat="1" ht="12.75" customHeight="1">
      <c r="A396" s="1208"/>
      <c r="B396" s="1206"/>
      <c r="C396" s="2527" t="s">
        <v>618</v>
      </c>
      <c r="D396" s="2469"/>
      <c r="E396" s="1460"/>
      <c r="F396" s="1449" t="s">
        <v>1681</v>
      </c>
      <c r="G396" s="1296"/>
      <c r="H396" s="1296"/>
      <c r="I396" s="1296"/>
      <c r="J396" s="1296"/>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F396" s="2455" t="s">
        <v>1671</v>
      </c>
      <c r="AG396" s="2455"/>
      <c r="AH396" s="2455"/>
      <c r="AI396" s="2455"/>
      <c r="AJ396" s="2455"/>
      <c r="AK396" s="2455"/>
      <c r="AL396" s="2531"/>
      <c r="AM396" s="1208"/>
      <c r="AN396" s="1297"/>
      <c r="BS396" s="1208"/>
      <c r="BT396" s="1208"/>
      <c r="BY396" s="1208"/>
      <c r="BZ396" s="1208"/>
      <c r="CA396" s="1208"/>
      <c r="CB396" s="1208"/>
      <c r="CC396" s="1208"/>
    </row>
    <row r="397" spans="1:81" s="1223" customFormat="1" ht="12.75" customHeight="1">
      <c r="A397" s="1208"/>
      <c r="B397" s="1206"/>
      <c r="C397" s="1459"/>
      <c r="D397" s="1206"/>
      <c r="E397" s="1460"/>
      <c r="G397" s="1296"/>
      <c r="H397" s="1296"/>
      <c r="I397" s="1296"/>
      <c r="J397" s="1296"/>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L397" s="1461"/>
      <c r="AM397" s="1208"/>
      <c r="AN397" s="1297"/>
      <c r="BS397" s="1208"/>
      <c r="BT397" s="1208"/>
      <c r="BY397" s="1208"/>
      <c r="BZ397" s="1208"/>
      <c r="CA397" s="1208"/>
      <c r="CB397" s="1208"/>
      <c r="CC397" s="1208"/>
    </row>
    <row r="398" spans="1:81" s="1223" customFormat="1" ht="12.75" customHeight="1">
      <c r="A398" s="1208"/>
      <c r="B398" s="1206"/>
      <c r="C398" s="2527" t="s">
        <v>571</v>
      </c>
      <c r="D398" s="2469"/>
      <c r="E398" s="1447"/>
      <c r="F398" s="1449" t="s">
        <v>1682</v>
      </c>
      <c r="G398" s="1296"/>
      <c r="H398" s="1296"/>
      <c r="I398" s="1296"/>
      <c r="J398" s="1296"/>
      <c r="K398" s="1296"/>
      <c r="L398" s="1296"/>
      <c r="M398" s="1296"/>
      <c r="N398" s="1296"/>
      <c r="O398" s="1296"/>
      <c r="P398" s="1296"/>
      <c r="Q398" s="1296"/>
      <c r="R398" s="1296"/>
      <c r="S398" s="1296"/>
      <c r="T398" s="1296"/>
      <c r="U398" s="1296"/>
      <c r="V398" s="1296"/>
      <c r="W398" s="1296"/>
      <c r="X398" s="1296"/>
      <c r="Y398" s="1296"/>
      <c r="Z398" s="1296"/>
      <c r="AA398" s="1296"/>
      <c r="AB398" s="1296"/>
      <c r="AC398" s="1296"/>
      <c r="AD398" s="1296"/>
      <c r="AF398" s="2455" t="s">
        <v>1683</v>
      </c>
      <c r="AG398" s="2455"/>
      <c r="AH398" s="2455"/>
      <c r="AI398" s="2455"/>
      <c r="AJ398" s="2455"/>
      <c r="AK398" s="2455"/>
      <c r="AL398" s="2531"/>
      <c r="AM398" s="1208"/>
      <c r="AN398" s="1297"/>
      <c r="BS398" s="1208"/>
      <c r="BT398" s="1208"/>
      <c r="BY398" s="1208"/>
      <c r="BZ398" s="1208"/>
      <c r="CA398" s="1208"/>
      <c r="CB398" s="1208"/>
      <c r="CC398" s="1208"/>
    </row>
    <row r="399" spans="1:81" s="1223" customFormat="1" ht="12.75" customHeight="1">
      <c r="A399" s="1208"/>
      <c r="B399" s="1206"/>
      <c r="C399" s="1471"/>
      <c r="D399" s="1456"/>
      <c r="E399" s="1453"/>
      <c r="F399" s="1456"/>
      <c r="G399" s="1455"/>
      <c r="H399" s="145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6"/>
      <c r="AF399" s="1456"/>
      <c r="AG399" s="1456"/>
      <c r="AH399" s="1456"/>
      <c r="AI399" s="1456"/>
      <c r="AJ399" s="1456"/>
      <c r="AK399" s="1456"/>
      <c r="AL399" s="1467"/>
      <c r="AM399" s="1208"/>
      <c r="AN399" s="1297"/>
      <c r="BS399" s="1208"/>
      <c r="BT399" s="1208"/>
      <c r="BY399" s="1208"/>
      <c r="BZ399" s="1208"/>
      <c r="CA399" s="1208"/>
      <c r="CB399" s="1208"/>
      <c r="CC399" s="1208"/>
    </row>
    <row r="400" spans="1:81" s="1223" customFormat="1" ht="12.75" customHeight="1">
      <c r="A400" s="1208"/>
      <c r="B400" s="1206"/>
      <c r="C400" s="1206"/>
      <c r="D400" s="1206"/>
      <c r="E400" s="1460"/>
      <c r="G400" s="1296"/>
      <c r="H400" s="1296"/>
      <c r="I400" s="1296"/>
      <c r="J400" s="1296"/>
      <c r="K400" s="1296"/>
      <c r="L400" s="1296"/>
      <c r="M400" s="1296"/>
      <c r="N400" s="1296"/>
      <c r="O400" s="1296"/>
      <c r="P400" s="1296"/>
      <c r="Q400" s="1296"/>
      <c r="R400" s="1296"/>
      <c r="S400" s="1296"/>
      <c r="T400" s="1296"/>
      <c r="U400" s="1296"/>
      <c r="V400" s="1296"/>
      <c r="W400" s="1296"/>
      <c r="X400" s="1296"/>
      <c r="Y400" s="1296"/>
      <c r="Z400" s="1296"/>
      <c r="AA400" s="1296"/>
      <c r="AB400" s="1296"/>
      <c r="AC400" s="1296"/>
      <c r="AD400" s="1296"/>
      <c r="AE400" s="1208"/>
      <c r="AF400" s="1211"/>
      <c r="AG400" s="1208"/>
      <c r="AM400" s="1208"/>
      <c r="AN400" s="1297"/>
      <c r="BS400" s="1208"/>
      <c r="BT400" s="1208"/>
      <c r="BY400" s="1208"/>
      <c r="BZ400" s="1208"/>
      <c r="CA400" s="1208"/>
      <c r="CB400" s="1208"/>
      <c r="CC400" s="1208"/>
    </row>
    <row r="401" spans="1:81" s="1223" customFormat="1" ht="12.75" customHeight="1">
      <c r="A401" s="1208"/>
      <c r="B401" s="1206"/>
      <c r="C401" s="2527" t="s">
        <v>618</v>
      </c>
      <c r="D401" s="2469"/>
      <c r="E401" s="1443" t="s">
        <v>1684</v>
      </c>
      <c r="F401" s="2528" t="s">
        <v>1685</v>
      </c>
      <c r="G401" s="2528"/>
      <c r="H401" s="2528"/>
      <c r="I401" s="2528"/>
      <c r="J401" s="2528"/>
      <c r="K401" s="2528"/>
      <c r="L401" s="2528"/>
      <c r="M401" s="2528"/>
      <c r="N401" s="2528"/>
      <c r="O401" s="2528"/>
      <c r="P401" s="2528"/>
      <c r="Q401" s="2528"/>
      <c r="R401" s="2528"/>
      <c r="S401" s="2528"/>
      <c r="T401" s="2528"/>
      <c r="U401" s="2528"/>
      <c r="V401" s="2528"/>
      <c r="W401" s="2528"/>
      <c r="X401" s="2528"/>
      <c r="Y401" s="2528"/>
      <c r="Z401" s="2528"/>
      <c r="AA401" s="2528"/>
      <c r="AB401" s="2528"/>
      <c r="AC401" s="2528"/>
      <c r="AD401" s="2528"/>
      <c r="AE401" s="2528"/>
      <c r="AF401" s="1444"/>
      <c r="AG401" s="1330"/>
      <c r="AH401" s="1442"/>
      <c r="AI401" s="1442"/>
      <c r="AJ401" s="1442"/>
      <c r="AK401" s="1442"/>
      <c r="AL401" s="1472"/>
      <c r="AM401" s="1208"/>
      <c r="AN401" s="1297"/>
      <c r="BS401" s="1208"/>
      <c r="BT401" s="1208"/>
      <c r="BY401" s="1208"/>
      <c r="BZ401" s="1208"/>
      <c r="CA401" s="1208"/>
      <c r="CB401" s="1208"/>
      <c r="CC401" s="1208"/>
    </row>
    <row r="402" spans="1:81" s="1223" customFormat="1" ht="12.75" customHeight="1">
      <c r="A402" s="1208"/>
      <c r="B402" s="1206"/>
      <c r="C402" s="1469"/>
      <c r="F402" s="2515"/>
      <c r="G402" s="2515"/>
      <c r="H402" s="2515"/>
      <c r="I402" s="2515"/>
      <c r="J402" s="2515"/>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463" t="s">
        <v>1671</v>
      </c>
      <c r="AG402" s="2463"/>
      <c r="AH402" s="2463"/>
      <c r="AI402" s="2463"/>
      <c r="AJ402" s="2463"/>
      <c r="AK402" s="2463"/>
      <c r="AL402" s="2532"/>
      <c r="AM402" s="1208"/>
      <c r="AN402" s="1297"/>
      <c r="BS402" s="1208"/>
      <c r="BT402" s="1208"/>
      <c r="BY402" s="1208"/>
      <c r="BZ402" s="1208"/>
      <c r="CA402" s="1208"/>
      <c r="CB402" s="1208"/>
      <c r="CC402" s="1208"/>
    </row>
    <row r="403" spans="1:81" s="1223" customFormat="1" ht="12.75" customHeight="1">
      <c r="A403" s="1208"/>
      <c r="B403" s="1206"/>
      <c r="C403" s="1459"/>
      <c r="D403" s="1206"/>
      <c r="E403" s="1460"/>
      <c r="F403" s="2515"/>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L403" s="1461"/>
      <c r="AM403" s="1208"/>
      <c r="AN403" s="1297"/>
      <c r="BS403" s="1208"/>
      <c r="BT403" s="1208"/>
      <c r="BU403" s="1208"/>
      <c r="BV403" s="1208"/>
      <c r="BW403" s="1208"/>
      <c r="BX403" s="1208"/>
      <c r="BY403" s="1208"/>
      <c r="BZ403" s="1208"/>
      <c r="CA403" s="1208"/>
      <c r="CB403" s="1208"/>
      <c r="CC403" s="1208"/>
    </row>
    <row r="404" spans="1:81" s="1223" customFormat="1" ht="12.75" customHeight="1">
      <c r="A404" s="1208"/>
      <c r="B404" s="1206"/>
      <c r="C404" s="1462"/>
      <c r="D404" s="1463"/>
      <c r="E404" s="1464"/>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1262"/>
      <c r="AG404" s="1344"/>
      <c r="AH404" s="1456"/>
      <c r="AI404" s="1456"/>
      <c r="AJ404" s="1456"/>
      <c r="AK404" s="1456"/>
      <c r="AL404" s="1467"/>
      <c r="AM404" s="1208"/>
      <c r="AN404" s="1297"/>
    </row>
    <row r="405" spans="1:81">
      <c r="A405" s="1208"/>
      <c r="E405" s="1460"/>
      <c r="F405" s="1296"/>
      <c r="G405" s="1296"/>
      <c r="H405" s="1296"/>
      <c r="I405" s="1296"/>
      <c r="J405" s="1296"/>
      <c r="K405" s="1296"/>
      <c r="L405" s="1296"/>
      <c r="M405" s="1296"/>
      <c r="N405" s="1296"/>
      <c r="O405" s="1296"/>
      <c r="P405" s="1296"/>
      <c r="Q405" s="1296"/>
      <c r="R405" s="1296"/>
      <c r="S405" s="1296"/>
      <c r="T405" s="1296"/>
      <c r="U405" s="1296"/>
      <c r="V405" s="1296"/>
      <c r="W405" s="1296"/>
      <c r="X405" s="1296"/>
      <c r="Y405" s="1296"/>
      <c r="Z405" s="1296"/>
      <c r="AA405" s="1296"/>
      <c r="AB405" s="1296"/>
      <c r="AC405" s="1296"/>
      <c r="AD405" s="1296"/>
      <c r="AE405" s="1208"/>
      <c r="AF405" s="1211"/>
      <c r="AG405" s="1208"/>
      <c r="AH405" s="1223"/>
      <c r="AI405" s="1223"/>
      <c r="AJ405" s="1223"/>
      <c r="AK405" s="1223"/>
      <c r="AL405" s="1223"/>
      <c r="AM405" s="1208"/>
    </row>
    <row r="406" spans="1:81" ht="12.75" customHeight="1">
      <c r="A406" s="1208"/>
      <c r="C406" s="1473"/>
      <c r="D406" s="1474"/>
      <c r="E406" s="1443" t="s">
        <v>1686</v>
      </c>
      <c r="F406" s="2528" t="s">
        <v>1687</v>
      </c>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1474"/>
      <c r="AG406" s="1474"/>
      <c r="AH406" s="1474"/>
      <c r="AI406" s="1474"/>
      <c r="AJ406" s="1474"/>
      <c r="AK406" s="1474"/>
      <c r="AL406" s="1475"/>
      <c r="AM406" s="1208"/>
    </row>
    <row r="407" spans="1:81">
      <c r="A407" s="1208"/>
      <c r="C407" s="1459"/>
      <c r="E407" s="1460"/>
      <c r="F407" s="2515"/>
      <c r="G407" s="2515"/>
      <c r="H407" s="2515"/>
      <c r="I407" s="2515"/>
      <c r="J407" s="2515"/>
      <c r="K407" s="2515"/>
      <c r="L407" s="2515"/>
      <c r="M407" s="2515"/>
      <c r="N407" s="2515"/>
      <c r="O407" s="2515"/>
      <c r="P407" s="2515"/>
      <c r="Q407" s="2515"/>
      <c r="R407" s="2515"/>
      <c r="S407" s="2515"/>
      <c r="T407" s="2515"/>
      <c r="U407" s="2515"/>
      <c r="V407" s="2515"/>
      <c r="W407" s="2515"/>
      <c r="X407" s="2515"/>
      <c r="Y407" s="2515"/>
      <c r="Z407" s="2515"/>
      <c r="AA407" s="2515"/>
      <c r="AB407" s="2515"/>
      <c r="AC407" s="2515"/>
      <c r="AD407" s="2515"/>
      <c r="AE407" s="2515"/>
      <c r="AF407" s="1211"/>
      <c r="AG407" s="1208"/>
      <c r="AH407" s="1223"/>
      <c r="AI407" s="1223"/>
      <c r="AJ407" s="1223"/>
      <c r="AK407" s="1223"/>
      <c r="AL407" s="1461"/>
      <c r="AM407" s="1208"/>
    </row>
    <row r="408" spans="1:81" s="1223" customFormat="1" ht="12.75" customHeight="1">
      <c r="A408" s="1208"/>
      <c r="B408" s="1206"/>
      <c r="C408" s="1459"/>
      <c r="D408" s="1206"/>
      <c r="E408" s="1460"/>
      <c r="F408" s="2515"/>
      <c r="G408" s="2515"/>
      <c r="H408" s="2515"/>
      <c r="I408" s="2515"/>
      <c r="J408" s="2515"/>
      <c r="K408" s="2515"/>
      <c r="L408" s="2515"/>
      <c r="M408" s="2515"/>
      <c r="N408" s="2515"/>
      <c r="O408" s="2515"/>
      <c r="P408" s="2515"/>
      <c r="Q408" s="2515"/>
      <c r="R408" s="2515"/>
      <c r="S408" s="2515"/>
      <c r="T408" s="2515"/>
      <c r="U408" s="2515"/>
      <c r="V408" s="2515"/>
      <c r="W408" s="2515"/>
      <c r="X408" s="2515"/>
      <c r="Y408" s="2515"/>
      <c r="Z408" s="2515"/>
      <c r="AA408" s="2515"/>
      <c r="AB408" s="2515"/>
      <c r="AC408" s="2515"/>
      <c r="AD408" s="2515"/>
      <c r="AE408" s="2515"/>
      <c r="AL408" s="1461"/>
      <c r="AM408" s="1208"/>
      <c r="AN408" s="1297"/>
    </row>
    <row r="409" spans="1:81" s="1223" customFormat="1" ht="12.75" customHeight="1">
      <c r="A409" s="1208"/>
      <c r="B409" s="1206"/>
      <c r="C409" s="1469"/>
      <c r="F409" s="2515"/>
      <c r="G409" s="2515"/>
      <c r="H409" s="2515"/>
      <c r="I409" s="2515"/>
      <c r="J409" s="2515"/>
      <c r="K409" s="2515"/>
      <c r="L409" s="2515"/>
      <c r="M409" s="2515"/>
      <c r="N409" s="2515"/>
      <c r="O409" s="2515"/>
      <c r="P409" s="2515"/>
      <c r="Q409" s="2515"/>
      <c r="R409" s="2515"/>
      <c r="S409" s="2515"/>
      <c r="T409" s="2515"/>
      <c r="U409" s="2515"/>
      <c r="V409" s="2515"/>
      <c r="W409" s="2515"/>
      <c r="X409" s="2515"/>
      <c r="Y409" s="2515"/>
      <c r="Z409" s="2515"/>
      <c r="AA409" s="2515"/>
      <c r="AB409" s="2515"/>
      <c r="AC409" s="2515"/>
      <c r="AD409" s="2515"/>
      <c r="AE409" s="2515"/>
      <c r="AL409" s="1461"/>
      <c r="AM409" s="1208"/>
      <c r="AN409" s="1297"/>
    </row>
    <row r="410" spans="1:81" s="1223" customFormat="1" ht="12.75" customHeight="1">
      <c r="A410" s="1208"/>
      <c r="B410" s="1206"/>
      <c r="C410" s="2527" t="s">
        <v>618</v>
      </c>
      <c r="D410" s="2469"/>
      <c r="E410" s="1460"/>
      <c r="F410" s="1449" t="s">
        <v>1688</v>
      </c>
      <c r="G410" s="1296"/>
      <c r="H410" s="1296"/>
      <c r="I410" s="1296"/>
      <c r="J410" s="1296"/>
      <c r="K410" s="1296"/>
      <c r="L410" s="1296"/>
      <c r="M410" s="1296"/>
      <c r="N410" s="1296"/>
      <c r="O410" s="1296"/>
      <c r="P410" s="1296"/>
      <c r="Q410" s="1296"/>
      <c r="R410" s="1296"/>
      <c r="S410" s="1296"/>
      <c r="T410" s="1296"/>
      <c r="U410" s="1296"/>
      <c r="V410" s="1296"/>
      <c r="W410" s="1296"/>
      <c r="X410" s="1296"/>
      <c r="Y410" s="1296"/>
      <c r="Z410" s="1296"/>
      <c r="AA410" s="1296"/>
      <c r="AB410" s="1296"/>
      <c r="AC410" s="1296"/>
      <c r="AD410" s="1296"/>
      <c r="AF410" s="2463" t="s">
        <v>1671</v>
      </c>
      <c r="AG410" s="2463"/>
      <c r="AH410" s="2463"/>
      <c r="AI410" s="2463"/>
      <c r="AJ410" s="2463"/>
      <c r="AK410" s="2463"/>
      <c r="AL410" s="2532"/>
      <c r="AM410" s="1208"/>
      <c r="AN410" s="1297"/>
    </row>
    <row r="411" spans="1:81" s="1223" customFormat="1" ht="12.75" customHeight="1">
      <c r="A411" s="1208"/>
      <c r="B411" s="1206"/>
      <c r="C411" s="1469"/>
      <c r="AL411" s="1461"/>
      <c r="AM411" s="1208"/>
      <c r="AN411" s="1297"/>
    </row>
    <row r="412" spans="1:81" s="1223" customFormat="1" ht="12.75" customHeight="1">
      <c r="A412" s="1208"/>
      <c r="B412" s="1206"/>
      <c r="C412" s="2527" t="s">
        <v>618</v>
      </c>
      <c r="D412" s="2469"/>
      <c r="E412" s="1447"/>
      <c r="F412" s="1449" t="s">
        <v>1689</v>
      </c>
      <c r="G412" s="1296"/>
      <c r="H412" s="1296"/>
      <c r="I412" s="1296"/>
      <c r="J412" s="1296"/>
      <c r="K412" s="1296"/>
      <c r="L412" s="1296"/>
      <c r="M412" s="1296"/>
      <c r="N412" s="1296"/>
      <c r="O412" s="1296"/>
      <c r="P412" s="1296"/>
      <c r="Q412" s="1296"/>
      <c r="R412" s="1296"/>
      <c r="S412" s="1296"/>
      <c r="T412" s="1296"/>
      <c r="U412" s="1296"/>
      <c r="V412" s="1296"/>
      <c r="W412" s="1296"/>
      <c r="X412" s="1296"/>
      <c r="Y412" s="1296"/>
      <c r="Z412" s="1296"/>
      <c r="AA412" s="1296"/>
      <c r="AB412" s="1296"/>
      <c r="AC412" s="1296"/>
      <c r="AD412" s="1296"/>
      <c r="AF412" s="2463" t="s">
        <v>1683</v>
      </c>
      <c r="AG412" s="2463"/>
      <c r="AH412" s="2463"/>
      <c r="AI412" s="2463"/>
      <c r="AJ412" s="2463"/>
      <c r="AK412" s="2463"/>
      <c r="AL412" s="2532"/>
      <c r="AM412" s="1208"/>
      <c r="AN412" s="1297"/>
      <c r="AO412" s="1383"/>
      <c r="AP412" s="1383"/>
      <c r="BC412" s="1206"/>
    </row>
    <row r="413" spans="1:81" s="1223" customFormat="1" ht="12.75" customHeight="1">
      <c r="A413" s="1208"/>
      <c r="B413" s="1206"/>
      <c r="C413" s="1463"/>
      <c r="D413" s="1463"/>
      <c r="E413" s="1464"/>
      <c r="F413" s="1454"/>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344"/>
      <c r="AF413" s="1262"/>
      <c r="AG413" s="1344"/>
      <c r="AH413" s="1456"/>
      <c r="AI413" s="1456"/>
      <c r="AJ413" s="1456"/>
      <c r="AK413" s="1456"/>
      <c r="AL413" s="1476"/>
      <c r="AM413" s="1208"/>
      <c r="AN413" s="1297"/>
    </row>
    <row r="414" spans="1:81" s="1223" customFormat="1" ht="12.75" customHeight="1">
      <c r="A414" s="1208"/>
      <c r="B414" s="1206"/>
      <c r="C414" s="1206"/>
      <c r="D414" s="1206"/>
      <c r="E414" s="1460"/>
      <c r="F414" s="1449"/>
      <c r="G414" s="1296"/>
      <c r="H414" s="1296"/>
      <c r="I414" s="1296"/>
      <c r="J414" s="1296"/>
      <c r="K414" s="1296"/>
      <c r="L414" s="1296"/>
      <c r="M414" s="1296"/>
      <c r="N414" s="1296"/>
      <c r="O414" s="1296"/>
      <c r="P414" s="1296"/>
      <c r="Q414" s="1296"/>
      <c r="R414" s="1296"/>
      <c r="S414" s="1296"/>
      <c r="T414" s="1296"/>
      <c r="U414" s="1296"/>
      <c r="V414" s="1296"/>
      <c r="W414" s="1296"/>
      <c r="X414" s="1296"/>
      <c r="Y414" s="1296"/>
      <c r="Z414" s="1296"/>
      <c r="AA414" s="1296"/>
      <c r="AB414" s="1296"/>
      <c r="AC414" s="1296"/>
      <c r="AD414" s="1296"/>
      <c r="AE414" s="1208"/>
      <c r="AF414" s="1211"/>
      <c r="AG414" s="1208"/>
      <c r="AM414" s="1208"/>
      <c r="AN414" s="1297"/>
    </row>
    <row r="415" spans="1:81" s="1223" customFormat="1" ht="12.75" customHeight="1">
      <c r="A415" s="1208"/>
      <c r="B415" s="1206"/>
      <c r="C415" s="1440" t="s">
        <v>1690</v>
      </c>
      <c r="D415" s="1206"/>
      <c r="E415" s="1460"/>
      <c r="F415" s="1296"/>
      <c r="G415" s="1296"/>
      <c r="H415" s="1296"/>
      <c r="I415" s="1296"/>
      <c r="J415" s="1296"/>
      <c r="K415" s="1296"/>
      <c r="L415" s="1296"/>
      <c r="M415" s="1296"/>
      <c r="N415" s="1296"/>
      <c r="O415" s="1296"/>
      <c r="P415" s="1296"/>
      <c r="Q415" s="1296"/>
      <c r="R415" s="1296"/>
      <c r="S415" s="1296"/>
      <c r="T415" s="1296"/>
      <c r="U415" s="1296"/>
      <c r="V415" s="1296"/>
      <c r="W415" s="1296"/>
      <c r="X415" s="1296"/>
      <c r="Y415" s="1296"/>
      <c r="Z415" s="1296"/>
      <c r="AA415" s="1296"/>
      <c r="AB415" s="1296"/>
      <c r="AC415" s="1296"/>
      <c r="AD415" s="1296"/>
      <c r="AE415" s="1208"/>
      <c r="AF415" s="1211"/>
      <c r="AG415" s="1208"/>
      <c r="AM415" s="1208"/>
      <c r="AN415" s="1297"/>
    </row>
    <row r="416" spans="1:81" s="1223" customFormat="1" ht="12.75" customHeight="1">
      <c r="A416" s="1208"/>
      <c r="B416" s="1206"/>
      <c r="C416" s="1441"/>
      <c r="D416" s="1442"/>
      <c r="E416" s="1443" t="s">
        <v>1691</v>
      </c>
      <c r="F416" s="2528" t="s">
        <v>1692</v>
      </c>
      <c r="G416" s="2528"/>
      <c r="H416" s="2528"/>
      <c r="I416" s="2528"/>
      <c r="J416" s="2528"/>
      <c r="K416" s="2528"/>
      <c r="L416" s="2528"/>
      <c r="M416" s="2528"/>
      <c r="N416" s="2528"/>
      <c r="O416" s="2528"/>
      <c r="P416" s="2528"/>
      <c r="Q416" s="2528"/>
      <c r="R416" s="2528"/>
      <c r="S416" s="2528"/>
      <c r="T416" s="2528"/>
      <c r="U416" s="2528"/>
      <c r="V416" s="2528"/>
      <c r="W416" s="2528"/>
      <c r="X416" s="2528"/>
      <c r="Y416" s="2528"/>
      <c r="Z416" s="2528"/>
      <c r="AA416" s="2528"/>
      <c r="AB416" s="2528"/>
      <c r="AC416" s="2528"/>
      <c r="AD416" s="2528"/>
      <c r="AE416" s="2528"/>
      <c r="AF416" s="1442"/>
      <c r="AG416" s="1442"/>
      <c r="AH416" s="1442"/>
      <c r="AI416" s="1442"/>
      <c r="AJ416" s="1442"/>
      <c r="AK416" s="1442"/>
      <c r="AL416" s="1472"/>
      <c r="AM416" s="1208"/>
      <c r="AN416" s="1297"/>
    </row>
    <row r="417" spans="1:60" s="1223" customFormat="1" ht="12.75" customHeight="1">
      <c r="A417" s="1208"/>
      <c r="B417" s="1206"/>
      <c r="C417" s="1459"/>
      <c r="D417" s="1206"/>
      <c r="E417" s="1460"/>
      <c r="F417" s="2515"/>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1211"/>
      <c r="AG417" s="1208"/>
      <c r="AL417" s="1461"/>
      <c r="AM417" s="1208"/>
      <c r="AN417" s="1297"/>
    </row>
    <row r="418" spans="1:60" s="1223" customFormat="1" ht="12.4" customHeight="1">
      <c r="A418" s="1208"/>
      <c r="B418" s="1206"/>
      <c r="C418" s="1459"/>
      <c r="D418" s="1206"/>
      <c r="E418" s="1460"/>
      <c r="F418" s="2515"/>
      <c r="G418" s="2515"/>
      <c r="H418" s="2515"/>
      <c r="I418" s="2515"/>
      <c r="J418" s="2515"/>
      <c r="K418" s="2515"/>
      <c r="L418" s="2515"/>
      <c r="M418" s="2515"/>
      <c r="N418" s="2515"/>
      <c r="O418" s="2515"/>
      <c r="P418" s="2515"/>
      <c r="Q418" s="2515"/>
      <c r="R418" s="2515"/>
      <c r="S418" s="2515"/>
      <c r="T418" s="2515"/>
      <c r="U418" s="2515"/>
      <c r="V418" s="2515"/>
      <c r="W418" s="2515"/>
      <c r="X418" s="2515"/>
      <c r="Y418" s="2515"/>
      <c r="Z418" s="2515"/>
      <c r="AA418" s="2515"/>
      <c r="AB418" s="2515"/>
      <c r="AC418" s="2515"/>
      <c r="AD418" s="2515"/>
      <c r="AE418" s="2515"/>
      <c r="AL418" s="1461"/>
      <c r="AM418" s="1208"/>
      <c r="AN418" s="1297"/>
    </row>
    <row r="419" spans="1:60" s="1223" customFormat="1" ht="12.75" customHeight="1">
      <c r="A419" s="1208"/>
      <c r="B419" s="1206"/>
      <c r="C419" s="2527" t="s">
        <v>618</v>
      </c>
      <c r="D419" s="2469"/>
      <c r="E419" s="1460"/>
      <c r="F419" s="1449" t="s">
        <v>1693</v>
      </c>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F419" s="2463" t="s">
        <v>1671</v>
      </c>
      <c r="AG419" s="2463"/>
      <c r="AH419" s="2463"/>
      <c r="AI419" s="2463"/>
      <c r="AJ419" s="2463"/>
      <c r="AK419" s="2463"/>
      <c r="AL419" s="2532"/>
      <c r="AM419" s="1208"/>
      <c r="AN419" s="1297"/>
    </row>
    <row r="420" spans="1:60" s="1223" customFormat="1" ht="12.75" customHeight="1">
      <c r="A420" s="1208"/>
      <c r="B420" s="1206"/>
      <c r="C420" s="1471"/>
      <c r="D420" s="1456"/>
      <c r="E420" s="1453"/>
      <c r="F420" s="1470"/>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6"/>
      <c r="AF420" s="1456"/>
      <c r="AG420" s="1456"/>
      <c r="AH420" s="1456"/>
      <c r="AI420" s="1456"/>
      <c r="AJ420" s="1456"/>
      <c r="AK420" s="1456"/>
      <c r="AL420" s="1467"/>
      <c r="AM420" s="1208"/>
      <c r="AN420" s="1297"/>
    </row>
    <row r="421" spans="1:60" s="1223" customFormat="1" ht="12.75" customHeight="1">
      <c r="A421" s="1208"/>
      <c r="B421" s="1206"/>
      <c r="C421" s="1268"/>
      <c r="D421" s="1268"/>
      <c r="E421" s="1447"/>
      <c r="F421" s="1449"/>
      <c r="G421" s="1296"/>
      <c r="H421" s="1296"/>
      <c r="I421" s="1296"/>
      <c r="J421" s="1296"/>
      <c r="K421" s="1296"/>
      <c r="L421" s="1296"/>
      <c r="M421" s="1296"/>
      <c r="N421" s="1296"/>
      <c r="O421" s="1296"/>
      <c r="P421" s="1296"/>
      <c r="Q421" s="1296"/>
      <c r="R421" s="1296"/>
      <c r="S421" s="1296"/>
      <c r="T421" s="1296"/>
      <c r="U421" s="1296"/>
      <c r="V421" s="1296"/>
      <c r="W421" s="1296"/>
      <c r="X421" s="1296"/>
      <c r="Y421" s="1296"/>
      <c r="Z421" s="1296"/>
      <c r="AA421" s="1296"/>
      <c r="AB421" s="1296"/>
      <c r="AC421" s="1296"/>
      <c r="AD421" s="1296"/>
      <c r="AE421" s="1208"/>
      <c r="AM421" s="1208"/>
      <c r="AN421" s="1297"/>
    </row>
    <row r="422" spans="1:60" ht="13.15" customHeight="1">
      <c r="A422" s="1208"/>
      <c r="C422" s="1473"/>
      <c r="D422" s="1474"/>
      <c r="E422" s="1443" t="s">
        <v>1694</v>
      </c>
      <c r="F422" s="2528" t="s">
        <v>1695</v>
      </c>
      <c r="G422" s="2528"/>
      <c r="H422" s="2528"/>
      <c r="I422" s="2528"/>
      <c r="J422" s="2528"/>
      <c r="K422" s="2528"/>
      <c r="L422" s="2528"/>
      <c r="M422" s="2528"/>
      <c r="N422" s="2528"/>
      <c r="O422" s="2528"/>
      <c r="P422" s="2528"/>
      <c r="Q422" s="2528"/>
      <c r="R422" s="2528"/>
      <c r="S422" s="2528"/>
      <c r="T422" s="2528"/>
      <c r="U422" s="2528"/>
      <c r="V422" s="2528"/>
      <c r="W422" s="2528"/>
      <c r="X422" s="2528"/>
      <c r="Y422" s="2528"/>
      <c r="Z422" s="2528"/>
      <c r="AA422" s="2528"/>
      <c r="AB422" s="2528"/>
      <c r="AC422" s="2528"/>
      <c r="AD422" s="2528"/>
      <c r="AE422" s="2528"/>
      <c r="AF422" s="1474"/>
      <c r="AG422" s="1474"/>
      <c r="AH422" s="1474"/>
      <c r="AI422" s="1474"/>
      <c r="AJ422" s="1474"/>
      <c r="AK422" s="1474"/>
      <c r="AL422" s="1475"/>
      <c r="AM422" s="1208"/>
      <c r="AO422" s="1223"/>
      <c r="AP422" s="1223"/>
      <c r="BD422" s="1206"/>
      <c r="BE422" s="1206"/>
      <c r="BF422" s="1206"/>
      <c r="BG422" s="1206"/>
      <c r="BH422" s="1206"/>
    </row>
    <row r="423" spans="1:60">
      <c r="A423" s="1208"/>
      <c r="C423" s="1459"/>
      <c r="E423" s="1460"/>
      <c r="F423" s="2515"/>
      <c r="G423" s="2515"/>
      <c r="H423" s="2515"/>
      <c r="I423" s="2515"/>
      <c r="J423" s="2515"/>
      <c r="K423" s="2515"/>
      <c r="L423" s="2515"/>
      <c r="M423" s="2515"/>
      <c r="N423" s="2515"/>
      <c r="O423" s="2515"/>
      <c r="P423" s="2515"/>
      <c r="Q423" s="2515"/>
      <c r="R423" s="2515"/>
      <c r="S423" s="2515"/>
      <c r="T423" s="2515"/>
      <c r="U423" s="2515"/>
      <c r="V423" s="2515"/>
      <c r="W423" s="2515"/>
      <c r="X423" s="2515"/>
      <c r="Y423" s="2515"/>
      <c r="Z423" s="2515"/>
      <c r="AA423" s="2515"/>
      <c r="AB423" s="2515"/>
      <c r="AC423" s="2515"/>
      <c r="AD423" s="2515"/>
      <c r="AE423" s="2515"/>
      <c r="AF423" s="1290"/>
      <c r="AG423" s="1290"/>
      <c r="AH423" s="1290"/>
      <c r="AI423" s="1290"/>
      <c r="AJ423" s="1290"/>
      <c r="AK423" s="1290"/>
      <c r="AL423" s="1478"/>
      <c r="AM423" s="1208"/>
      <c r="AO423" s="1223"/>
      <c r="AP423" s="1223"/>
    </row>
    <row r="424" spans="1:60" s="1223" customFormat="1" ht="12.75" customHeight="1">
      <c r="A424" s="1208"/>
      <c r="B424" s="1206"/>
      <c r="C424" s="1459"/>
      <c r="D424" s="1206"/>
      <c r="E424" s="1460"/>
      <c r="F424" s="2515"/>
      <c r="G424" s="2515"/>
      <c r="H424" s="2515"/>
      <c r="I424" s="2515"/>
      <c r="J424" s="2515"/>
      <c r="K424" s="2515"/>
      <c r="L424" s="2515"/>
      <c r="M424" s="2515"/>
      <c r="N424" s="2515"/>
      <c r="O424" s="2515"/>
      <c r="P424" s="2515"/>
      <c r="Q424" s="2515"/>
      <c r="R424" s="2515"/>
      <c r="S424" s="2515"/>
      <c r="T424" s="2515"/>
      <c r="U424" s="2515"/>
      <c r="V424" s="2515"/>
      <c r="W424" s="2515"/>
      <c r="X424" s="2515"/>
      <c r="Y424" s="2515"/>
      <c r="Z424" s="2515"/>
      <c r="AA424" s="2515"/>
      <c r="AB424" s="2515"/>
      <c r="AC424" s="2515"/>
      <c r="AD424" s="2515"/>
      <c r="AE424" s="2515"/>
      <c r="AF424" s="1290"/>
      <c r="AG424" s="1290"/>
      <c r="AH424" s="1290"/>
      <c r="AI424" s="1290"/>
      <c r="AJ424" s="1290"/>
      <c r="AK424" s="1290"/>
      <c r="AL424" s="1478"/>
      <c r="AM424" s="1208"/>
      <c r="AN424" s="1297"/>
    </row>
    <row r="425" spans="1:60" s="1223" customFormat="1" ht="12.75" customHeight="1">
      <c r="A425" s="1208"/>
      <c r="B425" s="1206"/>
      <c r="C425" s="1479"/>
      <c r="D425" s="1268"/>
      <c r="E425" s="1447"/>
      <c r="F425" s="2515"/>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1290"/>
      <c r="AG425" s="1290"/>
      <c r="AH425" s="1290"/>
      <c r="AI425" s="1290"/>
      <c r="AJ425" s="1290"/>
      <c r="AK425" s="1290"/>
      <c r="AL425" s="1478"/>
      <c r="AM425" s="1208"/>
      <c r="AN425" s="1297"/>
      <c r="AO425" s="1205"/>
      <c r="AP425" s="1206"/>
    </row>
    <row r="426" spans="1:60" s="1223" customFormat="1" ht="12.75" customHeight="1">
      <c r="A426" s="1208"/>
      <c r="B426" s="1206"/>
      <c r="C426" s="1479"/>
      <c r="D426" s="1268"/>
      <c r="E426" s="1447"/>
      <c r="F426" s="2515"/>
      <c r="G426" s="2515"/>
      <c r="H426" s="2515"/>
      <c r="I426" s="2515"/>
      <c r="J426" s="2515"/>
      <c r="K426" s="2515"/>
      <c r="L426" s="2515"/>
      <c r="M426" s="2515"/>
      <c r="N426" s="2515"/>
      <c r="O426" s="2515"/>
      <c r="P426" s="2515"/>
      <c r="Q426" s="2515"/>
      <c r="R426" s="2515"/>
      <c r="S426" s="2515"/>
      <c r="T426" s="2515"/>
      <c r="U426" s="2515"/>
      <c r="V426" s="2515"/>
      <c r="W426" s="2515"/>
      <c r="X426" s="2515"/>
      <c r="Y426" s="2515"/>
      <c r="Z426" s="2515"/>
      <c r="AA426" s="2515"/>
      <c r="AB426" s="2515"/>
      <c r="AC426" s="2515"/>
      <c r="AD426" s="2515"/>
      <c r="AE426" s="2515"/>
      <c r="AF426" s="1290"/>
      <c r="AG426" s="1290"/>
      <c r="AH426" s="1290"/>
      <c r="AI426" s="1290"/>
      <c r="AJ426" s="1290"/>
      <c r="AK426" s="1290"/>
      <c r="AL426" s="1478"/>
      <c r="AM426" s="1208"/>
      <c r="AN426" s="1297"/>
    </row>
    <row r="427" spans="1:60" s="1223" customFormat="1" ht="12.75" customHeight="1">
      <c r="A427" s="1208"/>
      <c r="B427" s="1206"/>
      <c r="C427" s="1479"/>
      <c r="D427" s="1268"/>
      <c r="E427" s="1447"/>
      <c r="F427" s="2515"/>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1290"/>
      <c r="AG427" s="1290"/>
      <c r="AH427" s="1290"/>
      <c r="AI427" s="1290"/>
      <c r="AJ427" s="1290"/>
      <c r="AK427" s="1290"/>
      <c r="AL427" s="1478"/>
      <c r="AM427" s="1208"/>
      <c r="AN427" s="1297"/>
    </row>
    <row r="428" spans="1:60" s="1223" customFormat="1" ht="12.75" customHeight="1">
      <c r="A428" s="1208"/>
      <c r="B428" s="1206"/>
      <c r="C428" s="1479"/>
      <c r="D428" s="1268"/>
      <c r="E428" s="1447"/>
      <c r="F428" s="2515"/>
      <c r="G428" s="2515"/>
      <c r="H428" s="2515"/>
      <c r="I428" s="2515"/>
      <c r="J428" s="2515"/>
      <c r="K428" s="2515"/>
      <c r="L428" s="2515"/>
      <c r="M428" s="2515"/>
      <c r="N428" s="2515"/>
      <c r="O428" s="2515"/>
      <c r="P428" s="2515"/>
      <c r="Q428" s="2515"/>
      <c r="R428" s="2515"/>
      <c r="S428" s="2515"/>
      <c r="T428" s="2515"/>
      <c r="U428" s="2515"/>
      <c r="V428" s="2515"/>
      <c r="W428" s="2515"/>
      <c r="X428" s="2515"/>
      <c r="Y428" s="2515"/>
      <c r="Z428" s="2515"/>
      <c r="AA428" s="2515"/>
      <c r="AB428" s="2515"/>
      <c r="AC428" s="2515"/>
      <c r="AD428" s="2515"/>
      <c r="AE428" s="2515"/>
      <c r="AF428" s="1290"/>
      <c r="AG428" s="1290"/>
      <c r="AH428" s="1290"/>
      <c r="AI428" s="1290"/>
      <c r="AJ428" s="1290"/>
      <c r="AK428" s="1290"/>
      <c r="AL428" s="1478"/>
      <c r="AM428" s="1208"/>
      <c r="AN428" s="1297"/>
    </row>
    <row r="429" spans="1:60" s="1223" customFormat="1" ht="12.75" customHeight="1">
      <c r="A429" s="1208"/>
      <c r="B429" s="1206"/>
      <c r="C429" s="1479"/>
      <c r="D429" s="1268"/>
      <c r="E429" s="1447"/>
      <c r="F429" s="2515"/>
      <c r="G429" s="2515"/>
      <c r="H429" s="2515"/>
      <c r="I429" s="2515"/>
      <c r="J429" s="2515"/>
      <c r="K429" s="2515"/>
      <c r="L429" s="2515"/>
      <c r="M429" s="2515"/>
      <c r="N429" s="2515"/>
      <c r="O429" s="2515"/>
      <c r="P429" s="2515"/>
      <c r="Q429" s="2515"/>
      <c r="R429" s="2515"/>
      <c r="S429" s="2515"/>
      <c r="T429" s="2515"/>
      <c r="U429" s="2515"/>
      <c r="V429" s="2515"/>
      <c r="W429" s="2515"/>
      <c r="X429" s="2515"/>
      <c r="Y429" s="2515"/>
      <c r="Z429" s="2515"/>
      <c r="AA429" s="2515"/>
      <c r="AB429" s="2515"/>
      <c r="AC429" s="2515"/>
      <c r="AD429" s="2515"/>
      <c r="AE429" s="2515"/>
      <c r="AF429" s="1290"/>
      <c r="AG429" s="1290"/>
      <c r="AH429" s="1290"/>
      <c r="AI429" s="1290"/>
      <c r="AJ429" s="1290"/>
      <c r="AK429" s="1290"/>
      <c r="AL429" s="1478"/>
      <c r="AM429" s="1208"/>
      <c r="AN429" s="1297"/>
    </row>
    <row r="430" spans="1:60" s="1223" customFormat="1" ht="17.25" customHeight="1">
      <c r="A430" s="1208"/>
      <c r="B430" s="1206"/>
      <c r="C430" s="1479"/>
      <c r="D430" s="1268"/>
      <c r="E430" s="1447"/>
      <c r="F430" s="2515"/>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L430" s="1461"/>
      <c r="AM430" s="1208"/>
      <c r="AN430" s="1297"/>
    </row>
    <row r="431" spans="1:60" s="1223" customFormat="1" ht="12.75" customHeight="1">
      <c r="A431" s="1208"/>
      <c r="B431" s="1206"/>
      <c r="C431" s="2527" t="s">
        <v>618</v>
      </c>
      <c r="D431" s="2469"/>
      <c r="E431" s="1447"/>
      <c r="F431" s="1383" t="s">
        <v>1696</v>
      </c>
      <c r="G431" s="1295"/>
      <c r="H431" s="1295"/>
      <c r="I431" s="1295"/>
      <c r="J431" s="1295"/>
      <c r="K431" s="1295"/>
      <c r="L431" s="1295"/>
      <c r="M431" s="1295"/>
      <c r="N431" s="1295"/>
      <c r="O431" s="1295"/>
      <c r="P431" s="1295"/>
      <c r="Q431" s="1295"/>
      <c r="R431" s="1295"/>
      <c r="S431" s="1295"/>
      <c r="T431" s="1295"/>
      <c r="U431" s="1295"/>
      <c r="V431" s="1295"/>
      <c r="W431" s="1295"/>
      <c r="X431" s="1295"/>
      <c r="Y431" s="1295"/>
      <c r="Z431" s="1295"/>
      <c r="AA431" s="1295"/>
      <c r="AB431" s="1295"/>
      <c r="AC431" s="1295"/>
      <c r="AD431" s="1295"/>
      <c r="AF431" s="2463" t="s">
        <v>1671</v>
      </c>
      <c r="AG431" s="2463"/>
      <c r="AH431" s="2463"/>
      <c r="AI431" s="2463"/>
      <c r="AJ431" s="2463"/>
      <c r="AK431" s="2463"/>
      <c r="AL431" s="2532"/>
      <c r="AM431" s="1208"/>
      <c r="AN431" s="1297"/>
    </row>
    <row r="432" spans="1:60" s="1223" customFormat="1" ht="12.75" customHeight="1">
      <c r="A432" s="1208"/>
      <c r="B432" s="1206"/>
      <c r="C432" s="1471"/>
      <c r="D432" s="1456"/>
      <c r="E432" s="1453"/>
      <c r="F432" s="1470"/>
      <c r="G432" s="1455"/>
      <c r="H432" s="145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6"/>
      <c r="AF432" s="1456"/>
      <c r="AG432" s="1456"/>
      <c r="AH432" s="1456"/>
      <c r="AI432" s="1456"/>
      <c r="AJ432" s="1456"/>
      <c r="AK432" s="1456"/>
      <c r="AL432" s="1467"/>
      <c r="AM432" s="1208"/>
      <c r="AN432" s="1297"/>
    </row>
    <row r="433" spans="1:54" s="1223" customFormat="1" ht="12.75" customHeight="1">
      <c r="A433" s="1208"/>
      <c r="B433" s="1206"/>
      <c r="C433" s="1268"/>
      <c r="D433" s="1268"/>
      <c r="E433" s="1447"/>
      <c r="F433" s="1449"/>
      <c r="G433" s="1296"/>
      <c r="H433" s="1296"/>
      <c r="I433" s="1296"/>
      <c r="J433" s="1296"/>
      <c r="K433" s="1296"/>
      <c r="L433" s="1296"/>
      <c r="M433" s="1296"/>
      <c r="N433" s="1296"/>
      <c r="O433" s="1296"/>
      <c r="P433" s="1296"/>
      <c r="Q433" s="1296"/>
      <c r="R433" s="1296"/>
      <c r="S433" s="1296"/>
      <c r="T433" s="1296"/>
      <c r="U433" s="1296"/>
      <c r="V433" s="1296"/>
      <c r="W433" s="1296"/>
      <c r="X433" s="1296"/>
      <c r="Y433" s="1296"/>
      <c r="Z433" s="1296"/>
      <c r="AA433" s="1296"/>
      <c r="AB433" s="1296"/>
      <c r="AC433" s="1296"/>
      <c r="AD433" s="1296"/>
      <c r="AE433" s="1287"/>
      <c r="AF433" s="1287"/>
      <c r="AG433" s="1287"/>
      <c r="AH433" s="1287"/>
      <c r="AI433" s="1287"/>
      <c r="AJ433" s="1287"/>
      <c r="AK433" s="1287"/>
      <c r="AL433" s="1287"/>
      <c r="AM433" s="1208"/>
      <c r="AN433" s="1297"/>
    </row>
    <row r="434" spans="1:54" s="1223" customFormat="1" ht="12.75" customHeight="1">
      <c r="A434" s="1208"/>
      <c r="B434" s="1206"/>
      <c r="C434" s="1441"/>
      <c r="D434" s="1442"/>
      <c r="E434" s="1443" t="s">
        <v>1697</v>
      </c>
      <c r="F434" s="2528" t="s">
        <v>1698</v>
      </c>
      <c r="G434" s="2528"/>
      <c r="H434" s="2528"/>
      <c r="I434" s="2528"/>
      <c r="J434" s="2528"/>
      <c r="K434" s="2528"/>
      <c r="L434" s="2528"/>
      <c r="M434" s="2528"/>
      <c r="N434" s="2528"/>
      <c r="O434" s="2528"/>
      <c r="P434" s="2528"/>
      <c r="Q434" s="2528"/>
      <c r="R434" s="2528"/>
      <c r="S434" s="2528"/>
      <c r="T434" s="2528"/>
      <c r="U434" s="2528"/>
      <c r="V434" s="2528"/>
      <c r="W434" s="2528"/>
      <c r="X434" s="2528"/>
      <c r="Y434" s="2528"/>
      <c r="Z434" s="2528"/>
      <c r="AA434" s="2528"/>
      <c r="AB434" s="2528"/>
      <c r="AC434" s="2528"/>
      <c r="AD434" s="2528"/>
      <c r="AE434" s="2528"/>
      <c r="AF434" s="1442"/>
      <c r="AG434" s="1442"/>
      <c r="AH434" s="1442"/>
      <c r="AI434" s="1442"/>
      <c r="AJ434" s="1442"/>
      <c r="AK434" s="1442"/>
      <c r="AL434" s="1472"/>
      <c r="AM434" s="1208"/>
      <c r="AN434" s="1297"/>
      <c r="AO434" s="1223" t="s">
        <v>618</v>
      </c>
      <c r="AP434" s="1223">
        <v>0</v>
      </c>
      <c r="AQ434" s="1480"/>
    </row>
    <row r="435" spans="1:54" s="1223" customFormat="1" ht="12.75" customHeight="1">
      <c r="A435" s="1208"/>
      <c r="B435" s="1206"/>
      <c r="C435" s="1479"/>
      <c r="D435" s="1268"/>
      <c r="E435" s="1447"/>
      <c r="F435" s="2515"/>
      <c r="G435" s="2515"/>
      <c r="H435" s="2515"/>
      <c r="I435" s="2515"/>
      <c r="J435" s="2515"/>
      <c r="K435" s="2515"/>
      <c r="L435" s="2515"/>
      <c r="M435" s="2515"/>
      <c r="N435" s="2515"/>
      <c r="O435" s="2515"/>
      <c r="P435" s="2515"/>
      <c r="Q435" s="2515"/>
      <c r="R435" s="2515"/>
      <c r="S435" s="2515"/>
      <c r="T435" s="2515"/>
      <c r="U435" s="2515"/>
      <c r="V435" s="2515"/>
      <c r="W435" s="2515"/>
      <c r="X435" s="2515"/>
      <c r="Y435" s="2515"/>
      <c r="Z435" s="2515"/>
      <c r="AA435" s="2515"/>
      <c r="AB435" s="2515"/>
      <c r="AC435" s="2515"/>
      <c r="AD435" s="2515"/>
      <c r="AE435" s="2515"/>
      <c r="AF435" s="1287"/>
      <c r="AG435" s="1287"/>
      <c r="AH435" s="1287"/>
      <c r="AI435" s="1287"/>
      <c r="AJ435" s="1287"/>
      <c r="AK435" s="1287"/>
      <c r="AL435" s="1448"/>
      <c r="AM435" s="1208"/>
      <c r="AN435" s="1297"/>
      <c r="AO435" s="1223" t="s">
        <v>1699</v>
      </c>
      <c r="AP435" s="1223">
        <v>5</v>
      </c>
      <c r="AQ435" s="1480"/>
    </row>
    <row r="436" spans="1:54" s="1223" customFormat="1" ht="12.75" customHeight="1">
      <c r="A436" s="1208"/>
      <c r="B436" s="1206"/>
      <c r="C436" s="1479"/>
      <c r="D436" s="1268"/>
      <c r="E436" s="1447"/>
      <c r="F436" s="2515"/>
      <c r="G436" s="2515"/>
      <c r="H436" s="2515"/>
      <c r="I436" s="2515"/>
      <c r="J436" s="2515"/>
      <c r="K436" s="2515"/>
      <c r="L436" s="2515"/>
      <c r="M436" s="2515"/>
      <c r="N436" s="2515"/>
      <c r="O436" s="2515"/>
      <c r="P436" s="2515"/>
      <c r="Q436" s="2515"/>
      <c r="R436" s="2515"/>
      <c r="S436" s="2515"/>
      <c r="T436" s="2515"/>
      <c r="U436" s="2515"/>
      <c r="V436" s="2515"/>
      <c r="W436" s="2515"/>
      <c r="X436" s="2515"/>
      <c r="Y436" s="2515"/>
      <c r="Z436" s="2515"/>
      <c r="AA436" s="2515"/>
      <c r="AB436" s="2515"/>
      <c r="AC436" s="2515"/>
      <c r="AD436" s="2515"/>
      <c r="AE436" s="2515"/>
      <c r="AF436" s="1287"/>
      <c r="AG436" s="1287"/>
      <c r="AH436" s="1287"/>
      <c r="AI436" s="1287"/>
      <c r="AJ436" s="1287"/>
      <c r="AK436" s="1287"/>
      <c r="AL436" s="1448"/>
      <c r="AM436" s="1208"/>
      <c r="AN436" s="1297"/>
      <c r="AO436" s="1223" t="s">
        <v>1700</v>
      </c>
      <c r="AP436" s="1223">
        <v>5</v>
      </c>
      <c r="AQ436" s="1480"/>
    </row>
    <row r="437" spans="1:54" s="1223" customFormat="1" ht="12.75" customHeight="1">
      <c r="A437" s="1208"/>
      <c r="B437" s="1206"/>
      <c r="C437" s="1479"/>
      <c r="D437" s="1268"/>
      <c r="E437" s="1447"/>
      <c r="F437" s="2515"/>
      <c r="G437" s="2515"/>
      <c r="H437" s="2515"/>
      <c r="I437" s="2515"/>
      <c r="J437" s="2515"/>
      <c r="K437" s="2515"/>
      <c r="L437" s="2515"/>
      <c r="M437" s="2515"/>
      <c r="N437" s="2515"/>
      <c r="O437" s="2515"/>
      <c r="P437" s="2515"/>
      <c r="Q437" s="2515"/>
      <c r="R437" s="2515"/>
      <c r="S437" s="2515"/>
      <c r="T437" s="2515"/>
      <c r="U437" s="2515"/>
      <c r="V437" s="2515"/>
      <c r="W437" s="2515"/>
      <c r="X437" s="2515"/>
      <c r="Y437" s="2515"/>
      <c r="Z437" s="2515"/>
      <c r="AA437" s="2515"/>
      <c r="AB437" s="2515"/>
      <c r="AC437" s="2515"/>
      <c r="AD437" s="2515"/>
      <c r="AE437" s="2515"/>
      <c r="AL437" s="1461"/>
      <c r="AM437" s="1208"/>
      <c r="AN437" s="1297"/>
      <c r="AO437" s="1223" t="s">
        <v>1701</v>
      </c>
      <c r="AP437" s="1223">
        <v>5</v>
      </c>
      <c r="AQ437" s="1208"/>
    </row>
    <row r="438" spans="1:54" s="1223" customFormat="1" ht="12.75" customHeight="1">
      <c r="A438" s="1208"/>
      <c r="B438" s="1206"/>
      <c r="C438" s="2527" t="s">
        <v>618</v>
      </c>
      <c r="D438" s="2469"/>
      <c r="E438" s="1447"/>
      <c r="F438" s="1449" t="s">
        <v>1702</v>
      </c>
      <c r="G438" s="1296"/>
      <c r="H438" s="1296"/>
      <c r="I438" s="1296"/>
      <c r="J438" s="1296"/>
      <c r="K438" s="1296"/>
      <c r="L438" s="1296"/>
      <c r="M438" s="1296"/>
      <c r="N438" s="1296"/>
      <c r="O438" s="1296"/>
      <c r="P438" s="1296"/>
      <c r="Q438" s="1296"/>
      <c r="R438" s="1296"/>
      <c r="S438" s="1296"/>
      <c r="T438" s="1296"/>
      <c r="U438" s="1296"/>
      <c r="V438" s="1296"/>
      <c r="W438" s="1296"/>
      <c r="X438" s="1296"/>
      <c r="Y438" s="1296"/>
      <c r="Z438" s="1296"/>
      <c r="AA438" s="1296"/>
      <c r="AB438" s="1296"/>
      <c r="AC438" s="1296"/>
      <c r="AD438" s="1296"/>
      <c r="AF438" s="2463" t="s">
        <v>1671</v>
      </c>
      <c r="AG438" s="2463"/>
      <c r="AH438" s="2463"/>
      <c r="AI438" s="2463"/>
      <c r="AJ438" s="2463"/>
      <c r="AK438" s="2463"/>
      <c r="AL438" s="2532"/>
      <c r="AM438" s="1208"/>
      <c r="AN438" s="1481"/>
      <c r="AO438" s="1223" t="s">
        <v>1703</v>
      </c>
      <c r="AP438" s="1223">
        <v>5</v>
      </c>
    </row>
    <row r="439" spans="1:54" s="1223" customFormat="1" ht="12.75" customHeight="1">
      <c r="A439" s="1208"/>
      <c r="B439" s="1206"/>
      <c r="C439" s="1479"/>
      <c r="D439" s="1268"/>
      <c r="E439" s="1447"/>
      <c r="F439" s="1449"/>
      <c r="G439" s="1296"/>
      <c r="H439" s="1296"/>
      <c r="I439" s="1296"/>
      <c r="J439" s="1296"/>
      <c r="K439" s="1296"/>
      <c r="L439" s="1296"/>
      <c r="M439" s="1296"/>
      <c r="N439" s="1296"/>
      <c r="O439" s="1296"/>
      <c r="P439" s="1296"/>
      <c r="Q439" s="1296"/>
      <c r="R439" s="1296"/>
      <c r="S439" s="1296"/>
      <c r="T439" s="1296"/>
      <c r="U439" s="1296"/>
      <c r="V439" s="1296"/>
      <c r="W439" s="1296"/>
      <c r="X439" s="1296"/>
      <c r="Y439" s="1296"/>
      <c r="Z439" s="1296"/>
      <c r="AA439" s="1296"/>
      <c r="AB439" s="1296"/>
      <c r="AC439" s="1296"/>
      <c r="AD439" s="1296"/>
      <c r="AE439" s="1287"/>
      <c r="AL439" s="1461"/>
      <c r="AM439" s="1208"/>
      <c r="AN439" s="1481"/>
      <c r="AO439" s="1223" t="s">
        <v>1704</v>
      </c>
      <c r="AP439" s="1223">
        <v>5</v>
      </c>
    </row>
    <row r="440" spans="1:54" s="1223" customFormat="1" ht="12.75" customHeight="1">
      <c r="A440" s="1208"/>
      <c r="B440" s="1206"/>
      <c r="C440" s="1462"/>
      <c r="D440" s="1463"/>
      <c r="E440" s="1464"/>
      <c r="F440" s="1456" t="s">
        <v>1678</v>
      </c>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344"/>
      <c r="AF440" s="1262"/>
      <c r="AG440" s="1344"/>
      <c r="AH440" s="1456"/>
      <c r="AI440" s="1456"/>
      <c r="AJ440" s="1456"/>
      <c r="AK440" s="1456"/>
      <c r="AL440" s="1467"/>
      <c r="AM440" s="1208"/>
      <c r="AN440" s="1481"/>
      <c r="AO440" s="1223" t="s">
        <v>1705</v>
      </c>
      <c r="AP440" s="1223">
        <v>5</v>
      </c>
    </row>
    <row r="441" spans="1:54" s="1223" customFormat="1" ht="12.75" customHeight="1">
      <c r="A441" s="1208"/>
      <c r="B441" s="1206"/>
      <c r="C441" s="1268"/>
      <c r="D441" s="1268"/>
      <c r="E441" s="1447"/>
      <c r="F441" s="1449"/>
      <c r="G441" s="1296"/>
      <c r="H441" s="1296"/>
      <c r="I441" s="1296"/>
      <c r="J441" s="1296"/>
      <c r="K441" s="1296"/>
      <c r="L441" s="1296"/>
      <c r="M441" s="1296"/>
      <c r="N441" s="1296"/>
      <c r="O441" s="1296"/>
      <c r="P441" s="1296"/>
      <c r="Q441" s="1296"/>
      <c r="R441" s="1296"/>
      <c r="S441" s="1296"/>
      <c r="T441" s="1296"/>
      <c r="U441" s="1296"/>
      <c r="V441" s="1296"/>
      <c r="W441" s="1296"/>
      <c r="X441" s="1296"/>
      <c r="Y441" s="1296"/>
      <c r="Z441" s="1296"/>
      <c r="AA441" s="1296"/>
      <c r="AB441" s="1296"/>
      <c r="AC441" s="1296"/>
      <c r="AD441" s="1296"/>
      <c r="AE441" s="1287"/>
      <c r="AM441" s="1208"/>
      <c r="AN441" s="1481"/>
      <c r="AO441" s="1223" t="s">
        <v>1706</v>
      </c>
      <c r="AP441" s="1223">
        <v>5</v>
      </c>
    </row>
    <row r="442" spans="1:54" s="1223" customFormat="1" ht="12.75" customHeight="1">
      <c r="A442" s="1208"/>
      <c r="B442" s="1206"/>
      <c r="C442" s="2533" t="s">
        <v>618</v>
      </c>
      <c r="D442" s="2534"/>
      <c r="E442" s="1443" t="s">
        <v>1707</v>
      </c>
      <c r="F442" s="2528" t="s">
        <v>1708</v>
      </c>
      <c r="G442" s="2528"/>
      <c r="H442" s="2528"/>
      <c r="I442" s="2528"/>
      <c r="J442" s="2528"/>
      <c r="K442" s="2528"/>
      <c r="L442" s="2528"/>
      <c r="M442" s="2528"/>
      <c r="N442" s="2528"/>
      <c r="O442" s="2528"/>
      <c r="P442" s="2528"/>
      <c r="Q442" s="2528"/>
      <c r="R442" s="2528"/>
      <c r="S442" s="2528"/>
      <c r="T442" s="2528"/>
      <c r="U442" s="2528"/>
      <c r="V442" s="2528"/>
      <c r="W442" s="2528"/>
      <c r="X442" s="2528"/>
      <c r="Y442" s="2528"/>
      <c r="Z442" s="2528"/>
      <c r="AA442" s="2528"/>
      <c r="AB442" s="2528"/>
      <c r="AC442" s="2528"/>
      <c r="AD442" s="2528"/>
      <c r="AE442" s="2528"/>
      <c r="AF442" s="2529" t="s">
        <v>1671</v>
      </c>
      <c r="AG442" s="2529"/>
      <c r="AH442" s="2529"/>
      <c r="AI442" s="2529"/>
      <c r="AJ442" s="2529"/>
      <c r="AK442" s="2529"/>
      <c r="AL442" s="2530"/>
      <c r="AM442" s="1208"/>
      <c r="AN442" s="1481"/>
      <c r="AO442" s="1223" t="s">
        <v>1709</v>
      </c>
      <c r="AP442" s="1223">
        <v>1</v>
      </c>
    </row>
    <row r="443" spans="1:54" s="1223" customFormat="1" ht="12.75" customHeight="1">
      <c r="A443" s="1208"/>
      <c r="B443" s="1206"/>
      <c r="C443" s="1479"/>
      <c r="D443" s="1268"/>
      <c r="E443" s="1447"/>
      <c r="F443" s="2515"/>
      <c r="G443" s="2515"/>
      <c r="H443" s="2515"/>
      <c r="I443" s="2515"/>
      <c r="J443" s="2515"/>
      <c r="K443" s="2515"/>
      <c r="L443" s="2515"/>
      <c r="M443" s="2515"/>
      <c r="N443" s="2515"/>
      <c r="O443" s="2515"/>
      <c r="P443" s="2515"/>
      <c r="Q443" s="2515"/>
      <c r="R443" s="2515"/>
      <c r="S443" s="2515"/>
      <c r="T443" s="2515"/>
      <c r="U443" s="2515"/>
      <c r="V443" s="2515"/>
      <c r="W443" s="2515"/>
      <c r="X443" s="2515"/>
      <c r="Y443" s="2515"/>
      <c r="Z443" s="2515"/>
      <c r="AA443" s="2515"/>
      <c r="AB443" s="2515"/>
      <c r="AC443" s="2515"/>
      <c r="AD443" s="2515"/>
      <c r="AE443" s="2515"/>
      <c r="AF443" s="1287"/>
      <c r="AG443" s="1287"/>
      <c r="AH443" s="1287"/>
      <c r="AI443" s="1287"/>
      <c r="AJ443" s="1287"/>
      <c r="AK443" s="1287"/>
      <c r="AL443" s="1448"/>
      <c r="AM443" s="1208"/>
      <c r="AN443" s="1482"/>
      <c r="AS443" s="1483"/>
      <c r="AW443" s="1483" t="s">
        <v>1710</v>
      </c>
      <c r="BA443" s="1483" t="s">
        <v>1711</v>
      </c>
    </row>
    <row r="444" spans="1:54" s="1223" customFormat="1" ht="17.649999999999999" customHeight="1">
      <c r="A444" s="1208"/>
      <c r="B444" s="1206"/>
      <c r="C444" s="1451"/>
      <c r="D444" s="1452"/>
      <c r="E444" s="1453"/>
      <c r="F444" s="2516"/>
      <c r="G444" s="2516"/>
      <c r="H444" s="2516"/>
      <c r="I444" s="2516"/>
      <c r="J444" s="2516"/>
      <c r="K444" s="2516"/>
      <c r="L444" s="2516"/>
      <c r="M444" s="2516"/>
      <c r="N444" s="2516"/>
      <c r="O444" s="2516"/>
      <c r="P444" s="2516"/>
      <c r="Q444" s="2516"/>
      <c r="R444" s="2516"/>
      <c r="S444" s="2516"/>
      <c r="T444" s="2516"/>
      <c r="U444" s="2516"/>
      <c r="V444" s="2516"/>
      <c r="W444" s="2516"/>
      <c r="X444" s="2516"/>
      <c r="Y444" s="2516"/>
      <c r="Z444" s="2516"/>
      <c r="AA444" s="2516"/>
      <c r="AB444" s="2516"/>
      <c r="AC444" s="2516"/>
      <c r="AD444" s="2516"/>
      <c r="AE444" s="2516"/>
      <c r="AF444" s="1484"/>
      <c r="AG444" s="1484"/>
      <c r="AH444" s="1484"/>
      <c r="AI444" s="1484"/>
      <c r="AJ444" s="1484"/>
      <c r="AK444" s="1484"/>
      <c r="AL444" s="1457"/>
      <c r="AM444" s="1208"/>
      <c r="AN444" s="1207"/>
      <c r="AO444" s="1223" t="s">
        <v>618</v>
      </c>
      <c r="AP444" s="1386">
        <v>0</v>
      </c>
      <c r="AR444" s="1223" t="s">
        <v>618</v>
      </c>
      <c r="AS444" s="1386">
        <v>0</v>
      </c>
      <c r="AT444" s="1485"/>
      <c r="AW444" s="1223" t="s">
        <v>618</v>
      </c>
      <c r="AX444" s="1485">
        <v>0</v>
      </c>
      <c r="BA444" s="1223" t="s">
        <v>618</v>
      </c>
      <c r="BB444" s="1485">
        <v>0</v>
      </c>
    </row>
    <row r="445" spans="1:54" s="1223" customFormat="1" ht="12.75" customHeight="1">
      <c r="A445" s="1208"/>
      <c r="B445" s="1206"/>
      <c r="C445" s="1268"/>
      <c r="D445" s="1268"/>
      <c r="E445" s="1447"/>
      <c r="F445" s="1449"/>
      <c r="G445" s="1296"/>
      <c r="H445" s="1296"/>
      <c r="I445" s="1296"/>
      <c r="J445" s="1296"/>
      <c r="K445" s="1296"/>
      <c r="L445" s="1296"/>
      <c r="M445" s="1296"/>
      <c r="N445" s="1296"/>
      <c r="O445" s="1296"/>
      <c r="P445" s="1296"/>
      <c r="Q445" s="1296"/>
      <c r="R445" s="1296"/>
      <c r="S445" s="1296"/>
      <c r="T445" s="1296"/>
      <c r="U445" s="1296"/>
      <c r="V445" s="1296"/>
      <c r="W445" s="1296"/>
      <c r="X445" s="1296"/>
      <c r="Y445" s="1296"/>
      <c r="Z445" s="1296"/>
      <c r="AA445" s="1296"/>
      <c r="AB445" s="1296"/>
      <c r="AC445" s="1296"/>
      <c r="AD445" s="1296"/>
      <c r="AE445" s="1287"/>
      <c r="AM445" s="1208"/>
      <c r="AN445" s="1207"/>
      <c r="AO445" s="1486">
        <v>7.0000000000000007E-2</v>
      </c>
      <c r="AP445" s="1386">
        <v>3</v>
      </c>
      <c r="AR445" s="1223" t="s">
        <v>1712</v>
      </c>
      <c r="AS445" s="1386">
        <v>3</v>
      </c>
      <c r="AT445" s="1485"/>
      <c r="AW445" s="1486">
        <v>0.4</v>
      </c>
      <c r="AX445" s="1485">
        <v>3</v>
      </c>
      <c r="BA445" s="1486">
        <v>0.4</v>
      </c>
      <c r="BB445" s="1485">
        <v>4</v>
      </c>
    </row>
    <row r="446" spans="1:54" s="1223" customFormat="1" ht="12.75" customHeight="1">
      <c r="A446" s="1208"/>
      <c r="B446" s="1206"/>
      <c r="C446" s="2527" t="s">
        <v>618</v>
      </c>
      <c r="D446" s="2469"/>
      <c r="E446" s="1443" t="s">
        <v>1713</v>
      </c>
      <c r="F446" s="2528" t="s">
        <v>1714</v>
      </c>
      <c r="G446" s="2528"/>
      <c r="H446" s="2528"/>
      <c r="I446" s="2528"/>
      <c r="J446" s="2528"/>
      <c r="K446" s="2528"/>
      <c r="L446" s="2528"/>
      <c r="M446" s="2528"/>
      <c r="N446" s="2528"/>
      <c r="O446" s="2528"/>
      <c r="P446" s="2528"/>
      <c r="Q446" s="2528"/>
      <c r="R446" s="2528"/>
      <c r="S446" s="2528"/>
      <c r="T446" s="2528"/>
      <c r="U446" s="2528"/>
      <c r="V446" s="2528"/>
      <c r="W446" s="2528"/>
      <c r="X446" s="2528"/>
      <c r="Y446" s="2528"/>
      <c r="Z446" s="2528"/>
      <c r="AA446" s="2528"/>
      <c r="AB446" s="2528"/>
      <c r="AC446" s="2528"/>
      <c r="AD446" s="2528"/>
      <c r="AE446" s="2528"/>
      <c r="AF446" s="2529" t="s">
        <v>1671</v>
      </c>
      <c r="AG446" s="2529"/>
      <c r="AH446" s="2529"/>
      <c r="AI446" s="2529"/>
      <c r="AJ446" s="2529"/>
      <c r="AK446" s="2529"/>
      <c r="AL446" s="2530"/>
      <c r="AM446" s="1208"/>
      <c r="AN446" s="1207"/>
      <c r="AO446" s="1486">
        <v>0.12</v>
      </c>
      <c r="AP446" s="1386">
        <v>5</v>
      </c>
      <c r="AR446" s="1223" t="s">
        <v>1715</v>
      </c>
      <c r="AS446" s="1386">
        <v>5</v>
      </c>
      <c r="AT446" s="1485"/>
      <c r="AW446" s="1486">
        <v>0.6</v>
      </c>
      <c r="AX446" s="1485">
        <v>4</v>
      </c>
      <c r="BA446" s="1486">
        <v>0.6</v>
      </c>
      <c r="BB446" s="1485">
        <v>5</v>
      </c>
    </row>
    <row r="447" spans="1:54" s="1223" customFormat="1" ht="12.75" customHeight="1">
      <c r="A447" s="1208"/>
      <c r="B447" s="1206"/>
      <c r="C447" s="1459"/>
      <c r="D447" s="1206"/>
      <c r="E447" s="1460"/>
      <c r="F447" s="2515"/>
      <c r="G447" s="2515"/>
      <c r="H447" s="2515"/>
      <c r="I447" s="2515"/>
      <c r="J447" s="2515"/>
      <c r="K447" s="2515"/>
      <c r="L447" s="2515"/>
      <c r="M447" s="2515"/>
      <c r="N447" s="2515"/>
      <c r="O447" s="2515"/>
      <c r="P447" s="2515"/>
      <c r="Q447" s="2515"/>
      <c r="R447" s="2515"/>
      <c r="S447" s="2515"/>
      <c r="T447" s="2515"/>
      <c r="U447" s="2515"/>
      <c r="V447" s="2515"/>
      <c r="W447" s="2515"/>
      <c r="X447" s="2515"/>
      <c r="Y447" s="2515"/>
      <c r="Z447" s="2515"/>
      <c r="AA447" s="2515"/>
      <c r="AB447" s="2515"/>
      <c r="AC447" s="2515"/>
      <c r="AD447" s="2515"/>
      <c r="AE447" s="2515"/>
      <c r="AF447" s="1211"/>
      <c r="AG447" s="1208"/>
      <c r="AL447" s="1461"/>
      <c r="AM447" s="1208"/>
      <c r="AN447" s="1207"/>
      <c r="AO447" s="1486"/>
      <c r="AP447" s="1485"/>
      <c r="AS447" s="1486"/>
      <c r="AT447" s="1485"/>
      <c r="AW447" s="1486">
        <v>0.8</v>
      </c>
      <c r="AX447" s="1485">
        <v>5</v>
      </c>
      <c r="BA447" s="1486"/>
      <c r="BB447" s="1485"/>
    </row>
    <row r="448" spans="1:54" s="1223" customFormat="1" ht="12.75" customHeight="1">
      <c r="A448" s="1208"/>
      <c r="B448" s="1206"/>
      <c r="C448" s="1459"/>
      <c r="D448" s="1206"/>
      <c r="E448" s="1460"/>
      <c r="F448" s="2515"/>
      <c r="G448" s="2515"/>
      <c r="H448" s="2515"/>
      <c r="I448" s="2515"/>
      <c r="J448" s="2515"/>
      <c r="K448" s="2515"/>
      <c r="L448" s="2515"/>
      <c r="M448" s="2515"/>
      <c r="N448" s="2515"/>
      <c r="O448" s="2515"/>
      <c r="P448" s="2515"/>
      <c r="Q448" s="2515"/>
      <c r="R448" s="2515"/>
      <c r="S448" s="2515"/>
      <c r="T448" s="2515"/>
      <c r="U448" s="2515"/>
      <c r="V448" s="2515"/>
      <c r="W448" s="2515"/>
      <c r="X448" s="2515"/>
      <c r="Y448" s="2515"/>
      <c r="Z448" s="2515"/>
      <c r="AA448" s="2515"/>
      <c r="AB448" s="2515"/>
      <c r="AC448" s="2515"/>
      <c r="AD448" s="2515"/>
      <c r="AE448" s="2515"/>
      <c r="AF448" s="1211"/>
      <c r="AG448" s="1208"/>
      <c r="AL448" s="1461"/>
      <c r="AM448" s="1208"/>
      <c r="AN448" s="1207"/>
      <c r="AO448" s="1223" t="s">
        <v>618</v>
      </c>
      <c r="AP448" s="1386">
        <v>0</v>
      </c>
      <c r="AW448" s="1486"/>
      <c r="AX448" s="1485"/>
    </row>
    <row r="449" spans="1:49" s="1223" customFormat="1" ht="12.75" customHeight="1">
      <c r="A449" s="1208"/>
      <c r="B449" s="1206"/>
      <c r="C449" s="1451"/>
      <c r="D449" s="1452"/>
      <c r="E449" s="1453"/>
      <c r="F449" s="2516"/>
      <c r="G449" s="2516"/>
      <c r="H449" s="2516"/>
      <c r="I449" s="2516"/>
      <c r="J449" s="2516"/>
      <c r="K449" s="2516"/>
      <c r="L449" s="2516"/>
      <c r="M449" s="2516"/>
      <c r="N449" s="2516"/>
      <c r="O449" s="2516"/>
      <c r="P449" s="2516"/>
      <c r="Q449" s="2516"/>
      <c r="R449" s="2516"/>
      <c r="S449" s="2516"/>
      <c r="T449" s="2516"/>
      <c r="U449" s="2516"/>
      <c r="V449" s="2516"/>
      <c r="W449" s="2516"/>
      <c r="X449" s="2516"/>
      <c r="Y449" s="2516"/>
      <c r="Z449" s="2516"/>
      <c r="AA449" s="2516"/>
      <c r="AB449" s="2516"/>
      <c r="AC449" s="2516"/>
      <c r="AD449" s="2516"/>
      <c r="AE449" s="2516"/>
      <c r="AF449" s="1484"/>
      <c r="AG449" s="1484"/>
      <c r="AH449" s="1484"/>
      <c r="AI449" s="1484"/>
      <c r="AJ449" s="1484"/>
      <c r="AK449" s="1484"/>
      <c r="AL449" s="1457"/>
      <c r="AM449" s="1208"/>
      <c r="AN449" s="1297"/>
      <c r="AO449" s="1486">
        <v>0.09</v>
      </c>
      <c r="AP449" s="1386">
        <v>3</v>
      </c>
      <c r="AS449" s="1483"/>
    </row>
    <row r="450" spans="1:49" s="1223" customFormat="1" ht="12.75" customHeight="1">
      <c r="A450" s="1208"/>
      <c r="B450" s="1206"/>
      <c r="G450" s="1296"/>
      <c r="H450" s="1296"/>
      <c r="I450" s="1296"/>
      <c r="J450" s="1296"/>
      <c r="K450" s="1296"/>
      <c r="L450" s="1296"/>
      <c r="M450" s="1296"/>
      <c r="N450" s="1296"/>
      <c r="O450" s="1296"/>
      <c r="P450" s="1296"/>
      <c r="Q450" s="1296"/>
      <c r="R450" s="1296"/>
      <c r="S450" s="1296"/>
      <c r="T450" s="1296"/>
      <c r="U450" s="1296"/>
      <c r="V450" s="1296"/>
      <c r="W450" s="1296"/>
      <c r="X450" s="1296"/>
      <c r="Y450" s="1296"/>
      <c r="Z450" s="1296"/>
      <c r="AA450" s="1296"/>
      <c r="AB450" s="1296"/>
      <c r="AC450" s="1296"/>
      <c r="AD450" s="1296"/>
      <c r="AM450" s="1208"/>
      <c r="AN450" s="1297"/>
      <c r="AO450" s="1486">
        <v>0.15</v>
      </c>
      <c r="AP450" s="1386">
        <v>5</v>
      </c>
    </row>
    <row r="451" spans="1:49" s="1223" customFormat="1" ht="12.75" customHeight="1">
      <c r="A451" s="1208"/>
      <c r="B451" s="1206"/>
      <c r="C451" s="1441"/>
      <c r="D451" s="1442"/>
      <c r="E451" s="1443" t="s">
        <v>1716</v>
      </c>
      <c r="F451" s="2528" t="s">
        <v>1717</v>
      </c>
      <c r="G451" s="2528"/>
      <c r="H451" s="2528"/>
      <c r="I451" s="2528"/>
      <c r="J451" s="2528"/>
      <c r="K451" s="2528"/>
      <c r="L451" s="2528"/>
      <c r="M451" s="2528"/>
      <c r="N451" s="2528"/>
      <c r="O451" s="2528"/>
      <c r="P451" s="2528"/>
      <c r="Q451" s="2528"/>
      <c r="R451" s="2528"/>
      <c r="S451" s="2528"/>
      <c r="T451" s="2528"/>
      <c r="U451" s="2528"/>
      <c r="V451" s="2528"/>
      <c r="W451" s="2528"/>
      <c r="X451" s="2528"/>
      <c r="Y451" s="2528"/>
      <c r="Z451" s="2528"/>
      <c r="AA451" s="2528"/>
      <c r="AB451" s="2528"/>
      <c r="AC451" s="2528"/>
      <c r="AD451" s="2528"/>
      <c r="AE451" s="2528"/>
      <c r="AF451" s="2528"/>
      <c r="AG451" s="1330"/>
      <c r="AH451" s="1442"/>
      <c r="AI451" s="1442"/>
      <c r="AJ451" s="1442"/>
      <c r="AK451" s="1442"/>
      <c r="AL451" s="1472"/>
      <c r="AM451" s="1208"/>
      <c r="AN451" s="1297"/>
    </row>
    <row r="452" spans="1:49" s="1223" customFormat="1" ht="12.75" customHeight="1">
      <c r="A452" s="1208"/>
      <c r="B452" s="1206"/>
      <c r="C452" s="1459"/>
      <c r="D452" s="1206"/>
      <c r="E452" s="1460"/>
      <c r="F452" s="2515"/>
      <c r="G452" s="2515"/>
      <c r="H452" s="2515"/>
      <c r="I452" s="2515"/>
      <c r="J452" s="2515"/>
      <c r="K452" s="2515"/>
      <c r="L452" s="2515"/>
      <c r="M452" s="2515"/>
      <c r="N452" s="2515"/>
      <c r="O452" s="2515"/>
      <c r="P452" s="2515"/>
      <c r="Q452" s="2515"/>
      <c r="R452" s="2515"/>
      <c r="S452" s="2515"/>
      <c r="T452" s="2515"/>
      <c r="U452" s="2515"/>
      <c r="V452" s="2515"/>
      <c r="W452" s="2515"/>
      <c r="X452" s="2515"/>
      <c r="Y452" s="2515"/>
      <c r="Z452" s="2515"/>
      <c r="AA452" s="2515"/>
      <c r="AB452" s="2515"/>
      <c r="AC452" s="2515"/>
      <c r="AD452" s="2515"/>
      <c r="AE452" s="2515"/>
      <c r="AF452" s="2515"/>
      <c r="AL452" s="1461"/>
      <c r="AM452" s="1208"/>
      <c r="AN452" s="1297"/>
    </row>
    <row r="453" spans="1:49" s="1223" customFormat="1" ht="12.75" customHeight="1">
      <c r="A453" s="1208"/>
      <c r="B453" s="1206"/>
      <c r="C453" s="1469"/>
      <c r="F453" s="2515"/>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15"/>
      <c r="AL453" s="1461"/>
      <c r="AM453" s="1208"/>
      <c r="AN453" s="1297"/>
    </row>
    <row r="454" spans="1:49" s="1223" customFormat="1" ht="12.75" customHeight="1">
      <c r="A454" s="1208"/>
      <c r="B454" s="1206"/>
      <c r="C454" s="1469"/>
      <c r="F454" s="2515"/>
      <c r="G454" s="2515"/>
      <c r="H454" s="2515"/>
      <c r="I454" s="2515"/>
      <c r="J454" s="2515"/>
      <c r="K454" s="2515"/>
      <c r="L454" s="2515"/>
      <c r="M454" s="2515"/>
      <c r="N454" s="2515"/>
      <c r="O454" s="2515"/>
      <c r="P454" s="2515"/>
      <c r="Q454" s="2515"/>
      <c r="R454" s="2515"/>
      <c r="S454" s="2515"/>
      <c r="T454" s="2515"/>
      <c r="U454" s="2515"/>
      <c r="V454" s="2515"/>
      <c r="W454" s="2515"/>
      <c r="X454" s="2515"/>
      <c r="Y454" s="2515"/>
      <c r="Z454" s="2515"/>
      <c r="AA454" s="2515"/>
      <c r="AB454" s="2515"/>
      <c r="AC454" s="2515"/>
      <c r="AD454" s="2515"/>
      <c r="AE454" s="2515"/>
      <c r="AF454" s="2515"/>
      <c r="AL454" s="1461"/>
      <c r="AM454" s="1208"/>
      <c r="AN454" s="1297"/>
    </row>
    <row r="455" spans="1:49" s="1223" customFormat="1" ht="12.75" customHeight="1">
      <c r="A455" s="1208"/>
      <c r="B455" s="1206"/>
      <c r="C455" s="2527" t="s">
        <v>618</v>
      </c>
      <c r="D455" s="2469"/>
      <c r="E455" s="1447"/>
      <c r="F455" s="1449" t="s">
        <v>1688</v>
      </c>
      <c r="G455" s="1296"/>
      <c r="H455" s="1296"/>
      <c r="I455" s="1296"/>
      <c r="J455" s="1296"/>
      <c r="K455" s="1296"/>
      <c r="L455" s="1296"/>
      <c r="M455" s="1296"/>
      <c r="N455" s="1296"/>
      <c r="O455" s="1296"/>
      <c r="P455" s="1296"/>
      <c r="Q455" s="1296"/>
      <c r="R455" s="1296"/>
      <c r="S455" s="1296"/>
      <c r="T455" s="1296"/>
      <c r="U455" s="1296"/>
      <c r="V455" s="1296"/>
      <c r="W455" s="1296"/>
      <c r="X455" s="1296"/>
      <c r="Y455" s="1296"/>
      <c r="Z455" s="1296"/>
      <c r="AA455" s="1296"/>
      <c r="AB455" s="1296"/>
      <c r="AC455" s="1296"/>
      <c r="AD455" s="1296"/>
      <c r="AF455" s="2455" t="s">
        <v>1671</v>
      </c>
      <c r="AG455" s="2455"/>
      <c r="AH455" s="2455"/>
      <c r="AI455" s="2455"/>
      <c r="AJ455" s="2455"/>
      <c r="AK455" s="2455"/>
      <c r="AL455" s="2531"/>
      <c r="AM455" s="1208"/>
      <c r="AN455" s="1297"/>
    </row>
    <row r="456" spans="1:49" s="1223" customFormat="1" ht="12.75" customHeight="1">
      <c r="A456" s="1208"/>
      <c r="B456" s="1206"/>
      <c r="C456" s="1462"/>
      <c r="D456" s="1463"/>
      <c r="E456" s="1464"/>
      <c r="F456" s="1456"/>
      <c r="G456" s="1456"/>
      <c r="H456" s="1456"/>
      <c r="I456" s="1456"/>
      <c r="J456" s="1456"/>
      <c r="K456" s="1456"/>
      <c r="L456" s="1456"/>
      <c r="M456" s="1456"/>
      <c r="N456" s="1456"/>
      <c r="O456" s="1456"/>
      <c r="P456" s="1456"/>
      <c r="Q456" s="1456"/>
      <c r="R456" s="1456"/>
      <c r="S456" s="1456"/>
      <c r="T456" s="1456"/>
      <c r="U456" s="1456"/>
      <c r="V456" s="1456"/>
      <c r="W456" s="1456"/>
      <c r="X456" s="1456"/>
      <c r="Y456" s="1456"/>
      <c r="Z456" s="1456"/>
      <c r="AA456" s="1456"/>
      <c r="AB456" s="1456"/>
      <c r="AC456" s="1456"/>
      <c r="AD456" s="1456"/>
      <c r="AE456" s="1456"/>
      <c r="AF456" s="1456"/>
      <c r="AG456" s="1456"/>
      <c r="AH456" s="1456"/>
      <c r="AI456" s="1456"/>
      <c r="AJ456" s="1456"/>
      <c r="AK456" s="1456"/>
      <c r="AL456" s="1467"/>
      <c r="AN456" s="1297"/>
    </row>
    <row r="457" spans="1:49" s="1223" customFormat="1" ht="12.75" customHeight="1">
      <c r="A457" s="1208"/>
      <c r="B457" s="1206"/>
      <c r="C457" s="1487"/>
      <c r="D457" s="1208"/>
      <c r="F457" s="1449"/>
      <c r="G457" s="1296"/>
      <c r="H457" s="1296"/>
      <c r="I457" s="1296"/>
      <c r="J457" s="1296"/>
      <c r="K457" s="1296"/>
      <c r="L457" s="1296"/>
      <c r="M457" s="1296"/>
      <c r="N457" s="1296"/>
      <c r="O457" s="1296"/>
      <c r="P457" s="1296"/>
      <c r="Q457" s="1296"/>
      <c r="R457" s="1296"/>
      <c r="S457" s="1296"/>
      <c r="T457" s="1296"/>
      <c r="U457" s="1296"/>
      <c r="V457" s="1296"/>
      <c r="W457" s="1296"/>
      <c r="X457" s="1296"/>
      <c r="Y457" s="1296"/>
      <c r="Z457" s="1296"/>
      <c r="AA457" s="1296"/>
      <c r="AB457" s="1296"/>
      <c r="AC457" s="1296"/>
      <c r="AD457" s="1296"/>
      <c r="AF457" s="1308"/>
      <c r="AG457" s="1308"/>
      <c r="AH457" s="1308"/>
      <c r="AI457" s="1308"/>
      <c r="AJ457" s="1308"/>
      <c r="AK457" s="1308"/>
      <c r="AL457" s="1308"/>
      <c r="AN457" s="1297"/>
    </row>
    <row r="458" spans="1:49" s="1223" customFormat="1" ht="12.75" customHeight="1">
      <c r="A458" s="1292"/>
      <c r="B458" s="1488" t="s">
        <v>1718</v>
      </c>
      <c r="D458" s="1489"/>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39"/>
      <c r="AF458" s="1239"/>
      <c r="AG458" s="1239"/>
      <c r="AH458" s="1239"/>
      <c r="AI458" s="1240"/>
      <c r="AJ458" s="1240" t="s">
        <v>1719</v>
      </c>
      <c r="AK458" s="2442">
        <f>IF(Application!D213="N/A",AS347,AS349)</f>
        <v>10</v>
      </c>
      <c r="AL458" s="2443"/>
      <c r="AM458" s="2444"/>
      <c r="AN458" s="1297"/>
    </row>
    <row r="459" spans="1:49" s="1223" customFormat="1" ht="12.75" customHeight="1" thickBot="1">
      <c r="A459" s="1490"/>
      <c r="B459" s="1490"/>
      <c r="C459" s="1490"/>
      <c r="D459" s="1490"/>
      <c r="E459" s="1490"/>
      <c r="F459" s="1490"/>
      <c r="G459" s="1490"/>
      <c r="H459" s="1490"/>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c r="AF459" s="1490"/>
      <c r="AG459" s="1490"/>
      <c r="AH459" s="1490"/>
      <c r="AI459" s="1490"/>
      <c r="AJ459" s="1490"/>
      <c r="AK459" s="1490"/>
      <c r="AL459" s="1490"/>
      <c r="AM459" s="1491"/>
      <c r="AN459" s="1297"/>
    </row>
    <row r="460" spans="1:49" s="1223" customFormat="1" ht="12.75" hidden="1" customHeight="1" thickTop="1">
      <c r="A460" s="1492"/>
      <c r="B460" s="914"/>
      <c r="C460" s="915"/>
      <c r="D460" s="915"/>
      <c r="E460" s="915"/>
      <c r="F460" s="915"/>
      <c r="G460" s="915"/>
      <c r="H460" s="915"/>
      <c r="I460" s="1245"/>
      <c r="J460" s="1245"/>
      <c r="K460" s="1245"/>
      <c r="L460" s="1245"/>
      <c r="M460" s="1245"/>
      <c r="N460" s="1245"/>
      <c r="O460" s="1245"/>
      <c r="P460" s="1245"/>
      <c r="Q460" s="1245"/>
      <c r="R460" s="1208"/>
      <c r="S460" s="1211"/>
      <c r="T460" s="1211"/>
      <c r="U460" s="1211"/>
      <c r="V460" s="1211"/>
      <c r="W460" s="1211"/>
      <c r="X460" s="1211"/>
      <c r="Y460" s="1211"/>
      <c r="Z460" s="1211"/>
      <c r="AA460" s="1211"/>
      <c r="AB460" s="1211"/>
      <c r="AC460" s="1211"/>
      <c r="AD460" s="1211"/>
      <c r="AE460" s="1211"/>
      <c r="AF460" s="1208"/>
      <c r="AG460" s="1211"/>
      <c r="AH460" s="1211"/>
      <c r="AI460" s="1211"/>
      <c r="AJ460" s="1211"/>
      <c r="AM460" s="1206"/>
      <c r="AN460" s="1297"/>
      <c r="AO460" s="1223" t="s">
        <v>618</v>
      </c>
      <c r="AP460" s="1223">
        <v>0</v>
      </c>
    </row>
    <row r="461" spans="1:49" s="1223" customFormat="1" ht="12.75" hidden="1" customHeight="1">
      <c r="A461" s="1211" t="s">
        <v>1720</v>
      </c>
      <c r="C461" s="1211"/>
      <c r="E461" s="1383"/>
      <c r="AE461" s="2455" t="s">
        <v>1721</v>
      </c>
      <c r="AF461" s="2455"/>
      <c r="AG461" s="2455"/>
      <c r="AH461" s="2455"/>
      <c r="AI461" s="2455"/>
      <c r="AJ461" s="2455"/>
      <c r="AK461" s="2455"/>
      <c r="AL461" s="1287"/>
      <c r="AN461" s="1297"/>
      <c r="AO461" s="1223" t="s">
        <v>1699</v>
      </c>
      <c r="AP461" s="1223">
        <v>5</v>
      </c>
    </row>
    <row r="462" spans="1:49" s="1223" customFormat="1" ht="12.75" hidden="1" customHeight="1">
      <c r="A462" s="1211"/>
      <c r="B462" s="1208" t="s">
        <v>1722</v>
      </c>
      <c r="C462" s="1211"/>
      <c r="E462" s="1383"/>
      <c r="AE462" s="1287"/>
      <c r="AF462" s="1287"/>
      <c r="AG462" s="1287"/>
      <c r="AH462" s="1287"/>
      <c r="AI462" s="1287"/>
      <c r="AJ462" s="1287"/>
      <c r="AK462" s="1287"/>
      <c r="AL462" s="1287"/>
      <c r="AN462" s="1297"/>
      <c r="AO462" s="1223" t="s">
        <v>1723</v>
      </c>
      <c r="AP462" s="1223">
        <v>5</v>
      </c>
    </row>
    <row r="463" spans="1:49" s="1223" customFormat="1" ht="12.75" hidden="1" customHeight="1">
      <c r="A463" s="1211"/>
      <c r="B463" s="1211" t="s">
        <v>1724</v>
      </c>
      <c r="C463" s="1211"/>
      <c r="E463" s="1383"/>
      <c r="AE463" s="1287"/>
      <c r="AF463" s="1287"/>
      <c r="AG463" s="1287"/>
      <c r="AH463" s="1287"/>
      <c r="AI463" s="1287"/>
      <c r="AJ463" s="1287"/>
      <c r="AK463" s="1287"/>
      <c r="AL463" s="1287"/>
      <c r="AN463" s="1297"/>
      <c r="AO463" s="1223" t="s">
        <v>1701</v>
      </c>
      <c r="AP463" s="1223">
        <v>5</v>
      </c>
      <c r="AQ463" s="1211"/>
      <c r="AR463" s="1211"/>
      <c r="AS463" s="1483"/>
      <c r="AW463" s="1483"/>
    </row>
    <row r="464" spans="1:49" s="1223" customFormat="1" ht="12.75" hidden="1" customHeight="1">
      <c r="A464" s="1211"/>
      <c r="B464" s="1211" t="s">
        <v>1725</v>
      </c>
      <c r="C464" s="1211"/>
      <c r="E464" s="1383"/>
      <c r="AE464" s="1287"/>
      <c r="AF464" s="1287"/>
      <c r="AG464" s="1287"/>
      <c r="AH464" s="1287"/>
      <c r="AI464" s="1287"/>
      <c r="AJ464" s="1287"/>
      <c r="AK464" s="1287"/>
      <c r="AL464" s="1287"/>
      <c r="AN464" s="1297"/>
      <c r="AO464" s="1223" t="s">
        <v>1703</v>
      </c>
      <c r="AP464" s="1223">
        <v>5</v>
      </c>
      <c r="AQ464" s="1211"/>
      <c r="AR464" s="1211"/>
      <c r="AW464" s="1493"/>
    </row>
    <row r="465" spans="1:50" s="1223" customFormat="1" ht="12.75" hidden="1" customHeight="1">
      <c r="A465" s="1211"/>
      <c r="C465" s="1211"/>
      <c r="E465" s="1383"/>
      <c r="AE465" s="1287"/>
      <c r="AF465" s="1287"/>
      <c r="AG465" s="1287"/>
      <c r="AH465" s="1287"/>
      <c r="AI465" s="1287"/>
      <c r="AJ465" s="1287"/>
      <c r="AK465" s="1287"/>
      <c r="AL465" s="1287"/>
      <c r="AN465" s="1297"/>
      <c r="AO465" s="1223" t="s">
        <v>1704</v>
      </c>
      <c r="AP465" s="1223">
        <v>5</v>
      </c>
      <c r="AQ465" s="1211"/>
      <c r="AR465" s="1211"/>
      <c r="AW465" s="1493"/>
    </row>
    <row r="466" spans="1:50" s="1223" customFormat="1" ht="12.75" hidden="1" customHeight="1">
      <c r="A466" s="1211"/>
      <c r="C466" s="1440" t="s">
        <v>1726</v>
      </c>
      <c r="D466" s="1208"/>
      <c r="AE466" s="1287"/>
      <c r="AF466" s="1287"/>
      <c r="AG466" s="1383"/>
      <c r="AH466" s="1383"/>
      <c r="AI466" s="1383"/>
      <c r="AJ466" s="1383"/>
      <c r="AK466" s="1383"/>
      <c r="AL466" s="1383"/>
      <c r="AN466" s="1297"/>
      <c r="AO466" s="1223" t="s">
        <v>1705</v>
      </c>
      <c r="AP466" s="1223">
        <v>5</v>
      </c>
      <c r="AW466" s="1493"/>
    </row>
    <row r="467" spans="1:50" s="1223" customFormat="1" ht="12.75" hidden="1" customHeight="1">
      <c r="A467" s="1211"/>
      <c r="C467" s="2508" t="s">
        <v>618</v>
      </c>
      <c r="D467" s="2509"/>
      <c r="E467" s="1494" t="s">
        <v>533</v>
      </c>
      <c r="F467" s="2517" t="s">
        <v>1727</v>
      </c>
      <c r="G467" s="2517"/>
      <c r="H467" s="2517"/>
      <c r="I467" s="2517"/>
      <c r="J467" s="2517"/>
      <c r="K467" s="2517"/>
      <c r="L467" s="2517"/>
      <c r="M467" s="2517"/>
      <c r="N467" s="2517"/>
      <c r="O467" s="2517"/>
      <c r="P467" s="2517"/>
      <c r="Q467" s="2517"/>
      <c r="R467" s="2517"/>
      <c r="S467" s="2517"/>
      <c r="T467" s="2517"/>
      <c r="U467" s="2517"/>
      <c r="V467" s="2517"/>
      <c r="W467" s="2517"/>
      <c r="X467" s="2517"/>
      <c r="Y467" s="2517"/>
      <c r="Z467" s="2517"/>
      <c r="AA467" s="2517"/>
      <c r="AB467" s="2517"/>
      <c r="AC467" s="2517"/>
      <c r="AD467" s="2517"/>
      <c r="AE467" s="2517"/>
      <c r="AF467" s="1442"/>
      <c r="AG467" s="1442"/>
      <c r="AH467" s="1442"/>
      <c r="AI467" s="1442"/>
      <c r="AJ467" s="1442"/>
      <c r="AK467" s="1472"/>
      <c r="AN467" s="1297"/>
      <c r="AO467" s="1223" t="s">
        <v>1728</v>
      </c>
      <c r="AP467" s="1223">
        <v>5</v>
      </c>
      <c r="AS467" s="1486"/>
      <c r="AT467" s="1485"/>
      <c r="AW467" s="1493"/>
      <c r="AX467" s="1386"/>
    </row>
    <row r="468" spans="1:50" s="1223" customFormat="1" ht="12.75" hidden="1" customHeight="1">
      <c r="C468" s="1495"/>
      <c r="E468" s="1496"/>
      <c r="F468" s="2518"/>
      <c r="G468" s="2518"/>
      <c r="H468" s="2518"/>
      <c r="I468" s="2518"/>
      <c r="J468" s="2518"/>
      <c r="K468" s="2518"/>
      <c r="L468" s="2518"/>
      <c r="M468" s="2518"/>
      <c r="N468" s="2518"/>
      <c r="O468" s="2518"/>
      <c r="P468" s="2518"/>
      <c r="Q468" s="2518"/>
      <c r="R468" s="2518"/>
      <c r="S468" s="2518"/>
      <c r="T468" s="2518"/>
      <c r="U468" s="2518"/>
      <c r="V468" s="2518"/>
      <c r="W468" s="2518"/>
      <c r="X468" s="2518"/>
      <c r="Y468" s="2518"/>
      <c r="Z468" s="2518"/>
      <c r="AA468" s="2518"/>
      <c r="AB468" s="2518"/>
      <c r="AC468" s="2518"/>
      <c r="AD468" s="2518"/>
      <c r="AE468" s="2518"/>
      <c r="AG468" s="1224"/>
      <c r="AH468" s="1224"/>
      <c r="AI468" s="1224"/>
      <c r="AJ468" s="1224"/>
      <c r="AK468" s="1461"/>
      <c r="AN468" s="1297"/>
      <c r="AO468" s="1223" t="s">
        <v>1709</v>
      </c>
      <c r="AP468" s="1223">
        <v>1</v>
      </c>
    </row>
    <row r="469" spans="1:50" s="1223" customFormat="1" ht="12.75" hidden="1" customHeight="1">
      <c r="C469" s="1497"/>
      <c r="D469" s="1456"/>
      <c r="E469" s="1498"/>
      <c r="F469" s="2524" t="s">
        <v>618</v>
      </c>
      <c r="G469" s="2524"/>
      <c r="H469" s="2524"/>
      <c r="I469" s="2524"/>
      <c r="J469" s="2524"/>
      <c r="K469" s="2524"/>
      <c r="L469" s="2524"/>
      <c r="M469" s="2524"/>
      <c r="N469" s="2524"/>
      <c r="O469" s="2524"/>
      <c r="P469" s="2524"/>
      <c r="Q469" s="2524"/>
      <c r="R469" s="2524"/>
      <c r="S469" s="2524"/>
      <c r="T469" s="2524"/>
      <c r="U469" s="2524"/>
      <c r="V469" s="2524"/>
      <c r="W469" s="2524"/>
      <c r="X469" s="2524"/>
      <c r="Y469" s="2524"/>
      <c r="Z469" s="2524"/>
      <c r="AA469" s="1344"/>
      <c r="AB469" s="1411"/>
      <c r="AC469" s="1411"/>
      <c r="AD469" s="1456"/>
      <c r="AE469" s="1456"/>
      <c r="AF469" s="1456"/>
      <c r="AG469" s="1499">
        <f>IF($C$467="Yes",(VLOOKUP($F$469,$AO$434:$AP$442,2,FALSE)),0)</f>
        <v>0</v>
      </c>
      <c r="AH469" s="1500" t="s">
        <v>1529</v>
      </c>
      <c r="AI469" s="1499"/>
      <c r="AJ469" s="1499"/>
      <c r="AK469" s="1467"/>
      <c r="AN469" s="1297"/>
      <c r="AS469" s="1483"/>
      <c r="AW469" s="1483"/>
    </row>
    <row r="470" spans="1:50" s="1223" customFormat="1" ht="12.75" hidden="1" customHeight="1">
      <c r="C470" s="1224"/>
      <c r="E470" s="1496"/>
      <c r="F470" s="1485"/>
      <c r="G470" s="1485"/>
      <c r="H470" s="1485"/>
      <c r="I470" s="1485"/>
      <c r="J470" s="1485"/>
      <c r="K470" s="1485"/>
      <c r="L470" s="1485"/>
      <c r="M470" s="1485"/>
      <c r="N470" s="1485"/>
      <c r="O470" s="1485"/>
      <c r="P470" s="1485"/>
      <c r="Q470" s="1485"/>
      <c r="R470" s="1485"/>
      <c r="S470" s="1485"/>
      <c r="T470" s="1485"/>
      <c r="U470" s="1485"/>
      <c r="V470" s="1485"/>
      <c r="W470" s="1485"/>
      <c r="X470" s="1485"/>
      <c r="Y470" s="1485"/>
      <c r="Z470" s="1485"/>
      <c r="AA470" s="1208"/>
      <c r="AB470" s="1224"/>
      <c r="AC470" s="1224"/>
      <c r="AG470" s="1224"/>
      <c r="AH470" s="1224"/>
      <c r="AI470" s="1224"/>
      <c r="AJ470" s="1224"/>
      <c r="AN470" s="1297"/>
      <c r="AO470" s="1223" t="s">
        <v>618</v>
      </c>
      <c r="AP470" s="1386">
        <v>0</v>
      </c>
    </row>
    <row r="471" spans="1:50" s="1223" customFormat="1" ht="12.75" hidden="1" customHeight="1">
      <c r="C471" s="2525" t="s">
        <v>571</v>
      </c>
      <c r="D471" s="2526"/>
      <c r="E471" s="1494" t="s">
        <v>788</v>
      </c>
      <c r="F471" s="1501" t="s">
        <v>1729</v>
      </c>
      <c r="G471" s="1400"/>
      <c r="H471" s="1400"/>
      <c r="I471" s="1400"/>
      <c r="J471" s="1400"/>
      <c r="K471" s="1400"/>
      <c r="L471" s="1400"/>
      <c r="M471" s="1400"/>
      <c r="N471" s="1400"/>
      <c r="O471" s="1400"/>
      <c r="P471" s="1400"/>
      <c r="Q471" s="1400"/>
      <c r="R471" s="1400"/>
      <c r="S471" s="1400"/>
      <c r="T471" s="1400"/>
      <c r="U471" s="1400"/>
      <c r="V471" s="1400"/>
      <c r="W471" s="1400"/>
      <c r="X471" s="1400"/>
      <c r="Y471" s="1400"/>
      <c r="Z471" s="1400"/>
      <c r="AA471" s="1400"/>
      <c r="AB471" s="1400"/>
      <c r="AC471" s="1400"/>
      <c r="AD471" s="1442"/>
      <c r="AE471" s="1442"/>
      <c r="AF471" s="1442"/>
      <c r="AG471" s="1400"/>
      <c r="AH471" s="1400"/>
      <c r="AI471" s="1400"/>
      <c r="AJ471" s="1400"/>
      <c r="AK471" s="1472"/>
      <c r="AN471" s="1297"/>
      <c r="AO471" s="1486">
        <v>0.15</v>
      </c>
      <c r="AP471" s="1386">
        <v>3</v>
      </c>
    </row>
    <row r="472" spans="1:50" s="1223" customFormat="1" ht="12.75" hidden="1" customHeight="1">
      <c r="C472" s="1502" t="s">
        <v>1730</v>
      </c>
      <c r="F472" s="1503" t="s">
        <v>1731</v>
      </c>
      <c r="G472" s="1224"/>
      <c r="H472" s="1224"/>
      <c r="I472" s="1224"/>
      <c r="J472" s="1224"/>
      <c r="K472" s="1224"/>
      <c r="L472" s="1224"/>
      <c r="M472" s="1224"/>
      <c r="N472" s="1224"/>
      <c r="O472" s="1224"/>
      <c r="P472" s="1224"/>
      <c r="Q472" s="1224"/>
      <c r="R472" s="1224"/>
      <c r="S472" s="1224"/>
      <c r="T472" s="1224"/>
      <c r="U472" s="1224"/>
      <c r="V472" s="1224"/>
      <c r="W472" s="1224"/>
      <c r="X472" s="1224"/>
      <c r="Y472" s="1224"/>
      <c r="Z472" s="1224"/>
      <c r="AA472" s="1224"/>
      <c r="AB472" s="1224"/>
      <c r="AC472" s="1287"/>
      <c r="AG472" s="1308"/>
      <c r="AH472" s="1308"/>
      <c r="AI472" s="1308"/>
      <c r="AJ472" s="1308"/>
      <c r="AK472" s="1461"/>
      <c r="AN472" s="1297"/>
      <c r="AO472" s="1486">
        <v>0.2</v>
      </c>
      <c r="AP472" s="1386">
        <v>5</v>
      </c>
    </row>
    <row r="473" spans="1:50" s="1223" customFormat="1" ht="12.75" hidden="1" customHeight="1">
      <c r="C473" s="1479"/>
      <c r="D473" s="1268"/>
      <c r="E473" s="1504"/>
      <c r="F473" s="1503" t="s">
        <v>1732</v>
      </c>
      <c r="G473" s="150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5"/>
      <c r="AD473" s="1304"/>
      <c r="AE473" s="1304"/>
      <c r="AF473" s="1304"/>
      <c r="AG473" s="1506"/>
      <c r="AH473" s="1308"/>
      <c r="AI473" s="1308"/>
      <c r="AJ473" s="1308"/>
      <c r="AK473" s="1461"/>
      <c r="AN473" s="1507"/>
      <c r="AO473" s="1486"/>
      <c r="AP473" s="1485"/>
    </row>
    <row r="474" spans="1:50" s="1383" customFormat="1" ht="12.75" hidden="1" customHeight="1">
      <c r="A474" s="1386"/>
      <c r="B474" s="1223"/>
      <c r="C474" s="1495"/>
      <c r="D474" s="1223"/>
      <c r="E474" s="1496"/>
      <c r="F474" s="1508" t="s">
        <v>1733</v>
      </c>
      <c r="G474" s="1223"/>
      <c r="H474" s="1223"/>
      <c r="I474" s="1503"/>
      <c r="J474" s="1503"/>
      <c r="K474" s="1503"/>
      <c r="L474" s="1503"/>
      <c r="M474" s="1503"/>
      <c r="N474" s="1503"/>
      <c r="O474" s="1503"/>
      <c r="P474" s="1503"/>
      <c r="Q474" s="1503"/>
      <c r="R474" s="1503"/>
      <c r="S474" s="1503"/>
      <c r="T474" s="1503"/>
      <c r="U474" s="1503"/>
      <c r="V474" s="2523" t="s">
        <v>618</v>
      </c>
      <c r="W474" s="2523"/>
      <c r="X474" s="2523"/>
      <c r="Y474" s="1503"/>
      <c r="Z474" s="1503"/>
      <c r="AA474" s="1503"/>
      <c r="AB474" s="1503"/>
      <c r="AC474" s="1503"/>
      <c r="AD474" s="1304"/>
      <c r="AE474" s="1304"/>
      <c r="AF474" s="1304"/>
      <c r="AG474" s="1308">
        <f>IF(AND($C$471="Yes",$V$476="N/A",$V$481="N/A",$V$485="N/A",$V$487="N/A"),(VLOOKUP(V474,$AR$444:$AS$446,2,FALSE)),0)</f>
        <v>0</v>
      </c>
      <c r="AH474" s="1393" t="s">
        <v>1529</v>
      </c>
      <c r="AI474" s="1224"/>
      <c r="AJ474" s="1224"/>
      <c r="AK474" s="1461"/>
      <c r="AL474" s="1223"/>
      <c r="AM474" s="1223"/>
      <c r="AN474" s="1297"/>
    </row>
    <row r="475" spans="1:50" s="1383" customFormat="1" ht="12.75" hidden="1" customHeight="1">
      <c r="A475" s="1386"/>
      <c r="B475" s="1223"/>
      <c r="C475" s="1495"/>
      <c r="D475" s="1223"/>
      <c r="E475" s="1496"/>
      <c r="F475" s="1508"/>
      <c r="G475" s="1223"/>
      <c r="H475" s="1223"/>
      <c r="I475" s="1503"/>
      <c r="J475" s="1503"/>
      <c r="K475" s="1503"/>
      <c r="L475" s="1503"/>
      <c r="M475" s="1503"/>
      <c r="N475" s="1503"/>
      <c r="O475" s="1503"/>
      <c r="P475" s="1503"/>
      <c r="Q475" s="1503"/>
      <c r="R475" s="1503"/>
      <c r="S475" s="1503"/>
      <c r="T475" s="1503"/>
      <c r="U475" s="1503"/>
      <c r="V475" s="1503"/>
      <c r="W475" s="1503"/>
      <c r="X475" s="1503"/>
      <c r="Y475" s="1503"/>
      <c r="Z475" s="1503"/>
      <c r="AA475" s="1503"/>
      <c r="AB475" s="1503"/>
      <c r="AC475" s="1503"/>
      <c r="AD475" s="1304"/>
      <c r="AE475" s="1304"/>
      <c r="AF475" s="1304"/>
      <c r="AG475" s="1308"/>
      <c r="AH475" s="1393"/>
      <c r="AI475" s="1224"/>
      <c r="AJ475" s="1224"/>
      <c r="AK475" s="1461"/>
      <c r="AL475" s="1223"/>
      <c r="AM475" s="1223"/>
      <c r="AN475" s="1297"/>
    </row>
    <row r="476" spans="1:50" s="1383" customFormat="1" ht="12.75" hidden="1" customHeight="1">
      <c r="A476" s="1386"/>
      <c r="B476" s="1223"/>
      <c r="C476" s="1495"/>
      <c r="D476" s="1223"/>
      <c r="E476" s="1496"/>
      <c r="F476" s="1508" t="s">
        <v>1734</v>
      </c>
      <c r="G476" s="1223"/>
      <c r="H476" s="1223"/>
      <c r="I476" s="1503"/>
      <c r="J476" s="1503"/>
      <c r="K476" s="1503"/>
      <c r="L476" s="1503"/>
      <c r="M476" s="1503"/>
      <c r="N476" s="1503"/>
      <c r="O476" s="1503"/>
      <c r="P476" s="1503"/>
      <c r="Q476" s="1503"/>
      <c r="R476" s="1503"/>
      <c r="S476" s="1503"/>
      <c r="T476" s="1503"/>
      <c r="U476" s="1503"/>
      <c r="V476" s="2523" t="s">
        <v>618</v>
      </c>
      <c r="W476" s="2523"/>
      <c r="X476" s="2523"/>
      <c r="Y476" s="1503"/>
      <c r="Z476" s="1503"/>
      <c r="AA476" s="1503"/>
      <c r="AB476" s="1503"/>
      <c r="AC476" s="1503"/>
      <c r="AD476" s="1304"/>
      <c r="AE476" s="1304"/>
      <c r="AF476" s="1304"/>
      <c r="AG476" s="1308">
        <f>IF(AND($C$471="Yes",$V$474="N/A", $V$481="N/A",$V$485="N/A",$V$487="N/A"),(VLOOKUP(V476,$AO$444:$AP$446,2,FALSE)),0)</f>
        <v>0</v>
      </c>
      <c r="AH476" s="1393" t="s">
        <v>1529</v>
      </c>
      <c r="AI476" s="1224"/>
      <c r="AJ476" s="1224"/>
      <c r="AK476" s="1461"/>
      <c r="AL476" s="1223"/>
      <c r="AM476" s="1223"/>
      <c r="AN476" s="1297"/>
    </row>
    <row r="477" spans="1:50" s="1223" customFormat="1" ht="12.75" hidden="1" customHeight="1">
      <c r="C477" s="1495"/>
      <c r="E477" s="1496"/>
      <c r="F477" s="1383"/>
      <c r="G477" s="1509"/>
      <c r="H477" s="1509"/>
      <c r="I477" s="1509"/>
      <c r="J477" s="1509"/>
      <c r="K477" s="1509"/>
      <c r="L477" s="1509"/>
      <c r="M477" s="1509"/>
      <c r="N477" s="1509"/>
      <c r="O477" s="1509"/>
      <c r="P477" s="1509"/>
      <c r="Q477" s="1224"/>
      <c r="R477" s="1224"/>
      <c r="S477" s="1224"/>
      <c r="T477" s="1224"/>
      <c r="U477" s="1224"/>
      <c r="V477" s="1224"/>
      <c r="W477" s="1224"/>
      <c r="X477" s="1224"/>
      <c r="Y477" s="1224"/>
      <c r="Z477" s="1224"/>
      <c r="AA477" s="1224"/>
      <c r="AB477" s="1224"/>
      <c r="AC477" s="1224"/>
      <c r="AG477" s="1383"/>
      <c r="AH477" s="1383"/>
      <c r="AI477" s="1383"/>
      <c r="AJ477" s="1383"/>
      <c r="AK477" s="1461"/>
      <c r="AN477" s="1297"/>
      <c r="AO477" s="1223" t="s">
        <v>618</v>
      </c>
      <c r="AP477" s="1223">
        <v>0</v>
      </c>
    </row>
    <row r="478" spans="1:50" s="1223" customFormat="1" ht="12.75" hidden="1" customHeight="1">
      <c r="C478" s="1495"/>
      <c r="E478" s="1496"/>
      <c r="F478" s="1509" t="s">
        <v>1735</v>
      </c>
      <c r="I478" s="1496"/>
      <c r="J478" s="1496"/>
      <c r="K478" s="1496"/>
      <c r="L478" s="1496"/>
      <c r="M478" s="1496"/>
      <c r="N478" s="1496"/>
      <c r="O478" s="1496"/>
      <c r="P478" s="1496"/>
      <c r="Q478" s="1224"/>
      <c r="R478" s="1224"/>
      <c r="S478" s="1224"/>
      <c r="T478" s="1224"/>
      <c r="U478" s="1224"/>
      <c r="V478" s="1224"/>
      <c r="W478" s="1224"/>
      <c r="X478" s="1224"/>
      <c r="Y478" s="1224"/>
      <c r="Z478" s="1224"/>
      <c r="AA478" s="1224"/>
      <c r="AB478" s="1224"/>
      <c r="AC478" s="1224"/>
      <c r="AJ478" s="1224"/>
      <c r="AK478" s="1461"/>
      <c r="AN478" s="1297"/>
      <c r="AO478" s="1223" t="s">
        <v>1736</v>
      </c>
      <c r="AP478" s="1386">
        <v>2</v>
      </c>
    </row>
    <row r="479" spans="1:50" s="1223" customFormat="1" ht="12.75" hidden="1" customHeight="1">
      <c r="C479" s="1495"/>
      <c r="F479" s="1304" t="s">
        <v>1737</v>
      </c>
      <c r="M479" s="1496"/>
      <c r="N479" s="1496"/>
      <c r="O479" s="1496"/>
      <c r="P479" s="1496"/>
      <c r="Q479" s="1224"/>
      <c r="R479" s="1224"/>
      <c r="S479" s="1224"/>
      <c r="T479" s="1224"/>
      <c r="U479" s="1224"/>
      <c r="V479" s="1224"/>
      <c r="W479" s="1224"/>
      <c r="X479" s="1224"/>
      <c r="Y479" s="1224"/>
      <c r="Z479" s="1224"/>
      <c r="AA479" s="1224"/>
      <c r="AB479" s="1224"/>
      <c r="AC479" s="1224"/>
      <c r="AG479" s="1308"/>
      <c r="AH479" s="1393"/>
      <c r="AI479" s="1224"/>
      <c r="AJ479" s="1224"/>
      <c r="AK479" s="1461"/>
      <c r="AN479" s="1297"/>
      <c r="AO479" s="1223" t="s">
        <v>1738</v>
      </c>
      <c r="AP479" s="1223">
        <v>2</v>
      </c>
    </row>
    <row r="480" spans="1:50" s="1383" customFormat="1" ht="12.75" hidden="1" customHeight="1">
      <c r="A480" s="1223"/>
      <c r="B480" s="1223"/>
      <c r="C480" s="1469"/>
      <c r="D480" s="1208"/>
      <c r="E480" s="1208"/>
      <c r="F480" s="1304" t="s">
        <v>1739</v>
      </c>
      <c r="G480" s="1223"/>
      <c r="H480" s="1223"/>
      <c r="I480" s="1223"/>
      <c r="J480" s="1223"/>
      <c r="K480" s="1223"/>
      <c r="L480" s="1223"/>
      <c r="M480" s="1496"/>
      <c r="N480" s="1496"/>
      <c r="O480" s="1496"/>
      <c r="P480" s="1496"/>
      <c r="Q480" s="1224"/>
      <c r="R480" s="1224"/>
      <c r="S480" s="1224"/>
      <c r="T480" s="1224"/>
      <c r="U480" s="1224"/>
      <c r="V480" s="1224"/>
      <c r="W480" s="1224"/>
      <c r="X480" s="1224"/>
      <c r="Y480" s="1224"/>
      <c r="Z480" s="1224"/>
      <c r="AA480" s="1224"/>
      <c r="AB480" s="1224"/>
      <c r="AC480" s="1224"/>
      <c r="AD480" s="1223"/>
      <c r="AE480" s="1223"/>
      <c r="AF480" s="1223"/>
      <c r="AG480" s="1308"/>
      <c r="AH480" s="1393"/>
      <c r="AI480" s="1224"/>
      <c r="AJ480" s="1224"/>
      <c r="AK480" s="1461"/>
      <c r="AL480" s="1223"/>
      <c r="AM480" s="1223"/>
      <c r="AN480" s="1507"/>
      <c r="AO480" s="1223" t="s">
        <v>1740</v>
      </c>
      <c r="AP480" s="1223">
        <v>2</v>
      </c>
    </row>
    <row r="481" spans="1:81" s="1223" customFormat="1" ht="12.75" hidden="1" customHeight="1">
      <c r="C481" s="1510"/>
      <c r="F481" s="1508" t="s">
        <v>1741</v>
      </c>
      <c r="M481" s="1496"/>
      <c r="N481" s="1496"/>
      <c r="O481" s="1496"/>
      <c r="P481" s="1496"/>
      <c r="Q481" s="1224"/>
      <c r="R481" s="1224"/>
      <c r="S481" s="1224"/>
      <c r="T481" s="1224"/>
      <c r="U481" s="1224"/>
      <c r="V481" s="2523" t="s">
        <v>618</v>
      </c>
      <c r="W481" s="2523"/>
      <c r="X481" s="2523"/>
      <c r="Y481" s="1224"/>
      <c r="Z481" s="1224"/>
      <c r="AA481" s="1224"/>
      <c r="AB481" s="1224"/>
      <c r="AC481" s="1224"/>
      <c r="AG481" s="1308">
        <f>IF(AND($C$471="Yes",$V$474="N/A",$V$476="N/A", $V$485="N/A",$V$487="N/A"),(VLOOKUP($V$481,$AO$448:$AP$450,2,FALSE)),0)</f>
        <v>0</v>
      </c>
      <c r="AH481" s="1393" t="s">
        <v>1529</v>
      </c>
      <c r="AI481" s="1224"/>
      <c r="AJ481" s="1224"/>
      <c r="AK481" s="1461"/>
      <c r="AN481" s="1207"/>
    </row>
    <row r="482" spans="1:81" s="1223" customFormat="1" ht="12.75" hidden="1" customHeight="1">
      <c r="C482" s="1495"/>
      <c r="M482" s="1496"/>
      <c r="N482" s="1496"/>
      <c r="O482" s="1496"/>
      <c r="P482" s="1496"/>
      <c r="Q482" s="1224"/>
      <c r="R482" s="1224"/>
      <c r="S482" s="1224"/>
      <c r="T482" s="1224"/>
      <c r="U482" s="1224"/>
      <c r="V482" s="1224"/>
      <c r="W482" s="1224"/>
      <c r="X482" s="1224"/>
      <c r="Y482" s="1224"/>
      <c r="Z482" s="1224"/>
      <c r="AA482" s="1224"/>
      <c r="AB482" s="1224"/>
      <c r="AC482" s="1224"/>
      <c r="AJ482" s="1224"/>
      <c r="AK482" s="1461"/>
      <c r="AN482" s="1511"/>
    </row>
    <row r="483" spans="1:81" s="1383" customFormat="1" ht="12.75" hidden="1" customHeight="1">
      <c r="A483" s="1223"/>
      <c r="B483" s="1223"/>
      <c r="C483" s="1512" t="s">
        <v>1742</v>
      </c>
      <c r="D483" s="1442"/>
      <c r="E483" s="1442"/>
      <c r="F483" s="1513" t="s">
        <v>1743</v>
      </c>
      <c r="G483" s="1442"/>
      <c r="H483" s="1442"/>
      <c r="I483" s="1442"/>
      <c r="J483" s="1442"/>
      <c r="K483" s="1442"/>
      <c r="L483" s="1442"/>
      <c r="M483" s="1442"/>
      <c r="N483" s="1442"/>
      <c r="O483" s="1442"/>
      <c r="P483" s="1442"/>
      <c r="Q483" s="1442"/>
      <c r="R483" s="1442"/>
      <c r="S483" s="1442"/>
      <c r="T483" s="1442"/>
      <c r="U483" s="1442"/>
      <c r="V483" s="1442"/>
      <c r="W483" s="1442"/>
      <c r="X483" s="1442"/>
      <c r="Y483" s="1442"/>
      <c r="Z483" s="1442"/>
      <c r="AA483" s="1442"/>
      <c r="AB483" s="1442"/>
      <c r="AC483" s="1442"/>
      <c r="AD483" s="1442"/>
      <c r="AE483" s="1442"/>
      <c r="AF483" s="1442"/>
      <c r="AG483" s="1442"/>
      <c r="AH483" s="1442"/>
      <c r="AI483" s="1442"/>
      <c r="AJ483" s="1442"/>
      <c r="AK483" s="1472"/>
      <c r="AL483" s="1223"/>
      <c r="AM483" s="1223"/>
      <c r="AN483" s="1288"/>
      <c r="AO483" s="1223" t="s">
        <v>618</v>
      </c>
      <c r="AP483" s="1223">
        <v>0</v>
      </c>
      <c r="AQ483" s="1211"/>
    </row>
    <row r="484" spans="1:81" s="1383" customFormat="1" ht="12.75" hidden="1" customHeight="1">
      <c r="A484" s="1223"/>
      <c r="B484" s="1223"/>
      <c r="C484" s="1446"/>
      <c r="D484" s="2511"/>
      <c r="E484" s="2511"/>
      <c r="F484" s="1503" t="s">
        <v>1744</v>
      </c>
      <c r="I484" s="1223"/>
      <c r="J484" s="1223"/>
      <c r="K484" s="1223"/>
      <c r="L484" s="1223"/>
      <c r="M484" s="1223"/>
      <c r="N484" s="1223"/>
      <c r="O484" s="1223"/>
      <c r="P484" s="1223"/>
      <c r="Q484" s="1223"/>
      <c r="R484" s="1223"/>
      <c r="S484" s="1223"/>
      <c r="T484" s="1223"/>
      <c r="U484" s="1223"/>
      <c r="Y484" s="1223"/>
      <c r="Z484" s="1223"/>
      <c r="AA484" s="1223"/>
      <c r="AB484" s="1223"/>
      <c r="AC484" s="1223"/>
      <c r="AD484" s="1223"/>
      <c r="AE484" s="1223"/>
      <c r="AF484" s="1223"/>
      <c r="AK484" s="1461"/>
      <c r="AL484" s="1223"/>
      <c r="AM484" s="1223"/>
      <c r="AN484" s="1288"/>
      <c r="AO484" s="1223" t="s">
        <v>1745</v>
      </c>
      <c r="AP484" s="1386">
        <v>5</v>
      </c>
      <c r="AQ484" s="1211"/>
    </row>
    <row r="485" spans="1:81" s="1208" customFormat="1" ht="12.75" hidden="1" customHeight="1">
      <c r="A485" s="1493"/>
      <c r="B485" s="1223"/>
      <c r="C485" s="1495"/>
      <c r="D485" s="1223"/>
      <c r="E485" s="1223"/>
      <c r="F485" s="1514" t="s">
        <v>1733</v>
      </c>
      <c r="G485" s="1223"/>
      <c r="H485" s="1223"/>
      <c r="I485" s="1223"/>
      <c r="J485" s="1223"/>
      <c r="K485" s="1223"/>
      <c r="L485" s="1223"/>
      <c r="M485" s="1223"/>
      <c r="N485" s="1223"/>
      <c r="O485" s="1223"/>
      <c r="P485" s="1223"/>
      <c r="Q485" s="1223"/>
      <c r="R485" s="1223"/>
      <c r="S485" s="1223"/>
      <c r="T485" s="1223"/>
      <c r="U485" s="1223"/>
      <c r="V485" s="2523" t="s">
        <v>618</v>
      </c>
      <c r="W485" s="2523"/>
      <c r="X485" s="2523"/>
      <c r="Y485" s="1223"/>
      <c r="Z485" s="1223"/>
      <c r="AA485" s="1223"/>
      <c r="AB485" s="1223"/>
      <c r="AC485" s="1223"/>
      <c r="AD485" s="1223"/>
      <c r="AE485" s="1223"/>
      <c r="AF485" s="1223"/>
      <c r="AG485" s="1308">
        <f>IF(AND($C$471="Yes",$V$474="N/A",V476="N/A",$V$481="N/A",$V$487="N/A"),(VLOOKUP($V$485,$AW$444:$AX$447,2,FALSE)),0)</f>
        <v>0</v>
      </c>
      <c r="AH485" s="1393" t="s">
        <v>1529</v>
      </c>
      <c r="AI485" s="1224"/>
      <c r="AJ485" s="1223"/>
      <c r="AK485" s="1461"/>
      <c r="AL485" s="1223"/>
      <c r="AM485" s="1223"/>
      <c r="AN485" s="1207"/>
      <c r="AO485" s="1223" t="s">
        <v>1746</v>
      </c>
      <c r="AP485" s="1223">
        <v>5</v>
      </c>
      <c r="AS485" s="1223"/>
      <c r="AT485" s="1223"/>
      <c r="AU485" s="1223"/>
      <c r="AV485" s="1223"/>
      <c r="AW485" s="1223"/>
      <c r="AX485" s="1223"/>
      <c r="AY485" s="1223"/>
      <c r="AZ485" s="1223"/>
      <c r="BA485" s="1223"/>
      <c r="BB485" s="1223"/>
      <c r="BO485" s="1223"/>
      <c r="BP485" s="1223"/>
      <c r="BQ485" s="1223"/>
      <c r="BR485" s="1223"/>
      <c r="BS485" s="1223"/>
      <c r="BT485" s="1223"/>
      <c r="BU485" s="1223"/>
      <c r="BV485" s="1223"/>
      <c r="BW485" s="1223"/>
      <c r="BX485" s="1223"/>
      <c r="BY485" s="1223"/>
      <c r="BZ485" s="1223"/>
      <c r="CA485" s="1223"/>
      <c r="CB485" s="1223"/>
      <c r="CC485" s="1223"/>
    </row>
    <row r="486" spans="1:81" s="1208" customFormat="1" ht="12.75" hidden="1" customHeight="1">
      <c r="A486" s="1493"/>
      <c r="B486" s="1223"/>
      <c r="C486" s="1495"/>
      <c r="D486" s="1223"/>
      <c r="E486" s="1223"/>
      <c r="I486" s="1223"/>
      <c r="J486" s="1223"/>
      <c r="K486" s="1223"/>
      <c r="L486" s="1223"/>
      <c r="M486" s="1223"/>
      <c r="N486" s="1223"/>
      <c r="O486" s="1223"/>
      <c r="P486" s="1223"/>
      <c r="Q486" s="1223"/>
      <c r="R486" s="1223"/>
      <c r="S486" s="1223"/>
      <c r="T486" s="1223"/>
      <c r="U486" s="1223"/>
      <c r="V486" s="1223"/>
      <c r="W486" s="1223"/>
      <c r="X486" s="1223"/>
      <c r="Y486" s="1223"/>
      <c r="Z486" s="1223"/>
      <c r="AA486" s="1223"/>
      <c r="AB486" s="1223"/>
      <c r="AC486" s="1223"/>
      <c r="AD486" s="1223"/>
      <c r="AE486" s="1223"/>
      <c r="AF486" s="1223"/>
      <c r="AK486" s="1461"/>
      <c r="AL486" s="1223"/>
      <c r="AM486" s="1223"/>
      <c r="AN486" s="1207"/>
      <c r="AO486" s="1223" t="s">
        <v>1747</v>
      </c>
      <c r="AP486" s="1223">
        <v>5</v>
      </c>
      <c r="AS486" s="1223"/>
      <c r="AT486" s="1223"/>
      <c r="AU486" s="1223"/>
      <c r="AV486" s="1223"/>
      <c r="AW486" s="1223"/>
      <c r="AX486" s="1223"/>
      <c r="AY486" s="1223"/>
      <c r="AZ486" s="1223"/>
      <c r="BA486" s="1223"/>
      <c r="BB486" s="1223"/>
      <c r="BC486" s="1223"/>
      <c r="BD486" s="1223"/>
      <c r="BE486" s="1223"/>
      <c r="BF486" s="1223"/>
      <c r="BG486" s="1223"/>
      <c r="BH486" s="1223"/>
      <c r="BI486" s="1223"/>
      <c r="BJ486" s="1223"/>
      <c r="BK486" s="1223"/>
      <c r="BL486" s="1223"/>
      <c r="BM486" s="1223"/>
      <c r="BN486" s="1223"/>
      <c r="BO486" s="1223"/>
      <c r="BP486" s="1223"/>
      <c r="BQ486" s="1223"/>
      <c r="BR486" s="1223"/>
      <c r="BS486" s="1223"/>
      <c r="BT486" s="1223"/>
      <c r="BU486" s="1223"/>
      <c r="BV486" s="1223"/>
      <c r="BW486" s="1223"/>
      <c r="BX486" s="1223"/>
      <c r="BY486" s="1223"/>
      <c r="BZ486" s="1223"/>
      <c r="CA486" s="1223"/>
      <c r="CB486" s="1223"/>
      <c r="CC486" s="1223"/>
    </row>
    <row r="487" spans="1:81" s="1211" customFormat="1" ht="12.75" hidden="1" customHeight="1">
      <c r="A487" s="1493"/>
      <c r="B487" s="1223"/>
      <c r="C487" s="1497"/>
      <c r="D487" s="1456"/>
      <c r="E487" s="1456"/>
      <c r="F487" s="1508" t="s">
        <v>1734</v>
      </c>
      <c r="G487" s="1344"/>
      <c r="H487" s="1344"/>
      <c r="I487" s="1456"/>
      <c r="J487" s="1456"/>
      <c r="K487" s="1456"/>
      <c r="L487" s="1456"/>
      <c r="M487" s="1456"/>
      <c r="N487" s="1456"/>
      <c r="O487" s="1456"/>
      <c r="P487" s="1456"/>
      <c r="Q487" s="1456"/>
      <c r="R487" s="1456"/>
      <c r="S487" s="1456"/>
      <c r="T487" s="1456"/>
      <c r="U487" s="1456"/>
      <c r="V487" s="2523" t="s">
        <v>618</v>
      </c>
      <c r="W487" s="2523"/>
      <c r="X487" s="2523"/>
      <c r="Y487" s="1456"/>
      <c r="Z487" s="1456"/>
      <c r="AA487" s="1456"/>
      <c r="AB487" s="1456"/>
      <c r="AC487" s="1456"/>
      <c r="AD487" s="1456"/>
      <c r="AE487" s="1456"/>
      <c r="AF487" s="1456"/>
      <c r="AG487" s="1515">
        <f>IF(AND($C$471="Yes",$V$474="N/A",$V$476="N/A",$V$481="N/A",$V$485="N/A"),(VLOOKUP($V$487,$BA$444:$BB$446,2,FALSE)),0)</f>
        <v>0</v>
      </c>
      <c r="AH487" s="1500" t="s">
        <v>1529</v>
      </c>
      <c r="AI487" s="1456"/>
      <c r="AJ487" s="1456"/>
      <c r="AK487" s="1467"/>
      <c r="AL487" s="1223"/>
      <c r="AM487" s="1223"/>
      <c r="AN487" s="1516"/>
      <c r="AP487" s="1383"/>
      <c r="AQ487" s="1383"/>
      <c r="AR487" s="1383"/>
      <c r="AS487" s="1383"/>
      <c r="AT487" s="1383"/>
      <c r="AU487" s="1383"/>
      <c r="AV487" s="1383"/>
      <c r="AW487" s="1383"/>
      <c r="AX487" s="1383"/>
      <c r="AY487" s="1383"/>
      <c r="AZ487" s="1383"/>
      <c r="BA487" s="1383"/>
      <c r="BB487" s="1383"/>
      <c r="BC487" s="1383"/>
      <c r="BE487" s="1383"/>
      <c r="BF487" s="1383"/>
      <c r="BG487" s="1383"/>
      <c r="BH487" s="1383"/>
      <c r="BI487" s="1383"/>
      <c r="BJ487" s="1383"/>
      <c r="BK487" s="1383"/>
      <c r="BL487" s="1383"/>
      <c r="BM487" s="1383"/>
      <c r="BN487" s="1383"/>
      <c r="BO487" s="1383"/>
      <c r="BP487" s="1383"/>
      <c r="BQ487" s="1383"/>
      <c r="BR487" s="1383"/>
    </row>
    <row r="488" spans="1:81" s="1211" customFormat="1" ht="12.75" hidden="1" customHeight="1">
      <c r="A488" s="1493"/>
      <c r="B488" s="1223"/>
      <c r="C488" s="1224"/>
      <c r="D488" s="1223"/>
      <c r="E488" s="1496"/>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c r="AA488" s="1223"/>
      <c r="AB488" s="1223"/>
      <c r="AC488" s="1223"/>
      <c r="AD488" s="1223"/>
      <c r="AE488" s="1223"/>
      <c r="AF488" s="1223"/>
      <c r="AG488" s="1223"/>
      <c r="AH488" s="1223"/>
      <c r="AI488" s="1223"/>
      <c r="AJ488" s="1223"/>
      <c r="AK488" s="1223"/>
      <c r="AL488" s="1223"/>
      <c r="AM488" s="1223"/>
      <c r="AN488" s="1516"/>
      <c r="AO488" s="1517"/>
      <c r="AP488" s="1223"/>
      <c r="AQ488" s="1223"/>
      <c r="AR488" s="1223"/>
      <c r="AS488" s="1223"/>
      <c r="AT488" s="1223"/>
      <c r="AU488" s="1518"/>
      <c r="AV488" s="1518"/>
      <c r="AW488" s="1518"/>
      <c r="AX488" s="1518"/>
      <c r="AY488" s="1518"/>
      <c r="AZ488" s="1518"/>
      <c r="BA488" s="1518"/>
      <c r="BB488" s="1383"/>
      <c r="BC488" s="1383"/>
      <c r="BE488" s="1223"/>
      <c r="BF488" s="1223"/>
      <c r="BG488" s="1223"/>
      <c r="BH488" s="1223"/>
      <c r="BI488" s="1223"/>
      <c r="BJ488" s="1518"/>
      <c r="BK488" s="1518"/>
      <c r="BL488" s="1518"/>
      <c r="BM488" s="1518"/>
      <c r="BN488" s="1518"/>
      <c r="BO488" s="1518"/>
      <c r="BP488" s="1518"/>
      <c r="BQ488" s="1383"/>
      <c r="BR488" s="1223"/>
    </row>
    <row r="489" spans="1:81" s="1211" customFormat="1" ht="12.75" hidden="1" customHeight="1">
      <c r="A489" s="1493"/>
      <c r="B489" s="1223"/>
      <c r="C489" s="1440" t="s">
        <v>1748</v>
      </c>
      <c r="D489" s="1223"/>
      <c r="E489" s="1496"/>
      <c r="F489" s="1224"/>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223"/>
      <c r="AE489" s="1223"/>
      <c r="AF489" s="1223"/>
      <c r="AG489" s="1224"/>
      <c r="AH489" s="1224"/>
      <c r="AI489" s="1224"/>
      <c r="AJ489" s="1224"/>
      <c r="AK489" s="1223"/>
      <c r="AL489" s="1223"/>
      <c r="AM489" s="1223"/>
      <c r="AN489" s="1516"/>
      <c r="AO489" s="1517"/>
      <c r="AP489" s="1223"/>
      <c r="AQ489" s="1223"/>
      <c r="AR489" s="1223"/>
      <c r="AS489" s="1223"/>
      <c r="AT489" s="1223"/>
      <c r="AU489" s="1518"/>
      <c r="AV489" s="1518"/>
      <c r="AW489" s="1518"/>
      <c r="AX489" s="1518"/>
      <c r="AY489" s="1518"/>
      <c r="AZ489" s="1518"/>
      <c r="BA489" s="1518"/>
      <c r="BB489" s="1383"/>
      <c r="BC489" s="1383"/>
      <c r="BE489" s="1223"/>
      <c r="BF489" s="1223"/>
      <c r="BG489" s="1223"/>
      <c r="BH489" s="1223"/>
      <c r="BI489" s="1223"/>
      <c r="BJ489" s="1518"/>
      <c r="BK489" s="1518"/>
      <c r="BL489" s="1518"/>
      <c r="BM489" s="1518"/>
      <c r="BN489" s="1518"/>
      <c r="BO489" s="1518"/>
      <c r="BP489" s="1518"/>
      <c r="BQ489" s="1383"/>
      <c r="BR489" s="1223"/>
    </row>
    <row r="490" spans="1:81" s="1208" customFormat="1" ht="12.75" hidden="1" customHeight="1">
      <c r="A490" s="1493"/>
      <c r="B490" s="1223"/>
      <c r="C490" s="2508" t="s">
        <v>618</v>
      </c>
      <c r="D490" s="2509"/>
      <c r="E490" s="1494" t="s">
        <v>533</v>
      </c>
      <c r="F490" s="2517" t="s">
        <v>1727</v>
      </c>
      <c r="G490" s="2517"/>
      <c r="H490" s="2517"/>
      <c r="I490" s="2517"/>
      <c r="J490" s="2517"/>
      <c r="K490" s="2517"/>
      <c r="L490" s="2517"/>
      <c r="M490" s="2517"/>
      <c r="N490" s="2517"/>
      <c r="O490" s="2517"/>
      <c r="P490" s="2517"/>
      <c r="Q490" s="2517"/>
      <c r="R490" s="2517"/>
      <c r="S490" s="2517"/>
      <c r="T490" s="2517"/>
      <c r="U490" s="2517"/>
      <c r="V490" s="2517"/>
      <c r="W490" s="2517"/>
      <c r="X490" s="2517"/>
      <c r="Y490" s="2517"/>
      <c r="Z490" s="2517"/>
      <c r="AA490" s="2517"/>
      <c r="AB490" s="2517"/>
      <c r="AC490" s="2517"/>
      <c r="AD490" s="2517"/>
      <c r="AE490" s="2517"/>
      <c r="AF490" s="1442"/>
      <c r="AG490" s="1444"/>
      <c r="AH490" s="1444"/>
      <c r="AI490" s="1444"/>
      <c r="AJ490" s="1444"/>
      <c r="AK490" s="1472"/>
      <c r="AL490" s="1223"/>
      <c r="AM490" s="1223"/>
      <c r="AN490" s="1204"/>
      <c r="AO490" s="1205"/>
      <c r="AP490" s="1223"/>
      <c r="AQ490" s="1223"/>
      <c r="AR490" s="1223"/>
      <c r="AS490" s="1223"/>
      <c r="AT490" s="1223"/>
      <c r="AU490" s="1437"/>
      <c r="AV490" s="1437"/>
      <c r="AW490" s="1437"/>
      <c r="AX490" s="1437"/>
      <c r="AY490" s="1437"/>
      <c r="AZ490" s="1437"/>
      <c r="BA490" s="1437"/>
      <c r="BB490" s="1223"/>
      <c r="BC490" s="1223"/>
      <c r="BE490" s="1223"/>
      <c r="BF490" s="1223"/>
      <c r="BG490" s="1223"/>
      <c r="BH490" s="1223"/>
      <c r="BI490" s="1223"/>
      <c r="BJ490" s="1437"/>
      <c r="BK490" s="1437"/>
      <c r="BL490" s="1437"/>
      <c r="BM490" s="1437"/>
      <c r="BN490" s="1437"/>
      <c r="BO490" s="1437"/>
      <c r="BP490" s="1437"/>
      <c r="BQ490" s="1223"/>
      <c r="BR490" s="1223"/>
    </row>
    <row r="491" spans="1:81" s="1208" customFormat="1" ht="12.75" hidden="1" customHeight="1">
      <c r="A491" s="1493"/>
      <c r="B491" s="1223"/>
      <c r="C491" s="1495"/>
      <c r="D491" s="1223"/>
      <c r="E491" s="1496"/>
      <c r="F491" s="2518"/>
      <c r="G491" s="2518"/>
      <c r="H491" s="2518"/>
      <c r="I491" s="2518"/>
      <c r="J491" s="2518"/>
      <c r="K491" s="2518"/>
      <c r="L491" s="2518"/>
      <c r="M491" s="2518"/>
      <c r="N491" s="2518"/>
      <c r="O491" s="2518"/>
      <c r="P491" s="2518"/>
      <c r="Q491" s="2518"/>
      <c r="R491" s="2518"/>
      <c r="S491" s="2518"/>
      <c r="T491" s="2518"/>
      <c r="U491" s="2518"/>
      <c r="V491" s="2518"/>
      <c r="W491" s="2518"/>
      <c r="X491" s="2518"/>
      <c r="Y491" s="2518"/>
      <c r="Z491" s="2518"/>
      <c r="AA491" s="2518"/>
      <c r="AB491" s="2518"/>
      <c r="AC491" s="2518"/>
      <c r="AD491" s="2518"/>
      <c r="AE491" s="2518"/>
      <c r="AF491" s="1223"/>
      <c r="AG491" s="1224"/>
      <c r="AH491" s="1224"/>
      <c r="AI491" s="1224"/>
      <c r="AJ491" s="1224"/>
      <c r="AK491" s="1461"/>
      <c r="AL491" s="1223"/>
      <c r="AM491" s="1223"/>
      <c r="AN491" s="1204"/>
      <c r="AO491" s="1205"/>
      <c r="AP491" s="1519"/>
      <c r="AQ491" s="1519"/>
      <c r="AR491" s="1519"/>
      <c r="AS491" s="1493"/>
      <c r="AT491" s="1223"/>
      <c r="AU491" s="1520"/>
      <c r="AV491" s="1520"/>
      <c r="AW491" s="1520"/>
      <c r="AX491" s="1520"/>
      <c r="AY491" s="1520"/>
      <c r="AZ491" s="1520"/>
      <c r="BA491" s="1520"/>
      <c r="BB491" s="1206"/>
      <c r="BC491" s="1206"/>
      <c r="BE491" s="1519"/>
      <c r="BF491" s="1519"/>
      <c r="BG491" s="1519"/>
      <c r="BH491" s="1493"/>
      <c r="BI491" s="1223"/>
      <c r="BJ491" s="1521"/>
      <c r="BK491" s="1520"/>
      <c r="BL491" s="1520"/>
      <c r="BM491" s="1520"/>
      <c r="BN491" s="1520"/>
      <c r="BO491" s="1520"/>
      <c r="BP491" s="1520"/>
      <c r="BQ491" s="1206"/>
      <c r="BR491" s="1223"/>
    </row>
    <row r="492" spans="1:81" s="1208" customFormat="1" ht="12.75" hidden="1" customHeight="1">
      <c r="A492" s="1493"/>
      <c r="B492" s="1223"/>
      <c r="C492" s="1497"/>
      <c r="D492" s="1456"/>
      <c r="E492" s="1498"/>
      <c r="F492" s="2519" t="s">
        <v>618</v>
      </c>
      <c r="G492" s="2519"/>
      <c r="H492" s="2519"/>
      <c r="I492" s="2519"/>
      <c r="J492" s="2519"/>
      <c r="K492" s="2519"/>
      <c r="L492" s="2519"/>
      <c r="M492" s="2519"/>
      <c r="N492" s="2519"/>
      <c r="O492" s="2519"/>
      <c r="P492" s="2519"/>
      <c r="Q492" s="2519"/>
      <c r="R492" s="2519"/>
      <c r="S492" s="2519"/>
      <c r="T492" s="2519"/>
      <c r="U492" s="2519"/>
      <c r="V492" s="2519"/>
      <c r="W492" s="2519"/>
      <c r="X492" s="2519"/>
      <c r="Y492" s="2519"/>
      <c r="Z492" s="2519"/>
      <c r="AA492" s="1344"/>
      <c r="AB492" s="1411"/>
      <c r="AC492" s="1411"/>
      <c r="AD492" s="1456"/>
      <c r="AE492" s="1456"/>
      <c r="AF492" s="1456"/>
      <c r="AG492" s="1499">
        <f>IF($C$490="Yes",(VLOOKUP($F$492,$AO$460:$AP$468,2,FALSE)),0)</f>
        <v>0</v>
      </c>
      <c r="AH492" s="1500" t="s">
        <v>1529</v>
      </c>
      <c r="AI492" s="1499"/>
      <c r="AJ492" s="1411"/>
      <c r="AK492" s="1467"/>
      <c r="AL492" s="1223"/>
      <c r="AM492" s="1223"/>
      <c r="AN492" s="1204"/>
      <c r="AO492" s="1205"/>
      <c r="AP492" s="1519"/>
      <c r="AQ492" s="1519"/>
      <c r="AR492" s="1519"/>
      <c r="AS492" s="1493"/>
      <c r="AT492" s="1223"/>
      <c r="AU492" s="1520"/>
      <c r="AV492" s="1520"/>
      <c r="AW492" s="1520"/>
      <c r="AX492" s="1520"/>
      <c r="AY492" s="1520"/>
      <c r="AZ492" s="1520"/>
      <c r="BA492" s="1520"/>
      <c r="BB492" s="1206"/>
      <c r="BC492" s="1206"/>
      <c r="BE492" s="1519"/>
      <c r="BF492" s="1519"/>
      <c r="BG492" s="1519"/>
      <c r="BH492" s="1493"/>
      <c r="BI492" s="1223"/>
      <c r="BJ492" s="1521"/>
      <c r="BK492" s="1520"/>
      <c r="BL492" s="1520"/>
      <c r="BM492" s="1520"/>
      <c r="BN492" s="1520"/>
      <c r="BO492" s="1520"/>
      <c r="BP492" s="1520"/>
      <c r="BQ492" s="1206"/>
      <c r="BR492" s="1223"/>
    </row>
    <row r="493" spans="1:81" s="1208" customFormat="1" ht="12.75" hidden="1" customHeight="1">
      <c r="A493" s="1493"/>
      <c r="B493" s="1223"/>
      <c r="C493" s="1440"/>
      <c r="D493" s="1223"/>
      <c r="E493" s="1496"/>
      <c r="F493" s="1224"/>
      <c r="G493" s="1224"/>
      <c r="H493" s="1224"/>
      <c r="I493" s="1224"/>
      <c r="J493" s="1224"/>
      <c r="K493" s="1224"/>
      <c r="L493" s="1224"/>
      <c r="M493" s="1224"/>
      <c r="N493" s="1224"/>
      <c r="O493" s="1224"/>
      <c r="P493" s="1224"/>
      <c r="Q493" s="1224"/>
      <c r="R493" s="1224"/>
      <c r="S493" s="1224"/>
      <c r="T493" s="1224"/>
      <c r="U493" s="1224"/>
      <c r="V493" s="1224"/>
      <c r="W493" s="1224"/>
      <c r="X493" s="1224"/>
      <c r="Y493" s="1224"/>
      <c r="Z493" s="1224"/>
      <c r="AA493" s="1224"/>
      <c r="AB493" s="1224"/>
      <c r="AC493" s="1224"/>
      <c r="AD493" s="1223"/>
      <c r="AE493" s="1223"/>
      <c r="AF493" s="1223"/>
      <c r="AG493" s="1224"/>
      <c r="AH493" s="1224"/>
      <c r="AI493" s="1224"/>
      <c r="AJ493" s="1224"/>
      <c r="AK493" s="1223"/>
      <c r="AL493" s="1223"/>
      <c r="AM493" s="1223"/>
      <c r="AN493" s="1204"/>
      <c r="AO493" s="1205"/>
      <c r="AP493" s="1519"/>
      <c r="AQ493" s="1519"/>
      <c r="AR493" s="1519"/>
      <c r="AS493" s="1493"/>
      <c r="AT493" s="1223"/>
      <c r="AU493" s="1520"/>
      <c r="AV493" s="1520"/>
      <c r="AW493" s="1520"/>
      <c r="AX493" s="1520"/>
      <c r="AY493" s="1520"/>
      <c r="AZ493" s="1520"/>
      <c r="BA493" s="1520"/>
      <c r="BB493" s="1206"/>
      <c r="BC493" s="1206"/>
      <c r="BE493" s="1519"/>
      <c r="BF493" s="1519"/>
      <c r="BG493" s="1519"/>
      <c r="BH493" s="1493"/>
      <c r="BI493" s="1223"/>
      <c r="BJ493" s="1521"/>
      <c r="BK493" s="1520"/>
      <c r="BL493" s="1520"/>
      <c r="BM493" s="1520"/>
      <c r="BN493" s="1520"/>
      <c r="BO493" s="1520"/>
      <c r="BP493" s="1520"/>
      <c r="BQ493" s="1206"/>
      <c r="BR493" s="1223"/>
    </row>
    <row r="494" spans="1:81" s="1208" customFormat="1" ht="12.75" hidden="1" customHeight="1">
      <c r="A494" s="1223"/>
      <c r="B494" s="1223"/>
      <c r="C494" s="2508" t="s">
        <v>618</v>
      </c>
      <c r="D494" s="2509"/>
      <c r="E494" s="1494" t="s">
        <v>788</v>
      </c>
      <c r="F494" s="2520" t="s">
        <v>1749</v>
      </c>
      <c r="G494" s="2520"/>
      <c r="H494" s="2520"/>
      <c r="I494" s="2520"/>
      <c r="J494" s="2520"/>
      <c r="K494" s="2520"/>
      <c r="L494" s="2520"/>
      <c r="M494" s="2520"/>
      <c r="N494" s="2520"/>
      <c r="O494" s="2520"/>
      <c r="P494" s="2520"/>
      <c r="Q494" s="2520"/>
      <c r="R494" s="2520"/>
      <c r="S494" s="2520"/>
      <c r="T494" s="2520"/>
      <c r="U494" s="2520"/>
      <c r="V494" s="2520"/>
      <c r="W494" s="2520"/>
      <c r="X494" s="2520"/>
      <c r="Y494" s="2520"/>
      <c r="Z494" s="2520"/>
      <c r="AA494" s="2520"/>
      <c r="AB494" s="2520"/>
      <c r="AC494" s="2520"/>
      <c r="AD494" s="2520"/>
      <c r="AE494" s="2520"/>
      <c r="AF494" s="1442"/>
      <c r="AG494" s="1400"/>
      <c r="AH494" s="1400"/>
      <c r="AI494" s="1400"/>
      <c r="AJ494" s="1400"/>
      <c r="AK494" s="1472"/>
      <c r="AL494" s="1223"/>
      <c r="AM494" s="1223"/>
      <c r="AN494" s="1204"/>
      <c r="AO494" s="1205"/>
      <c r="AP494" s="1519"/>
      <c r="AQ494" s="1519"/>
      <c r="AR494" s="1519"/>
      <c r="AS494" s="1493"/>
      <c r="AT494" s="1223"/>
      <c r="AU494" s="1520"/>
      <c r="AV494" s="1520"/>
      <c r="AW494" s="1520"/>
      <c r="AX494" s="1520"/>
      <c r="AY494" s="1520"/>
      <c r="AZ494" s="1520"/>
      <c r="BA494" s="1520"/>
      <c r="BB494" s="1206"/>
      <c r="BC494" s="1206"/>
      <c r="BE494" s="1519"/>
      <c r="BF494" s="1519"/>
      <c r="BG494" s="1519"/>
      <c r="BH494" s="1493"/>
      <c r="BI494" s="1223"/>
      <c r="BJ494" s="1521"/>
      <c r="BK494" s="1520"/>
      <c r="BL494" s="1520"/>
      <c r="BM494" s="1520"/>
      <c r="BN494" s="1520"/>
      <c r="BO494" s="1520"/>
      <c r="BP494" s="1520"/>
      <c r="BQ494" s="1206"/>
      <c r="BR494" s="1223"/>
    </row>
    <row r="495" spans="1:81" s="1208" customFormat="1" ht="12.75" hidden="1" customHeight="1">
      <c r="A495" s="1223"/>
      <c r="B495" s="1223"/>
      <c r="C495" s="1495"/>
      <c r="D495" s="1223"/>
      <c r="E495" s="1496"/>
      <c r="F495" s="2521"/>
      <c r="G495" s="2521"/>
      <c r="H495" s="2521"/>
      <c r="I495" s="2521"/>
      <c r="J495" s="2521"/>
      <c r="K495" s="2521"/>
      <c r="L495" s="2521"/>
      <c r="M495" s="2521"/>
      <c r="N495" s="2521"/>
      <c r="O495" s="2521"/>
      <c r="P495" s="2521"/>
      <c r="Q495" s="2521"/>
      <c r="R495" s="2521"/>
      <c r="S495" s="2521"/>
      <c r="T495" s="2521"/>
      <c r="U495" s="2521"/>
      <c r="V495" s="2521"/>
      <c r="W495" s="2521"/>
      <c r="X495" s="2521"/>
      <c r="Y495" s="2521"/>
      <c r="Z495" s="2521"/>
      <c r="AA495" s="2521"/>
      <c r="AB495" s="2521"/>
      <c r="AC495" s="2521"/>
      <c r="AD495" s="2521"/>
      <c r="AE495" s="2521"/>
      <c r="AF495" s="1223"/>
      <c r="AG495" s="1224"/>
      <c r="AH495" s="1224"/>
      <c r="AI495" s="1224"/>
      <c r="AJ495" s="1224"/>
      <c r="AK495" s="1461"/>
      <c r="AL495" s="1223"/>
      <c r="AM495" s="1223"/>
      <c r="AN495" s="1204"/>
      <c r="AO495" s="1205"/>
      <c r="AP495" s="1519"/>
      <c r="AQ495" s="1519"/>
      <c r="AR495" s="1519"/>
      <c r="AS495" s="1493"/>
      <c r="AT495" s="1223"/>
      <c r="AU495" s="1520"/>
      <c r="AV495" s="1520"/>
      <c r="AW495" s="1520"/>
      <c r="AX495" s="1520"/>
      <c r="AY495" s="1520"/>
      <c r="AZ495" s="1520"/>
      <c r="BA495" s="1520"/>
      <c r="BB495" s="1206"/>
      <c r="BC495" s="1206"/>
      <c r="BE495" s="1519"/>
      <c r="BF495" s="1519"/>
      <c r="BG495" s="1519"/>
      <c r="BH495" s="1493"/>
      <c r="BI495" s="1223"/>
      <c r="BJ495" s="1521"/>
      <c r="BK495" s="1520"/>
      <c r="BL495" s="1520"/>
      <c r="BM495" s="1520"/>
      <c r="BN495" s="1520"/>
      <c r="BO495" s="1520"/>
      <c r="BP495" s="1520"/>
      <c r="BQ495" s="1206"/>
      <c r="BR495" s="1223"/>
    </row>
    <row r="496" spans="1:81" s="1208" customFormat="1" ht="12.75" hidden="1" customHeight="1">
      <c r="A496" s="1223"/>
      <c r="B496" s="1223"/>
      <c r="C496" s="1469"/>
      <c r="D496" s="1223"/>
      <c r="E496" s="1223"/>
      <c r="F496" s="1514" t="s">
        <v>1750</v>
      </c>
      <c r="G496" s="1224"/>
      <c r="H496" s="1224"/>
      <c r="I496" s="1224"/>
      <c r="J496" s="1224"/>
      <c r="K496" s="1224"/>
      <c r="L496" s="1224"/>
      <c r="M496" s="1224"/>
      <c r="N496" s="1224"/>
      <c r="O496" s="1224"/>
      <c r="P496" s="1224"/>
      <c r="Q496" s="1224"/>
      <c r="R496" s="1224"/>
      <c r="S496" s="1224"/>
      <c r="T496" s="1224"/>
      <c r="U496" s="1224"/>
      <c r="V496" s="1224"/>
      <c r="W496" s="1224"/>
      <c r="X496" s="1224"/>
      <c r="Y496" s="1224"/>
      <c r="Z496" s="1224"/>
      <c r="AA496" s="1224"/>
      <c r="AB496" s="1224"/>
      <c r="AC496" s="1287"/>
      <c r="AD496" s="1223"/>
      <c r="AE496" s="1223"/>
      <c r="AF496" s="1223"/>
      <c r="AG496" s="1308"/>
      <c r="AH496" s="1308"/>
      <c r="AI496" s="1308"/>
      <c r="AJ496" s="1308"/>
      <c r="AK496" s="1461"/>
      <c r="AL496" s="1223"/>
      <c r="AM496" s="1223"/>
      <c r="AN496" s="1204"/>
      <c r="AP496" s="1519"/>
      <c r="AQ496" s="1519"/>
      <c r="AR496" s="1519"/>
      <c r="AS496" s="1493"/>
      <c r="AT496" s="1223"/>
      <c r="AU496" s="1520"/>
      <c r="AV496" s="1520"/>
      <c r="AW496" s="1520"/>
      <c r="AX496" s="1520"/>
      <c r="AY496" s="1520"/>
      <c r="AZ496" s="1520"/>
      <c r="BA496" s="1520"/>
      <c r="BE496" s="1519"/>
      <c r="BF496" s="1519"/>
      <c r="BG496" s="1519"/>
      <c r="BH496" s="1493"/>
      <c r="BI496" s="1223"/>
      <c r="BJ496" s="1521"/>
      <c r="BK496" s="1520"/>
      <c r="BL496" s="1520"/>
      <c r="BM496" s="1520"/>
      <c r="BN496" s="1520"/>
      <c r="BO496" s="1520"/>
      <c r="BP496" s="1520"/>
      <c r="BR496" s="1223"/>
    </row>
    <row r="497" spans="1:81" s="1208" customFormat="1" ht="13.5" hidden="1" thickTop="1">
      <c r="A497" s="1223"/>
      <c r="B497" s="1223"/>
      <c r="C497" s="1497"/>
      <c r="D497" s="1456"/>
      <c r="E497" s="1498"/>
      <c r="F497" s="2522" t="s">
        <v>618</v>
      </c>
      <c r="G497" s="2522"/>
      <c r="H497" s="2522"/>
      <c r="I497" s="1411"/>
      <c r="J497" s="1411"/>
      <c r="K497" s="1411"/>
      <c r="L497" s="1411"/>
      <c r="M497" s="1411"/>
      <c r="N497" s="1411"/>
      <c r="O497" s="1411"/>
      <c r="P497" s="1411"/>
      <c r="Q497" s="1411"/>
      <c r="R497" s="1411"/>
      <c r="S497" s="1411"/>
      <c r="T497" s="1411"/>
      <c r="U497" s="1411"/>
      <c r="V497" s="1411"/>
      <c r="W497" s="1411"/>
      <c r="X497" s="1411"/>
      <c r="Y497" s="1411"/>
      <c r="Z497" s="1411"/>
      <c r="AA497" s="1411"/>
      <c r="AB497" s="1411"/>
      <c r="AC497" s="1411"/>
      <c r="AD497" s="1456"/>
      <c r="AE497" s="1456"/>
      <c r="AF497" s="1456"/>
      <c r="AG497" s="1499">
        <f>IF($C$494="Yes",(VLOOKUP($F$497,$AO$470:$AP$472,2,FALSE)),0)</f>
        <v>0</v>
      </c>
      <c r="AH497" s="1500" t="s">
        <v>1529</v>
      </c>
      <c r="AI497" s="1411"/>
      <c r="AJ497" s="1411"/>
      <c r="AK497" s="1467"/>
      <c r="AL497" s="1223"/>
      <c r="AM497" s="1223"/>
      <c r="AN497" s="1204"/>
      <c r="AP497" s="1519"/>
      <c r="AQ497" s="1519"/>
      <c r="AR497" s="1519"/>
      <c r="AS497" s="1437"/>
      <c r="AT497" s="1223"/>
      <c r="AU497" s="1520"/>
      <c r="AV497" s="1520"/>
      <c r="AW497" s="1520"/>
      <c r="AX497" s="1520"/>
      <c r="AY497" s="1520"/>
      <c r="AZ497" s="1520"/>
      <c r="BA497" s="1520"/>
      <c r="BE497" s="1519"/>
      <c r="BF497" s="1519"/>
      <c r="BG497" s="1519"/>
      <c r="BH497" s="1437"/>
      <c r="BI497" s="1223"/>
      <c r="BJ497" s="1521"/>
      <c r="BK497" s="1520"/>
      <c r="BL497" s="1520"/>
      <c r="BM497" s="1520"/>
      <c r="BN497" s="1520"/>
      <c r="BO497" s="1520"/>
      <c r="BP497" s="1520"/>
      <c r="BR497" s="1223"/>
    </row>
    <row r="498" spans="1:81" s="1208" customFormat="1" ht="13.5" hidden="1" thickTop="1">
      <c r="A498" s="1224"/>
      <c r="B498" s="1224"/>
      <c r="C498" s="1224"/>
      <c r="D498" s="1224"/>
      <c r="E498" s="1224"/>
      <c r="F498" s="1224"/>
      <c r="G498" s="1224"/>
      <c r="H498" s="1224"/>
      <c r="I498" s="1224"/>
      <c r="J498" s="1224"/>
      <c r="K498" s="1224"/>
      <c r="L498" s="1224"/>
      <c r="M498" s="1224"/>
      <c r="N498" s="1224"/>
      <c r="O498" s="1224"/>
      <c r="P498" s="1224"/>
      <c r="Q498" s="1224"/>
      <c r="R498" s="1224"/>
      <c r="S498" s="1224"/>
      <c r="T498" s="1224"/>
      <c r="U498" s="1224"/>
      <c r="V498" s="1224"/>
      <c r="W498" s="1224"/>
      <c r="X498" s="1224"/>
      <c r="Y498" s="1224"/>
      <c r="Z498" s="1224"/>
      <c r="AA498" s="1224"/>
      <c r="AB498" s="1224"/>
      <c r="AC498" s="1224"/>
      <c r="AD498" s="1224"/>
      <c r="AE498" s="1223"/>
      <c r="AF498" s="1223"/>
      <c r="AG498" s="1308"/>
      <c r="AH498" s="1393"/>
      <c r="AI498" s="1224"/>
      <c r="AJ498" s="1224"/>
      <c r="AK498" s="1223"/>
      <c r="AL498" s="1223"/>
      <c r="AM498" s="1223"/>
      <c r="AN498" s="1204"/>
      <c r="AP498" s="1519"/>
      <c r="AQ498" s="1519"/>
      <c r="AR498" s="1519"/>
      <c r="AS498" s="1437"/>
      <c r="AT498" s="1223"/>
      <c r="AU498" s="1520"/>
      <c r="AV498" s="1520"/>
      <c r="AW498" s="1520"/>
      <c r="AX498" s="1520"/>
      <c r="AY498" s="1520"/>
      <c r="AZ498" s="1520"/>
      <c r="BA498" s="1520"/>
      <c r="BE498" s="1519"/>
      <c r="BF498" s="1519"/>
      <c r="BG498" s="1519"/>
      <c r="BH498" s="1437"/>
      <c r="BI498" s="1223"/>
      <c r="BJ498" s="1521"/>
      <c r="BK498" s="1520"/>
      <c r="BL498" s="1520"/>
      <c r="BM498" s="1520"/>
      <c r="BN498" s="1520"/>
      <c r="BO498" s="1520"/>
      <c r="BP498" s="1520"/>
      <c r="BR498" s="1223"/>
    </row>
    <row r="499" spans="1:81" s="1208" customFormat="1" ht="13.5" hidden="1" thickTop="1">
      <c r="A499" s="1223"/>
      <c r="B499" s="1223"/>
      <c r="C499" s="2508" t="s">
        <v>618</v>
      </c>
      <c r="D499" s="2509"/>
      <c r="E499" s="1494" t="s">
        <v>1751</v>
      </c>
      <c r="F499" s="1513" t="s">
        <v>1752</v>
      </c>
      <c r="G499" s="1400"/>
      <c r="H499" s="1400"/>
      <c r="I499" s="1400"/>
      <c r="J499" s="1400"/>
      <c r="K499" s="1400"/>
      <c r="L499" s="1400"/>
      <c r="M499" s="1400"/>
      <c r="N499" s="1400"/>
      <c r="O499" s="1400"/>
      <c r="P499" s="1400"/>
      <c r="Q499" s="1400"/>
      <c r="R499" s="1400"/>
      <c r="S499" s="1400"/>
      <c r="T499" s="1400"/>
      <c r="U499" s="1400"/>
      <c r="V499" s="1400"/>
      <c r="W499" s="1400"/>
      <c r="X499" s="1400"/>
      <c r="Y499" s="1400"/>
      <c r="Z499" s="1400"/>
      <c r="AA499" s="1400"/>
      <c r="AB499" s="1400"/>
      <c r="AC499" s="1522"/>
      <c r="AD499" s="1442"/>
      <c r="AE499" s="1442"/>
      <c r="AF499" s="1442"/>
      <c r="AG499" s="1523"/>
      <c r="AH499" s="1523"/>
      <c r="AI499" s="1523"/>
      <c r="AJ499" s="1523"/>
      <c r="AK499" s="1472"/>
      <c r="AL499" s="1223"/>
      <c r="AM499" s="1223"/>
      <c r="AN499" s="1204"/>
      <c r="AP499" s="1519"/>
      <c r="AQ499" s="1519"/>
      <c r="AR499" s="1519"/>
      <c r="AS499" s="1437"/>
      <c r="AT499" s="1223"/>
      <c r="AU499" s="1520"/>
      <c r="AV499" s="1520"/>
      <c r="AW499" s="1520"/>
      <c r="AX499" s="1520"/>
      <c r="AY499" s="1520"/>
      <c r="AZ499" s="1520"/>
      <c r="BA499" s="1520"/>
      <c r="BE499" s="1519"/>
      <c r="BF499" s="1519"/>
      <c r="BG499" s="1519"/>
      <c r="BH499" s="1437"/>
      <c r="BI499" s="1223"/>
      <c r="BJ499" s="1521"/>
      <c r="BK499" s="1520"/>
      <c r="BL499" s="1520"/>
      <c r="BM499" s="1520"/>
      <c r="BN499" s="1520"/>
      <c r="BO499" s="1520"/>
      <c r="BP499" s="1520"/>
      <c r="BR499" s="1223"/>
    </row>
    <row r="500" spans="1:81" s="1208" customFormat="1" ht="13.5" hidden="1" thickTop="1">
      <c r="A500" s="1223"/>
      <c r="B500" s="1223"/>
      <c r="C500" s="1495"/>
      <c r="D500" s="1223"/>
      <c r="E500" s="1496"/>
      <c r="F500" s="1224"/>
      <c r="G500" s="1224"/>
      <c r="H500" s="1224"/>
      <c r="I500" s="1224"/>
      <c r="J500" s="1224"/>
      <c r="K500" s="1224"/>
      <c r="L500" s="1224"/>
      <c r="M500" s="1224"/>
      <c r="N500" s="1224"/>
      <c r="O500" s="1224"/>
      <c r="P500" s="1224"/>
      <c r="Q500" s="1224"/>
      <c r="R500" s="1224"/>
      <c r="S500" s="1224"/>
      <c r="T500" s="1224"/>
      <c r="U500" s="1224"/>
      <c r="V500" s="1224"/>
      <c r="W500" s="1224"/>
      <c r="X500" s="1224"/>
      <c r="Y500" s="1224"/>
      <c r="Z500" s="1224"/>
      <c r="AA500" s="1224"/>
      <c r="AB500" s="1224"/>
      <c r="AC500" s="1224"/>
      <c r="AD500" s="1223"/>
      <c r="AE500" s="1223"/>
      <c r="AF500" s="1223"/>
      <c r="AG500" s="1224"/>
      <c r="AH500" s="1224"/>
      <c r="AI500" s="1224"/>
      <c r="AJ500" s="1224"/>
      <c r="AK500" s="1461"/>
      <c r="AL500" s="1223"/>
      <c r="AM500" s="1223"/>
      <c r="AN500" s="1204"/>
      <c r="AP500" s="1519"/>
      <c r="AQ500" s="1519"/>
      <c r="AR500" s="1519"/>
      <c r="AS500" s="1437"/>
      <c r="AT500" s="1223"/>
      <c r="AU500" s="1520"/>
      <c r="AV500" s="1520"/>
      <c r="AW500" s="1520"/>
      <c r="AX500" s="1520"/>
      <c r="AY500" s="1520"/>
      <c r="AZ500" s="1520"/>
      <c r="BA500" s="1520"/>
      <c r="BE500" s="1519"/>
      <c r="BF500" s="1519"/>
      <c r="BG500" s="1519"/>
      <c r="BH500" s="1437"/>
      <c r="BI500" s="1223"/>
      <c r="BJ500" s="1521"/>
      <c r="BK500" s="1520"/>
      <c r="BL500" s="1520"/>
      <c r="BM500" s="1520"/>
      <c r="BN500" s="1520"/>
      <c r="BO500" s="1520"/>
      <c r="BP500" s="1520"/>
      <c r="BR500" s="1206"/>
    </row>
    <row r="501" spans="1:81" s="1208" customFormat="1" ht="13.5" hidden="1" thickTop="1">
      <c r="A501" s="1223"/>
      <c r="B501" s="1223"/>
      <c r="C501" s="2510"/>
      <c r="D501" s="2511"/>
      <c r="E501" s="1504"/>
      <c r="F501" s="1224" t="s">
        <v>1753</v>
      </c>
      <c r="G501" s="1224"/>
      <c r="H501" s="1224"/>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87"/>
      <c r="AD501" s="1223"/>
      <c r="AE501" s="1223"/>
      <c r="AF501" s="1223"/>
      <c r="AG501" s="1308">
        <f>IF($C$499="Yes",(VLOOKUP($G$502,$AO$477:$AP$480,2,FALSE)),0)</f>
        <v>0</v>
      </c>
      <c r="AH501" s="1393" t="s">
        <v>1529</v>
      </c>
      <c r="AI501" s="1224"/>
      <c r="AJ501" s="1308"/>
      <c r="AK501" s="1461"/>
      <c r="AL501" s="1223"/>
      <c r="AM501" s="1223"/>
      <c r="AN501" s="1204"/>
      <c r="AP501" s="1519"/>
      <c r="AQ501" s="1519"/>
      <c r="AR501" s="1519"/>
      <c r="AS501" s="1437"/>
      <c r="AT501" s="1223"/>
      <c r="AU501" s="1520"/>
      <c r="AV501" s="1520"/>
      <c r="AW501" s="1520"/>
      <c r="AX501" s="1520"/>
      <c r="AY501" s="1520"/>
      <c r="AZ501" s="1520"/>
      <c r="BA501" s="1520"/>
      <c r="BE501" s="1519"/>
      <c r="BF501" s="1519"/>
      <c r="BG501" s="1519"/>
      <c r="BH501" s="1437"/>
      <c r="BI501" s="1223"/>
      <c r="BJ501" s="1521"/>
      <c r="BK501" s="1520"/>
      <c r="BL501" s="1520"/>
      <c r="BM501" s="1520"/>
      <c r="BN501" s="1520"/>
      <c r="BO501" s="1520"/>
      <c r="BP501" s="1520"/>
      <c r="BR501" s="1223"/>
    </row>
    <row r="502" spans="1:81" s="1208" customFormat="1" ht="13.5" hidden="1" thickTop="1">
      <c r="A502" s="1223"/>
      <c r="B502" s="1223"/>
      <c r="C502" s="1495"/>
      <c r="D502" s="1223"/>
      <c r="E502" s="1496"/>
      <c r="F502" s="1224"/>
      <c r="G502" s="2512" t="s">
        <v>618</v>
      </c>
      <c r="H502" s="2512"/>
      <c r="I502" s="2512"/>
      <c r="J502" s="2512"/>
      <c r="K502" s="2512"/>
      <c r="L502" s="2512"/>
      <c r="M502" s="2512"/>
      <c r="N502" s="2512"/>
      <c r="O502" s="2512"/>
      <c r="P502" s="2512"/>
      <c r="Q502" s="2512"/>
      <c r="R502" s="2512"/>
      <c r="S502" s="2512"/>
      <c r="T502" s="2512"/>
      <c r="U502" s="2512"/>
      <c r="V502" s="2512"/>
      <c r="W502" s="2512"/>
      <c r="X502" s="2512"/>
      <c r="Y502" s="2512"/>
      <c r="Z502" s="2512"/>
      <c r="AA502" s="2512"/>
      <c r="AB502" s="2512"/>
      <c r="AC502" s="2512"/>
      <c r="AD502" s="2512"/>
      <c r="AE502" s="2512"/>
      <c r="AF502" s="2512"/>
      <c r="AG502" s="1223"/>
      <c r="AH502" s="1223"/>
      <c r="AI502" s="1223"/>
      <c r="AJ502" s="1224"/>
      <c r="AK502" s="1461"/>
      <c r="AL502" s="1223"/>
      <c r="AM502" s="1223"/>
      <c r="AN502" s="1204"/>
      <c r="AP502" s="1519"/>
      <c r="AQ502" s="1519"/>
      <c r="AR502" s="1519"/>
      <c r="AS502" s="1437"/>
      <c r="AT502" s="1223"/>
      <c r="AU502" s="1520"/>
      <c r="AV502" s="1520"/>
      <c r="AW502" s="1520"/>
      <c r="AX502" s="1520"/>
      <c r="AY502" s="1520"/>
      <c r="AZ502" s="1520"/>
      <c r="BA502" s="1520"/>
      <c r="BE502" s="1519"/>
      <c r="BF502" s="1519"/>
      <c r="BG502" s="1519"/>
      <c r="BH502" s="1437"/>
      <c r="BI502" s="1223"/>
      <c r="BJ502" s="1521"/>
      <c r="BK502" s="1520"/>
      <c r="BL502" s="1520"/>
      <c r="BM502" s="1520"/>
      <c r="BN502" s="1520"/>
      <c r="BO502" s="1520"/>
      <c r="BP502" s="1520"/>
      <c r="BR502" s="1223"/>
    </row>
    <row r="503" spans="1:81" s="1208" customFormat="1" ht="13.5" hidden="1" thickTop="1">
      <c r="A503" s="1223"/>
      <c r="B503" s="1223"/>
      <c r="C503" s="1459"/>
      <c r="F503" s="1206"/>
      <c r="G503" s="1206"/>
      <c r="H503" s="1206"/>
      <c r="I503" s="1206"/>
      <c r="J503" s="1206"/>
      <c r="K503" s="1206"/>
      <c r="L503" s="1206"/>
      <c r="M503" s="1206"/>
      <c r="N503" s="1206"/>
      <c r="O503" s="1206"/>
      <c r="P503" s="1206"/>
      <c r="Q503" s="1206"/>
      <c r="R503" s="1206"/>
      <c r="S503" s="1206"/>
      <c r="T503" s="1206"/>
      <c r="U503" s="1206"/>
      <c r="V503" s="1206"/>
      <c r="W503" s="1206"/>
      <c r="X503" s="1206"/>
      <c r="Y503" s="1206"/>
      <c r="Z503" s="1206"/>
      <c r="AA503" s="1206"/>
      <c r="AB503" s="1206"/>
      <c r="AC503" s="1206"/>
      <c r="AD503" s="1223"/>
      <c r="AE503" s="1223"/>
      <c r="AF503" s="1223"/>
      <c r="AG503" s="1206"/>
      <c r="AH503" s="1206"/>
      <c r="AI503" s="1206"/>
      <c r="AJ503" s="1206"/>
      <c r="AK503" s="1461"/>
      <c r="AL503" s="1223"/>
      <c r="AM503" s="1223"/>
      <c r="AN503" s="1204"/>
      <c r="AP503" s="1519"/>
      <c r="AQ503" s="1519"/>
      <c r="AR503" s="1519"/>
      <c r="AS503" s="1437"/>
      <c r="AT503" s="1223"/>
      <c r="AU503" s="1520"/>
      <c r="AV503" s="1520"/>
      <c r="AW503" s="1520"/>
      <c r="AX503" s="1520"/>
      <c r="AY503" s="1520"/>
      <c r="AZ503" s="1520"/>
      <c r="BA503" s="1520"/>
      <c r="BE503" s="1519"/>
      <c r="BF503" s="1519"/>
      <c r="BG503" s="1519"/>
      <c r="BH503" s="1437"/>
      <c r="BI503" s="1223"/>
      <c r="BJ503" s="1521"/>
      <c r="BK503" s="1520"/>
      <c r="BL503" s="1520"/>
      <c r="BM503" s="1520"/>
      <c r="BN503" s="1520"/>
      <c r="BO503" s="1520"/>
      <c r="BP503" s="1520"/>
      <c r="BR503" s="1223"/>
    </row>
    <row r="504" spans="1:81" s="1208" customFormat="1" ht="12.75" hidden="1" customHeight="1">
      <c r="A504" s="1206"/>
      <c r="B504" s="1223"/>
      <c r="C504" s="2513" t="s">
        <v>618</v>
      </c>
      <c r="D504" s="2514"/>
      <c r="F504" s="1224" t="s">
        <v>1754</v>
      </c>
      <c r="G504" s="1224"/>
      <c r="H504" s="1224"/>
      <c r="I504" s="1224"/>
      <c r="J504" s="1224"/>
      <c r="K504" s="1224"/>
      <c r="L504" s="1224"/>
      <c r="M504" s="1224"/>
      <c r="N504" s="1224"/>
      <c r="O504" s="1224"/>
      <c r="P504" s="1224"/>
      <c r="Q504" s="1224"/>
      <c r="R504" s="1224"/>
      <c r="S504" s="1224"/>
      <c r="T504" s="1224"/>
      <c r="U504" s="1224"/>
      <c r="V504" s="1224"/>
      <c r="W504" s="1224"/>
      <c r="X504" s="1224"/>
      <c r="Y504" s="1224"/>
      <c r="Z504" s="1224"/>
      <c r="AA504" s="1224"/>
      <c r="AB504" s="1224"/>
      <c r="AC504" s="1287"/>
      <c r="AD504" s="1223"/>
      <c r="AE504" s="1223"/>
      <c r="AF504" s="1223"/>
      <c r="AG504" s="1308">
        <f>IF(AND($C$504="Yes",$C$499="Yes"),2,0)</f>
        <v>0</v>
      </c>
      <c r="AH504" s="1393" t="s">
        <v>1529</v>
      </c>
      <c r="AI504" s="1224"/>
      <c r="AJ504" s="1290"/>
      <c r="AK504" s="1461"/>
      <c r="AL504" s="1223"/>
      <c r="AM504" s="1223"/>
      <c r="AN504" s="1204"/>
      <c r="AP504" s="1519"/>
      <c r="AQ504" s="1519"/>
      <c r="AR504" s="1519"/>
      <c r="AS504" s="1437"/>
      <c r="AT504" s="1223"/>
      <c r="AU504" s="1520"/>
      <c r="AV504" s="1520"/>
      <c r="AW504" s="1520"/>
      <c r="AX504" s="1520"/>
      <c r="AY504" s="1520"/>
      <c r="AZ504" s="1520"/>
      <c r="BA504" s="1520"/>
      <c r="BE504" s="1519"/>
      <c r="BF504" s="1519"/>
      <c r="BG504" s="1519"/>
      <c r="BH504" s="1437"/>
      <c r="BI504" s="1223"/>
      <c r="BJ504" s="1521"/>
      <c r="BK504" s="1520"/>
      <c r="BL504" s="1520"/>
      <c r="BM504" s="1520"/>
      <c r="BN504" s="1520"/>
      <c r="BO504" s="1520"/>
      <c r="BP504" s="1520"/>
      <c r="BR504" s="1223"/>
    </row>
    <row r="505" spans="1:81" s="1208" customFormat="1" ht="13.5" hidden="1" thickTop="1">
      <c r="A505" s="1206"/>
      <c r="B505" s="1223"/>
      <c r="C505" s="1446"/>
      <c r="D505" s="1268"/>
      <c r="E505" s="1268"/>
      <c r="F505" s="1224"/>
      <c r="G505" s="1224" t="s">
        <v>1755</v>
      </c>
      <c r="H505" s="1224"/>
      <c r="I505" s="1224"/>
      <c r="J505" s="1224"/>
      <c r="K505" s="1224"/>
      <c r="L505" s="1224"/>
      <c r="M505" s="1224"/>
      <c r="N505" s="1224"/>
      <c r="O505" s="1224"/>
      <c r="P505" s="1224"/>
      <c r="Q505" s="1224"/>
      <c r="R505" s="1224"/>
      <c r="S505" s="1224"/>
      <c r="T505" s="1224"/>
      <c r="U505" s="1224"/>
      <c r="V505" s="1224"/>
      <c r="W505" s="1224"/>
      <c r="X505" s="1224"/>
      <c r="Y505" s="1224"/>
      <c r="Z505" s="1224"/>
      <c r="AA505" s="1224"/>
      <c r="AB505" s="1224"/>
      <c r="AC505" s="1287"/>
      <c r="AD505" s="1223"/>
      <c r="AE505" s="1223"/>
      <c r="AF505" s="1223"/>
      <c r="AG505" s="1290"/>
      <c r="AH505" s="1290"/>
      <c r="AI505" s="1290"/>
      <c r="AJ505" s="1290"/>
      <c r="AK505" s="1461"/>
      <c r="AL505" s="1223"/>
      <c r="AM505" s="1223"/>
      <c r="AN505" s="1297"/>
      <c r="AP505" s="1519"/>
      <c r="AQ505" s="1519"/>
      <c r="AR505" s="1519"/>
      <c r="AS505" s="1437"/>
      <c r="AT505" s="1223"/>
      <c r="AU505" s="1520"/>
      <c r="AV505" s="1520"/>
      <c r="AW505" s="1520"/>
      <c r="AX505" s="1520"/>
      <c r="AY505" s="1520"/>
      <c r="AZ505" s="1520"/>
      <c r="BA505" s="1520"/>
      <c r="BE505" s="1519"/>
      <c r="BF505" s="1519"/>
      <c r="BG505" s="1519"/>
      <c r="BH505" s="1437"/>
      <c r="BI505" s="1223"/>
      <c r="BJ505" s="1521"/>
      <c r="BK505" s="1520"/>
      <c r="BL505" s="1520"/>
      <c r="BM505" s="1520"/>
      <c r="BN505" s="1520"/>
      <c r="BO505" s="1520"/>
      <c r="BP505" s="1520"/>
      <c r="BR505" s="1223"/>
    </row>
    <row r="506" spans="1:81" s="1223" customFormat="1" ht="12.75" hidden="1" customHeight="1">
      <c r="A506" s="1206"/>
      <c r="C506" s="1446"/>
      <c r="D506" s="1268"/>
      <c r="E506" s="1268"/>
      <c r="F506" s="1224"/>
      <c r="G506" s="1224" t="s">
        <v>1756</v>
      </c>
      <c r="H506" s="1224"/>
      <c r="I506" s="1224"/>
      <c r="J506" s="1224"/>
      <c r="K506" s="1224"/>
      <c r="L506" s="1224"/>
      <c r="M506" s="1224"/>
      <c r="N506" s="1224"/>
      <c r="O506" s="1224"/>
      <c r="P506" s="1224"/>
      <c r="Q506" s="1224"/>
      <c r="R506" s="1224"/>
      <c r="S506" s="1224"/>
      <c r="T506" s="1224"/>
      <c r="U506" s="1224"/>
      <c r="V506" s="1224"/>
      <c r="W506" s="1224"/>
      <c r="X506" s="1224"/>
      <c r="Y506" s="1224"/>
      <c r="Z506" s="1224"/>
      <c r="AA506" s="1224"/>
      <c r="AB506" s="1224"/>
      <c r="AC506" s="1287"/>
      <c r="AG506" s="1290"/>
      <c r="AH506" s="1290"/>
      <c r="AI506" s="1290"/>
      <c r="AJ506" s="1290"/>
      <c r="AK506" s="1461"/>
      <c r="AN506" s="1207"/>
      <c r="AP506" s="1208"/>
      <c r="AQ506" s="1208"/>
      <c r="AR506" s="1208"/>
    </row>
    <row r="507" spans="1:81" s="1223" customFormat="1" ht="12.75" hidden="1" customHeight="1">
      <c r="A507" s="1386"/>
      <c r="B507" s="1206"/>
      <c r="C507" s="1524"/>
      <c r="D507" s="1206"/>
      <c r="G507" s="1306"/>
      <c r="H507" s="1306"/>
      <c r="I507" s="1306"/>
      <c r="J507" s="1306"/>
      <c r="K507" s="1306"/>
      <c r="L507" s="1306"/>
      <c r="M507" s="1306"/>
      <c r="N507" s="1306"/>
      <c r="O507" s="1306"/>
      <c r="P507" s="1306"/>
      <c r="Q507" s="1306"/>
      <c r="R507" s="1306"/>
      <c r="S507" s="1306"/>
      <c r="T507" s="1306"/>
      <c r="U507" s="1306"/>
      <c r="V507" s="1306"/>
      <c r="W507" s="1306"/>
      <c r="X507" s="1306"/>
      <c r="Y507" s="1306"/>
      <c r="Z507" s="1306"/>
      <c r="AA507" s="1306"/>
      <c r="AB507" s="1306"/>
      <c r="AC507" s="1306"/>
      <c r="AD507" s="1306"/>
      <c r="AE507" s="1306"/>
      <c r="AF507" s="1306"/>
      <c r="AG507" s="1287"/>
      <c r="AH507" s="1287"/>
      <c r="AI507" s="1287"/>
      <c r="AJ507" s="1287"/>
      <c r="AK507" s="1525"/>
      <c r="AL507" s="1206"/>
      <c r="AM507" s="1206"/>
      <c r="AN507" s="1207"/>
      <c r="AO507" s="1208"/>
      <c r="AP507" s="1208"/>
      <c r="AQ507" s="1208"/>
      <c r="AR507" s="1208"/>
    </row>
    <row r="508" spans="1:81" s="1223" customFormat="1" ht="12.75" hidden="1" customHeight="1">
      <c r="A508" s="1386"/>
      <c r="C508" s="2513" t="s">
        <v>618</v>
      </c>
      <c r="D508" s="2514"/>
      <c r="F508" s="1526" t="s">
        <v>1757</v>
      </c>
      <c r="G508" s="2515" t="s">
        <v>1758</v>
      </c>
      <c r="H508" s="2515"/>
      <c r="I508" s="2515"/>
      <c r="J508" s="2515"/>
      <c r="K508" s="2515"/>
      <c r="L508" s="2515"/>
      <c r="M508" s="2515"/>
      <c r="N508" s="2515"/>
      <c r="O508" s="2515"/>
      <c r="P508" s="2515"/>
      <c r="Q508" s="2515"/>
      <c r="R508" s="2515"/>
      <c r="S508" s="2515"/>
      <c r="T508" s="2515"/>
      <c r="U508" s="2515"/>
      <c r="V508" s="2515"/>
      <c r="W508" s="2515"/>
      <c r="X508" s="2515"/>
      <c r="Y508" s="2515"/>
      <c r="Z508" s="2515"/>
      <c r="AA508" s="2515"/>
      <c r="AB508" s="2515"/>
      <c r="AC508" s="2515"/>
      <c r="AD508" s="2515"/>
      <c r="AE508" s="2515"/>
      <c r="AF508" s="2515"/>
      <c r="AG508" s="1308">
        <f>IF(AND($C$508="Yes",$C$499="Yes"),2,0)</f>
        <v>0</v>
      </c>
      <c r="AH508" s="1393" t="s">
        <v>1529</v>
      </c>
      <c r="AI508" s="1224"/>
      <c r="AJ508" s="1290"/>
      <c r="AK508" s="1461"/>
      <c r="AN508" s="1207"/>
      <c r="AZ508" s="1211"/>
      <c r="BC508" s="1215"/>
      <c r="BD508" s="1211"/>
      <c r="BE508" s="1211"/>
      <c r="BF508" s="1211"/>
      <c r="BM508" s="1208"/>
      <c r="BN508" s="1211"/>
      <c r="BO508" s="1208"/>
      <c r="BP508" s="1211"/>
      <c r="BQ508" s="1211"/>
      <c r="BR508" s="1211"/>
      <c r="BS508" s="1211"/>
      <c r="BT508" s="1211"/>
      <c r="BU508" s="1211"/>
      <c r="BV508" s="1208"/>
      <c r="BW508" s="1208"/>
      <c r="BX508" s="1208"/>
      <c r="BY508" s="1208"/>
      <c r="BZ508" s="1208"/>
      <c r="CA508" s="1208"/>
      <c r="CB508" s="1208"/>
      <c r="CC508" s="1208"/>
    </row>
    <row r="509" spans="1:81" s="1223" customFormat="1" ht="12.75" hidden="1" customHeight="1">
      <c r="C509" s="1527"/>
      <c r="D509" s="1456"/>
      <c r="E509" s="1498"/>
      <c r="F509" s="1455"/>
      <c r="G509" s="2516"/>
      <c r="H509" s="2516"/>
      <c r="I509" s="2516"/>
      <c r="J509" s="2516"/>
      <c r="K509" s="2516"/>
      <c r="L509" s="2516"/>
      <c r="M509" s="2516"/>
      <c r="N509" s="2516"/>
      <c r="O509" s="2516"/>
      <c r="P509" s="2516"/>
      <c r="Q509" s="2516"/>
      <c r="R509" s="2516"/>
      <c r="S509" s="2516"/>
      <c r="T509" s="2516"/>
      <c r="U509" s="2516"/>
      <c r="V509" s="2516"/>
      <c r="W509" s="2516"/>
      <c r="X509" s="2516"/>
      <c r="Y509" s="2516"/>
      <c r="Z509" s="2516"/>
      <c r="AA509" s="2516"/>
      <c r="AB509" s="2516"/>
      <c r="AC509" s="2516"/>
      <c r="AD509" s="2516"/>
      <c r="AE509" s="2516"/>
      <c r="AF509" s="2516"/>
      <c r="AG509" s="1411"/>
      <c r="AH509" s="1411"/>
      <c r="AI509" s="1411"/>
      <c r="AJ509" s="1411"/>
      <c r="AK509" s="1467"/>
      <c r="AN509" s="1207"/>
      <c r="AZ509" s="1211"/>
      <c r="BC509" s="1215"/>
      <c r="BD509" s="1211"/>
      <c r="BE509" s="1211"/>
      <c r="BF509" s="1211"/>
      <c r="BM509" s="1268"/>
      <c r="BN509" s="1268"/>
      <c r="BO509" s="1268"/>
      <c r="BP509" s="1268"/>
      <c r="BQ509" s="1268"/>
      <c r="BR509" s="1268"/>
      <c r="BS509" s="1268"/>
      <c r="BT509" s="1268"/>
      <c r="BU509" s="1268"/>
      <c r="BV509" s="1268"/>
      <c r="BW509" s="1268"/>
      <c r="BX509" s="1268"/>
      <c r="BY509" s="1268"/>
      <c r="BZ509" s="1268"/>
      <c r="CA509" s="1268"/>
      <c r="CB509" s="1268"/>
      <c r="CC509" s="1268"/>
    </row>
    <row r="510" spans="1:81" s="1223" customFormat="1" ht="12.75" hidden="1" customHeight="1">
      <c r="C510" s="1208"/>
      <c r="E510" s="1496"/>
      <c r="F510" s="1296"/>
      <c r="G510" s="1245"/>
      <c r="H510" s="1245"/>
      <c r="I510" s="1245"/>
      <c r="J510" s="1245"/>
      <c r="K510" s="1245"/>
      <c r="L510" s="1245"/>
      <c r="M510" s="1245"/>
      <c r="N510" s="1245"/>
      <c r="O510" s="1245"/>
      <c r="P510" s="1245"/>
      <c r="Q510" s="1245"/>
      <c r="R510" s="1245"/>
      <c r="S510" s="1245"/>
      <c r="T510" s="1245"/>
      <c r="U510" s="1245"/>
      <c r="V510" s="1245"/>
      <c r="W510" s="1245"/>
      <c r="X510" s="1245"/>
      <c r="Y510" s="1245"/>
      <c r="Z510" s="1245"/>
      <c r="AA510" s="1245"/>
      <c r="AB510" s="1245"/>
      <c r="AC510" s="1245"/>
      <c r="AD510" s="1245"/>
      <c r="AE510" s="1245"/>
      <c r="AF510" s="1245"/>
      <c r="AG510" s="1224"/>
      <c r="AH510" s="1224"/>
      <c r="AI510" s="1224"/>
      <c r="AJ510" s="1224"/>
      <c r="AN510" s="1207"/>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5"/>
      <c r="BJ510" s="1528"/>
      <c r="BK510" s="1528"/>
      <c r="BM510" s="1268"/>
      <c r="BN510" s="1268"/>
      <c r="BO510" s="1268"/>
      <c r="BP510" s="1268"/>
      <c r="BQ510" s="1268"/>
      <c r="BR510" s="1268"/>
      <c r="BS510" s="1268"/>
      <c r="BT510" s="1268"/>
      <c r="BU510" s="1268"/>
      <c r="BV510" s="1268"/>
      <c r="BW510" s="1268"/>
      <c r="BX510" s="1268"/>
      <c r="BY510" s="1268"/>
      <c r="BZ510" s="1268"/>
      <c r="CA510" s="1268"/>
      <c r="CB510" s="1268"/>
      <c r="CC510" s="1268"/>
    </row>
    <row r="511" spans="1:81" s="1223" customFormat="1" ht="12.75" hidden="1" customHeight="1">
      <c r="C511" s="1529" t="s">
        <v>1759</v>
      </c>
      <c r="D511" s="1442"/>
      <c r="E511" s="1530"/>
      <c r="F511" s="1531"/>
      <c r="G511" s="1532"/>
      <c r="H511" s="1532"/>
      <c r="I511" s="1532"/>
      <c r="J511" s="1532"/>
      <c r="K511" s="1532"/>
      <c r="L511" s="1532"/>
      <c r="M511" s="1532"/>
      <c r="N511" s="1532"/>
      <c r="O511" s="1532"/>
      <c r="P511" s="1532"/>
      <c r="Q511" s="1532"/>
      <c r="R511" s="1532"/>
      <c r="S511" s="1532"/>
      <c r="T511" s="1532"/>
      <c r="U511" s="1532"/>
      <c r="V511" s="1532"/>
      <c r="W511" s="1532"/>
      <c r="X511" s="1532"/>
      <c r="Y511" s="1532"/>
      <c r="Z511" s="1532"/>
      <c r="AA511" s="1532"/>
      <c r="AB511" s="1532"/>
      <c r="AC511" s="1532"/>
      <c r="AD511" s="1532"/>
      <c r="AE511" s="1532"/>
      <c r="AF511" s="1532"/>
      <c r="AG511" s="1400"/>
      <c r="AH511" s="1400"/>
      <c r="AI511" s="1400"/>
      <c r="AJ511" s="1400"/>
      <c r="AK511" s="1472"/>
      <c r="AN511" s="1297"/>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386"/>
      <c r="BJ511" s="1528"/>
      <c r="BK511" s="1528"/>
      <c r="BM511" s="1268"/>
      <c r="BN511" s="1268"/>
      <c r="BO511" s="1268"/>
      <c r="BP511" s="1268"/>
      <c r="BQ511" s="1268"/>
      <c r="BR511" s="1268"/>
      <c r="BS511" s="1268"/>
      <c r="BT511" s="1268"/>
      <c r="BU511" s="1268"/>
      <c r="BV511" s="1268"/>
      <c r="BW511" s="1268"/>
      <c r="BX511" s="1268"/>
      <c r="BY511" s="1268"/>
      <c r="BZ511" s="1268"/>
      <c r="CA511" s="1268"/>
      <c r="CB511" s="1268"/>
      <c r="CC511" s="1268"/>
    </row>
    <row r="512" spans="1:81" s="1223" customFormat="1" ht="12.75" hidden="1" customHeight="1">
      <c r="C512" s="2498" t="s">
        <v>618</v>
      </c>
      <c r="D512" s="2499"/>
      <c r="E512" s="1533" t="s">
        <v>1760</v>
      </c>
      <c r="F512" s="1503" t="s">
        <v>1761</v>
      </c>
      <c r="G512" s="1245"/>
      <c r="H512" s="1245"/>
      <c r="I512" s="1245"/>
      <c r="J512" s="1245"/>
      <c r="K512" s="1245"/>
      <c r="L512" s="1245"/>
      <c r="M512" s="1245"/>
      <c r="N512" s="1245"/>
      <c r="O512" s="1245"/>
      <c r="P512" s="1245"/>
      <c r="Q512" s="1245"/>
      <c r="R512" s="1245"/>
      <c r="S512" s="1245"/>
      <c r="T512" s="1245"/>
      <c r="U512" s="1245"/>
      <c r="V512" s="1245"/>
      <c r="W512" s="1245"/>
      <c r="X512" s="1245"/>
      <c r="Y512" s="1245"/>
      <c r="Z512" s="1245"/>
      <c r="AA512" s="1245"/>
      <c r="AB512" s="1245"/>
      <c r="AC512" s="1245"/>
      <c r="AD512" s="1245"/>
      <c r="AE512" s="1245"/>
      <c r="AF512" s="1245"/>
      <c r="AG512" s="1308">
        <f>IF(C$512="Yes",(VLOOKUP(F$513,$AO$483:$AP$486,2,FALSE)),0)</f>
        <v>0</v>
      </c>
      <c r="AH512" s="1393" t="s">
        <v>1529</v>
      </c>
      <c r="AI512" s="1224"/>
      <c r="AJ512" s="1224"/>
      <c r="AK512" s="1461"/>
      <c r="AN512" s="1297"/>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386"/>
      <c r="BJ512" s="1528"/>
      <c r="BK512" s="1528"/>
      <c r="BM512" s="1208"/>
      <c r="BN512" s="1208"/>
      <c r="BO512" s="1208"/>
      <c r="BP512" s="1208"/>
      <c r="BQ512" s="1208"/>
      <c r="BR512" s="1208"/>
      <c r="BS512" s="1208"/>
      <c r="BT512" s="1208"/>
      <c r="BU512" s="1208"/>
      <c r="BV512" s="1208"/>
      <c r="BW512" s="1208"/>
      <c r="BX512" s="1208"/>
      <c r="BY512" s="1208"/>
      <c r="BZ512" s="1208"/>
      <c r="CA512" s="1208"/>
      <c r="CB512" s="1208"/>
      <c r="CC512" s="1208"/>
    </row>
    <row r="513" spans="1:81" s="1223" customFormat="1" ht="12.75" hidden="1" customHeight="1">
      <c r="C513" s="1446"/>
      <c r="E513" s="1496"/>
      <c r="F513" s="2500" t="s">
        <v>618</v>
      </c>
      <c r="G513" s="2500"/>
      <c r="H513" s="2500"/>
      <c r="I513" s="2500"/>
      <c r="J513" s="2500"/>
      <c r="K513" s="2500"/>
      <c r="L513" s="2500"/>
      <c r="M513" s="2500"/>
      <c r="N513" s="2500"/>
      <c r="O513" s="2500"/>
      <c r="P513" s="2500"/>
      <c r="Q513" s="2500"/>
      <c r="R513" s="2500"/>
      <c r="S513" s="2500"/>
      <c r="T513" s="2500"/>
      <c r="U513" s="2500"/>
      <c r="V513" s="2500"/>
      <c r="W513" s="2500"/>
      <c r="X513" s="2500"/>
      <c r="Y513" s="2500"/>
      <c r="Z513" s="2500"/>
      <c r="AA513" s="2500"/>
      <c r="AB513" s="2500"/>
      <c r="AC513" s="2500"/>
      <c r="AD513" s="2500"/>
      <c r="AE513" s="2500"/>
      <c r="AF513" s="2500"/>
      <c r="AG513" s="1224"/>
      <c r="AH513" s="1224"/>
      <c r="AI513" s="1224"/>
      <c r="AJ513" s="1224"/>
      <c r="AK513" s="1461"/>
      <c r="AN513" s="1297"/>
      <c r="BM513" s="1208"/>
      <c r="BN513" s="1208"/>
      <c r="BO513" s="1208"/>
      <c r="BP513" s="1208"/>
      <c r="BQ513" s="1208"/>
      <c r="BR513" s="1208"/>
      <c r="BS513" s="1208"/>
      <c r="BT513" s="1208"/>
      <c r="BU513" s="1208"/>
      <c r="BV513" s="1208"/>
      <c r="BW513" s="1208"/>
      <c r="BX513" s="1208"/>
      <c r="BY513" s="1208"/>
      <c r="BZ513" s="1208"/>
      <c r="CA513" s="1208"/>
      <c r="CB513" s="1208"/>
      <c r="CC513" s="1208"/>
    </row>
    <row r="514" spans="1:81" s="1223" customFormat="1" ht="12.75" hidden="1" customHeight="1">
      <c r="C514" s="1527"/>
      <c r="D514" s="1456"/>
      <c r="E514" s="1498"/>
      <c r="F514" s="2501"/>
      <c r="G514" s="2501"/>
      <c r="H514" s="2501"/>
      <c r="I514" s="2501"/>
      <c r="J514" s="2501"/>
      <c r="K514" s="2501"/>
      <c r="L514" s="2501"/>
      <c r="M514" s="2501"/>
      <c r="N514" s="2501"/>
      <c r="O514" s="2501"/>
      <c r="P514" s="2501"/>
      <c r="Q514" s="2501"/>
      <c r="R514" s="2501"/>
      <c r="S514" s="2501"/>
      <c r="T514" s="2501"/>
      <c r="U514" s="2501"/>
      <c r="V514" s="2501"/>
      <c r="W514" s="2501"/>
      <c r="X514" s="2501"/>
      <c r="Y514" s="2501"/>
      <c r="Z514" s="2501"/>
      <c r="AA514" s="2501"/>
      <c r="AB514" s="2501"/>
      <c r="AC514" s="2501"/>
      <c r="AD514" s="2501"/>
      <c r="AE514" s="2501"/>
      <c r="AF514" s="2501"/>
      <c r="AG514" s="1411"/>
      <c r="AH514" s="1411"/>
      <c r="AI514" s="1411"/>
      <c r="AJ514" s="1411"/>
      <c r="AK514" s="1467"/>
      <c r="AN514" s="1297"/>
      <c r="BM514" s="1208"/>
      <c r="BN514" s="1208"/>
      <c r="BO514" s="1208"/>
      <c r="BP514" s="1208"/>
      <c r="BQ514" s="1208"/>
      <c r="BR514" s="1208"/>
      <c r="BS514" s="1208"/>
      <c r="BT514" s="1208"/>
      <c r="BU514" s="1208"/>
      <c r="BV514" s="1208"/>
      <c r="BW514" s="1208"/>
      <c r="BX514" s="1208"/>
      <c r="BY514" s="1208"/>
      <c r="BZ514" s="1208"/>
      <c r="CA514" s="1208"/>
      <c r="CB514" s="1208"/>
      <c r="CC514" s="1208"/>
    </row>
    <row r="515" spans="1:81" s="1223" customFormat="1" ht="12.75" hidden="1" customHeight="1">
      <c r="A515" s="1386"/>
      <c r="C515" s="1224"/>
      <c r="E515" s="1224"/>
      <c r="F515" s="1503"/>
      <c r="G515" s="1224"/>
      <c r="H515" s="1224"/>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311"/>
      <c r="AE515" s="1224"/>
      <c r="AF515" s="1224"/>
      <c r="AG515" s="1224"/>
      <c r="AH515" s="1224"/>
      <c r="AN515" s="1297"/>
      <c r="BM515" s="1208"/>
      <c r="BN515" s="1208"/>
      <c r="BO515" s="1208"/>
      <c r="BP515" s="1208"/>
      <c r="BQ515" s="1208"/>
      <c r="BR515" s="1208"/>
      <c r="BS515" s="1208"/>
      <c r="BT515" s="1208"/>
      <c r="BU515" s="1208"/>
      <c r="BV515" s="1208"/>
      <c r="BW515" s="1208"/>
      <c r="BX515" s="1208"/>
      <c r="BY515" s="1208"/>
      <c r="BZ515" s="1208"/>
      <c r="CA515" s="1208"/>
      <c r="CB515" s="1208"/>
      <c r="CC515" s="1208"/>
    </row>
    <row r="516" spans="1:81" s="1223" customFormat="1" ht="12.75" hidden="1" customHeight="1">
      <c r="A516" s="1386"/>
      <c r="B516" s="1223" t="s">
        <v>1762</v>
      </c>
      <c r="C516" s="1224"/>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311"/>
      <c r="AE516" s="1224"/>
      <c r="AF516" s="1224"/>
      <c r="AG516" s="1224"/>
      <c r="AH516" s="1224"/>
      <c r="AN516" s="1297"/>
      <c r="AP516" s="1518"/>
      <c r="AQ516" s="1518"/>
      <c r="AR516" s="1518"/>
      <c r="AS516" s="1518"/>
      <c r="AT516" s="1518"/>
      <c r="AU516" s="1518"/>
      <c r="AV516" s="1518"/>
      <c r="AW516" s="1518"/>
      <c r="AX516" s="1518"/>
      <c r="AY516" s="1518"/>
      <c r="BM516" s="1208"/>
      <c r="BN516" s="1208"/>
      <c r="BO516" s="1208"/>
      <c r="BP516" s="1208"/>
      <c r="BQ516" s="1208"/>
      <c r="BR516" s="1208"/>
      <c r="BS516" s="1208"/>
      <c r="BT516" s="1208"/>
      <c r="BU516" s="1208"/>
      <c r="BV516" s="1208"/>
      <c r="BW516" s="1208"/>
      <c r="BX516" s="1208"/>
      <c r="BY516" s="1208"/>
      <c r="BZ516" s="1208"/>
      <c r="CA516" s="1208"/>
      <c r="CB516" s="1208"/>
      <c r="CC516" s="1208"/>
    </row>
    <row r="517" spans="1:81" s="1223" customFormat="1" ht="12.75" hidden="1" customHeight="1">
      <c r="A517" s="1386"/>
      <c r="B517" s="1223" t="s">
        <v>1763</v>
      </c>
      <c r="C517" s="1224"/>
      <c r="E517" s="1224"/>
      <c r="F517" s="1224"/>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24"/>
      <c r="AD517" s="1311"/>
      <c r="AE517" s="1224"/>
      <c r="AF517" s="1224"/>
      <c r="AG517" s="1224"/>
      <c r="AH517" s="1224"/>
      <c r="AN517" s="1297"/>
      <c r="AP517" s="1534"/>
      <c r="AQ517" s="1534"/>
      <c r="AR517" s="1534"/>
      <c r="AS517" s="1534"/>
      <c r="AT517" s="1534"/>
      <c r="AU517" s="1534"/>
      <c r="AV517" s="1534"/>
      <c r="AW517" s="1534"/>
      <c r="AX517" s="1534"/>
      <c r="AY517" s="1534"/>
      <c r="BM517" s="1208"/>
      <c r="BN517" s="1208"/>
      <c r="BO517" s="1208"/>
      <c r="BP517" s="1208"/>
      <c r="BQ517" s="1208"/>
      <c r="BR517" s="1208"/>
      <c r="BS517" s="1208"/>
      <c r="BT517" s="1208"/>
      <c r="BU517" s="1208"/>
      <c r="BV517" s="1208"/>
      <c r="BW517" s="1208"/>
      <c r="BX517" s="1208"/>
      <c r="BY517" s="1208"/>
      <c r="BZ517" s="1208"/>
      <c r="CA517" s="1208"/>
      <c r="CB517" s="1208"/>
      <c r="CC517" s="1208"/>
    </row>
    <row r="518" spans="1:81" s="1223" customFormat="1" ht="12.75" hidden="1" customHeight="1">
      <c r="A518" s="1386"/>
      <c r="B518" s="1223" t="s">
        <v>2684</v>
      </c>
      <c r="C518" s="1224"/>
      <c r="E518" s="1224"/>
      <c r="F518" s="1224"/>
      <c r="G518" s="1224"/>
      <c r="H518" s="1224"/>
      <c r="I518" s="1224"/>
      <c r="J518" s="1224"/>
      <c r="K518" s="1224"/>
      <c r="L518" s="1224"/>
      <c r="M518" s="1224"/>
      <c r="N518" s="1224"/>
      <c r="O518" s="1224"/>
      <c r="P518" s="1224"/>
      <c r="Q518" s="1224"/>
      <c r="R518" s="1224"/>
      <c r="S518" s="1224"/>
      <c r="T518" s="1224"/>
      <c r="U518" s="1224"/>
      <c r="V518" s="1224"/>
      <c r="W518" s="1224"/>
      <c r="X518" s="1224"/>
      <c r="Y518" s="1224"/>
      <c r="Z518" s="1224"/>
      <c r="AA518" s="1224"/>
      <c r="AB518" s="1224"/>
      <c r="AC518" s="1224"/>
      <c r="AD518" s="1311"/>
      <c r="AE518" s="1224"/>
      <c r="AF518" s="1224"/>
      <c r="AG518" s="1224"/>
      <c r="AH518" s="1224"/>
      <c r="AN518" s="1297"/>
      <c r="AP518" s="1534"/>
      <c r="AQ518" s="1534"/>
      <c r="AR518" s="1534"/>
      <c r="AS518" s="1534"/>
      <c r="AT518" s="1534"/>
      <c r="AU518" s="1534"/>
      <c r="AV518" s="1534"/>
      <c r="AW518" s="1534"/>
      <c r="AX518" s="1534"/>
      <c r="AY518" s="1534"/>
      <c r="BM518" s="1208"/>
      <c r="BN518" s="1208"/>
      <c r="BO518" s="1208"/>
      <c r="BP518" s="1208"/>
      <c r="BQ518" s="1208"/>
      <c r="BR518" s="1208"/>
      <c r="BS518" s="1208"/>
      <c r="BT518" s="1208"/>
      <c r="BU518" s="1208"/>
      <c r="BV518" s="1208"/>
      <c r="BW518" s="1208"/>
      <c r="BX518" s="1208"/>
      <c r="BY518" s="1208"/>
      <c r="BZ518" s="1208"/>
      <c r="CA518" s="1208"/>
      <c r="CB518" s="1208"/>
      <c r="CC518" s="1208"/>
    </row>
    <row r="519" spans="1:81" s="1223" customFormat="1" ht="12.75" hidden="1" customHeight="1">
      <c r="A519" s="1386"/>
      <c r="B519" s="1223" t="s">
        <v>1764</v>
      </c>
      <c r="C519" s="1224"/>
      <c r="E519" s="1224"/>
      <c r="F519" s="1224"/>
      <c r="G519" s="1224"/>
      <c r="H519" s="1224"/>
      <c r="I519" s="1224"/>
      <c r="J519" s="1224"/>
      <c r="K519" s="1224"/>
      <c r="L519" s="1224"/>
      <c r="M519" s="1224"/>
      <c r="N519" s="1224"/>
      <c r="O519" s="1224"/>
      <c r="P519" s="1224"/>
      <c r="Q519" s="1224"/>
      <c r="R519" s="1224"/>
      <c r="S519" s="1224"/>
      <c r="T519" s="1224"/>
      <c r="U519" s="1224"/>
      <c r="V519" s="1224"/>
      <c r="W519" s="1224"/>
      <c r="X519" s="1224"/>
      <c r="Y519" s="1224"/>
      <c r="Z519" s="1224"/>
      <c r="AA519" s="1224"/>
      <c r="AB519" s="1224"/>
      <c r="AC519" s="1224"/>
      <c r="AD519" s="1311"/>
      <c r="AE519" s="1224"/>
      <c r="AF519" s="1224"/>
      <c r="AG519" s="1224"/>
      <c r="AH519" s="1224"/>
      <c r="AN519" s="1297"/>
      <c r="AP519" s="1534"/>
      <c r="AQ519" s="1534"/>
      <c r="AR519" s="1534"/>
      <c r="AS519" s="1534"/>
      <c r="AT519" s="1534"/>
      <c r="AU519" s="1534"/>
      <c r="AV519" s="1534"/>
      <c r="AW519" s="1534"/>
      <c r="AX519" s="1534"/>
      <c r="AY519" s="1534"/>
      <c r="BM519" s="1208"/>
      <c r="BN519" s="1208"/>
      <c r="BO519" s="1208"/>
      <c r="BP519" s="1208"/>
      <c r="BQ519" s="1208"/>
      <c r="BR519" s="1208"/>
      <c r="BS519" s="1208"/>
      <c r="BT519" s="1208"/>
      <c r="BU519" s="1208"/>
      <c r="BV519" s="1208"/>
      <c r="BW519" s="1208"/>
      <c r="BX519" s="1208"/>
      <c r="BY519" s="1208"/>
      <c r="BZ519" s="1208"/>
      <c r="CA519" s="1208"/>
      <c r="CB519" s="1208"/>
      <c r="CC519" s="1208"/>
    </row>
    <row r="520" spans="1:81" s="1223" customFormat="1" ht="12.75" hidden="1" customHeight="1">
      <c r="A520" s="1386"/>
      <c r="B520" s="1223" t="s">
        <v>2685</v>
      </c>
      <c r="C520" s="1224"/>
      <c r="E520" s="1224"/>
      <c r="F520" s="1224"/>
      <c r="G520" s="1224"/>
      <c r="H520" s="1224"/>
      <c r="I520" s="1224"/>
      <c r="J520" s="1224"/>
      <c r="K520" s="1224"/>
      <c r="L520" s="1224"/>
      <c r="M520" s="1224"/>
      <c r="N520" s="1224"/>
      <c r="O520" s="1224"/>
      <c r="P520" s="1224"/>
      <c r="Q520" s="1224"/>
      <c r="R520" s="1224"/>
      <c r="S520" s="1224"/>
      <c r="T520" s="1224"/>
      <c r="U520" s="1224"/>
      <c r="V520" s="1224"/>
      <c r="W520" s="1224"/>
      <c r="X520" s="1224"/>
      <c r="Y520" s="1224"/>
      <c r="Z520" s="1224"/>
      <c r="AA520" s="1224"/>
      <c r="AB520" s="1224"/>
      <c r="AC520" s="1224"/>
      <c r="AD520" s="1311"/>
      <c r="AE520" s="1224"/>
      <c r="AF520" s="1224"/>
      <c r="AG520" s="1224"/>
      <c r="AH520" s="1224"/>
      <c r="AN520" s="1297"/>
      <c r="AP520" s="1534"/>
      <c r="AQ520" s="1534"/>
      <c r="AR520" s="1534"/>
      <c r="AS520" s="1534"/>
      <c r="AT520" s="1534"/>
      <c r="AU520" s="1534"/>
      <c r="AV520" s="1534"/>
      <c r="AW520" s="1534"/>
      <c r="AX520" s="1534"/>
      <c r="AY520" s="1534"/>
      <c r="BM520" s="1208"/>
      <c r="BN520" s="1208"/>
      <c r="BO520" s="1208"/>
      <c r="BP520" s="1208"/>
      <c r="BQ520" s="1208"/>
      <c r="BR520" s="1208"/>
      <c r="BS520" s="1208"/>
      <c r="BT520" s="1208"/>
      <c r="BU520" s="1208"/>
      <c r="BV520" s="1208"/>
      <c r="BW520" s="1208"/>
      <c r="BX520" s="1208"/>
      <c r="BY520" s="1208"/>
      <c r="BZ520" s="1208"/>
      <c r="CA520" s="1208"/>
      <c r="CB520" s="1208"/>
      <c r="CC520" s="1208"/>
    </row>
    <row r="521" spans="1:81" s="1223" customFormat="1" ht="12.75" hidden="1" customHeight="1">
      <c r="A521" s="1386"/>
      <c r="B521" s="1223" t="s">
        <v>1765</v>
      </c>
      <c r="C521" s="1224"/>
      <c r="E521" s="1224"/>
      <c r="F521" s="1224"/>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311"/>
      <c r="AE521" s="1224"/>
      <c r="AF521" s="1224"/>
      <c r="AG521" s="1224"/>
      <c r="AH521" s="1224"/>
      <c r="AN521" s="1297"/>
      <c r="AP521" s="1534"/>
      <c r="AQ521" s="1534"/>
      <c r="AR521" s="1534"/>
      <c r="AS521" s="1534"/>
      <c r="AT521" s="1534"/>
      <c r="AU521" s="1534"/>
      <c r="AV521" s="1534"/>
      <c r="AW521" s="1534"/>
      <c r="AX521" s="1534"/>
      <c r="AY521" s="1534"/>
      <c r="BM521" s="1208"/>
      <c r="BN521" s="1208"/>
      <c r="BO521" s="1208"/>
      <c r="BP521" s="1208"/>
      <c r="BQ521" s="1208"/>
      <c r="BR521" s="1208"/>
      <c r="BS521" s="1208"/>
      <c r="BT521" s="1208"/>
      <c r="BU521" s="1208"/>
      <c r="BV521" s="1208"/>
      <c r="BW521" s="1208"/>
      <c r="BX521" s="1208"/>
      <c r="BY521" s="1208"/>
      <c r="BZ521" s="1208"/>
      <c r="CA521" s="1208"/>
      <c r="CB521" s="1208"/>
      <c r="CC521" s="1208"/>
    </row>
    <row r="522" spans="1:81" s="1223" customFormat="1" ht="12.75" hidden="1" customHeight="1">
      <c r="A522" s="1386"/>
      <c r="B522" s="1223" t="s">
        <v>1766</v>
      </c>
      <c r="C522" s="1224"/>
      <c r="E522" s="1224"/>
      <c r="F522" s="1224"/>
      <c r="G522" s="1224"/>
      <c r="H522" s="1224"/>
      <c r="I522" s="1224"/>
      <c r="J522" s="1224"/>
      <c r="K522" s="1224"/>
      <c r="L522" s="1224"/>
      <c r="M522" s="1224"/>
      <c r="N522" s="1224"/>
      <c r="O522" s="1224"/>
      <c r="P522" s="1224"/>
      <c r="Q522" s="1224"/>
      <c r="R522" s="1224"/>
      <c r="S522" s="1224"/>
      <c r="T522" s="1224"/>
      <c r="U522" s="1224"/>
      <c r="V522" s="1224"/>
      <c r="W522" s="1224"/>
      <c r="X522" s="1224"/>
      <c r="Y522" s="1224"/>
      <c r="Z522" s="1224"/>
      <c r="AA522" s="1224"/>
      <c r="AB522" s="1224"/>
      <c r="AC522" s="1224"/>
      <c r="AD522" s="1311"/>
      <c r="AE522" s="1224"/>
      <c r="AF522" s="1224"/>
      <c r="AG522" s="1224"/>
      <c r="AH522" s="1224"/>
      <c r="AN522" s="1297"/>
    </row>
    <row r="523" spans="1:81" s="1223" customFormat="1" ht="12.75" hidden="1" customHeight="1">
      <c r="A523" s="1535"/>
      <c r="C523" s="1224"/>
      <c r="E523" s="1224"/>
      <c r="F523" s="1224"/>
      <c r="G523" s="1224"/>
      <c r="H523" s="1224"/>
      <c r="I523" s="1224"/>
      <c r="J523" s="1224"/>
      <c r="K523" s="1224"/>
      <c r="L523" s="1224"/>
      <c r="M523" s="1224"/>
      <c r="N523" s="1224"/>
      <c r="O523" s="1224"/>
      <c r="P523" s="1224"/>
      <c r="Q523" s="1224"/>
      <c r="R523" s="1224"/>
      <c r="S523" s="1224"/>
      <c r="T523" s="1224"/>
      <c r="U523" s="1224"/>
      <c r="V523" s="1224"/>
      <c r="W523" s="1224"/>
      <c r="X523" s="1224"/>
      <c r="Y523" s="1224"/>
      <c r="Z523" s="1224"/>
      <c r="AA523" s="1224"/>
      <c r="AB523" s="1224"/>
      <c r="AC523" s="1224"/>
      <c r="AD523" s="1311"/>
      <c r="AE523" s="1224"/>
      <c r="AF523" s="1224"/>
      <c r="AG523" s="1224"/>
      <c r="AH523" s="1224"/>
      <c r="AN523" s="1297"/>
    </row>
    <row r="524" spans="1:81" s="1223" customFormat="1" ht="12.75" hidden="1" customHeight="1">
      <c r="A524" s="1301"/>
      <c r="B524" s="1416"/>
      <c r="C524" s="1416"/>
      <c r="D524" s="1416"/>
      <c r="E524" s="1416"/>
      <c r="F524" s="1416"/>
      <c r="G524" s="1416"/>
      <c r="H524" s="1416"/>
      <c r="I524" s="1416"/>
      <c r="J524" s="1416"/>
      <c r="K524" s="1416"/>
      <c r="L524" s="1416"/>
      <c r="M524" s="1416"/>
      <c r="N524" s="1416"/>
      <c r="O524" s="1416"/>
      <c r="P524" s="1416"/>
      <c r="Q524" s="1416"/>
      <c r="R524" s="1416"/>
      <c r="S524" s="1416"/>
      <c r="T524" s="1416"/>
      <c r="U524" s="1416"/>
      <c r="V524" s="1416"/>
      <c r="W524" s="1416"/>
      <c r="X524" s="1416"/>
      <c r="Y524" s="1416"/>
      <c r="Z524" s="1416"/>
      <c r="AA524" s="1416"/>
      <c r="AB524" s="1416"/>
      <c r="AC524" s="1417"/>
      <c r="AD524" s="1416"/>
      <c r="AE524" s="1416"/>
      <c r="AF524" s="1416"/>
      <c r="AG524" s="1416"/>
      <c r="AH524" s="1239"/>
      <c r="AI524" s="1240"/>
      <c r="AJ524" s="1240" t="s">
        <v>1767</v>
      </c>
      <c r="AK524" s="2442">
        <f>SUM(AG468:AG513)</f>
        <v>0</v>
      </c>
      <c r="AL524" s="2443"/>
      <c r="AM524" s="2444"/>
      <c r="AN524" s="1297"/>
      <c r="AP524" s="1208"/>
      <c r="AQ524" s="1208"/>
      <c r="AR524" s="1208"/>
      <c r="AS524" s="1208"/>
      <c r="AT524" s="1208"/>
      <c r="AU524" s="1208"/>
      <c r="AV524" s="1208"/>
      <c r="AW524" s="1208"/>
      <c r="AX524" s="1208"/>
      <c r="AY524" s="1208"/>
      <c r="AZ524" s="1208"/>
    </row>
    <row r="525" spans="1:81" s="1223" customFormat="1" ht="12.75" hidden="1" customHeight="1" thickBot="1">
      <c r="B525" s="1224"/>
      <c r="C525" s="1224"/>
      <c r="D525" s="1224"/>
      <c r="E525" s="1224"/>
      <c r="F525" s="1224"/>
      <c r="G525" s="1224"/>
      <c r="H525" s="1224"/>
      <c r="I525" s="1224"/>
      <c r="J525" s="1224"/>
      <c r="K525" s="1224"/>
      <c r="L525" s="1224"/>
      <c r="M525" s="1224"/>
      <c r="N525" s="1224"/>
      <c r="O525" s="1224"/>
      <c r="P525" s="1224"/>
      <c r="Q525" s="1224"/>
      <c r="R525" s="1224"/>
      <c r="S525" s="1224"/>
      <c r="T525" s="1224"/>
      <c r="U525" s="1224"/>
      <c r="V525" s="1224"/>
      <c r="W525" s="1224"/>
      <c r="X525" s="1224"/>
      <c r="Y525" s="1224"/>
      <c r="Z525" s="1224"/>
      <c r="AA525" s="1224"/>
      <c r="AB525" s="1224"/>
      <c r="AC525" s="1311"/>
      <c r="AD525" s="1224"/>
      <c r="AE525" s="1224"/>
      <c r="AF525" s="1224"/>
      <c r="AG525" s="1224"/>
      <c r="AI525" s="1215"/>
      <c r="AJ525" s="1215"/>
      <c r="AK525" s="1268"/>
      <c r="AL525" s="1268"/>
      <c r="AM525" s="1268"/>
      <c r="AN525" s="1297"/>
      <c r="AP525" s="1208"/>
      <c r="AQ525" s="1208"/>
      <c r="AR525" s="1208"/>
      <c r="AS525" s="1208"/>
      <c r="AT525" s="1208"/>
      <c r="AU525" s="1208"/>
      <c r="AV525" s="1208"/>
      <c r="AW525" s="1208"/>
      <c r="AX525" s="1208"/>
      <c r="AY525" s="1208"/>
      <c r="AZ525" s="1208"/>
    </row>
    <row r="526" spans="1:81" ht="13.5" thickTop="1"/>
    <row r="527" spans="1:81" s="1223" customFormat="1" ht="12.75" customHeight="1">
      <c r="A527" s="1211" t="s">
        <v>1768</v>
      </c>
      <c r="B527" s="1211" t="s">
        <v>1769</v>
      </c>
      <c r="C527" s="1224"/>
      <c r="D527" s="1224"/>
      <c r="E527" s="1224"/>
      <c r="F527" s="1224"/>
      <c r="G527" s="1224"/>
      <c r="H527" s="1224"/>
      <c r="I527" s="1224"/>
      <c r="J527" s="1224"/>
      <c r="K527" s="1224"/>
      <c r="L527" s="1224"/>
      <c r="M527" s="1224"/>
      <c r="N527" s="1224"/>
      <c r="O527" s="1224"/>
      <c r="P527" s="1224"/>
      <c r="Q527" s="1224"/>
      <c r="R527" s="1224"/>
      <c r="S527" s="1224"/>
      <c r="T527" s="1224"/>
      <c r="U527" s="1224"/>
      <c r="V527" s="1224"/>
      <c r="W527" s="1224"/>
      <c r="X527" s="1224"/>
      <c r="Y527" s="1224"/>
      <c r="Z527" s="1224"/>
      <c r="AA527" s="1224"/>
      <c r="AB527" s="1224"/>
      <c r="AC527" s="1311"/>
      <c r="AD527" s="1224"/>
      <c r="AE527" s="2478" t="s">
        <v>1770</v>
      </c>
      <c r="AF527" s="2478"/>
      <c r="AG527" s="2478"/>
      <c r="AH527" s="2478"/>
      <c r="AI527" s="2478"/>
      <c r="AJ527" s="2478"/>
      <c r="AK527" s="2478"/>
      <c r="AL527" s="1268"/>
      <c r="AM527" s="1268"/>
      <c r="AN527" s="1297"/>
    </row>
    <row r="528" spans="1:81" s="1223" customFormat="1" ht="12.75" customHeight="1">
      <c r="A528" s="1211"/>
      <c r="B528" s="1211" t="s">
        <v>1525</v>
      </c>
      <c r="C528" s="1224"/>
      <c r="D528" s="1224"/>
      <c r="E528" s="1224"/>
      <c r="F528" s="1224"/>
      <c r="G528" s="1224"/>
      <c r="H528" s="1224"/>
      <c r="I528" s="1224"/>
      <c r="J528" s="1224"/>
      <c r="K528" s="1224"/>
      <c r="L528" s="1224"/>
      <c r="M528" s="1224"/>
      <c r="N528" s="1224"/>
      <c r="O528" s="1224"/>
      <c r="P528" s="1224"/>
      <c r="Q528" s="1224"/>
      <c r="R528" s="1224"/>
      <c r="S528" s="1224"/>
      <c r="T528" s="1224"/>
      <c r="U528" s="1224"/>
      <c r="V528" s="1224"/>
      <c r="W528" s="1224"/>
      <c r="X528" s="1224"/>
      <c r="Y528" s="1224"/>
      <c r="Z528" s="1224"/>
      <c r="AA528" s="1224"/>
      <c r="AB528" s="1224"/>
      <c r="AC528" s="1311"/>
      <c r="AD528" s="1224"/>
      <c r="AE528" s="1215"/>
      <c r="AF528" s="1215"/>
      <c r="AG528" s="1215"/>
      <c r="AH528" s="1215"/>
      <c r="AI528" s="1215"/>
      <c r="AJ528" s="1215"/>
      <c r="AK528" s="1215"/>
      <c r="AL528" s="1268"/>
      <c r="AM528" s="1268"/>
      <c r="AN528" s="1297"/>
    </row>
    <row r="529" spans="1:49" s="1223" customFormat="1" ht="12.75" customHeight="1">
      <c r="A529" s="1211"/>
      <c r="B529" s="1211"/>
      <c r="C529" s="1224"/>
      <c r="D529" s="1224"/>
      <c r="E529" s="1224"/>
      <c r="F529" s="1224"/>
      <c r="G529" s="1224"/>
      <c r="H529" s="1224"/>
      <c r="I529" s="1224"/>
      <c r="J529" s="1224"/>
      <c r="K529" s="1224"/>
      <c r="L529" s="1224"/>
      <c r="M529" s="1224"/>
      <c r="N529" s="1224"/>
      <c r="O529" s="1224"/>
      <c r="P529" s="1224"/>
      <c r="Q529" s="1224"/>
      <c r="R529" s="1224"/>
      <c r="S529" s="1224"/>
      <c r="T529" s="1224"/>
      <c r="U529" s="1224"/>
      <c r="V529" s="1224"/>
      <c r="W529" s="1224"/>
      <c r="X529" s="1224"/>
      <c r="Y529" s="1224"/>
      <c r="Z529" s="1224"/>
      <c r="AA529" s="1224"/>
      <c r="AB529" s="1224"/>
      <c r="AC529" s="1311"/>
      <c r="AD529" s="1224"/>
      <c r="AE529" s="1215"/>
      <c r="AF529" s="1215"/>
      <c r="AG529" s="1215"/>
      <c r="AH529" s="1215"/>
      <c r="AI529" s="1215"/>
      <c r="AJ529" s="1215"/>
      <c r="AK529" s="1215"/>
      <c r="AL529" s="1268"/>
      <c r="AM529" s="1268"/>
      <c r="AN529" s="1297"/>
    </row>
    <row r="530" spans="1:49" s="1223" customFormat="1" ht="12.75" customHeight="1">
      <c r="A530" s="1211"/>
      <c r="B530" s="1211"/>
      <c r="C530" s="2469" t="s">
        <v>618</v>
      </c>
      <c r="D530" s="2469"/>
      <c r="E530" s="1224"/>
      <c r="F530" s="2502" t="s">
        <v>1771</v>
      </c>
      <c r="G530" s="2503"/>
      <c r="H530" s="2503"/>
      <c r="I530" s="2503"/>
      <c r="J530" s="2503"/>
      <c r="K530" s="2503"/>
      <c r="L530" s="2503"/>
      <c r="M530" s="2503"/>
      <c r="N530" s="2503"/>
      <c r="O530" s="2503"/>
      <c r="P530" s="2503"/>
      <c r="Q530" s="2503"/>
      <c r="R530" s="2503"/>
      <c r="S530" s="2503"/>
      <c r="T530" s="2503"/>
      <c r="U530" s="2503"/>
      <c r="V530" s="2503"/>
      <c r="W530" s="2503"/>
      <c r="X530" s="2503"/>
      <c r="Y530" s="2503"/>
      <c r="Z530" s="2503"/>
      <c r="AA530" s="2503"/>
      <c r="AB530" s="2503"/>
      <c r="AC530" s="2503"/>
      <c r="AD530" s="2503"/>
      <c r="AE530" s="2503"/>
      <c r="AF530" s="2503"/>
      <c r="AG530" s="2503"/>
      <c r="AH530" s="2503"/>
      <c r="AI530" s="2503"/>
      <c r="AJ530" s="2503"/>
      <c r="AK530" s="2503"/>
      <c r="AL530" s="2504"/>
      <c r="AM530" s="1268"/>
      <c r="AN530" s="1297"/>
    </row>
    <row r="531" spans="1:49" s="1223" customFormat="1" ht="12.75" customHeight="1">
      <c r="A531" s="1211"/>
      <c r="B531" s="1211"/>
      <c r="C531" s="1224"/>
      <c r="D531" s="1224"/>
      <c r="E531" s="1224"/>
      <c r="F531" s="2505"/>
      <c r="G531" s="2506"/>
      <c r="H531" s="2506"/>
      <c r="I531" s="2506"/>
      <c r="J531" s="2506"/>
      <c r="K531" s="2506"/>
      <c r="L531" s="2506"/>
      <c r="M531" s="2506"/>
      <c r="N531" s="2506"/>
      <c r="O531" s="2506"/>
      <c r="P531" s="2506"/>
      <c r="Q531" s="2506"/>
      <c r="R531" s="2506"/>
      <c r="S531" s="2506"/>
      <c r="T531" s="2506"/>
      <c r="U531" s="2506"/>
      <c r="V531" s="2506"/>
      <c r="W531" s="2506"/>
      <c r="X531" s="2506"/>
      <c r="Y531" s="2506"/>
      <c r="Z531" s="2506"/>
      <c r="AA531" s="2506"/>
      <c r="AB531" s="2506"/>
      <c r="AC531" s="2506"/>
      <c r="AD531" s="2506"/>
      <c r="AE531" s="2506"/>
      <c r="AF531" s="2506"/>
      <c r="AG531" s="2506"/>
      <c r="AH531" s="2506"/>
      <c r="AI531" s="2506"/>
      <c r="AJ531" s="2506"/>
      <c r="AK531" s="2506"/>
      <c r="AL531" s="2507"/>
      <c r="AM531" s="1268"/>
      <c r="AN531" s="1297"/>
    </row>
    <row r="532" spans="1:49" s="1223" customFormat="1" ht="12.75" customHeight="1">
      <c r="A532" s="1211"/>
      <c r="B532" s="1211"/>
      <c r="C532" s="1224"/>
      <c r="D532" s="1224"/>
      <c r="E532" s="1224"/>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268"/>
      <c r="AN532" s="1297"/>
    </row>
    <row r="533" spans="1:49" s="1223" customFormat="1" ht="12.75" customHeight="1">
      <c r="A533" s="1211"/>
      <c r="B533" s="1537"/>
      <c r="C533" s="2469" t="s">
        <v>618</v>
      </c>
      <c r="D533" s="2469"/>
      <c r="E533" s="1537"/>
      <c r="F533" s="1395" t="s">
        <v>1772</v>
      </c>
      <c r="G533" s="1538"/>
      <c r="H533" s="1539"/>
      <c r="I533" s="1539"/>
      <c r="J533" s="1539"/>
      <c r="K533" s="1539"/>
      <c r="L533" s="1539"/>
      <c r="M533" s="1539"/>
      <c r="N533" s="1539"/>
      <c r="O533" s="1539"/>
      <c r="P533" s="1539"/>
      <c r="Q533" s="1539"/>
      <c r="R533" s="1539"/>
      <c r="S533" s="1539"/>
      <c r="T533" s="1539"/>
      <c r="U533" s="1539"/>
      <c r="V533" s="1539"/>
      <c r="W533" s="1539"/>
      <c r="X533" s="1539"/>
      <c r="Y533" s="1539"/>
      <c r="Z533" s="1539"/>
      <c r="AA533" s="1539"/>
      <c r="AB533" s="1539"/>
      <c r="AC533" s="1539"/>
      <c r="AD533" s="1539"/>
      <c r="AE533" s="1539"/>
      <c r="AF533" s="1539"/>
      <c r="AG533" s="1539"/>
      <c r="AH533" s="1539"/>
      <c r="AI533" s="1539"/>
      <c r="AJ533" s="1539"/>
      <c r="AK533" s="1540"/>
      <c r="AL533" s="1541"/>
      <c r="AM533" s="1268"/>
      <c r="AN533" s="1297"/>
    </row>
    <row r="534" spans="1:49" s="1223" customFormat="1" ht="12.75" customHeight="1">
      <c r="B534" s="1537"/>
      <c r="C534" s="1537"/>
      <c r="D534" s="1537"/>
      <c r="E534" s="1537"/>
      <c r="F534" s="2492" t="s">
        <v>1773</v>
      </c>
      <c r="G534" s="2462"/>
      <c r="H534" s="2462"/>
      <c r="I534" s="2462"/>
      <c r="J534" s="2462"/>
      <c r="K534" s="2462"/>
      <c r="L534" s="2462"/>
      <c r="M534" s="2462"/>
      <c r="N534" s="2462"/>
      <c r="O534" s="2462"/>
      <c r="P534" s="2462"/>
      <c r="Q534" s="2462"/>
      <c r="R534" s="2462"/>
      <c r="S534" s="2462"/>
      <c r="T534" s="2462"/>
      <c r="U534" s="2462"/>
      <c r="V534" s="2462"/>
      <c r="W534" s="2462"/>
      <c r="X534" s="2462"/>
      <c r="Y534" s="2462"/>
      <c r="Z534" s="2462"/>
      <c r="AA534" s="2462"/>
      <c r="AB534" s="2462"/>
      <c r="AC534" s="2462"/>
      <c r="AD534" s="2462"/>
      <c r="AE534" s="2462"/>
      <c r="AF534" s="2462"/>
      <c r="AG534" s="2462"/>
      <c r="AH534" s="2462"/>
      <c r="AI534" s="2462"/>
      <c r="AJ534" s="2462"/>
      <c r="AK534" s="2462"/>
      <c r="AL534" s="2493"/>
      <c r="AM534" s="1268"/>
      <c r="AN534" s="1297"/>
      <c r="AS534" s="1542"/>
      <c r="AT534" s="1542"/>
      <c r="AU534" s="1542"/>
      <c r="AV534" s="1542"/>
      <c r="AW534" s="1542"/>
    </row>
    <row r="535" spans="1:49" s="1223" customFormat="1" ht="12.75" customHeight="1">
      <c r="B535" s="1537"/>
      <c r="C535" s="1537"/>
      <c r="D535" s="1537"/>
      <c r="E535" s="1537"/>
      <c r="F535" s="2492"/>
      <c r="G535" s="2462"/>
      <c r="H535" s="2462"/>
      <c r="I535" s="2462"/>
      <c r="J535" s="2462"/>
      <c r="K535" s="2462"/>
      <c r="L535" s="2462"/>
      <c r="M535" s="2462"/>
      <c r="N535" s="2462"/>
      <c r="O535" s="2462"/>
      <c r="P535" s="2462"/>
      <c r="Q535" s="2462"/>
      <c r="R535" s="2462"/>
      <c r="S535" s="2462"/>
      <c r="T535" s="2462"/>
      <c r="U535" s="2462"/>
      <c r="V535" s="2462"/>
      <c r="W535" s="2462"/>
      <c r="X535" s="2462"/>
      <c r="Y535" s="2462"/>
      <c r="Z535" s="2462"/>
      <c r="AA535" s="2462"/>
      <c r="AB535" s="2462"/>
      <c r="AC535" s="2462"/>
      <c r="AD535" s="2462"/>
      <c r="AE535" s="2462"/>
      <c r="AF535" s="2462"/>
      <c r="AG535" s="2462"/>
      <c r="AH535" s="2462"/>
      <c r="AI535" s="2462"/>
      <c r="AJ535" s="2462"/>
      <c r="AK535" s="2462"/>
      <c r="AL535" s="2493"/>
      <c r="AM535" s="1268"/>
      <c r="AN535" s="1297"/>
    </row>
    <row r="536" spans="1:49" s="1223" customFormat="1" ht="12.75" customHeight="1">
      <c r="B536" s="1537"/>
      <c r="C536" s="1537"/>
      <c r="D536" s="1537"/>
      <c r="E536" s="1537"/>
      <c r="F536" s="1543" t="s">
        <v>2686</v>
      </c>
      <c r="G536" s="1311"/>
      <c r="H536" s="1311"/>
      <c r="I536" s="1311"/>
      <c r="J536" s="1311"/>
      <c r="K536" s="1311"/>
      <c r="L536" s="1311"/>
      <c r="M536" s="1311"/>
      <c r="N536" s="1311"/>
      <c r="O536" s="1311"/>
      <c r="P536" s="1311"/>
      <c r="Q536" s="1311"/>
      <c r="R536" s="1311"/>
      <c r="S536" s="1311"/>
      <c r="T536" s="1311"/>
      <c r="U536" s="1311"/>
      <c r="V536" s="1311"/>
      <c r="W536" s="1311"/>
      <c r="X536" s="1311"/>
      <c r="Y536" s="1311"/>
      <c r="Z536" s="1311"/>
      <c r="AA536" s="1311"/>
      <c r="AB536" s="1311"/>
      <c r="AC536" s="1311"/>
      <c r="AD536" s="1311"/>
      <c r="AE536" s="1311"/>
      <c r="AF536" s="1311"/>
      <c r="AG536" s="1311"/>
      <c r="AH536" s="1311"/>
      <c r="AI536" s="1311"/>
      <c r="AJ536" s="1311"/>
      <c r="AK536" s="1311"/>
      <c r="AL536" s="1544"/>
      <c r="AM536" s="1268"/>
      <c r="AN536" s="1297"/>
    </row>
    <row r="537" spans="1:49" s="1223" customFormat="1" ht="12.75" customHeight="1">
      <c r="B537" s="1537"/>
      <c r="C537" s="1537"/>
      <c r="D537" s="1537"/>
      <c r="E537" s="1537"/>
      <c r="F537" s="2492" t="s">
        <v>1774</v>
      </c>
      <c r="G537" s="2462"/>
      <c r="H537" s="2462"/>
      <c r="I537" s="2462"/>
      <c r="J537" s="2462"/>
      <c r="K537" s="2462"/>
      <c r="L537" s="2462"/>
      <c r="M537" s="2462"/>
      <c r="N537" s="2462"/>
      <c r="O537" s="2462"/>
      <c r="P537" s="2462"/>
      <c r="Q537" s="2462"/>
      <c r="R537" s="2462"/>
      <c r="S537" s="2462"/>
      <c r="T537" s="2462"/>
      <c r="U537" s="2462"/>
      <c r="V537" s="2462"/>
      <c r="W537" s="2462"/>
      <c r="X537" s="2462"/>
      <c r="Y537" s="2462"/>
      <c r="Z537" s="2462"/>
      <c r="AA537" s="2462"/>
      <c r="AB537" s="2462"/>
      <c r="AC537" s="2462"/>
      <c r="AD537" s="2462"/>
      <c r="AE537" s="2462"/>
      <c r="AF537" s="2462"/>
      <c r="AG537" s="2462"/>
      <c r="AH537" s="2462"/>
      <c r="AI537" s="2462"/>
      <c r="AJ537" s="2462"/>
      <c r="AK537" s="2462"/>
      <c r="AL537" s="1545"/>
      <c r="AM537" s="1268"/>
      <c r="AN537" s="1297"/>
    </row>
    <row r="538" spans="1:49" s="1223" customFormat="1" ht="12.75" customHeight="1">
      <c r="B538" s="1537"/>
      <c r="C538" s="1537"/>
      <c r="D538" s="1537"/>
      <c r="E538" s="1537"/>
      <c r="F538" s="2494"/>
      <c r="G538" s="2495"/>
      <c r="H538" s="2495"/>
      <c r="I538" s="2495"/>
      <c r="J538" s="2495"/>
      <c r="K538" s="2495"/>
      <c r="L538" s="2495"/>
      <c r="M538" s="2495"/>
      <c r="N538" s="2495"/>
      <c r="O538" s="2495"/>
      <c r="P538" s="2495"/>
      <c r="Q538" s="2495"/>
      <c r="R538" s="2495"/>
      <c r="S538" s="2495"/>
      <c r="T538" s="2495"/>
      <c r="U538" s="2495"/>
      <c r="V538" s="2495"/>
      <c r="W538" s="2495"/>
      <c r="X538" s="2495"/>
      <c r="Y538" s="2495"/>
      <c r="Z538" s="2495"/>
      <c r="AA538" s="2495"/>
      <c r="AB538" s="2495"/>
      <c r="AC538" s="2495"/>
      <c r="AD538" s="2495"/>
      <c r="AE538" s="2495"/>
      <c r="AF538" s="2495"/>
      <c r="AG538" s="2495"/>
      <c r="AH538" s="2495"/>
      <c r="AI538" s="2495"/>
      <c r="AJ538" s="2495"/>
      <c r="AK538" s="2495"/>
      <c r="AL538" s="1546"/>
      <c r="AM538" s="1268"/>
      <c r="AN538" s="1297"/>
    </row>
    <row r="539" spans="1:49" s="1223" customFormat="1" ht="12.75" customHeight="1">
      <c r="B539" s="1537"/>
      <c r="C539" s="1537"/>
      <c r="D539" s="1537"/>
      <c r="E539" s="1537"/>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1268"/>
      <c r="AM539" s="1268"/>
      <c r="AN539" s="1297"/>
      <c r="AP539" s="2491">
        <f>Application!AJ975</f>
        <v>63159318</v>
      </c>
      <c r="AQ539" s="2491"/>
      <c r="AR539" s="2491"/>
    </row>
    <row r="540" spans="1:49" s="1223" customFormat="1" ht="12.75" customHeight="1">
      <c r="A540" s="1324"/>
      <c r="B540" s="1217" t="s">
        <v>1775</v>
      </c>
      <c r="C540" s="1323"/>
      <c r="D540" s="1323"/>
      <c r="E540" s="1323"/>
      <c r="F540" s="1206"/>
      <c r="G540" s="1369"/>
      <c r="H540" s="1369"/>
      <c r="I540" s="1369"/>
      <c r="J540" s="1369"/>
      <c r="K540" s="1369"/>
      <c r="L540" s="1369"/>
      <c r="M540" s="1369"/>
      <c r="N540" s="1369"/>
      <c r="O540" s="1369"/>
      <c r="P540" s="1369"/>
      <c r="Q540" s="1369"/>
      <c r="R540" s="1206"/>
      <c r="S540" s="1206"/>
      <c r="T540" s="1206"/>
      <c r="U540" s="1206"/>
      <c r="V540" s="1206"/>
      <c r="W540" s="1206"/>
      <c r="X540" s="1369"/>
      <c r="Y540" s="1369"/>
      <c r="Z540" s="1369"/>
      <c r="AA540" s="1368"/>
      <c r="AB540" s="1368"/>
      <c r="AC540" s="1368"/>
      <c r="AD540" s="1368"/>
      <c r="AE540" s="1206"/>
      <c r="AF540" s="2496">
        <f>'Sources and Uses Budget'!S107+'Sources and Uses Budget'!T107</f>
        <v>56221872</v>
      </c>
      <c r="AG540" s="2496"/>
      <c r="AH540" s="2496"/>
      <c r="AI540" s="2496"/>
      <c r="AJ540" s="2496"/>
      <c r="AK540" s="1268"/>
      <c r="AL540" s="1268"/>
      <c r="AM540" s="1268"/>
      <c r="AN540" s="1297"/>
    </row>
    <row r="541" spans="1:49" s="1223" customFormat="1" ht="12.75" customHeight="1">
      <c r="A541" s="1371"/>
      <c r="B541" s="1371" t="s">
        <v>1776</v>
      </c>
      <c r="C541" s="1369"/>
      <c r="D541" s="1369"/>
      <c r="E541" s="1372"/>
      <c r="F541" s="1372"/>
      <c r="G541" s="1372"/>
      <c r="H541" s="1372"/>
      <c r="I541" s="1372"/>
      <c r="J541" s="1372"/>
      <c r="K541" s="1372"/>
      <c r="L541" s="1369"/>
      <c r="M541" s="1372"/>
      <c r="N541" s="1372"/>
      <c r="O541" s="1372"/>
      <c r="P541" s="1372"/>
      <c r="Q541" s="1372"/>
      <c r="R541" s="1206"/>
      <c r="S541" s="1206"/>
      <c r="T541" s="1206"/>
      <c r="U541" s="1206"/>
      <c r="V541" s="1206"/>
      <c r="W541" s="1206"/>
      <c r="X541" s="1369"/>
      <c r="Y541" s="1369"/>
      <c r="Z541" s="1369"/>
      <c r="AA541" s="1368"/>
      <c r="AB541" s="1368"/>
      <c r="AC541" s="1368"/>
      <c r="AD541" s="1368"/>
      <c r="AE541" s="1206"/>
      <c r="AF541" s="2497">
        <f>AP548</f>
        <v>104890693.2</v>
      </c>
      <c r="AG541" s="2497"/>
      <c r="AH541" s="2497"/>
      <c r="AI541" s="2497"/>
      <c r="AJ541" s="2497"/>
      <c r="AK541" s="1268"/>
      <c r="AL541" s="1268"/>
      <c r="AM541" s="1268"/>
      <c r="AN541" s="1297"/>
      <c r="AP541" s="2491">
        <f>Application!AJ1024</f>
        <v>12631863.600000001</v>
      </c>
      <c r="AQ541" s="2491"/>
      <c r="AR541" s="2491"/>
    </row>
    <row r="542" spans="1:49" s="1223" customFormat="1" ht="12.75" customHeight="1">
      <c r="A542" s="1369"/>
      <c r="B542" s="1369" t="s">
        <v>13</v>
      </c>
      <c r="C542" s="1369"/>
      <c r="D542" s="1369"/>
      <c r="E542" s="1369"/>
      <c r="F542" s="1369"/>
      <c r="G542" s="1369"/>
      <c r="H542" s="1369"/>
      <c r="I542" s="1369"/>
      <c r="J542" s="1369"/>
      <c r="K542" s="1369"/>
      <c r="L542" s="1369"/>
      <c r="M542" s="1369"/>
      <c r="N542" s="1369"/>
      <c r="O542" s="1369"/>
      <c r="P542" s="1369"/>
      <c r="Q542" s="1369"/>
      <c r="R542" s="1206"/>
      <c r="S542" s="1206"/>
      <c r="T542" s="1206"/>
      <c r="U542" s="1206"/>
      <c r="V542" s="1206"/>
      <c r="W542" s="1206"/>
      <c r="X542" s="1369"/>
      <c r="Y542" s="1369"/>
      <c r="Z542" s="1369"/>
      <c r="AA542" s="1368"/>
      <c r="AB542" s="1368"/>
      <c r="AC542" s="1368"/>
      <c r="AD542" s="1368"/>
      <c r="AE542" s="1206"/>
      <c r="AF542" s="2479">
        <f>ROUNDDOWN(IF(C533="YES",((1-(AF540/AF541))*2),(1-(AF540/AF541))),2)</f>
        <v>0.46</v>
      </c>
      <c r="AG542" s="2479"/>
      <c r="AH542" s="2479"/>
      <c r="AI542" s="2479"/>
      <c r="AJ542" s="2479"/>
      <c r="AK542" s="1268"/>
      <c r="AL542" s="1268"/>
      <c r="AM542" s="1268"/>
      <c r="AN542" s="1297"/>
      <c r="AP542" s="2480">
        <f>Application!AJ1028</f>
        <v>12631863.600000001</v>
      </c>
      <c r="AQ542" s="2480"/>
      <c r="AR542" s="2480"/>
    </row>
    <row r="543" spans="1:49" s="1223" customFormat="1" ht="12.75" customHeight="1">
      <c r="A543" s="1369"/>
      <c r="B543" s="1369"/>
      <c r="C543" s="1369"/>
      <c r="D543" s="1369"/>
      <c r="E543" s="1369"/>
      <c r="F543" s="1369"/>
      <c r="G543" s="1369"/>
      <c r="H543" s="1369"/>
      <c r="I543" s="1369"/>
      <c r="J543" s="1369"/>
      <c r="K543" s="1369"/>
      <c r="L543" s="1369"/>
      <c r="M543" s="1369"/>
      <c r="N543" s="1369"/>
      <c r="O543" s="1369"/>
      <c r="P543" s="1369"/>
      <c r="Q543" s="1369"/>
      <c r="R543" s="1206"/>
      <c r="S543" s="1206"/>
      <c r="T543" s="1206"/>
      <c r="U543" s="1206"/>
      <c r="V543" s="1206"/>
      <c r="W543" s="1206"/>
      <c r="X543" s="1369"/>
      <c r="Y543" s="1369"/>
      <c r="Z543" s="1369"/>
      <c r="AA543" s="1368"/>
      <c r="AB543" s="1368"/>
      <c r="AC543" s="1368"/>
      <c r="AD543" s="1368"/>
      <c r="AE543" s="1206"/>
      <c r="AF543" s="1547"/>
      <c r="AG543" s="1547"/>
      <c r="AH543" s="1547"/>
      <c r="AI543" s="1547"/>
      <c r="AJ543" s="1547"/>
      <c r="AK543" s="1268"/>
      <c r="AL543" s="1268"/>
      <c r="AM543" s="1268"/>
      <c r="AN543" s="1297"/>
      <c r="AP543" s="2481">
        <f>IF(((AP541+AP542)/AP539)&gt;0.8,0.8,((AP541+AP542)/AP539))</f>
        <v>0.4</v>
      </c>
      <c r="AQ543" s="2481"/>
      <c r="AR543" s="2481"/>
    </row>
    <row r="544" spans="1:49" s="1223" customFormat="1" ht="12.75" customHeight="1">
      <c r="A544" s="1369"/>
      <c r="B544" s="2482" t="s">
        <v>2687</v>
      </c>
      <c r="C544" s="2483"/>
      <c r="D544" s="2483"/>
      <c r="E544" s="2483"/>
      <c r="F544" s="2483"/>
      <c r="G544" s="2483"/>
      <c r="H544" s="2483"/>
      <c r="I544" s="2483"/>
      <c r="J544" s="2483"/>
      <c r="K544" s="2483"/>
      <c r="L544" s="2483"/>
      <c r="M544" s="2483"/>
      <c r="N544" s="2483"/>
      <c r="O544" s="2483"/>
      <c r="P544" s="2483"/>
      <c r="Q544" s="2483"/>
      <c r="R544" s="2483"/>
      <c r="S544" s="2483"/>
      <c r="T544" s="2483"/>
      <c r="U544" s="2483"/>
      <c r="V544" s="2483"/>
      <c r="W544" s="2483"/>
      <c r="X544" s="2483"/>
      <c r="Y544" s="2483"/>
      <c r="Z544" s="2483"/>
      <c r="AA544" s="2483"/>
      <c r="AB544" s="2483"/>
      <c r="AC544" s="2483"/>
      <c r="AD544" s="2483"/>
      <c r="AE544" s="2483"/>
      <c r="AF544" s="2483"/>
      <c r="AG544" s="2483"/>
      <c r="AH544" s="2483"/>
      <c r="AI544" s="2483"/>
      <c r="AJ544" s="2484"/>
      <c r="AK544" s="1268"/>
      <c r="AL544" s="1268"/>
      <c r="AM544" s="1268"/>
      <c r="AN544" s="1297"/>
    </row>
    <row r="545" spans="1:44" s="1223" customFormat="1" ht="12.75" customHeight="1">
      <c r="A545" s="1369"/>
      <c r="B545" s="2485"/>
      <c r="C545" s="2486"/>
      <c r="D545" s="2486"/>
      <c r="E545" s="2486"/>
      <c r="F545" s="2486"/>
      <c r="G545" s="2486"/>
      <c r="H545" s="2486"/>
      <c r="I545" s="2486"/>
      <c r="J545" s="2486"/>
      <c r="K545" s="2486"/>
      <c r="L545" s="2486"/>
      <c r="M545" s="2486"/>
      <c r="N545" s="2486"/>
      <c r="O545" s="2486"/>
      <c r="P545" s="2486"/>
      <c r="Q545" s="2486"/>
      <c r="R545" s="2486"/>
      <c r="S545" s="2486"/>
      <c r="T545" s="2486"/>
      <c r="U545" s="2486"/>
      <c r="V545" s="2486"/>
      <c r="W545" s="2486"/>
      <c r="X545" s="2486"/>
      <c r="Y545" s="2486"/>
      <c r="Z545" s="2486"/>
      <c r="AA545" s="2486"/>
      <c r="AB545" s="2486"/>
      <c r="AC545" s="2486"/>
      <c r="AD545" s="2486"/>
      <c r="AE545" s="2486"/>
      <c r="AF545" s="2486"/>
      <c r="AG545" s="2486"/>
      <c r="AH545" s="2486"/>
      <c r="AI545" s="2486"/>
      <c r="AJ545" s="2487"/>
      <c r="AK545" s="1268"/>
      <c r="AL545" s="1268"/>
      <c r="AM545" s="1268"/>
      <c r="AN545" s="1297"/>
      <c r="AP545" s="2491">
        <f>AP546-AP541-AP542</f>
        <v>79626966</v>
      </c>
      <c r="AQ545" s="2468"/>
      <c r="AR545" s="2468"/>
    </row>
    <row r="546" spans="1:44" s="1223" customFormat="1" ht="12.75" customHeight="1">
      <c r="A546" s="1369"/>
      <c r="B546" s="2488"/>
      <c r="C546" s="2489"/>
      <c r="D546" s="2489"/>
      <c r="E546" s="2489"/>
      <c r="F546" s="2489"/>
      <c r="G546" s="2489"/>
      <c r="H546" s="2489"/>
      <c r="I546" s="2489"/>
      <c r="J546" s="2489"/>
      <c r="K546" s="2489"/>
      <c r="L546" s="2489"/>
      <c r="M546" s="2489"/>
      <c r="N546" s="2489"/>
      <c r="O546" s="2489"/>
      <c r="P546" s="2489"/>
      <c r="Q546" s="2489"/>
      <c r="R546" s="2489"/>
      <c r="S546" s="2489"/>
      <c r="T546" s="2489"/>
      <c r="U546" s="2489"/>
      <c r="V546" s="2489"/>
      <c r="W546" s="2489"/>
      <c r="X546" s="2489"/>
      <c r="Y546" s="2489"/>
      <c r="Z546" s="2489"/>
      <c r="AA546" s="2489"/>
      <c r="AB546" s="2489"/>
      <c r="AC546" s="2489"/>
      <c r="AD546" s="2489"/>
      <c r="AE546" s="2489"/>
      <c r="AF546" s="2489"/>
      <c r="AG546" s="2489"/>
      <c r="AH546" s="2489"/>
      <c r="AI546" s="2489"/>
      <c r="AJ546" s="2490"/>
      <c r="AK546" s="1268"/>
      <c r="AL546" s="1268"/>
      <c r="AM546" s="1268"/>
      <c r="AN546" s="1297"/>
      <c r="AP546" s="2491">
        <f>Application!AJ1032</f>
        <v>104890693.19999999</v>
      </c>
      <c r="AQ546" s="2491"/>
      <c r="AR546" s="2491"/>
    </row>
    <row r="547" spans="1:44" s="1223" customFormat="1" ht="12.75" customHeight="1">
      <c r="B547" s="1224"/>
      <c r="C547" s="1224"/>
      <c r="D547" s="1224"/>
      <c r="E547" s="1224"/>
      <c r="F547" s="1224"/>
      <c r="G547" s="1224"/>
      <c r="H547" s="1224"/>
      <c r="I547" s="1224"/>
      <c r="J547" s="1224"/>
      <c r="K547" s="1224"/>
      <c r="L547" s="1224"/>
      <c r="M547" s="1224"/>
      <c r="N547" s="1224"/>
      <c r="O547" s="1224"/>
      <c r="P547" s="1224"/>
      <c r="Q547" s="1224"/>
      <c r="R547" s="1224"/>
      <c r="S547" s="1224"/>
      <c r="T547" s="1224"/>
      <c r="U547" s="1224"/>
      <c r="V547" s="1224"/>
      <c r="W547" s="1224"/>
      <c r="X547" s="1224"/>
      <c r="Y547" s="1224"/>
      <c r="Z547" s="1224"/>
      <c r="AA547" s="1224"/>
      <c r="AB547" s="1224"/>
      <c r="AC547" s="1311"/>
      <c r="AD547" s="1224"/>
      <c r="AI547" s="1215"/>
      <c r="AJ547" s="1215"/>
      <c r="AK547" s="1268"/>
      <c r="AL547" s="1268"/>
      <c r="AM547" s="1268"/>
      <c r="AN547" s="1297"/>
    </row>
    <row r="548" spans="1:44" s="1223" customFormat="1" ht="12.75" customHeight="1">
      <c r="A548" s="1376"/>
      <c r="B548" s="1376"/>
      <c r="C548" s="1376"/>
      <c r="D548" s="1376"/>
      <c r="E548" s="1376"/>
      <c r="F548" s="1376"/>
      <c r="G548" s="1376"/>
      <c r="H548" s="1376"/>
      <c r="I548" s="1376"/>
      <c r="J548" s="1376"/>
      <c r="K548" s="1376"/>
      <c r="L548" s="1376"/>
      <c r="M548" s="1376"/>
      <c r="N548" s="1376"/>
      <c r="O548" s="1376"/>
      <c r="P548" s="1376"/>
      <c r="Q548" s="1376"/>
      <c r="R548" s="1376"/>
      <c r="S548" s="1376"/>
      <c r="T548" s="1376"/>
      <c r="U548" s="1376"/>
      <c r="V548" s="1376"/>
      <c r="W548" s="1376"/>
      <c r="X548" s="1376"/>
      <c r="Y548" s="1376"/>
      <c r="Z548" s="1376"/>
      <c r="AA548" s="1376"/>
      <c r="AB548" s="1376"/>
      <c r="AC548" s="1376"/>
      <c r="AD548" s="1376"/>
      <c r="AE548" s="1376"/>
      <c r="AF548" s="1376"/>
      <c r="AG548" s="1376"/>
      <c r="AH548" s="1377"/>
      <c r="AI548" s="1240"/>
      <c r="AJ548" s="1240" t="s">
        <v>1777</v>
      </c>
      <c r="AK548" s="2473">
        <f>IFERROR(IF(AF542=0,0,IF((AF542*100)&gt;12,12,(AF542*100))),0)</f>
        <v>12</v>
      </c>
      <c r="AL548" s="2473"/>
      <c r="AM548" s="2474"/>
      <c r="AN548" s="1297"/>
      <c r="AP548" s="2475">
        <f>AP545+(AP539*AP543)</f>
        <v>104890693.2</v>
      </c>
      <c r="AQ548" s="2476"/>
      <c r="AR548" s="2477"/>
    </row>
    <row r="549" spans="1:44" s="1223" customFormat="1" ht="12.75" customHeight="1" thickBot="1">
      <c r="A549" s="1490"/>
      <c r="B549" s="1490"/>
      <c r="C549" s="1490"/>
      <c r="D549" s="1490"/>
      <c r="E549" s="1490"/>
      <c r="F549" s="1490"/>
      <c r="G549" s="1490"/>
      <c r="H549" s="1490"/>
      <c r="I549" s="1490"/>
      <c r="J549" s="1490"/>
      <c r="K549" s="1490"/>
      <c r="L549" s="1490"/>
      <c r="M549" s="1490"/>
      <c r="N549" s="1490"/>
      <c r="O549" s="1490"/>
      <c r="P549" s="1490"/>
      <c r="Q549" s="1490"/>
      <c r="R549" s="1490"/>
      <c r="S549" s="1490"/>
      <c r="T549" s="1490"/>
      <c r="U549" s="1490"/>
      <c r="V549" s="1490"/>
      <c r="W549" s="1490"/>
      <c r="X549" s="1490"/>
      <c r="Y549" s="1490"/>
      <c r="Z549" s="1490"/>
      <c r="AA549" s="1490"/>
      <c r="AB549" s="1490"/>
      <c r="AC549" s="1490"/>
      <c r="AD549" s="1490"/>
      <c r="AE549" s="1490"/>
      <c r="AF549" s="1490"/>
      <c r="AG549" s="1490"/>
      <c r="AH549" s="1490"/>
      <c r="AI549" s="1490"/>
      <c r="AJ549" s="1490"/>
      <c r="AK549" s="1490"/>
      <c r="AL549" s="1490"/>
      <c r="AM549" s="1491"/>
      <c r="AN549" s="1297"/>
    </row>
    <row r="550" spans="1:44" s="1223" customFormat="1" ht="12.75" customHeight="1" thickTop="1">
      <c r="A550" s="1548"/>
      <c r="B550" s="1430"/>
      <c r="C550" s="1548"/>
      <c r="D550" s="1430"/>
      <c r="E550" s="1430"/>
      <c r="F550" s="1430"/>
      <c r="G550" s="1430"/>
      <c r="H550" s="1430"/>
      <c r="I550" s="1430"/>
      <c r="J550" s="1430"/>
      <c r="K550" s="1430"/>
      <c r="L550" s="1430"/>
      <c r="M550" s="1430"/>
      <c r="N550" s="1430"/>
      <c r="O550" s="1430"/>
      <c r="P550" s="1430"/>
      <c r="Q550" s="1430"/>
      <c r="R550" s="1430"/>
      <c r="S550" s="1430"/>
      <c r="T550" s="1430"/>
      <c r="U550" s="1430"/>
      <c r="V550" s="1430"/>
      <c r="W550" s="1430"/>
      <c r="X550" s="1430"/>
      <c r="Y550" s="1430"/>
      <c r="Z550" s="1430"/>
      <c r="AA550" s="1430"/>
      <c r="AB550" s="1430"/>
      <c r="AC550" s="1549"/>
      <c r="AD550" s="1549"/>
      <c r="AE550" s="1549"/>
      <c r="AF550" s="1430"/>
      <c r="AG550" s="1430"/>
      <c r="AH550" s="1430"/>
      <c r="AI550" s="1430"/>
      <c r="AJ550" s="1430"/>
      <c r="AK550" s="1430"/>
      <c r="AL550" s="1430"/>
      <c r="AM550" s="1550"/>
      <c r="AN550" s="1297"/>
    </row>
    <row r="551" spans="1:44" s="1223" customFormat="1" ht="12.75" customHeight="1">
      <c r="A551" s="1210" t="s">
        <v>2688</v>
      </c>
      <c r="C551" s="1210"/>
      <c r="D551" s="1296"/>
      <c r="E551" s="1296"/>
      <c r="F551" s="1296"/>
      <c r="G551" s="1296"/>
      <c r="H551" s="1296"/>
      <c r="I551" s="1296"/>
      <c r="J551" s="1296"/>
      <c r="K551" s="1296"/>
      <c r="L551" s="1296"/>
      <c r="M551" s="1296"/>
      <c r="N551" s="1296"/>
      <c r="O551" s="1296"/>
      <c r="P551" s="1296"/>
      <c r="Q551" s="1296"/>
      <c r="R551" s="1296"/>
      <c r="S551" s="1296"/>
      <c r="T551" s="1296"/>
      <c r="U551" s="1296"/>
      <c r="V551" s="1296"/>
      <c r="W551" s="1296"/>
      <c r="X551" s="1296"/>
      <c r="Y551" s="1296"/>
      <c r="Z551" s="1296"/>
      <c r="AA551" s="1296"/>
      <c r="AB551" s="1296"/>
      <c r="AC551" s="1296"/>
      <c r="AD551" s="1296"/>
      <c r="AE551" s="2478" t="s">
        <v>1515</v>
      </c>
      <c r="AF551" s="2478"/>
      <c r="AG551" s="2478"/>
      <c r="AH551" s="2478"/>
      <c r="AI551" s="2478"/>
      <c r="AJ551" s="2478"/>
      <c r="AK551" s="2478"/>
      <c r="AL551" s="1287"/>
      <c r="AM551" s="1296"/>
      <c r="AN551" s="1297"/>
    </row>
    <row r="552" spans="1:44" s="1223" customFormat="1" ht="12.75" customHeight="1">
      <c r="C552" s="1296"/>
      <c r="D552" s="1296"/>
      <c r="E552" s="1296"/>
      <c r="F552" s="1296"/>
      <c r="G552" s="1296"/>
      <c r="H552" s="1296"/>
      <c r="I552" s="1296"/>
      <c r="J552" s="1296"/>
      <c r="K552" s="1296"/>
      <c r="L552" s="1296"/>
      <c r="M552" s="1296"/>
      <c r="N552" s="1296"/>
      <c r="O552" s="1296"/>
      <c r="P552" s="1296"/>
      <c r="Q552" s="1296"/>
      <c r="R552" s="1296"/>
      <c r="S552" s="1296"/>
      <c r="T552" s="1296"/>
      <c r="U552" s="1296"/>
      <c r="V552" s="1296"/>
      <c r="W552" s="1296"/>
      <c r="X552" s="1296"/>
      <c r="Y552" s="1296"/>
      <c r="Z552" s="1296"/>
      <c r="AA552" s="1296"/>
      <c r="AB552" s="1296"/>
      <c r="AC552" s="1296"/>
      <c r="AD552" s="1296"/>
      <c r="AE552" s="1296"/>
      <c r="AF552" s="1296"/>
      <c r="AG552" s="1296"/>
      <c r="AH552" s="1296"/>
      <c r="AI552" s="1296"/>
      <c r="AJ552" s="1296"/>
      <c r="AK552" s="1296"/>
      <c r="AL552" s="1296"/>
      <c r="AM552" s="1296"/>
      <c r="AN552" s="1297"/>
    </row>
    <row r="553" spans="1:44" s="1223" customFormat="1" ht="12.75" customHeight="1">
      <c r="A553" s="1296"/>
      <c r="B553" s="2462" t="s">
        <v>2689</v>
      </c>
      <c r="C553" s="2462"/>
      <c r="D553" s="2462"/>
      <c r="E553" s="2462"/>
      <c r="F553" s="2462"/>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62"/>
      <c r="AI553" s="2462"/>
      <c r="AJ553" s="2462"/>
      <c r="AK553" s="1295"/>
      <c r="AL553" s="1245"/>
      <c r="AM553" s="1296"/>
      <c r="AN553" s="1297"/>
    </row>
    <row r="554" spans="1:44" s="1223" customFormat="1" ht="12.75" customHeight="1">
      <c r="A554" s="1296"/>
      <c r="B554" s="2462"/>
      <c r="C554" s="2462"/>
      <c r="D554" s="2462"/>
      <c r="E554" s="2462"/>
      <c r="F554" s="2462"/>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62"/>
      <c r="AI554" s="2462"/>
      <c r="AJ554" s="2462"/>
      <c r="AK554" s="1295"/>
      <c r="AL554" s="1245"/>
      <c r="AM554" s="1296"/>
      <c r="AN554" s="1297"/>
    </row>
    <row r="555" spans="1:44" s="1223" customFormat="1" ht="12.75" customHeight="1">
      <c r="A555" s="1296"/>
      <c r="B555" s="2462"/>
      <c r="C555" s="2462"/>
      <c r="D555" s="2462"/>
      <c r="E555" s="2462"/>
      <c r="F555" s="2462"/>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2462"/>
      <c r="AH555" s="2462"/>
      <c r="AI555" s="2462"/>
      <c r="AJ555" s="2462"/>
      <c r="AK555" s="1295"/>
      <c r="AL555" s="1245"/>
      <c r="AM555" s="1296"/>
      <c r="AN555" s="1297"/>
    </row>
    <row r="556" spans="1:44" s="1223" customFormat="1" ht="12.75" customHeight="1">
      <c r="A556" s="1296"/>
      <c r="B556" s="2462"/>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62"/>
      <c r="AH556" s="2462"/>
      <c r="AI556" s="2462"/>
      <c r="AJ556" s="2462"/>
      <c r="AK556" s="1295"/>
      <c r="AL556" s="1245"/>
      <c r="AM556" s="1296"/>
      <c r="AN556" s="1297"/>
    </row>
    <row r="557" spans="1:44" s="1223" customFormat="1" ht="12.75" customHeight="1">
      <c r="A557" s="1296"/>
      <c r="B557" s="2462"/>
      <c r="C557" s="2462"/>
      <c r="D557" s="2462"/>
      <c r="E557" s="2462"/>
      <c r="F557" s="2462"/>
      <c r="G557" s="2462"/>
      <c r="H557" s="2462"/>
      <c r="I557" s="2462"/>
      <c r="J557" s="2462"/>
      <c r="K557" s="2462"/>
      <c r="L557" s="2462"/>
      <c r="M557" s="2462"/>
      <c r="N557" s="2462"/>
      <c r="O557" s="2462"/>
      <c r="P557" s="2462"/>
      <c r="Q557" s="2462"/>
      <c r="R557" s="2462"/>
      <c r="S557" s="2462"/>
      <c r="T557" s="2462"/>
      <c r="U557" s="2462"/>
      <c r="V557" s="2462"/>
      <c r="W557" s="2462"/>
      <c r="X557" s="2462"/>
      <c r="Y557" s="2462"/>
      <c r="Z557" s="2462"/>
      <c r="AA557" s="2462"/>
      <c r="AB557" s="2462"/>
      <c r="AC557" s="2462"/>
      <c r="AD557" s="2462"/>
      <c r="AE557" s="2462"/>
      <c r="AF557" s="2462"/>
      <c r="AG557" s="2462"/>
      <c r="AH557" s="2462"/>
      <c r="AI557" s="2462"/>
      <c r="AJ557" s="2462"/>
      <c r="AK557" s="1295"/>
      <c r="AL557" s="1245"/>
      <c r="AM557" s="1296"/>
      <c r="AN557" s="1297"/>
    </row>
    <row r="558" spans="1:44" s="1223" customFormat="1" ht="12.75" customHeight="1">
      <c r="A558" s="1296"/>
      <c r="B558" s="2462"/>
      <c r="C558" s="2462"/>
      <c r="D558" s="2462"/>
      <c r="E558" s="2462"/>
      <c r="F558" s="2462"/>
      <c r="G558" s="2462"/>
      <c r="H558" s="2462"/>
      <c r="I558" s="2462"/>
      <c r="J558" s="2462"/>
      <c r="K558" s="2462"/>
      <c r="L558" s="2462"/>
      <c r="M558" s="2462"/>
      <c r="N558" s="2462"/>
      <c r="O558" s="2462"/>
      <c r="P558" s="2462"/>
      <c r="Q558" s="2462"/>
      <c r="R558" s="2462"/>
      <c r="S558" s="2462"/>
      <c r="T558" s="2462"/>
      <c r="U558" s="2462"/>
      <c r="V558" s="2462"/>
      <c r="W558" s="2462"/>
      <c r="X558" s="2462"/>
      <c r="Y558" s="2462"/>
      <c r="Z558" s="2462"/>
      <c r="AA558" s="2462"/>
      <c r="AB558" s="2462"/>
      <c r="AC558" s="2462"/>
      <c r="AD558" s="2462"/>
      <c r="AE558" s="2462"/>
      <c r="AF558" s="2462"/>
      <c r="AG558" s="2462"/>
      <c r="AH558" s="2462"/>
      <c r="AI558" s="2462"/>
      <c r="AJ558" s="2462"/>
      <c r="AK558" s="1295"/>
      <c r="AL558" s="1245"/>
      <c r="AM558" s="1296"/>
      <c r="AN558" s="1297"/>
    </row>
    <row r="559" spans="1:44" s="1223" customFormat="1" ht="12.75" customHeight="1">
      <c r="A559" s="1296"/>
      <c r="B559" s="2462"/>
      <c r="C559" s="2462"/>
      <c r="D559" s="2462"/>
      <c r="E559" s="2462"/>
      <c r="F559" s="2462"/>
      <c r="G559" s="2462"/>
      <c r="H559" s="2462"/>
      <c r="I559" s="2462"/>
      <c r="J559" s="2462"/>
      <c r="K559" s="2462"/>
      <c r="L559" s="2462"/>
      <c r="M559" s="2462"/>
      <c r="N559" s="2462"/>
      <c r="O559" s="2462"/>
      <c r="P559" s="2462"/>
      <c r="Q559" s="2462"/>
      <c r="R559" s="2462"/>
      <c r="S559" s="2462"/>
      <c r="T559" s="2462"/>
      <c r="U559" s="2462"/>
      <c r="V559" s="2462"/>
      <c r="W559" s="2462"/>
      <c r="X559" s="2462"/>
      <c r="Y559" s="2462"/>
      <c r="Z559" s="2462"/>
      <c r="AA559" s="2462"/>
      <c r="AB559" s="2462"/>
      <c r="AC559" s="2462"/>
      <c r="AD559" s="2462"/>
      <c r="AE559" s="2462"/>
      <c r="AF559" s="2462"/>
      <c r="AG559" s="2462"/>
      <c r="AH559" s="2462"/>
      <c r="AI559" s="2462"/>
      <c r="AJ559" s="2462"/>
      <c r="AK559" s="1295"/>
      <c r="AL559" s="1245"/>
      <c r="AM559" s="1296"/>
      <c r="AN559" s="1297"/>
    </row>
    <row r="560" spans="1:44" ht="12.75" customHeight="1">
      <c r="A560" s="1296"/>
      <c r="B560" s="2462"/>
      <c r="C560" s="2462"/>
      <c r="D560" s="2462"/>
      <c r="E560" s="2462"/>
      <c r="F560" s="2462"/>
      <c r="G560" s="2462"/>
      <c r="H560" s="2462"/>
      <c r="I560" s="2462"/>
      <c r="J560" s="2462"/>
      <c r="K560" s="2462"/>
      <c r="L560" s="2462"/>
      <c r="M560" s="2462"/>
      <c r="N560" s="2462"/>
      <c r="O560" s="2462"/>
      <c r="P560" s="2462"/>
      <c r="Q560" s="2462"/>
      <c r="R560" s="2462"/>
      <c r="S560" s="2462"/>
      <c r="T560" s="2462"/>
      <c r="U560" s="2462"/>
      <c r="V560" s="2462"/>
      <c r="W560" s="2462"/>
      <c r="X560" s="2462"/>
      <c r="Y560" s="2462"/>
      <c r="Z560" s="2462"/>
      <c r="AA560" s="2462"/>
      <c r="AB560" s="2462"/>
      <c r="AC560" s="2462"/>
      <c r="AD560" s="2462"/>
      <c r="AE560" s="2462"/>
      <c r="AF560" s="2462"/>
      <c r="AG560" s="2462"/>
      <c r="AH560" s="2462"/>
      <c r="AI560" s="2462"/>
      <c r="AJ560" s="2462"/>
      <c r="AK560" s="1295"/>
      <c r="AL560" s="1245"/>
      <c r="AM560" s="1296"/>
    </row>
    <row r="561" spans="1:42" s="1223" customFormat="1" ht="12.75" customHeight="1">
      <c r="B561" s="2462"/>
      <c r="C561" s="2462"/>
      <c r="D561" s="2462"/>
      <c r="E561" s="2462"/>
      <c r="F561" s="2462"/>
      <c r="G561" s="2462"/>
      <c r="H561" s="2462"/>
      <c r="I561" s="2462"/>
      <c r="J561" s="2462"/>
      <c r="K561" s="2462"/>
      <c r="L561" s="2462"/>
      <c r="M561" s="2462"/>
      <c r="N561" s="2462"/>
      <c r="O561" s="2462"/>
      <c r="P561" s="2462"/>
      <c r="Q561" s="2462"/>
      <c r="R561" s="2462"/>
      <c r="S561" s="2462"/>
      <c r="T561" s="2462"/>
      <c r="U561" s="2462"/>
      <c r="V561" s="2462"/>
      <c r="W561" s="2462"/>
      <c r="X561" s="2462"/>
      <c r="Y561" s="2462"/>
      <c r="Z561" s="2462"/>
      <c r="AA561" s="2462"/>
      <c r="AB561" s="2462"/>
      <c r="AC561" s="2462"/>
      <c r="AD561" s="2462"/>
      <c r="AE561" s="2462"/>
      <c r="AF561" s="2462"/>
      <c r="AG561" s="2462"/>
      <c r="AH561" s="2462"/>
      <c r="AI561" s="2462"/>
      <c r="AJ561" s="2462"/>
      <c r="AK561" s="1295"/>
      <c r="AL561" s="1245"/>
      <c r="AN561" s="1297"/>
    </row>
    <row r="562" spans="1:42" s="1223" customFormat="1" ht="12.75" customHeight="1">
      <c r="B562" s="1295"/>
      <c r="C562" s="1295"/>
      <c r="D562" s="1295"/>
      <c r="E562" s="1295"/>
      <c r="F562" s="1295"/>
      <c r="G562" s="1295"/>
      <c r="H562" s="1295"/>
      <c r="I562" s="1295"/>
      <c r="J562" s="1295"/>
      <c r="K562" s="1295"/>
      <c r="L562" s="1295"/>
      <c r="M562" s="1295"/>
      <c r="N562" s="1295"/>
      <c r="O562" s="1295"/>
      <c r="P562" s="1295"/>
      <c r="Q562" s="1295"/>
      <c r="R562" s="1295"/>
      <c r="S562" s="1295"/>
      <c r="T562" s="1295"/>
      <c r="U562" s="1295"/>
      <c r="V562" s="1295"/>
      <c r="W562" s="1295"/>
      <c r="X562" s="1295"/>
      <c r="Y562" s="1295"/>
      <c r="Z562" s="1295"/>
      <c r="AA562" s="1295"/>
      <c r="AB562" s="1295"/>
      <c r="AC562" s="1295"/>
      <c r="AD562" s="1295"/>
      <c r="AE562" s="1295"/>
      <c r="AF562" s="1295"/>
      <c r="AG562" s="1295"/>
      <c r="AH562" s="1295"/>
      <c r="AI562" s="1295"/>
      <c r="AJ562" s="1295"/>
      <c r="AK562" s="1295"/>
      <c r="AL562" s="1245"/>
      <c r="AN562" s="1297"/>
    </row>
    <row r="563" spans="1:42" s="1223" customFormat="1" ht="12.75" customHeight="1">
      <c r="B563" s="1318" t="s">
        <v>1595</v>
      </c>
      <c r="C563" s="1551"/>
      <c r="D563" s="1245"/>
      <c r="E563" s="1245"/>
      <c r="F563" s="1245"/>
      <c r="G563" s="1245"/>
      <c r="H563" s="1245"/>
      <c r="I563" s="1245"/>
      <c r="J563" s="1245"/>
      <c r="K563" s="1245"/>
      <c r="L563" s="1245"/>
      <c r="M563" s="1245"/>
      <c r="N563" s="1245"/>
      <c r="O563" s="1245"/>
      <c r="P563" s="1245"/>
      <c r="Q563" s="1245"/>
      <c r="R563" s="1245"/>
      <c r="S563" s="1245"/>
      <c r="T563" s="1245"/>
      <c r="U563" s="1245"/>
      <c r="V563" s="1245"/>
      <c r="W563" s="1245"/>
      <c r="X563" s="1245"/>
      <c r="Y563" s="1245"/>
      <c r="Z563" s="1245"/>
      <c r="AA563" s="1245"/>
      <c r="AB563" s="1245"/>
      <c r="AC563" s="1245"/>
      <c r="AD563" s="1245"/>
      <c r="AE563" s="1245"/>
      <c r="AF563" s="1245"/>
      <c r="AG563" s="1245"/>
      <c r="AH563" s="1245"/>
      <c r="AI563" s="1245"/>
      <c r="AN563" s="1297"/>
      <c r="AP563" s="1223" t="s">
        <v>618</v>
      </c>
    </row>
    <row r="564" spans="1:42" s="1223" customFormat="1" ht="12.75" customHeight="1">
      <c r="B564" s="1208"/>
      <c r="C564" s="1551"/>
      <c r="D564" s="1245"/>
      <c r="E564" s="1245"/>
      <c r="F564" s="1245"/>
      <c r="G564" s="1245"/>
      <c r="H564" s="1245"/>
      <c r="I564" s="1245"/>
      <c r="J564" s="1245"/>
      <c r="K564" s="1245"/>
      <c r="L564" s="1245"/>
      <c r="M564" s="1245"/>
      <c r="N564" s="1245"/>
      <c r="O564" s="1245"/>
      <c r="P564" s="1245"/>
      <c r="Q564" s="1245"/>
      <c r="R564" s="1245"/>
      <c r="S564" s="1245"/>
      <c r="T564" s="1245"/>
      <c r="U564" s="1245"/>
      <c r="V564" s="1245"/>
      <c r="W564" s="1245"/>
      <c r="X564" s="1245"/>
      <c r="Y564" s="1245"/>
      <c r="Z564" s="1245"/>
      <c r="AA564" s="1245"/>
      <c r="AB564" s="1245"/>
      <c r="AC564" s="1245"/>
      <c r="AD564" s="1245"/>
      <c r="AE564" s="1245"/>
      <c r="AF564" s="1245"/>
      <c r="AG564" s="1245"/>
      <c r="AH564" s="1245"/>
      <c r="AI564" s="1245"/>
      <c r="AN564" s="1297"/>
      <c r="AP564" s="1223" t="s">
        <v>571</v>
      </c>
    </row>
    <row r="565" spans="1:42" s="1223" customFormat="1" ht="12.75" customHeight="1">
      <c r="C565" s="1211" t="s">
        <v>1596</v>
      </c>
      <c r="D565" s="1552"/>
      <c r="E565" s="1245"/>
      <c r="F565" s="1245"/>
      <c r="G565" s="1245"/>
      <c r="H565" s="1245"/>
      <c r="I565" s="1245"/>
      <c r="J565" s="1245"/>
      <c r="K565" s="1245"/>
      <c r="L565" s="1245"/>
      <c r="M565" s="1245"/>
      <c r="N565" s="1245"/>
      <c r="O565" s="1245"/>
      <c r="P565" s="1245"/>
      <c r="Q565" s="1245"/>
      <c r="R565" s="1245"/>
      <c r="S565" s="1245"/>
      <c r="T565" s="1245"/>
      <c r="U565" s="1245"/>
      <c r="V565" s="1245"/>
      <c r="W565" s="1245"/>
      <c r="X565" s="1245"/>
      <c r="Y565" s="1245"/>
      <c r="Z565" s="1245"/>
      <c r="AA565" s="1245"/>
      <c r="AB565" s="1245"/>
      <c r="AC565" s="1245"/>
      <c r="AD565" s="1245"/>
      <c r="AE565" s="1245"/>
      <c r="AF565" s="1245"/>
      <c r="AG565" s="1245"/>
      <c r="AH565" s="1245"/>
      <c r="AI565" s="1245"/>
      <c r="AN565" s="1297"/>
    </row>
    <row r="566" spans="1:42" s="1223" customFormat="1" ht="12.75" customHeight="1">
      <c r="B566" s="1208"/>
      <c r="C566" s="1208"/>
      <c r="D566" s="1393"/>
      <c r="E566" s="1320"/>
      <c r="F566" s="1320"/>
      <c r="G566" s="1320"/>
      <c r="H566" s="1320"/>
      <c r="I566" s="1320"/>
      <c r="J566" s="1320"/>
      <c r="K566" s="1320"/>
      <c r="L566" s="1320"/>
      <c r="M566" s="1320"/>
      <c r="N566" s="1320"/>
      <c r="O566" s="1320"/>
      <c r="P566" s="1320"/>
      <c r="Q566" s="1320"/>
      <c r="R566" s="1320"/>
      <c r="S566" s="1320"/>
      <c r="T566" s="1320"/>
      <c r="U566" s="1320"/>
      <c r="V566" s="1320"/>
      <c r="W566" s="1320"/>
      <c r="X566" s="1320"/>
      <c r="Y566" s="1320"/>
      <c r="Z566" s="1320"/>
      <c r="AA566" s="1320"/>
      <c r="AB566" s="1320"/>
      <c r="AC566" s="1320"/>
      <c r="AD566" s="1320"/>
      <c r="AE566" s="1320"/>
      <c r="AF566" s="1208"/>
      <c r="AG566" s="1208"/>
      <c r="AH566" s="1208"/>
      <c r="AI566" s="1208"/>
      <c r="AJ566" s="1208"/>
      <c r="AK566" s="1208"/>
      <c r="AL566" s="1208"/>
      <c r="AN566" s="1297"/>
    </row>
    <row r="567" spans="1:42" s="1223" customFormat="1" ht="12.75" customHeight="1">
      <c r="B567" s="1208"/>
      <c r="C567" s="1208"/>
      <c r="D567" s="1318" t="s">
        <v>715</v>
      </c>
      <c r="E567" s="1360" t="s">
        <v>2018</v>
      </c>
      <c r="F567" s="1295"/>
      <c r="G567" s="1295"/>
      <c r="H567" s="1295"/>
      <c r="I567" s="1295"/>
      <c r="J567" s="1295"/>
      <c r="K567" s="1295"/>
      <c r="L567" s="1295"/>
      <c r="M567" s="1295"/>
      <c r="N567" s="1295"/>
      <c r="O567" s="1295"/>
      <c r="P567" s="1295"/>
      <c r="Q567" s="1295"/>
      <c r="R567" s="1295"/>
      <c r="S567" s="1295"/>
      <c r="T567" s="1295"/>
      <c r="U567" s="1295"/>
      <c r="V567" s="1295"/>
      <c r="W567" s="1295"/>
      <c r="X567" s="1295"/>
      <c r="Y567" s="1295"/>
      <c r="Z567" s="1295"/>
      <c r="AA567" s="1295"/>
      <c r="AB567" s="1295"/>
      <c r="AC567" s="1208"/>
      <c r="AD567" s="1208"/>
      <c r="AE567" s="1208"/>
      <c r="AF567" s="2463" t="s">
        <v>1539</v>
      </c>
      <c r="AG567" s="2463"/>
      <c r="AH567" s="2463"/>
      <c r="AI567" s="2463"/>
      <c r="AJ567" s="2463"/>
      <c r="AK567" s="2463"/>
      <c r="AL567" s="2463"/>
      <c r="AN567" s="1297"/>
    </row>
    <row r="568" spans="1:42" s="1223" customFormat="1" ht="12.75" customHeight="1">
      <c r="B568" s="1208"/>
      <c r="C568" s="1311"/>
      <c r="D568" s="1318"/>
      <c r="E568" s="1360" t="s">
        <v>2019</v>
      </c>
      <c r="F568" s="1295"/>
      <c r="G568" s="1295"/>
      <c r="H568" s="1295"/>
      <c r="I568" s="1295"/>
      <c r="J568" s="1295"/>
      <c r="K568" s="1295"/>
      <c r="L568" s="1295"/>
      <c r="M568" s="1295"/>
      <c r="N568" s="1295"/>
      <c r="O568" s="1295"/>
      <c r="P568" s="1295"/>
      <c r="Q568" s="1295"/>
      <c r="R568" s="1295"/>
      <c r="S568" s="1295"/>
      <c r="T568" s="1295"/>
      <c r="U568" s="1295"/>
      <c r="V568" s="1295"/>
      <c r="W568" s="1295"/>
      <c r="X568" s="1295"/>
      <c r="Y568" s="1295"/>
      <c r="Z568" s="1295"/>
      <c r="AA568" s="1295"/>
      <c r="AB568" s="1295"/>
      <c r="AC568" s="1208"/>
      <c r="AD568" s="1208"/>
      <c r="AE568" s="1311"/>
      <c r="AF568" s="1311"/>
      <c r="AG568" s="1311"/>
      <c r="AH568" s="1311"/>
      <c r="AI568" s="1311"/>
      <c r="AJ568" s="1311"/>
      <c r="AK568" s="1311"/>
      <c r="AL568" s="1311"/>
      <c r="AN568" s="1297"/>
    </row>
    <row r="569" spans="1:42" s="1223" customFormat="1" ht="12.75" customHeight="1">
      <c r="B569" s="1208"/>
      <c r="C569" s="1311"/>
      <c r="D569" s="1318"/>
      <c r="E569" s="1360" t="s">
        <v>2020</v>
      </c>
      <c r="F569" s="1295"/>
      <c r="G569" s="1295"/>
      <c r="H569" s="1295"/>
      <c r="I569" s="1295"/>
      <c r="J569" s="1295"/>
      <c r="K569" s="1295"/>
      <c r="L569" s="1295"/>
      <c r="M569" s="1295"/>
      <c r="N569" s="1295"/>
      <c r="O569" s="1295"/>
      <c r="P569" s="1295"/>
      <c r="Q569" s="1295"/>
      <c r="R569" s="1295"/>
      <c r="S569" s="1295"/>
      <c r="T569" s="1295"/>
      <c r="U569" s="1295"/>
      <c r="V569" s="1295"/>
      <c r="W569" s="1295"/>
      <c r="X569" s="1295"/>
      <c r="Y569" s="1295"/>
      <c r="Z569" s="1295"/>
      <c r="AA569" s="1295"/>
      <c r="AB569" s="1295"/>
      <c r="AC569" s="1208"/>
      <c r="AD569" s="1208"/>
      <c r="AE569" s="1311"/>
      <c r="AF569" s="1311"/>
      <c r="AG569" s="1311"/>
      <c r="AH569" s="1311"/>
      <c r="AI569" s="1311"/>
      <c r="AJ569" s="1311"/>
      <c r="AK569" s="1311"/>
      <c r="AL569" s="1311"/>
      <c r="AN569" s="1297"/>
    </row>
    <row r="570" spans="1:42" s="1223" customFormat="1" ht="12.75" customHeight="1">
      <c r="B570" s="1208"/>
      <c r="C570" s="1311"/>
      <c r="D570" s="1318"/>
      <c r="E570" s="1360" t="s">
        <v>2021</v>
      </c>
      <c r="F570" s="1295"/>
      <c r="G570" s="1295"/>
      <c r="H570" s="1295"/>
      <c r="I570" s="1295"/>
      <c r="J570" s="1295"/>
      <c r="K570" s="1295"/>
      <c r="L570" s="1295"/>
      <c r="M570" s="1295"/>
      <c r="N570" s="1295"/>
      <c r="O570" s="1295"/>
      <c r="P570" s="1295"/>
      <c r="Q570" s="1295"/>
      <c r="R570" s="1295"/>
      <c r="S570" s="1295"/>
      <c r="T570" s="1295"/>
      <c r="U570" s="1295"/>
      <c r="V570" s="1295"/>
      <c r="W570" s="1295"/>
      <c r="X570" s="1295"/>
      <c r="Y570" s="1295"/>
      <c r="Z570" s="1295"/>
      <c r="AA570" s="1295"/>
      <c r="AB570" s="1295"/>
      <c r="AC570" s="1208"/>
      <c r="AD570" s="1208"/>
      <c r="AE570" s="1311"/>
      <c r="AF570" s="1311"/>
      <c r="AG570" s="1311"/>
      <c r="AH570" s="1311"/>
      <c r="AI570" s="1311"/>
      <c r="AJ570" s="1311"/>
      <c r="AK570" s="1311"/>
      <c r="AL570" s="1311"/>
      <c r="AN570" s="1297"/>
    </row>
    <row r="571" spans="1:42" s="1223" customFormat="1" ht="12.75" customHeight="1">
      <c r="B571" s="1208"/>
      <c r="C571" s="1311"/>
      <c r="D571" s="1318"/>
      <c r="E571" s="1360" t="s">
        <v>2022</v>
      </c>
      <c r="F571" s="1295"/>
      <c r="G571" s="1295"/>
      <c r="H571" s="1295"/>
      <c r="I571" s="1295"/>
      <c r="J571" s="1295"/>
      <c r="K571" s="1295"/>
      <c r="L571" s="1295"/>
      <c r="M571" s="1295"/>
      <c r="N571" s="1295"/>
      <c r="O571" s="1295"/>
      <c r="P571" s="1295"/>
      <c r="Q571" s="1295"/>
      <c r="R571" s="1295"/>
      <c r="S571" s="1295"/>
      <c r="T571" s="1295"/>
      <c r="U571" s="1295"/>
      <c r="V571" s="1295"/>
      <c r="W571" s="1295"/>
      <c r="X571" s="1295"/>
      <c r="Y571" s="1295"/>
      <c r="Z571" s="1295"/>
      <c r="AA571" s="1295"/>
      <c r="AB571" s="1295"/>
      <c r="AC571" s="1208"/>
      <c r="AD571" s="1208"/>
      <c r="AE571" s="1311"/>
      <c r="AF571" s="1311"/>
      <c r="AG571" s="1311"/>
      <c r="AH571" s="1311"/>
      <c r="AI571" s="1311"/>
      <c r="AJ571" s="1311"/>
      <c r="AK571" s="1311"/>
      <c r="AL571" s="1311"/>
      <c r="AN571" s="1297"/>
    </row>
    <row r="572" spans="1:42" s="1223" customFormat="1" ht="12.75" customHeight="1">
      <c r="B572" s="1208"/>
      <c r="C572" s="1311"/>
      <c r="D572" s="1318"/>
      <c r="E572" s="1360" t="s">
        <v>2023</v>
      </c>
      <c r="F572" s="1295"/>
      <c r="G572" s="1295"/>
      <c r="H572" s="1295"/>
      <c r="I572" s="1295"/>
      <c r="J572" s="1295"/>
      <c r="K572" s="1295"/>
      <c r="L572" s="1295"/>
      <c r="M572" s="1295"/>
      <c r="N572" s="1295"/>
      <c r="O572" s="1295"/>
      <c r="P572" s="1295"/>
      <c r="Q572" s="1295"/>
      <c r="R572" s="1295"/>
      <c r="S572" s="1295"/>
      <c r="T572" s="1295"/>
      <c r="U572" s="1295"/>
      <c r="V572" s="1295"/>
      <c r="W572" s="1295"/>
      <c r="X572" s="1295"/>
      <c r="Y572" s="1295"/>
      <c r="Z572" s="1295"/>
      <c r="AA572" s="1295"/>
      <c r="AB572" s="1295"/>
      <c r="AC572" s="1208"/>
      <c r="AD572" s="1208"/>
      <c r="AE572" s="1311"/>
      <c r="AF572" s="1311"/>
      <c r="AG572" s="1311"/>
      <c r="AH572" s="1311"/>
      <c r="AI572" s="1311"/>
      <c r="AJ572" s="1311"/>
      <c r="AK572" s="1311"/>
      <c r="AL572" s="1311"/>
      <c r="AN572" s="1297"/>
    </row>
    <row r="573" spans="1:42" s="1223" customFormat="1" ht="12.75" customHeight="1">
      <c r="B573" s="1208"/>
      <c r="C573" s="1311"/>
      <c r="D573" s="1318"/>
      <c r="E573" s="1360"/>
      <c r="F573" s="1295"/>
      <c r="G573" s="1295"/>
      <c r="H573" s="1295"/>
      <c r="I573" s="1295"/>
      <c r="J573" s="1295"/>
      <c r="K573" s="1295"/>
      <c r="L573" s="1295"/>
      <c r="M573" s="1295"/>
      <c r="N573" s="1295"/>
      <c r="O573" s="1295"/>
      <c r="P573" s="1295"/>
      <c r="Q573" s="1295"/>
      <c r="R573" s="1295"/>
      <c r="S573" s="1295"/>
      <c r="T573" s="1295"/>
      <c r="U573" s="1295"/>
      <c r="V573" s="1295"/>
      <c r="W573" s="1295"/>
      <c r="X573" s="1295"/>
      <c r="Y573" s="1295"/>
      <c r="Z573" s="1295"/>
      <c r="AA573" s="1295"/>
      <c r="AB573" s="1295"/>
      <c r="AC573" s="1208"/>
      <c r="AD573" s="1208"/>
      <c r="AE573" s="1311"/>
      <c r="AF573" s="1208"/>
      <c r="AG573" s="1208"/>
      <c r="AH573" s="1208"/>
      <c r="AI573" s="1208"/>
      <c r="AJ573" s="1208"/>
      <c r="AK573" s="1208"/>
      <c r="AL573" s="1208"/>
      <c r="AN573" s="1297"/>
    </row>
    <row r="574" spans="1:42" s="1223" customFormat="1" ht="12.75" customHeight="1">
      <c r="A574" s="1386"/>
      <c r="B574" s="1208"/>
      <c r="C574" s="1553"/>
      <c r="D574" s="1318" t="s">
        <v>535</v>
      </c>
      <c r="E574" s="1360" t="s">
        <v>2024</v>
      </c>
      <c r="F574" s="1554"/>
      <c r="G574" s="1554"/>
      <c r="H574" s="1554"/>
      <c r="I574" s="1554"/>
      <c r="J574" s="1554"/>
      <c r="K574" s="1554"/>
      <c r="L574" s="1554"/>
      <c r="M574" s="1554"/>
      <c r="N574" s="1554"/>
      <c r="O574" s="1554"/>
      <c r="P574" s="1554"/>
      <c r="Q574" s="1554"/>
      <c r="R574" s="1554"/>
      <c r="S574" s="1554"/>
      <c r="T574" s="1554"/>
      <c r="U574" s="1554"/>
      <c r="V574" s="1554"/>
      <c r="W574" s="1554"/>
      <c r="X574" s="1554"/>
      <c r="Y574" s="1554"/>
      <c r="Z574" s="1554"/>
      <c r="AA574" s="1554"/>
      <c r="AB574" s="1554"/>
      <c r="AC574" s="1208"/>
      <c r="AD574" s="1208"/>
      <c r="AE574" s="1208"/>
      <c r="AF574" s="2463" t="s">
        <v>1597</v>
      </c>
      <c r="AG574" s="2463"/>
      <c r="AH574" s="2463"/>
      <c r="AI574" s="2463"/>
      <c r="AJ574" s="2463"/>
      <c r="AK574" s="2463"/>
      <c r="AL574" s="2463"/>
      <c r="AN574" s="1297"/>
    </row>
    <row r="575" spans="1:42" s="1223" customFormat="1" ht="12.75" customHeight="1">
      <c r="B575" s="1208"/>
      <c r="C575" s="1555"/>
      <c r="D575" s="1318"/>
      <c r="E575" s="1360" t="s">
        <v>2025</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208"/>
      <c r="AD575" s="1208"/>
      <c r="AE575" s="1208"/>
      <c r="AF575" s="1208"/>
      <c r="AG575" s="1208"/>
      <c r="AH575" s="1208"/>
      <c r="AI575" s="1208"/>
      <c r="AJ575" s="1208"/>
      <c r="AK575" s="1208"/>
      <c r="AL575" s="1208"/>
      <c r="AN575" s="1297"/>
      <c r="AO575" s="1223" t="s">
        <v>618</v>
      </c>
      <c r="AP575" s="1556">
        <v>0</v>
      </c>
    </row>
    <row r="576" spans="1:42" s="1223" customFormat="1" ht="12.75" customHeight="1">
      <c r="B576" s="1305"/>
      <c r="C576" s="1553"/>
      <c r="D576" s="1318"/>
      <c r="E576" s="1360" t="s">
        <v>2026</v>
      </c>
      <c r="F576" s="1554"/>
      <c r="G576" s="1554"/>
      <c r="H576" s="1554"/>
      <c r="I576" s="1554"/>
      <c r="J576" s="1554"/>
      <c r="K576" s="1554"/>
      <c r="L576" s="1554"/>
      <c r="M576" s="1554"/>
      <c r="N576" s="1554"/>
      <c r="O576" s="1554"/>
      <c r="P576" s="1554"/>
      <c r="Q576" s="1554"/>
      <c r="R576" s="1554"/>
      <c r="S576" s="1554"/>
      <c r="T576" s="1554"/>
      <c r="U576" s="1554"/>
      <c r="V576" s="1554"/>
      <c r="W576" s="1554"/>
      <c r="X576" s="1554"/>
      <c r="Y576" s="1554"/>
      <c r="Z576" s="1554"/>
      <c r="AA576" s="1554"/>
      <c r="AB576" s="1554"/>
      <c r="AC576" s="1208"/>
      <c r="AD576" s="1208"/>
      <c r="AE576" s="1208"/>
      <c r="AF576" s="1208"/>
      <c r="AG576" s="1208"/>
      <c r="AH576" s="1208"/>
      <c r="AI576" s="1208"/>
      <c r="AJ576" s="1208"/>
      <c r="AK576" s="1208"/>
      <c r="AL576" s="1208"/>
      <c r="AN576" s="1297"/>
      <c r="AO576" s="1306" t="s">
        <v>715</v>
      </c>
      <c r="AP576" s="1223">
        <v>7</v>
      </c>
    </row>
    <row r="577" spans="1:53" s="1223" customFormat="1" ht="12.75" customHeight="1">
      <c r="B577" s="1305"/>
      <c r="C577" s="1553"/>
      <c r="D577" s="1318"/>
      <c r="E577" s="1360" t="s">
        <v>2028</v>
      </c>
      <c r="F577" s="1554"/>
      <c r="G577" s="1554"/>
      <c r="H577" s="1554"/>
      <c r="I577" s="1554"/>
      <c r="J577" s="1554"/>
      <c r="K577" s="1554"/>
      <c r="L577" s="1554"/>
      <c r="M577" s="1554"/>
      <c r="N577" s="1554"/>
      <c r="O577" s="1554"/>
      <c r="P577" s="1554"/>
      <c r="Q577" s="1554"/>
      <c r="R577" s="1554"/>
      <c r="S577" s="1554"/>
      <c r="T577" s="1554"/>
      <c r="U577" s="1554"/>
      <c r="V577" s="1554"/>
      <c r="W577" s="1554"/>
      <c r="X577" s="1554"/>
      <c r="Y577" s="1554"/>
      <c r="Z577" s="1554"/>
      <c r="AA577" s="1554"/>
      <c r="AB577" s="1554"/>
      <c r="AC577" s="1208"/>
      <c r="AD577" s="1208"/>
      <c r="AE577" s="1208"/>
      <c r="AF577" s="1208"/>
      <c r="AG577" s="1208"/>
      <c r="AH577" s="1208"/>
      <c r="AI577" s="1208"/>
      <c r="AJ577" s="1208"/>
      <c r="AK577" s="1208"/>
      <c r="AL577" s="1208"/>
      <c r="AN577" s="1297"/>
      <c r="AO577" s="1306" t="s">
        <v>535</v>
      </c>
      <c r="AP577" s="1223">
        <v>6</v>
      </c>
    </row>
    <row r="578" spans="1:53" s="1223" customFormat="1" ht="12.75" customHeight="1">
      <c r="B578" s="1305"/>
      <c r="C578" s="1553"/>
      <c r="D578" s="1318"/>
      <c r="E578" s="1360" t="s">
        <v>2027</v>
      </c>
      <c r="F578" s="1554"/>
      <c r="G578" s="1554"/>
      <c r="H578" s="1554"/>
      <c r="I578" s="1554"/>
      <c r="J578" s="1554"/>
      <c r="K578" s="1554"/>
      <c r="L578" s="1554"/>
      <c r="M578" s="1554"/>
      <c r="N578" s="1554"/>
      <c r="O578" s="1554"/>
      <c r="P578" s="1554"/>
      <c r="Q578" s="1554"/>
      <c r="R578" s="1554"/>
      <c r="S578" s="1554"/>
      <c r="T578" s="1554"/>
      <c r="U578" s="1554"/>
      <c r="V578" s="1554"/>
      <c r="W578" s="1554"/>
      <c r="X578" s="1554"/>
      <c r="Y578" s="1554"/>
      <c r="Z578" s="1554"/>
      <c r="AA578" s="1554"/>
      <c r="AB578" s="1554"/>
      <c r="AC578" s="1208"/>
      <c r="AD578" s="1208"/>
      <c r="AE578" s="1208"/>
      <c r="AF578" s="1208"/>
      <c r="AG578" s="1208"/>
      <c r="AH578" s="1208"/>
      <c r="AI578" s="1208"/>
      <c r="AJ578" s="1208"/>
      <c r="AK578" s="1208"/>
      <c r="AL578" s="1208"/>
      <c r="AN578" s="1297"/>
      <c r="AO578" s="1306" t="s">
        <v>284</v>
      </c>
      <c r="AP578" s="1223">
        <v>5</v>
      </c>
    </row>
    <row r="579" spans="1:53" s="1223" customFormat="1" ht="12.75" customHeight="1">
      <c r="B579" s="1305"/>
      <c r="C579" s="1553"/>
      <c r="D579" s="1318"/>
      <c r="E579" s="1557"/>
      <c r="F579" s="1558"/>
      <c r="G579" s="1558"/>
      <c r="H579" s="1558"/>
      <c r="I579" s="1311"/>
      <c r="J579" s="1311"/>
      <c r="K579" s="1311"/>
      <c r="L579" s="1311"/>
      <c r="M579" s="1311"/>
      <c r="N579" s="1311"/>
      <c r="O579" s="1311"/>
      <c r="P579" s="1311"/>
      <c r="Q579" s="1311"/>
      <c r="R579" s="1311"/>
      <c r="S579" s="1311"/>
      <c r="T579" s="1311"/>
      <c r="U579" s="1311"/>
      <c r="V579" s="1311"/>
      <c r="W579" s="1311"/>
      <c r="X579" s="1311"/>
      <c r="Y579" s="1311"/>
      <c r="Z579" s="1311"/>
      <c r="AA579" s="1311"/>
      <c r="AB579" s="1311"/>
      <c r="AC579" s="1208"/>
      <c r="AD579" s="1208"/>
      <c r="AE579" s="1311"/>
      <c r="AF579" s="1208"/>
      <c r="AG579" s="1208"/>
      <c r="AH579" s="1208"/>
      <c r="AI579" s="1208"/>
      <c r="AJ579" s="1208"/>
      <c r="AK579" s="1208"/>
      <c r="AL579" s="1208"/>
      <c r="AN579" s="1297"/>
      <c r="AO579" s="1306" t="s">
        <v>1598</v>
      </c>
      <c r="AP579" s="1223">
        <v>4</v>
      </c>
    </row>
    <row r="580" spans="1:53" s="1223" customFormat="1" ht="12.75" customHeight="1">
      <c r="B580" s="1208"/>
      <c r="C580" s="1553"/>
      <c r="D580" s="1318" t="s">
        <v>284</v>
      </c>
      <c r="E580" s="1360" t="s">
        <v>2029</v>
      </c>
      <c r="F580" s="1554"/>
      <c r="G580" s="1554"/>
      <c r="H580" s="1554"/>
      <c r="I580" s="1554"/>
      <c r="J580" s="1554"/>
      <c r="K580" s="1554"/>
      <c r="L580" s="1554"/>
      <c r="M580" s="1554"/>
      <c r="N580" s="1554"/>
      <c r="O580" s="1554"/>
      <c r="P580" s="1554"/>
      <c r="Q580" s="1554"/>
      <c r="R580" s="1554"/>
      <c r="S580" s="1554"/>
      <c r="T580" s="1554"/>
      <c r="U580" s="1554"/>
      <c r="V580" s="1554"/>
      <c r="W580" s="1554"/>
      <c r="X580" s="1554"/>
      <c r="Y580" s="1554"/>
      <c r="Z580" s="1554"/>
      <c r="AA580" s="1554"/>
      <c r="AB580" s="1554"/>
      <c r="AC580" s="1208"/>
      <c r="AD580" s="1208"/>
      <c r="AE580" s="1208"/>
      <c r="AF580" s="2463" t="s">
        <v>1579</v>
      </c>
      <c r="AG580" s="2463"/>
      <c r="AH580" s="2463"/>
      <c r="AI580" s="2463"/>
      <c r="AJ580" s="2463"/>
      <c r="AK580" s="2463"/>
      <c r="AL580" s="2463"/>
      <c r="AN580" s="1297"/>
      <c r="AO580" s="1306" t="s">
        <v>1599</v>
      </c>
      <c r="AP580" s="1223">
        <v>3</v>
      </c>
    </row>
    <row r="581" spans="1:53" s="1223" customFormat="1" ht="12.75" customHeight="1">
      <c r="B581" s="1208"/>
      <c r="C581" s="1555"/>
      <c r="D581" s="1318"/>
      <c r="E581" s="1360" t="s">
        <v>2025</v>
      </c>
      <c r="F581" s="1554"/>
      <c r="G581" s="1554"/>
      <c r="H581" s="1554"/>
      <c r="I581" s="1554"/>
      <c r="J581" s="1554"/>
      <c r="K581" s="1554"/>
      <c r="L581" s="1554"/>
      <c r="M581" s="1554"/>
      <c r="N581" s="1554"/>
      <c r="O581" s="1554"/>
      <c r="P581" s="1554"/>
      <c r="Q581" s="1554"/>
      <c r="R581" s="1554"/>
      <c r="S581" s="1554"/>
      <c r="T581" s="1554"/>
      <c r="U581" s="1554"/>
      <c r="V581" s="1554"/>
      <c r="W581" s="1554"/>
      <c r="X581" s="1554"/>
      <c r="Y581" s="1554"/>
      <c r="Z581" s="1554"/>
      <c r="AA581" s="1554"/>
      <c r="AB581" s="1554"/>
      <c r="AC581" s="1208"/>
      <c r="AD581" s="1208"/>
      <c r="AE581" s="1208"/>
      <c r="AF581" s="1208"/>
      <c r="AG581" s="1208"/>
      <c r="AH581" s="1208"/>
      <c r="AI581" s="1208"/>
      <c r="AJ581" s="1208"/>
      <c r="AK581" s="1208"/>
      <c r="AL581" s="1208"/>
      <c r="AN581" s="1297"/>
    </row>
    <row r="582" spans="1:53" s="1223" customFormat="1" ht="12.75" customHeight="1">
      <c r="B582" s="1208"/>
      <c r="C582" s="1555"/>
      <c r="D582" s="1318"/>
      <c r="E582" s="1360" t="s">
        <v>2026</v>
      </c>
      <c r="F582" s="1554"/>
      <c r="G582" s="1554"/>
      <c r="H582" s="1554"/>
      <c r="I582" s="1554"/>
      <c r="J582" s="1554"/>
      <c r="K582" s="1554"/>
      <c r="L582" s="1554"/>
      <c r="M582" s="1554"/>
      <c r="N582" s="1554"/>
      <c r="O582" s="1554"/>
      <c r="P582" s="1554"/>
      <c r="Q582" s="1554"/>
      <c r="R582" s="1554"/>
      <c r="S582" s="1554"/>
      <c r="T582" s="1554"/>
      <c r="U582" s="1554"/>
      <c r="V582" s="1554"/>
      <c r="W582" s="1554"/>
      <c r="X582" s="1554"/>
      <c r="Y582" s="1554"/>
      <c r="Z582" s="1554"/>
      <c r="AA582" s="1554"/>
      <c r="AB582" s="1554"/>
      <c r="AC582" s="1208"/>
      <c r="AD582" s="1208"/>
      <c r="AE582" s="1208"/>
      <c r="AF582" s="1208"/>
      <c r="AG582" s="1208"/>
      <c r="AH582" s="1208"/>
      <c r="AI582" s="1208"/>
      <c r="AJ582" s="1208"/>
      <c r="AK582" s="1208"/>
      <c r="AL582" s="1208"/>
      <c r="AN582" s="1297"/>
    </row>
    <row r="583" spans="1:53" s="1223" customFormat="1" ht="12.75" customHeight="1">
      <c r="B583" s="1208"/>
      <c r="C583" s="1555"/>
      <c r="D583" s="1318"/>
      <c r="E583" s="1360" t="s">
        <v>2028</v>
      </c>
      <c r="F583" s="1554"/>
      <c r="G583" s="1554"/>
      <c r="H583" s="1554"/>
      <c r="I583" s="1554"/>
      <c r="J583" s="1554"/>
      <c r="K583" s="1554"/>
      <c r="L583" s="1554"/>
      <c r="M583" s="1554"/>
      <c r="N583" s="1554"/>
      <c r="O583" s="1554"/>
      <c r="P583" s="1554"/>
      <c r="Q583" s="1554"/>
      <c r="R583" s="1554"/>
      <c r="S583" s="1554"/>
      <c r="T583" s="1554"/>
      <c r="U583" s="1554"/>
      <c r="V583" s="1554"/>
      <c r="W583" s="1554"/>
      <c r="X583" s="1554"/>
      <c r="Y583" s="1554"/>
      <c r="Z583" s="1554"/>
      <c r="AA583" s="1554"/>
      <c r="AB583" s="1554"/>
      <c r="AC583" s="1208"/>
      <c r="AD583" s="1208"/>
      <c r="AE583" s="1208"/>
      <c r="AF583" s="1208"/>
      <c r="AG583" s="1208"/>
      <c r="AH583" s="1208"/>
      <c r="AI583" s="1208"/>
      <c r="AJ583" s="1208"/>
      <c r="AK583" s="1208"/>
      <c r="AL583" s="1208"/>
      <c r="AN583" s="1297"/>
    </row>
    <row r="584" spans="1:53" s="1223" customFormat="1" ht="12.75" customHeight="1">
      <c r="B584" s="1208"/>
      <c r="C584" s="1555"/>
      <c r="D584" s="1318"/>
      <c r="E584" s="1360" t="s">
        <v>2027</v>
      </c>
      <c r="F584" s="1554"/>
      <c r="G584" s="1554"/>
      <c r="H584" s="1554"/>
      <c r="I584" s="1554"/>
      <c r="J584" s="1554"/>
      <c r="K584" s="1554"/>
      <c r="L584" s="1554"/>
      <c r="M584" s="1554"/>
      <c r="N584" s="1554"/>
      <c r="O584" s="1554"/>
      <c r="P584" s="1554"/>
      <c r="Q584" s="1554"/>
      <c r="R584" s="1554"/>
      <c r="S584" s="1554"/>
      <c r="T584" s="1554"/>
      <c r="U584" s="1554"/>
      <c r="V584" s="1554"/>
      <c r="W584" s="1554"/>
      <c r="X584" s="1554"/>
      <c r="Y584" s="1554"/>
      <c r="Z584" s="1554"/>
      <c r="AA584" s="1554"/>
      <c r="AB584" s="1554"/>
      <c r="AC584" s="1208"/>
      <c r="AD584" s="1208"/>
      <c r="AE584" s="1208"/>
      <c r="AF584" s="1208"/>
      <c r="AG584" s="1208"/>
      <c r="AH584" s="1208"/>
      <c r="AI584" s="1208"/>
      <c r="AJ584" s="1208"/>
      <c r="AK584" s="1208"/>
      <c r="AL584" s="1208"/>
      <c r="AN584" s="1297"/>
    </row>
    <row r="585" spans="1:53" s="1223" customFormat="1" ht="12.75" customHeight="1">
      <c r="A585" s="1206"/>
      <c r="B585" s="1206"/>
      <c r="C585" s="1206"/>
      <c r="D585" s="1318"/>
      <c r="E585" s="1559"/>
      <c r="F585" s="1206"/>
      <c r="G585" s="1206"/>
      <c r="H585" s="1206"/>
      <c r="I585" s="1206"/>
      <c r="J585" s="1206"/>
      <c r="K585" s="1206"/>
      <c r="L585" s="1206"/>
      <c r="M585" s="1206"/>
      <c r="N585" s="1206"/>
      <c r="O585" s="1206"/>
      <c r="P585" s="1206"/>
      <c r="Q585" s="1206"/>
      <c r="R585" s="1206"/>
      <c r="S585" s="1206"/>
      <c r="T585" s="1206"/>
      <c r="U585" s="1206"/>
      <c r="V585" s="1206"/>
      <c r="W585" s="1206"/>
      <c r="X585" s="1206"/>
      <c r="Y585" s="1206"/>
      <c r="Z585" s="1206"/>
      <c r="AA585" s="1206"/>
      <c r="AB585" s="1206"/>
      <c r="AC585" s="1208"/>
      <c r="AD585" s="1208"/>
      <c r="AE585" s="1206"/>
      <c r="AF585" s="1208"/>
      <c r="AG585" s="1208"/>
      <c r="AH585" s="1208"/>
      <c r="AI585" s="1208"/>
      <c r="AJ585" s="1208"/>
      <c r="AK585" s="1208"/>
      <c r="AL585" s="1208"/>
      <c r="AM585" s="1206"/>
      <c r="AN585" s="1297"/>
    </row>
    <row r="586" spans="1:53" s="1223" customFormat="1" ht="12.75" customHeight="1">
      <c r="B586" s="1208"/>
      <c r="C586" s="1553"/>
      <c r="D586" s="1318" t="s">
        <v>1598</v>
      </c>
      <c r="E586" s="1360" t="s">
        <v>2030</v>
      </c>
      <c r="F586" s="1554"/>
      <c r="G586" s="1554"/>
      <c r="H586" s="1554"/>
      <c r="I586" s="1554"/>
      <c r="J586" s="1554"/>
      <c r="K586" s="1554"/>
      <c r="L586" s="1554"/>
      <c r="M586" s="1554"/>
      <c r="N586" s="1554"/>
      <c r="O586" s="1554"/>
      <c r="P586" s="1554"/>
      <c r="Q586" s="1554"/>
      <c r="R586" s="1554"/>
      <c r="S586" s="1554"/>
      <c r="T586" s="1554"/>
      <c r="U586" s="1554"/>
      <c r="V586" s="1554"/>
      <c r="W586" s="1554"/>
      <c r="X586" s="1554"/>
      <c r="Y586" s="1554"/>
      <c r="Z586" s="1554"/>
      <c r="AA586" s="1554"/>
      <c r="AB586" s="1554"/>
      <c r="AC586" s="1208"/>
      <c r="AD586" s="1208"/>
      <c r="AE586" s="1208"/>
      <c r="AF586" s="2463" t="s">
        <v>1600</v>
      </c>
      <c r="AG586" s="2463"/>
      <c r="AH586" s="2463"/>
      <c r="AI586" s="2463"/>
      <c r="AJ586" s="2463"/>
      <c r="AK586" s="2463"/>
      <c r="AL586" s="2463"/>
      <c r="AN586" s="1297"/>
      <c r="AO586" s="1223" t="str">
        <f>X623</f>
        <v>N/A</v>
      </c>
    </row>
    <row r="587" spans="1:53" s="1223" customFormat="1" ht="12.75" customHeight="1">
      <c r="B587" s="1208"/>
      <c r="C587" s="1555"/>
      <c r="D587" s="1318"/>
      <c r="E587" s="1360" t="s">
        <v>2031</v>
      </c>
      <c r="F587" s="1554"/>
      <c r="G587" s="1554"/>
      <c r="H587" s="1554"/>
      <c r="I587" s="1554"/>
      <c r="J587" s="1554"/>
      <c r="K587" s="1554"/>
      <c r="L587" s="1554"/>
      <c r="M587" s="1554"/>
      <c r="N587" s="1554"/>
      <c r="O587" s="1554"/>
      <c r="P587" s="1554"/>
      <c r="Q587" s="1554"/>
      <c r="R587" s="1554"/>
      <c r="S587" s="1554"/>
      <c r="T587" s="1554"/>
      <c r="U587" s="1554"/>
      <c r="V587" s="1554"/>
      <c r="W587" s="1554"/>
      <c r="X587" s="1554"/>
      <c r="Y587" s="1554"/>
      <c r="Z587" s="1554"/>
      <c r="AA587" s="1554"/>
      <c r="AB587" s="1554"/>
      <c r="AC587" s="1206"/>
      <c r="AD587" s="1206"/>
      <c r="AE587" s="1208"/>
      <c r="AF587" s="1208"/>
      <c r="AG587" s="1208"/>
      <c r="AH587" s="1208"/>
      <c r="AI587" s="1208"/>
      <c r="AJ587" s="1208"/>
      <c r="AK587" s="1208"/>
      <c r="AL587" s="1208"/>
      <c r="AN587" s="1297"/>
      <c r="AU587" s="1290"/>
      <c r="AV587" s="1290"/>
      <c r="AW587" s="1290"/>
      <c r="AX587" s="1290"/>
      <c r="AY587" s="1290"/>
      <c r="AZ587" s="1290"/>
      <c r="BA587" s="1290"/>
    </row>
    <row r="588" spans="1:53" s="1223" customFormat="1" ht="12.75" customHeight="1">
      <c r="B588" s="1305"/>
      <c r="C588" s="1553"/>
      <c r="D588" s="1318"/>
      <c r="E588" s="1360" t="s">
        <v>2032</v>
      </c>
      <c r="F588" s="1554"/>
      <c r="G588" s="1554"/>
      <c r="H588" s="1554"/>
      <c r="I588" s="1554"/>
      <c r="J588" s="1554"/>
      <c r="K588" s="1554"/>
      <c r="L588" s="1554"/>
      <c r="M588" s="1554"/>
      <c r="N588" s="1554"/>
      <c r="O588" s="1554"/>
      <c r="P588" s="1554"/>
      <c r="Q588" s="1554"/>
      <c r="R588" s="1554"/>
      <c r="S588" s="1554"/>
      <c r="T588" s="1554"/>
      <c r="U588" s="1554"/>
      <c r="V588" s="1554"/>
      <c r="W588" s="1554"/>
      <c r="X588" s="1554"/>
      <c r="Y588" s="1554"/>
      <c r="Z588" s="1554"/>
      <c r="AA588" s="1554"/>
      <c r="AB588" s="1554"/>
      <c r="AC588" s="1208"/>
      <c r="AD588" s="1208"/>
      <c r="AE588" s="1208"/>
      <c r="AF588" s="1208"/>
      <c r="AG588" s="1208"/>
      <c r="AH588" s="1208"/>
      <c r="AI588" s="1208"/>
      <c r="AJ588" s="1208"/>
      <c r="AK588" s="1208"/>
      <c r="AL588" s="1208"/>
      <c r="AN588" s="1297"/>
    </row>
    <row r="589" spans="1:53" s="1223" customFormat="1" ht="12.75" customHeight="1">
      <c r="B589" s="1305"/>
      <c r="C589" s="1553"/>
      <c r="D589" s="1318"/>
      <c r="E589" s="1360"/>
      <c r="F589" s="1554"/>
      <c r="G589" s="1554"/>
      <c r="H589" s="1554"/>
      <c r="I589" s="1554"/>
      <c r="J589" s="1554"/>
      <c r="K589" s="1554"/>
      <c r="L589" s="1554"/>
      <c r="M589" s="1554"/>
      <c r="N589" s="1554"/>
      <c r="O589" s="1554"/>
      <c r="P589" s="1554"/>
      <c r="Q589" s="1554"/>
      <c r="R589" s="1554"/>
      <c r="S589" s="1554"/>
      <c r="T589" s="1554"/>
      <c r="U589" s="1554"/>
      <c r="V589" s="1554"/>
      <c r="W589" s="1554"/>
      <c r="X589" s="1554"/>
      <c r="Y589" s="1554"/>
      <c r="Z589" s="1554"/>
      <c r="AA589" s="1554"/>
      <c r="AB589" s="1554"/>
      <c r="AC589" s="1208"/>
      <c r="AD589" s="1208"/>
      <c r="AE589" s="1208"/>
      <c r="AF589" s="1208"/>
      <c r="AG589" s="1208"/>
      <c r="AH589" s="1208"/>
      <c r="AI589" s="1208"/>
      <c r="AJ589" s="1208"/>
      <c r="AK589" s="1208"/>
      <c r="AL589" s="1208"/>
      <c r="AN589" s="1297"/>
    </row>
    <row r="590" spans="1:53" s="1223" customFormat="1" ht="12.75" customHeight="1">
      <c r="B590" s="1305"/>
      <c r="C590" s="1553"/>
      <c r="D590" s="1318"/>
      <c r="E590" s="1208" t="s">
        <v>2199</v>
      </c>
      <c r="O590" s="2471" t="s">
        <v>1348</v>
      </c>
      <c r="P590" s="2471"/>
      <c r="Q590" s="2471"/>
      <c r="R590" s="2471"/>
      <c r="S590" s="2471"/>
      <c r="T590" s="2471"/>
      <c r="U590" s="2471"/>
      <c r="V590" s="2471"/>
      <c r="W590" s="2471"/>
      <c r="X590" s="2471"/>
      <c r="Y590" s="2471"/>
      <c r="Z590" s="2471"/>
      <c r="AA590" s="2471"/>
      <c r="AB590" s="2471"/>
      <c r="AH590" s="1208"/>
      <c r="AI590" s="1208"/>
      <c r="AJ590" s="1208"/>
      <c r="AK590" s="1208"/>
      <c r="AL590" s="1208"/>
      <c r="AN590" s="1297"/>
    </row>
    <row r="591" spans="1:53" s="1223" customFormat="1" ht="12.75" customHeight="1">
      <c r="B591" s="1305"/>
      <c r="C591" s="1553"/>
      <c r="D591" s="1318"/>
      <c r="E591" s="1360"/>
      <c r="F591" s="1554"/>
      <c r="G591" s="1554"/>
      <c r="H591" s="1554"/>
      <c r="I591" s="1554"/>
      <c r="J591" s="1554"/>
      <c r="K591" s="1554"/>
      <c r="L591" s="1554"/>
      <c r="M591" s="1554"/>
      <c r="N591" s="1554"/>
      <c r="O591" s="1554"/>
      <c r="P591" s="1554"/>
      <c r="Q591" s="1554"/>
      <c r="R591" s="1554"/>
      <c r="S591" s="1554"/>
      <c r="T591" s="1554"/>
      <c r="U591" s="1554"/>
      <c r="V591" s="1554"/>
      <c r="W591" s="1554"/>
      <c r="X591" s="1554"/>
      <c r="Y591" s="1554"/>
      <c r="Z591" s="1554"/>
      <c r="AA591" s="1554"/>
      <c r="AB591" s="1554"/>
      <c r="AC591" s="1208"/>
      <c r="AD591" s="1208"/>
      <c r="AE591" s="1208"/>
      <c r="AF591" s="1208"/>
      <c r="AG591" s="1208"/>
      <c r="AH591" s="1208"/>
      <c r="AI591" s="1208"/>
      <c r="AJ591" s="1208"/>
      <c r="AK591" s="1208"/>
      <c r="AL591" s="1208"/>
      <c r="AN591" s="1297"/>
    </row>
    <row r="592" spans="1:53" s="1223" customFormat="1" ht="12.75" customHeight="1">
      <c r="B592" s="1208"/>
      <c r="C592" s="1553"/>
      <c r="D592" s="1318" t="s">
        <v>1599</v>
      </c>
      <c r="E592" s="1360" t="s">
        <v>2034</v>
      </c>
      <c r="F592" s="1554"/>
      <c r="G592" s="1554"/>
      <c r="H592" s="1554"/>
      <c r="I592" s="1554"/>
      <c r="J592" s="1554"/>
      <c r="K592" s="1554"/>
      <c r="L592" s="1554"/>
      <c r="M592" s="1554"/>
      <c r="N592" s="1554"/>
      <c r="O592" s="1554"/>
      <c r="P592" s="1554"/>
      <c r="Q592" s="1554"/>
      <c r="R592" s="1554"/>
      <c r="S592" s="1554"/>
      <c r="T592" s="1554"/>
      <c r="U592" s="1554"/>
      <c r="V592" s="1554"/>
      <c r="W592" s="1554"/>
      <c r="X592" s="1554"/>
      <c r="Y592" s="1554"/>
      <c r="Z592" s="1554"/>
      <c r="AA592" s="1554"/>
      <c r="AB592" s="1554"/>
      <c r="AC592" s="1208"/>
      <c r="AD592" s="1208"/>
      <c r="AE592" s="1208"/>
      <c r="AF592" s="2463" t="s">
        <v>1553</v>
      </c>
      <c r="AG592" s="2463"/>
      <c r="AH592" s="2463"/>
      <c r="AI592" s="2463"/>
      <c r="AJ592" s="2463"/>
      <c r="AK592" s="2463"/>
      <c r="AL592" s="2463"/>
      <c r="AN592" s="1297"/>
    </row>
    <row r="593" spans="2:47" s="1223" customFormat="1" ht="12.75" customHeight="1">
      <c r="B593" s="1208"/>
      <c r="C593" s="1553"/>
      <c r="D593" s="1318"/>
      <c r="E593" s="1360" t="s">
        <v>2033</v>
      </c>
      <c r="F593" s="1554"/>
      <c r="G593" s="1554"/>
      <c r="H593" s="1554"/>
      <c r="I593" s="1554"/>
      <c r="J593" s="1554"/>
      <c r="K593" s="1554"/>
      <c r="L593" s="1554"/>
      <c r="M593" s="1554"/>
      <c r="N593" s="1554"/>
      <c r="O593" s="1554"/>
      <c r="P593" s="1554"/>
      <c r="Q593" s="1554"/>
      <c r="R593" s="1554"/>
      <c r="S593" s="1554"/>
      <c r="T593" s="1554"/>
      <c r="U593" s="1554"/>
      <c r="V593" s="1554"/>
      <c r="W593" s="1554"/>
      <c r="X593" s="1554"/>
      <c r="Y593" s="1554"/>
      <c r="Z593" s="1554"/>
      <c r="AA593" s="1554"/>
      <c r="AB593" s="1554"/>
      <c r="AC593" s="1208"/>
      <c r="AD593" s="1208"/>
      <c r="AE593" s="1290"/>
      <c r="AF593" s="1208"/>
      <c r="AG593" s="1208"/>
      <c r="AH593" s="1208"/>
      <c r="AI593" s="1208"/>
      <c r="AJ593" s="1208"/>
      <c r="AK593" s="1208"/>
      <c r="AL593" s="1208"/>
      <c r="AN593" s="1297"/>
    </row>
    <row r="594" spans="2:47" s="1223" customFormat="1" ht="12.75" customHeight="1">
      <c r="B594" s="1208"/>
      <c r="C594" s="1555"/>
      <c r="D594" s="1208"/>
      <c r="E594" s="1311"/>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c r="AA594" s="1560"/>
      <c r="AB594" s="1560"/>
      <c r="AC594" s="1208"/>
      <c r="AD594" s="1208"/>
      <c r="AE594" s="1208"/>
      <c r="AF594" s="1208"/>
      <c r="AG594" s="1208"/>
      <c r="AH594" s="1208"/>
      <c r="AI594" s="1208"/>
      <c r="AJ594" s="1208"/>
      <c r="AK594" s="1208"/>
      <c r="AL594" s="1208"/>
      <c r="AN594" s="1297"/>
      <c r="AO594" s="1223" t="s">
        <v>618</v>
      </c>
      <c r="AP594" s="1556">
        <v>0</v>
      </c>
      <c r="AT594" s="1223" t="s">
        <v>618</v>
      </c>
      <c r="AU594" s="1556">
        <v>0</v>
      </c>
    </row>
    <row r="595" spans="2:47" s="1223" customFormat="1" ht="12.75" customHeight="1">
      <c r="B595" s="1208"/>
      <c r="C595" s="1555"/>
      <c r="D595" s="1208" t="s">
        <v>1601</v>
      </c>
      <c r="E595" s="1560"/>
      <c r="F595" s="1560"/>
      <c r="G595" s="1560"/>
      <c r="H595" s="2464" t="s">
        <v>1598</v>
      </c>
      <c r="I595" s="2464"/>
      <c r="J595" s="1560"/>
      <c r="K595" s="1560"/>
      <c r="L595" s="1560"/>
      <c r="M595" s="1560"/>
      <c r="N595" s="1208"/>
      <c r="O595" s="1208"/>
      <c r="P595" s="1208"/>
      <c r="Q595" s="1208"/>
      <c r="R595" s="1208"/>
      <c r="S595" s="1208"/>
      <c r="T595" s="1208"/>
      <c r="U595" s="1208"/>
      <c r="V595" s="1208"/>
      <c r="W595" s="1208"/>
      <c r="X595" s="1208"/>
      <c r="Y595" s="1208"/>
      <c r="Z595" s="1208"/>
      <c r="AA595" s="1208"/>
      <c r="AB595" s="1208"/>
      <c r="AC595" s="1208"/>
      <c r="AD595" s="1208"/>
      <c r="AE595" s="1208"/>
      <c r="AF595" s="1208"/>
      <c r="AG595" s="1208"/>
      <c r="AH595" s="1208"/>
      <c r="AI595" s="1208"/>
      <c r="AJ595" s="1208"/>
      <c r="AK595" s="1208"/>
      <c r="AL595" s="1208"/>
      <c r="AN595" s="1297"/>
      <c r="AO595" s="1306" t="s">
        <v>715</v>
      </c>
      <c r="AP595" s="1223">
        <v>3</v>
      </c>
      <c r="AT595" s="1306" t="s">
        <v>715</v>
      </c>
      <c r="AU595" s="1223">
        <v>3</v>
      </c>
    </row>
    <row r="596" spans="2:47" s="1223" customFormat="1" ht="12.75" customHeight="1">
      <c r="B596" s="1208"/>
      <c r="C596" s="1555"/>
      <c r="D596" s="1208"/>
      <c r="E596" s="1560"/>
      <c r="F596" s="1560"/>
      <c r="G596" s="1560"/>
      <c r="H596" s="1560"/>
      <c r="I596" s="1560"/>
      <c r="J596" s="1560"/>
      <c r="K596" s="1560"/>
      <c r="L596" s="1560"/>
      <c r="M596" s="1560"/>
      <c r="N596" s="1208"/>
      <c r="O596" s="1208"/>
      <c r="P596" s="1208"/>
      <c r="Q596" s="1208"/>
      <c r="R596" s="1208"/>
      <c r="S596" s="1208"/>
      <c r="T596" s="1208"/>
      <c r="U596" s="1208"/>
      <c r="V596" s="1208"/>
      <c r="W596" s="1208"/>
      <c r="X596" s="1208"/>
      <c r="Y596" s="1208"/>
      <c r="Z596" s="1208"/>
      <c r="AA596" s="1208"/>
      <c r="AB596" s="1208"/>
      <c r="AC596" s="1208"/>
      <c r="AD596" s="1208"/>
      <c r="AE596" s="1208"/>
      <c r="AF596" s="1208"/>
      <c r="AG596" s="1208"/>
      <c r="AH596" s="1208"/>
      <c r="AI596" s="1208"/>
      <c r="AJ596" s="1208"/>
      <c r="AK596" s="1208"/>
      <c r="AL596" s="1208"/>
      <c r="AN596" s="1297"/>
      <c r="AO596" s="1306" t="s">
        <v>535</v>
      </c>
      <c r="AP596" s="1223">
        <v>2</v>
      </c>
      <c r="AT596" s="1306" t="s">
        <v>535</v>
      </c>
      <c r="AU596" s="1223">
        <v>2</v>
      </c>
    </row>
    <row r="597" spans="2:47" s="1223" customFormat="1" ht="12.75" customHeight="1">
      <c r="B597" s="1208"/>
      <c r="C597" s="1555"/>
      <c r="D597" s="1208"/>
      <c r="E597" s="1560"/>
      <c r="F597" s="1560"/>
      <c r="G597" s="1560"/>
      <c r="H597" s="1560"/>
      <c r="I597" s="1560"/>
      <c r="J597" s="1560"/>
      <c r="K597" s="1560"/>
      <c r="L597" s="1560"/>
      <c r="M597" s="1560"/>
      <c r="N597" s="1208"/>
      <c r="O597" s="1208"/>
      <c r="P597" s="1208"/>
      <c r="Q597" s="1208"/>
      <c r="R597" s="1208"/>
      <c r="S597" s="1208"/>
      <c r="T597" s="1208"/>
      <c r="U597" s="1208"/>
      <c r="V597" s="1208"/>
      <c r="W597" s="1208"/>
      <c r="X597" s="1208"/>
      <c r="Y597" s="1208"/>
      <c r="Z597" s="1208"/>
      <c r="AA597" s="1208"/>
      <c r="AB597" s="1208"/>
      <c r="AC597" s="1208"/>
      <c r="AD597" s="1208"/>
      <c r="AE597" s="1208"/>
      <c r="AF597" s="1208"/>
      <c r="AG597" s="1208"/>
      <c r="AH597" s="1208"/>
      <c r="AI597" s="1208"/>
      <c r="AJ597" s="1208"/>
      <c r="AK597" s="1208"/>
      <c r="AL597" s="1208"/>
      <c r="AN597" s="1297"/>
      <c r="AO597" s="1306"/>
      <c r="AT597" s="1306"/>
    </row>
    <row r="598" spans="2:47" s="1223" customFormat="1" ht="12.75" customHeight="1">
      <c r="B598" s="1208"/>
      <c r="C598" s="1555"/>
      <c r="D598" s="1208" t="s">
        <v>2035</v>
      </c>
      <c r="E598" s="1560"/>
      <c r="F598" s="1560"/>
      <c r="G598" s="1560"/>
      <c r="H598" s="1560"/>
      <c r="I598" s="1560"/>
      <c r="J598" s="1560"/>
      <c r="K598" s="1560"/>
      <c r="L598" s="1560"/>
      <c r="M598" s="1560"/>
      <c r="N598" s="1208"/>
      <c r="O598" s="1208"/>
      <c r="P598" s="1208"/>
      <c r="Q598" s="1208"/>
      <c r="R598" s="1208"/>
      <c r="S598" s="1208"/>
      <c r="T598" s="1208"/>
      <c r="U598" s="1208"/>
      <c r="V598" s="1208"/>
      <c r="W598" s="1208"/>
      <c r="X598" s="1208"/>
      <c r="Y598" s="1208"/>
      <c r="Z598" s="1208"/>
      <c r="AA598" s="1208"/>
      <c r="AB598" s="1208"/>
      <c r="AC598" s="1208"/>
      <c r="AD598" s="1208"/>
      <c r="AE598" s="1208"/>
      <c r="AF598" s="1208"/>
      <c r="AG598" s="1208"/>
      <c r="AH598" s="1208"/>
      <c r="AI598" s="1208"/>
      <c r="AJ598" s="1208"/>
      <c r="AK598" s="1208"/>
      <c r="AL598" s="1208"/>
      <c r="AN598" s="1297"/>
    </row>
    <row r="599" spans="2:47" s="1223" customFormat="1" ht="12.75" customHeight="1">
      <c r="B599" s="1208"/>
      <c r="C599" s="1555"/>
      <c r="D599" s="1208" t="s">
        <v>2036</v>
      </c>
      <c r="E599" s="1560"/>
      <c r="F599" s="1560"/>
      <c r="G599" s="1560"/>
      <c r="H599" s="1560"/>
      <c r="I599" s="1560"/>
      <c r="J599" s="1560"/>
      <c r="K599" s="1560"/>
      <c r="L599" s="1560"/>
      <c r="M599" s="1560"/>
      <c r="N599" s="1208"/>
      <c r="O599" s="1208"/>
      <c r="P599" s="1208"/>
      <c r="Q599" s="1208"/>
      <c r="R599" s="1208"/>
      <c r="S599" s="1208"/>
      <c r="T599" s="1208"/>
      <c r="U599" s="1208"/>
      <c r="V599" s="1208"/>
      <c r="W599" s="1208"/>
      <c r="X599" s="1208"/>
      <c r="Y599" s="1208"/>
      <c r="Z599" s="1208"/>
      <c r="AA599" s="1208"/>
      <c r="AB599" s="1208"/>
      <c r="AC599" s="1208"/>
      <c r="AD599" s="1208"/>
      <c r="AE599" s="1208"/>
      <c r="AF599" s="1208"/>
      <c r="AG599" s="1208"/>
      <c r="AH599" s="1208"/>
      <c r="AI599" s="1208"/>
      <c r="AJ599" s="1208"/>
      <c r="AK599" s="1208"/>
      <c r="AL599" s="1208"/>
      <c r="AN599" s="1297"/>
    </row>
    <row r="600" spans="2:47" s="1223" customFormat="1" ht="12.75" customHeight="1">
      <c r="B600" s="1208"/>
      <c r="C600" s="1555"/>
      <c r="D600" s="1208" t="s">
        <v>2037</v>
      </c>
      <c r="E600" s="1560"/>
      <c r="F600" s="1560"/>
      <c r="G600" s="1560"/>
      <c r="H600" s="1560"/>
      <c r="I600" s="1560"/>
      <c r="J600" s="1560"/>
      <c r="K600" s="1560"/>
      <c r="L600" s="1560"/>
      <c r="M600" s="1560"/>
      <c r="N600" s="1208"/>
      <c r="O600" s="1208"/>
      <c r="P600" s="1208"/>
      <c r="Q600" s="1208"/>
      <c r="R600" s="1208"/>
      <c r="S600" s="1208"/>
      <c r="T600" s="1208"/>
      <c r="U600" s="1208"/>
      <c r="V600" s="1208"/>
      <c r="W600" s="1208"/>
      <c r="X600" s="1208"/>
      <c r="Y600" s="1208"/>
      <c r="Z600" s="1208"/>
      <c r="AA600" s="1208"/>
      <c r="AB600" s="1208"/>
      <c r="AC600" s="1208"/>
      <c r="AD600" s="1208"/>
      <c r="AE600" s="1208"/>
      <c r="AF600" s="1208"/>
      <c r="AG600" s="1208"/>
      <c r="AH600" s="1208"/>
      <c r="AI600" s="1208"/>
      <c r="AJ600" s="1208"/>
      <c r="AK600" s="1208"/>
      <c r="AL600" s="1208"/>
      <c r="AN600" s="1297"/>
    </row>
    <row r="601" spans="2:47" s="1223" customFormat="1" ht="12.75" customHeight="1">
      <c r="B601" s="1208"/>
      <c r="C601" s="1555"/>
      <c r="D601" s="1289" t="s">
        <v>2038</v>
      </c>
      <c r="E601" s="1560"/>
      <c r="F601" s="1560"/>
      <c r="G601" s="1560"/>
      <c r="H601" s="1560"/>
      <c r="I601" s="1560"/>
      <c r="J601" s="1560"/>
      <c r="K601" s="1560"/>
      <c r="L601" s="1560"/>
      <c r="M601" s="1560"/>
      <c r="N601" s="1208"/>
      <c r="O601" s="1208"/>
      <c r="P601" s="1208"/>
      <c r="Q601" s="1208"/>
      <c r="R601" s="1208"/>
      <c r="S601" s="1208"/>
      <c r="T601" s="1208"/>
      <c r="U601" s="1208"/>
      <c r="V601" s="1208"/>
      <c r="W601" s="1208"/>
      <c r="X601" s="1208"/>
      <c r="Y601" s="1208"/>
      <c r="Z601" s="1208"/>
      <c r="AA601" s="1208"/>
      <c r="AB601" s="1208"/>
      <c r="AC601" s="1208"/>
      <c r="AD601" s="1208"/>
      <c r="AE601" s="1208"/>
      <c r="AF601" s="1208"/>
      <c r="AG601" s="1208"/>
      <c r="AH601" s="1208"/>
      <c r="AI601" s="1208"/>
      <c r="AJ601" s="1208"/>
      <c r="AK601" s="1208"/>
      <c r="AL601" s="1208"/>
      <c r="AN601" s="1297"/>
    </row>
    <row r="602" spans="2:47" s="1223" customFormat="1" ht="12.75" customHeight="1">
      <c r="B602" s="1208"/>
      <c r="C602" s="1555"/>
      <c r="D602" s="1208"/>
      <c r="E602" s="1208"/>
      <c r="F602" s="1208"/>
      <c r="G602" s="1208"/>
      <c r="H602" s="1208"/>
      <c r="I602" s="1208"/>
      <c r="J602" s="1208"/>
      <c r="K602" s="1208"/>
      <c r="L602" s="1208"/>
      <c r="M602" s="1208"/>
      <c r="N602" s="1208"/>
      <c r="O602" s="1208"/>
      <c r="P602" s="1208"/>
      <c r="Q602" s="1208"/>
      <c r="R602" s="1208"/>
      <c r="S602" s="1208"/>
      <c r="T602" s="1208"/>
      <c r="U602" s="1208"/>
      <c r="V602" s="1208"/>
      <c r="W602" s="1208"/>
      <c r="X602" s="1208"/>
      <c r="Y602" s="1208"/>
      <c r="Z602" s="1208"/>
      <c r="AA602" s="1208"/>
      <c r="AB602" s="1208"/>
      <c r="AC602" s="1208"/>
      <c r="AD602" s="1208"/>
      <c r="AE602" s="1208"/>
      <c r="AF602" s="1208"/>
      <c r="AG602" s="1208"/>
      <c r="AH602" s="1208"/>
      <c r="AI602" s="1208"/>
      <c r="AJ602" s="1208"/>
      <c r="AK602" s="1208"/>
      <c r="AL602" s="1208"/>
      <c r="AN602" s="1297"/>
      <c r="AO602" s="1223" t="s">
        <v>618</v>
      </c>
      <c r="AP602" s="1556">
        <v>0</v>
      </c>
    </row>
    <row r="603" spans="2:47" s="1223" customFormat="1" ht="12.75" customHeight="1">
      <c r="B603" s="1208"/>
      <c r="C603" s="1555"/>
      <c r="D603" s="1208"/>
      <c r="E603" s="1208" t="s">
        <v>1601</v>
      </c>
      <c r="F603" s="1560"/>
      <c r="G603" s="1560"/>
      <c r="I603" s="2472" t="s">
        <v>618</v>
      </c>
      <c r="J603" s="2472"/>
      <c r="K603" s="2472"/>
      <c r="L603" s="2472"/>
      <c r="M603" s="2472"/>
      <c r="N603" s="2472"/>
      <c r="O603" s="2472"/>
      <c r="P603" s="2472"/>
      <c r="Q603" s="2472"/>
      <c r="R603" s="2472"/>
      <c r="S603" s="2472"/>
      <c r="T603" s="2472"/>
      <c r="U603" s="2472"/>
      <c r="V603" s="2472"/>
      <c r="W603" s="2472"/>
      <c r="X603" s="2472"/>
      <c r="Y603" s="2472"/>
      <c r="Z603" s="2472"/>
      <c r="AA603" s="2472"/>
      <c r="AB603" s="2472"/>
      <c r="AC603" s="2472"/>
      <c r="AD603" s="2472"/>
      <c r="AE603" s="2472"/>
      <c r="AF603" s="1208"/>
      <c r="AG603" s="1208"/>
      <c r="AH603" s="1208"/>
      <c r="AI603" s="1208"/>
      <c r="AJ603" s="1208"/>
      <c r="AK603" s="1208"/>
      <c r="AL603" s="1208"/>
      <c r="AN603" s="1297"/>
      <c r="AO603" s="1223" t="s">
        <v>1602</v>
      </c>
      <c r="AP603" s="1223">
        <v>3</v>
      </c>
    </row>
    <row r="604" spans="2:47" s="1223" customFormat="1" ht="12.75" customHeight="1">
      <c r="B604" s="1208"/>
      <c r="C604" s="1208"/>
      <c r="D604" s="1208"/>
      <c r="E604" s="1208"/>
      <c r="F604" s="1295"/>
      <c r="G604" s="1295"/>
      <c r="H604" s="1295"/>
      <c r="I604" s="1295"/>
      <c r="J604" s="1295"/>
      <c r="K604" s="1295"/>
      <c r="L604" s="1295"/>
      <c r="M604" s="1295"/>
      <c r="N604" s="1295"/>
      <c r="O604" s="1295"/>
      <c r="P604" s="1295"/>
      <c r="Q604" s="1295"/>
      <c r="R604" s="1295"/>
      <c r="S604" s="1295"/>
      <c r="T604" s="1295"/>
      <c r="U604" s="1295"/>
      <c r="V604" s="1295"/>
      <c r="W604" s="1295"/>
      <c r="X604" s="1295"/>
      <c r="Y604" s="1295"/>
      <c r="Z604" s="1295"/>
      <c r="AA604" s="1295"/>
      <c r="AB604" s="1295"/>
      <c r="AC604" s="1295"/>
      <c r="AD604" s="1295"/>
      <c r="AE604" s="1295"/>
      <c r="AF604" s="1295"/>
      <c r="AG604" s="1295"/>
      <c r="AH604" s="1295"/>
      <c r="AI604" s="1295"/>
      <c r="AJ604" s="1295"/>
      <c r="AK604" s="1295"/>
      <c r="AL604" s="1295"/>
      <c r="AN604" s="1297"/>
      <c r="AO604" s="1223" t="s">
        <v>1603</v>
      </c>
      <c r="AP604" s="1223">
        <v>2</v>
      </c>
    </row>
    <row r="605" spans="2:47" s="1223" customFormat="1" ht="12.75" customHeight="1">
      <c r="B605" s="2469" t="s">
        <v>618</v>
      </c>
      <c r="C605" s="2469"/>
      <c r="D605" s="1295"/>
      <c r="E605" s="2462" t="s">
        <v>1604</v>
      </c>
      <c r="F605" s="2462"/>
      <c r="G605" s="2462"/>
      <c r="H605" s="2462"/>
      <c r="I605" s="2462"/>
      <c r="J605" s="2462"/>
      <c r="K605" s="2462"/>
      <c r="L605" s="2462"/>
      <c r="M605" s="2462"/>
      <c r="N605" s="2462"/>
      <c r="O605" s="2462"/>
      <c r="P605" s="2462"/>
      <c r="Q605" s="2462"/>
      <c r="R605" s="2462"/>
      <c r="S605" s="2462"/>
      <c r="T605" s="2462"/>
      <c r="U605" s="2462"/>
      <c r="V605" s="2462"/>
      <c r="W605" s="2462"/>
      <c r="X605" s="2462"/>
      <c r="Y605" s="2462"/>
      <c r="Z605" s="2462"/>
      <c r="AA605" s="2462"/>
      <c r="AB605" s="2462"/>
      <c r="AC605" s="2462"/>
      <c r="AD605" s="2462"/>
      <c r="AE605" s="2462"/>
      <c r="AF605" s="2462"/>
      <c r="AG605" s="2462"/>
      <c r="AH605" s="1295"/>
      <c r="AI605" s="1295"/>
      <c r="AJ605" s="1295"/>
      <c r="AK605" s="1295"/>
      <c r="AL605" s="1295"/>
      <c r="AN605" s="1297"/>
    </row>
    <row r="606" spans="2:47" s="1223" customFormat="1" ht="12.75" customHeight="1">
      <c r="B606" s="1208"/>
      <c r="C606" s="1555"/>
      <c r="D606" s="1295"/>
      <c r="E606" s="2462"/>
      <c r="F606" s="2462"/>
      <c r="G606" s="2462"/>
      <c r="H606" s="2462"/>
      <c r="I606" s="2462"/>
      <c r="J606" s="2462"/>
      <c r="K606" s="2462"/>
      <c r="L606" s="2462"/>
      <c r="M606" s="2462"/>
      <c r="N606" s="2462"/>
      <c r="O606" s="2462"/>
      <c r="P606" s="2462"/>
      <c r="Q606" s="2462"/>
      <c r="R606" s="2462"/>
      <c r="S606" s="2462"/>
      <c r="T606" s="2462"/>
      <c r="U606" s="2462"/>
      <c r="V606" s="2462"/>
      <c r="W606" s="2462"/>
      <c r="X606" s="2462"/>
      <c r="Y606" s="2462"/>
      <c r="Z606" s="2462"/>
      <c r="AA606" s="2462"/>
      <c r="AB606" s="2462"/>
      <c r="AC606" s="2462"/>
      <c r="AD606" s="2462"/>
      <c r="AE606" s="2462"/>
      <c r="AF606" s="2462"/>
      <c r="AG606" s="2462"/>
      <c r="AH606" s="1295"/>
      <c r="AI606" s="1295"/>
      <c r="AJ606" s="1295"/>
      <c r="AK606" s="1295"/>
      <c r="AL606" s="1295"/>
      <c r="AN606" s="1297"/>
    </row>
    <row r="607" spans="2:47" s="1223" customFormat="1" ht="12.75" customHeight="1">
      <c r="B607" s="1208"/>
      <c r="C607" s="1555"/>
      <c r="D607" s="1295"/>
      <c r="E607" s="2462"/>
      <c r="F607" s="2462"/>
      <c r="G607" s="2462"/>
      <c r="H607" s="2462"/>
      <c r="I607" s="2462"/>
      <c r="J607" s="2462"/>
      <c r="K607" s="2462"/>
      <c r="L607" s="2462"/>
      <c r="M607" s="2462"/>
      <c r="N607" s="2462"/>
      <c r="O607" s="2462"/>
      <c r="P607" s="2462"/>
      <c r="Q607" s="2462"/>
      <c r="R607" s="2462"/>
      <c r="S607" s="2462"/>
      <c r="T607" s="2462"/>
      <c r="U607" s="2462"/>
      <c r="V607" s="2462"/>
      <c r="W607" s="2462"/>
      <c r="X607" s="2462"/>
      <c r="Y607" s="2462"/>
      <c r="Z607" s="2462"/>
      <c r="AA607" s="2462"/>
      <c r="AB607" s="2462"/>
      <c r="AC607" s="2462"/>
      <c r="AD607" s="2462"/>
      <c r="AE607" s="2462"/>
      <c r="AF607" s="2462"/>
      <c r="AG607" s="2462"/>
      <c r="AH607" s="1295"/>
      <c r="AI607" s="1295"/>
      <c r="AJ607" s="1295"/>
      <c r="AK607" s="1295"/>
      <c r="AL607" s="1295"/>
      <c r="AN607" s="1297"/>
    </row>
    <row r="608" spans="2:47" s="1223" customFormat="1" ht="12.75" customHeight="1">
      <c r="B608" s="1208"/>
      <c r="C608" s="1555"/>
      <c r="D608" s="1295"/>
      <c r="E608" s="2462"/>
      <c r="F608" s="2462"/>
      <c r="G608" s="2462"/>
      <c r="H608" s="2462"/>
      <c r="I608" s="2462"/>
      <c r="J608" s="2462"/>
      <c r="K608" s="2462"/>
      <c r="L608" s="2462"/>
      <c r="M608" s="2462"/>
      <c r="N608" s="2462"/>
      <c r="O608" s="2462"/>
      <c r="P608" s="2462"/>
      <c r="Q608" s="2462"/>
      <c r="R608" s="2462"/>
      <c r="S608" s="2462"/>
      <c r="T608" s="2462"/>
      <c r="U608" s="2462"/>
      <c r="V608" s="2462"/>
      <c r="W608" s="2462"/>
      <c r="X608" s="2462"/>
      <c r="Y608" s="2462"/>
      <c r="Z608" s="2462"/>
      <c r="AA608" s="2462"/>
      <c r="AB608" s="2462"/>
      <c r="AC608" s="2462"/>
      <c r="AD608" s="2462"/>
      <c r="AE608" s="2462"/>
      <c r="AF608" s="2462"/>
      <c r="AG608" s="2462"/>
      <c r="AH608" s="1295"/>
      <c r="AI608" s="1295"/>
      <c r="AJ608" s="1295"/>
      <c r="AK608" s="1295"/>
      <c r="AL608" s="1295"/>
      <c r="AN608" s="1297"/>
    </row>
    <row r="609" spans="1:42" s="1223" customFormat="1" ht="12.75" customHeight="1">
      <c r="B609" s="1208"/>
      <c r="C609" s="1555"/>
      <c r="D609" s="1561"/>
      <c r="E609" s="1562"/>
      <c r="F609" s="1562"/>
      <c r="G609" s="1562"/>
      <c r="H609" s="1562"/>
      <c r="I609" s="1562"/>
      <c r="J609" s="1562"/>
      <c r="K609" s="1562"/>
      <c r="L609" s="1562"/>
      <c r="M609" s="1562"/>
      <c r="N609" s="1562"/>
      <c r="O609" s="1562"/>
      <c r="P609" s="1562"/>
      <c r="Q609" s="1562"/>
      <c r="R609" s="1562"/>
      <c r="S609" s="1562"/>
      <c r="T609" s="1562"/>
      <c r="U609" s="1562"/>
      <c r="V609" s="1562"/>
      <c r="W609" s="1562"/>
      <c r="X609" s="1562"/>
      <c r="Y609" s="1562"/>
      <c r="Z609" s="1562"/>
      <c r="AA609" s="1562"/>
      <c r="AB609" s="1562"/>
      <c r="AC609" s="1562"/>
      <c r="AD609" s="1562"/>
      <c r="AE609" s="1562"/>
      <c r="AF609" s="1562"/>
      <c r="AG609" s="1562"/>
      <c r="AH609" s="1561"/>
      <c r="AI609" s="1561"/>
      <c r="AJ609" s="1561"/>
      <c r="AK609" s="1561"/>
      <c r="AL609" s="1295"/>
      <c r="AN609" s="1297"/>
    </row>
    <row r="610" spans="1:42" s="1223" customFormat="1" ht="12.75" customHeight="1">
      <c r="A610" s="1301"/>
      <c r="B610" s="1293"/>
      <c r="C610" s="1563"/>
      <c r="D610" s="1293"/>
      <c r="E610" s="1564"/>
      <c r="F610" s="1564"/>
      <c r="G610" s="1564"/>
      <c r="H610" s="1564"/>
      <c r="I610" s="1564"/>
      <c r="J610" s="1564"/>
      <c r="K610" s="1564"/>
      <c r="L610" s="1564"/>
      <c r="M610" s="1564"/>
      <c r="N610" s="1564"/>
      <c r="O610" s="1564"/>
      <c r="P610" s="1564"/>
      <c r="Q610" s="1564"/>
      <c r="R610" s="1564"/>
      <c r="S610" s="1564"/>
      <c r="T610" s="1564"/>
      <c r="U610" s="1564"/>
      <c r="V610" s="1564"/>
      <c r="W610" s="1564"/>
      <c r="X610" s="1564"/>
      <c r="Y610" s="1564"/>
      <c r="Z610" s="1564"/>
      <c r="AA610" s="1564"/>
      <c r="AB610" s="1293"/>
      <c r="AC610" s="1293"/>
      <c r="AD610" s="1293"/>
      <c r="AE610" s="1293"/>
      <c r="AF610" s="1293"/>
      <c r="AG610" s="1293"/>
      <c r="AH610" s="1293"/>
      <c r="AI610" s="1240" t="s">
        <v>1605</v>
      </c>
      <c r="AJ610" s="2442">
        <f>VLOOKUP($H$595,$AO$575:$AP$580,2,FALSE)+VLOOKUP($I$603,$AO$602:$AP$604,2,FALSE)</f>
        <v>4</v>
      </c>
      <c r="AK610" s="2444"/>
      <c r="AL610" s="1268"/>
      <c r="AM610" s="1565"/>
      <c r="AN610" s="1297"/>
    </row>
    <row r="611" spans="1:42" s="1223" customFormat="1" ht="12.75" customHeight="1">
      <c r="B611" s="1208"/>
      <c r="C611" s="1555"/>
      <c r="D611" s="1208"/>
      <c r="E611" s="1560"/>
      <c r="F611" s="1560"/>
      <c r="G611" s="1560"/>
      <c r="H611" s="1560"/>
      <c r="I611" s="1560"/>
      <c r="J611" s="1560"/>
      <c r="K611" s="1560"/>
      <c r="L611" s="1560"/>
      <c r="M611" s="1560"/>
      <c r="N611" s="1560"/>
      <c r="O611" s="1560"/>
      <c r="P611" s="1560"/>
      <c r="Q611" s="1560"/>
      <c r="R611" s="1560"/>
      <c r="S611" s="1560"/>
      <c r="T611" s="1560"/>
      <c r="U611" s="1560"/>
      <c r="V611" s="1560"/>
      <c r="W611" s="1560"/>
      <c r="X611" s="1560"/>
      <c r="Y611" s="1560"/>
      <c r="Z611" s="1560"/>
      <c r="AA611" s="1560"/>
      <c r="AB611" s="1560"/>
      <c r="AC611" s="1208"/>
      <c r="AD611" s="1208"/>
      <c r="AE611" s="1560"/>
      <c r="AF611" s="1560"/>
      <c r="AG611" s="1560"/>
      <c r="AH611" s="1560"/>
      <c r="AI611" s="1560"/>
      <c r="AJ611" s="1560"/>
      <c r="AK611" s="1560"/>
      <c r="AL611" s="1560"/>
      <c r="AM611" s="1565"/>
      <c r="AN611" s="1297"/>
    </row>
    <row r="612" spans="1:42" s="1223" customFormat="1" ht="12.75" customHeight="1">
      <c r="B612" s="1208"/>
      <c r="C612" s="1211" t="s">
        <v>1606</v>
      </c>
      <c r="D612" s="1211"/>
      <c r="E612" s="1560"/>
      <c r="F612" s="1560"/>
      <c r="G612" s="1560"/>
      <c r="H612" s="1560"/>
      <c r="I612" s="1560"/>
      <c r="J612" s="1560"/>
      <c r="K612" s="1560"/>
      <c r="L612" s="1560"/>
      <c r="M612" s="1560"/>
      <c r="N612" s="1560"/>
      <c r="O612" s="1560"/>
      <c r="P612" s="1560"/>
      <c r="Q612" s="1560"/>
      <c r="R612" s="1560"/>
      <c r="S612" s="1560"/>
      <c r="T612" s="1560"/>
      <c r="U612" s="1560"/>
      <c r="V612" s="1560"/>
      <c r="W612" s="1560"/>
      <c r="X612" s="1560"/>
      <c r="Y612" s="1560"/>
      <c r="Z612" s="1560"/>
      <c r="AA612" s="1560"/>
      <c r="AB612" s="1560"/>
      <c r="AC612" s="1208"/>
      <c r="AD612" s="1208"/>
      <c r="AE612" s="1208"/>
      <c r="AF612" s="1208"/>
      <c r="AG612" s="1208"/>
      <c r="AH612" s="1208"/>
      <c r="AI612" s="1208"/>
      <c r="AJ612" s="1208"/>
      <c r="AK612" s="1208"/>
      <c r="AL612" s="1208"/>
      <c r="AN612" s="1297"/>
    </row>
    <row r="613" spans="1:42" s="1223" customFormat="1" ht="12.75" customHeight="1">
      <c r="B613" s="1305"/>
      <c r="C613" s="1208"/>
      <c r="D613" s="1558"/>
      <c r="E613" s="1560"/>
      <c r="F613" s="1560"/>
      <c r="G613" s="1560"/>
      <c r="H613" s="1560"/>
      <c r="I613" s="1560"/>
      <c r="J613" s="1560"/>
      <c r="K613" s="1560"/>
      <c r="L613" s="1560"/>
      <c r="M613" s="1560"/>
      <c r="N613" s="1560"/>
      <c r="O613" s="1560"/>
      <c r="P613" s="1560"/>
      <c r="Q613" s="1560"/>
      <c r="R613" s="1560"/>
      <c r="S613" s="1560"/>
      <c r="T613" s="1560"/>
      <c r="U613" s="1560"/>
      <c r="V613" s="1560"/>
      <c r="W613" s="1560"/>
      <c r="X613" s="1560"/>
      <c r="Y613" s="1560"/>
      <c r="Z613" s="1560"/>
      <c r="AA613" s="1560"/>
      <c r="AB613" s="1560"/>
      <c r="AC613" s="1208"/>
      <c r="AD613" s="1208"/>
      <c r="AE613" s="1208"/>
      <c r="AF613" s="1208"/>
      <c r="AG613" s="1208"/>
      <c r="AH613" s="1208"/>
      <c r="AI613" s="1208"/>
      <c r="AJ613" s="1208"/>
      <c r="AK613" s="1208"/>
      <c r="AL613" s="1208"/>
      <c r="AN613" s="1297"/>
    </row>
    <row r="614" spans="1:42" s="1383" customFormat="1" ht="12.75" customHeight="1">
      <c r="A614" s="1223"/>
      <c r="B614" s="1208"/>
      <c r="C614" s="1208"/>
      <c r="D614" s="1318" t="s">
        <v>715</v>
      </c>
      <c r="E614" s="2470" t="s">
        <v>2014</v>
      </c>
      <c r="F614" s="2470"/>
      <c r="G614" s="2470"/>
      <c r="H614" s="2470"/>
      <c r="I614" s="2470"/>
      <c r="J614" s="2470"/>
      <c r="K614" s="2470"/>
      <c r="L614" s="2470"/>
      <c r="M614" s="2470"/>
      <c r="N614" s="2470"/>
      <c r="O614" s="2470"/>
      <c r="P614" s="2470"/>
      <c r="Q614" s="2470"/>
      <c r="R614" s="2470"/>
      <c r="S614" s="2470"/>
      <c r="T614" s="2470"/>
      <c r="U614" s="2470"/>
      <c r="V614" s="2470"/>
      <c r="W614" s="2470"/>
      <c r="X614" s="2470"/>
      <c r="Y614" s="2470"/>
      <c r="Z614" s="2470"/>
      <c r="AA614" s="2470"/>
      <c r="AB614" s="2470"/>
      <c r="AC614" s="2470"/>
      <c r="AD614" s="2470"/>
      <c r="AE614" s="1211"/>
      <c r="AF614" s="2463" t="s">
        <v>1553</v>
      </c>
      <c r="AG614" s="2463"/>
      <c r="AH614" s="2463"/>
      <c r="AI614" s="2463"/>
      <c r="AJ614" s="2463"/>
      <c r="AK614" s="2463"/>
      <c r="AL614" s="2463"/>
      <c r="AM614" s="1223"/>
      <c r="AN614" s="1507"/>
    </row>
    <row r="615" spans="1:42" s="1223" customFormat="1" ht="12.75" customHeight="1">
      <c r="A615" s="1493"/>
      <c r="B615" s="1208"/>
      <c r="C615" s="1555"/>
      <c r="D615" s="1318"/>
      <c r="E615" s="2470"/>
      <c r="F615" s="2470"/>
      <c r="G615" s="2470"/>
      <c r="H615" s="2470"/>
      <c r="I615" s="2470"/>
      <c r="J615" s="2470"/>
      <c r="K615" s="2470"/>
      <c r="L615" s="2470"/>
      <c r="M615" s="2470"/>
      <c r="N615" s="2470"/>
      <c r="O615" s="2470"/>
      <c r="P615" s="2470"/>
      <c r="Q615" s="2470"/>
      <c r="R615" s="2470"/>
      <c r="S615" s="2470"/>
      <c r="T615" s="2470"/>
      <c r="U615" s="2470"/>
      <c r="V615" s="2470"/>
      <c r="W615" s="2470"/>
      <c r="X615" s="2470"/>
      <c r="Y615" s="2470"/>
      <c r="Z615" s="2470"/>
      <c r="AA615" s="2470"/>
      <c r="AB615" s="2470"/>
      <c r="AC615" s="2470"/>
      <c r="AD615" s="2470"/>
      <c r="AE615" s="1208"/>
      <c r="AF615" s="1208"/>
      <c r="AG615" s="1208"/>
      <c r="AH615" s="1208"/>
      <c r="AI615" s="1208"/>
      <c r="AJ615" s="1208"/>
      <c r="AK615" s="1208"/>
      <c r="AL615" s="1208"/>
      <c r="AN615" s="1297"/>
    </row>
    <row r="616" spans="1:42" s="1223" customFormat="1" ht="12.75" customHeight="1">
      <c r="B616" s="1208"/>
      <c r="C616" s="1553"/>
      <c r="D616" s="1318"/>
      <c r="E616" s="2470"/>
      <c r="F616" s="2470"/>
      <c r="G616" s="2470"/>
      <c r="H616" s="2470"/>
      <c r="I616" s="2470"/>
      <c r="J616" s="2470"/>
      <c r="K616" s="2470"/>
      <c r="L616" s="2470"/>
      <c r="M616" s="2470"/>
      <c r="N616" s="2470"/>
      <c r="O616" s="2470"/>
      <c r="P616" s="2470"/>
      <c r="Q616" s="2470"/>
      <c r="R616" s="2470"/>
      <c r="S616" s="2470"/>
      <c r="T616" s="2470"/>
      <c r="U616" s="2470"/>
      <c r="V616" s="2470"/>
      <c r="W616" s="2470"/>
      <c r="X616" s="2470"/>
      <c r="Y616" s="2470"/>
      <c r="Z616" s="2470"/>
      <c r="AA616" s="2470"/>
      <c r="AB616" s="2470"/>
      <c r="AC616" s="2470"/>
      <c r="AD616" s="2470"/>
      <c r="AE616" s="1208"/>
      <c r="AF616" s="1208"/>
      <c r="AG616" s="1208"/>
      <c r="AH616" s="1208"/>
      <c r="AI616" s="1208"/>
      <c r="AJ616" s="1208"/>
      <c r="AK616" s="1208"/>
      <c r="AL616" s="1208"/>
      <c r="AN616" s="1297"/>
    </row>
    <row r="617" spans="1:42" s="1223" customFormat="1" ht="12.75" customHeight="1">
      <c r="B617" s="1208"/>
      <c r="C617" s="1553"/>
      <c r="D617" s="1318"/>
      <c r="E617" s="2470"/>
      <c r="F617" s="2470"/>
      <c r="G617" s="2470"/>
      <c r="H617" s="2470"/>
      <c r="I617" s="2470"/>
      <c r="J617" s="2470"/>
      <c r="K617" s="2470"/>
      <c r="L617" s="2470"/>
      <c r="M617" s="2470"/>
      <c r="N617" s="2470"/>
      <c r="O617" s="2470"/>
      <c r="P617" s="2470"/>
      <c r="Q617" s="2470"/>
      <c r="R617" s="2470"/>
      <c r="S617" s="2470"/>
      <c r="T617" s="2470"/>
      <c r="U617" s="2470"/>
      <c r="V617" s="2470"/>
      <c r="W617" s="2470"/>
      <c r="X617" s="2470"/>
      <c r="Y617" s="2470"/>
      <c r="Z617" s="2470"/>
      <c r="AA617" s="2470"/>
      <c r="AB617" s="2470"/>
      <c r="AC617" s="2470"/>
      <c r="AD617" s="2470"/>
      <c r="AE617" s="1208"/>
      <c r="AF617" s="1208"/>
      <c r="AG617" s="1208"/>
      <c r="AH617" s="1208"/>
      <c r="AI617" s="1208"/>
      <c r="AJ617" s="1208"/>
      <c r="AK617" s="1208"/>
      <c r="AL617" s="1208"/>
      <c r="AN617" s="1297"/>
    </row>
    <row r="618" spans="1:42" s="1223" customFormat="1" ht="12.75" customHeight="1">
      <c r="B618" s="1208"/>
      <c r="C618" s="1553"/>
      <c r="D618" s="1318"/>
      <c r="E618" s="2470"/>
      <c r="F618" s="2470"/>
      <c r="G618" s="2470"/>
      <c r="H618" s="2470"/>
      <c r="I618" s="2470"/>
      <c r="J618" s="2470"/>
      <c r="K618" s="2470"/>
      <c r="L618" s="2470"/>
      <c r="M618" s="2470"/>
      <c r="N618" s="2470"/>
      <c r="O618" s="2470"/>
      <c r="P618" s="2470"/>
      <c r="Q618" s="2470"/>
      <c r="R618" s="2470"/>
      <c r="S618" s="2470"/>
      <c r="T618" s="2470"/>
      <c r="U618" s="2470"/>
      <c r="V618" s="2470"/>
      <c r="W618" s="2470"/>
      <c r="X618" s="2470"/>
      <c r="Y618" s="2470"/>
      <c r="Z618" s="2470"/>
      <c r="AA618" s="2470"/>
      <c r="AB618" s="2470"/>
      <c r="AC618" s="2470"/>
      <c r="AD618" s="2470"/>
      <c r="AE618" s="1208"/>
      <c r="AF618" s="1208"/>
      <c r="AG618" s="1208"/>
      <c r="AH618" s="1208"/>
      <c r="AI618" s="1208"/>
      <c r="AJ618" s="1208"/>
      <c r="AK618" s="1208"/>
      <c r="AL618" s="1208"/>
      <c r="AN618" s="1297"/>
    </row>
    <row r="619" spans="1:42" s="1223" customFormat="1" ht="12.75" customHeight="1">
      <c r="B619" s="1208"/>
      <c r="C619" s="1553"/>
      <c r="D619" s="1318"/>
      <c r="E619" s="2470"/>
      <c r="F619" s="2470"/>
      <c r="G619" s="2470"/>
      <c r="H619" s="2470"/>
      <c r="I619" s="2470"/>
      <c r="J619" s="2470"/>
      <c r="K619" s="2470"/>
      <c r="L619" s="2470"/>
      <c r="M619" s="2470"/>
      <c r="N619" s="2470"/>
      <c r="O619" s="2470"/>
      <c r="P619" s="2470"/>
      <c r="Q619" s="2470"/>
      <c r="R619" s="2470"/>
      <c r="S619" s="2470"/>
      <c r="T619" s="2470"/>
      <c r="U619" s="2470"/>
      <c r="V619" s="2470"/>
      <c r="W619" s="2470"/>
      <c r="X619" s="2470"/>
      <c r="Y619" s="2470"/>
      <c r="Z619" s="2470"/>
      <c r="AA619" s="2470"/>
      <c r="AB619" s="2470"/>
      <c r="AC619" s="2470"/>
      <c r="AD619" s="2470"/>
      <c r="AE619" s="1208"/>
      <c r="AF619" s="1208"/>
      <c r="AG619" s="1208"/>
      <c r="AH619" s="1208"/>
      <c r="AI619" s="1208"/>
      <c r="AJ619" s="1208"/>
      <c r="AK619" s="1208"/>
      <c r="AL619" s="1208"/>
      <c r="AN619" s="1297"/>
    </row>
    <row r="620" spans="1:42" s="1223" customFormat="1" ht="12.75" customHeight="1">
      <c r="A620" s="1386"/>
      <c r="B620" s="1311"/>
      <c r="C620" s="1566"/>
      <c r="D620" s="1318"/>
      <c r="E620" s="2470"/>
      <c r="F620" s="2470"/>
      <c r="G620" s="2470"/>
      <c r="H620" s="2470"/>
      <c r="I620" s="2470"/>
      <c r="J620" s="2470"/>
      <c r="K620" s="2470"/>
      <c r="L620" s="2470"/>
      <c r="M620" s="2470"/>
      <c r="N620" s="2470"/>
      <c r="O620" s="2470"/>
      <c r="P620" s="2470"/>
      <c r="Q620" s="2470"/>
      <c r="R620" s="2470"/>
      <c r="S620" s="2470"/>
      <c r="T620" s="2470"/>
      <c r="U620" s="2470"/>
      <c r="V620" s="2470"/>
      <c r="W620" s="2470"/>
      <c r="X620" s="2470"/>
      <c r="Y620" s="2470"/>
      <c r="Z620" s="2470"/>
      <c r="AA620" s="2470"/>
      <c r="AB620" s="2470"/>
      <c r="AC620" s="2470"/>
      <c r="AD620" s="2470"/>
      <c r="AE620" s="1311"/>
      <c r="AF620" s="1311"/>
      <c r="AG620" s="1311"/>
      <c r="AH620" s="1311"/>
      <c r="AI620" s="1311"/>
      <c r="AJ620" s="1311"/>
      <c r="AK620" s="1208"/>
      <c r="AL620" s="1208"/>
      <c r="AN620" s="1297"/>
    </row>
    <row r="621" spans="1:42" s="1223" customFormat="1" ht="12.75" customHeight="1">
      <c r="B621" s="1311"/>
      <c r="C621" s="1566"/>
      <c r="D621" s="1318"/>
      <c r="E621" s="2470"/>
      <c r="F621" s="2470"/>
      <c r="G621" s="2470"/>
      <c r="H621" s="2470"/>
      <c r="I621" s="2470"/>
      <c r="J621" s="2470"/>
      <c r="K621" s="2470"/>
      <c r="L621" s="2470"/>
      <c r="M621" s="2470"/>
      <c r="N621" s="2470"/>
      <c r="O621" s="2470"/>
      <c r="P621" s="2470"/>
      <c r="Q621" s="2470"/>
      <c r="R621" s="2470"/>
      <c r="S621" s="2470"/>
      <c r="T621" s="2470"/>
      <c r="U621" s="2470"/>
      <c r="V621" s="2470"/>
      <c r="W621" s="2470"/>
      <c r="X621" s="2470"/>
      <c r="Y621" s="2470"/>
      <c r="Z621" s="2470"/>
      <c r="AA621" s="2470"/>
      <c r="AB621" s="2470"/>
      <c r="AC621" s="2470"/>
      <c r="AD621" s="2470"/>
      <c r="AE621" s="1311"/>
      <c r="AF621" s="1311"/>
      <c r="AG621" s="1311"/>
      <c r="AH621" s="1311"/>
      <c r="AI621" s="1311"/>
      <c r="AJ621" s="1311"/>
      <c r="AK621" s="1208"/>
      <c r="AL621" s="1208"/>
      <c r="AN621" s="1297"/>
    </row>
    <row r="622" spans="1:42" s="1223" customFormat="1" ht="12" customHeight="1">
      <c r="B622" s="1311"/>
      <c r="C622" s="1566"/>
      <c r="D622" s="1318"/>
      <c r="E622" s="1567"/>
      <c r="F622" s="1567"/>
      <c r="G622" s="1567"/>
      <c r="H622" s="1567"/>
      <c r="I622" s="1567"/>
      <c r="J622" s="1567"/>
      <c r="K622" s="1567"/>
      <c r="L622" s="1567"/>
      <c r="M622" s="1567"/>
      <c r="N622" s="1567"/>
      <c r="O622" s="1567"/>
      <c r="P622" s="1567"/>
      <c r="Q622" s="1567"/>
      <c r="R622" s="1567"/>
      <c r="S622" s="1567"/>
      <c r="T622" s="1567"/>
      <c r="U622" s="1567"/>
      <c r="V622" s="1567"/>
      <c r="W622" s="1567"/>
      <c r="X622" s="1567"/>
      <c r="Y622" s="1567"/>
      <c r="Z622" s="1567"/>
      <c r="AA622" s="1567"/>
      <c r="AB622" s="1567"/>
      <c r="AC622" s="1567"/>
      <c r="AD622" s="1567"/>
      <c r="AE622" s="1311"/>
      <c r="AF622" s="1311"/>
      <c r="AG622" s="1311"/>
      <c r="AH622" s="1311"/>
      <c r="AI622" s="1311"/>
      <c r="AJ622" s="1311"/>
      <c r="AK622" s="1208"/>
      <c r="AL622" s="1208"/>
      <c r="AN622" s="1297"/>
      <c r="AO622" s="1223" t="s">
        <v>618</v>
      </c>
      <c r="AP622" s="1556">
        <v>0</v>
      </c>
    </row>
    <row r="623" spans="1:42" s="1223" customFormat="1" ht="12.75" customHeight="1">
      <c r="B623" s="1311"/>
      <c r="C623" s="1553"/>
      <c r="D623" s="1318"/>
      <c r="E623" s="1311" t="s">
        <v>1607</v>
      </c>
      <c r="F623" s="1568"/>
      <c r="G623" s="1568"/>
      <c r="H623" s="1568"/>
      <c r="I623" s="1568"/>
      <c r="J623" s="1568"/>
      <c r="K623" s="1568"/>
      <c r="L623" s="1568"/>
      <c r="M623" s="1568"/>
      <c r="N623" s="1568"/>
      <c r="O623" s="1568"/>
      <c r="P623" s="1568"/>
      <c r="Q623" s="1568"/>
      <c r="R623" s="1568"/>
      <c r="U623" s="1568"/>
      <c r="V623" s="1568"/>
      <c r="W623" s="1568"/>
      <c r="X623" s="2469" t="s">
        <v>618</v>
      </c>
      <c r="Y623" s="2469"/>
      <c r="Z623" s="1568"/>
      <c r="AA623" s="1568"/>
      <c r="AB623" s="1568"/>
      <c r="AC623" s="1568"/>
      <c r="AD623" s="1568"/>
      <c r="AE623" s="1208"/>
      <c r="AF623" s="1311"/>
      <c r="AG623" s="1311"/>
      <c r="AH623" s="1311"/>
      <c r="AI623" s="1311"/>
      <c r="AJ623" s="1311"/>
      <c r="AK623" s="1208"/>
      <c r="AL623" s="1208"/>
      <c r="AN623" s="1297"/>
      <c r="AO623" s="1306" t="s">
        <v>715</v>
      </c>
      <c r="AP623" s="1223">
        <v>5</v>
      </c>
    </row>
    <row r="624" spans="1:42" s="1223" customFormat="1" ht="12.75" customHeight="1">
      <c r="B624" s="1311"/>
      <c r="C624" s="1566"/>
      <c r="D624" s="1208"/>
      <c r="E624" s="1208"/>
      <c r="F624" s="1208"/>
      <c r="G624" s="1208"/>
      <c r="H624" s="1208"/>
      <c r="I624" s="1208"/>
      <c r="J624" s="1208"/>
      <c r="K624" s="1208"/>
      <c r="L624" s="1208"/>
      <c r="M624" s="1208"/>
      <c r="N624" s="1208"/>
      <c r="O624" s="1208"/>
      <c r="P624" s="1208"/>
      <c r="Q624" s="1208"/>
      <c r="R624" s="1208"/>
      <c r="S624" s="1208"/>
      <c r="T624" s="1208"/>
      <c r="U624" s="1208"/>
      <c r="V624" s="1208"/>
      <c r="W624" s="1311"/>
      <c r="X624" s="1311"/>
      <c r="Y624" s="1311"/>
      <c r="Z624" s="1311"/>
      <c r="AA624" s="1311"/>
      <c r="AB624" s="1311"/>
      <c r="AC624" s="1208"/>
      <c r="AD624" s="1208"/>
      <c r="AE624" s="1208"/>
      <c r="AF624" s="1208"/>
      <c r="AG624" s="1208"/>
      <c r="AH624" s="1208"/>
      <c r="AI624" s="1208"/>
      <c r="AJ624" s="1208"/>
      <c r="AK624" s="1208"/>
      <c r="AL624" s="1208"/>
      <c r="AN624" s="1297"/>
      <c r="AO624" s="1306" t="s">
        <v>535</v>
      </c>
      <c r="AP624" s="1569">
        <v>4</v>
      </c>
    </row>
    <row r="625" spans="1:42" s="1223" customFormat="1" ht="12.75" customHeight="1">
      <c r="B625" s="1208"/>
      <c r="C625" s="1553"/>
      <c r="D625" s="1318" t="s">
        <v>535</v>
      </c>
      <c r="E625" s="1570" t="s">
        <v>1608</v>
      </c>
      <c r="F625" s="1571"/>
      <c r="G625" s="1571"/>
      <c r="H625" s="1571"/>
      <c r="I625" s="1571"/>
      <c r="J625" s="1571"/>
      <c r="K625" s="1571"/>
      <c r="L625" s="1571"/>
      <c r="M625" s="1571"/>
      <c r="N625" s="1571"/>
      <c r="O625" s="1571"/>
      <c r="P625" s="1571"/>
      <c r="Q625" s="1571"/>
      <c r="R625" s="1571"/>
      <c r="S625" s="1571"/>
      <c r="T625" s="1571"/>
      <c r="U625" s="1208"/>
      <c r="V625" s="1208"/>
      <c r="W625" s="1571"/>
      <c r="X625" s="1571"/>
      <c r="Y625" s="1571"/>
      <c r="Z625" s="1571"/>
      <c r="AA625" s="1571"/>
      <c r="AB625" s="1571"/>
      <c r="AC625" s="1208"/>
      <c r="AD625" s="1208"/>
      <c r="AE625" s="1208"/>
      <c r="AF625" s="2463" t="s">
        <v>1609</v>
      </c>
      <c r="AG625" s="2463"/>
      <c r="AH625" s="2463"/>
      <c r="AI625" s="2463"/>
      <c r="AJ625" s="2463"/>
      <c r="AK625" s="2463"/>
      <c r="AL625" s="2463"/>
      <c r="AN625" s="1297"/>
      <c r="AO625" s="1306" t="s">
        <v>284</v>
      </c>
      <c r="AP625" s="1223">
        <v>3</v>
      </c>
    </row>
    <row r="626" spans="1:42" s="1223" customFormat="1" ht="12.75" customHeight="1">
      <c r="B626" s="1208"/>
      <c r="C626" s="1553"/>
      <c r="D626" s="1208"/>
      <c r="E626" s="1208"/>
      <c r="F626" s="1571"/>
      <c r="G626" s="1571"/>
      <c r="H626" s="1571"/>
      <c r="I626" s="1571"/>
      <c r="J626" s="1571"/>
      <c r="K626" s="1571"/>
      <c r="L626" s="1571"/>
      <c r="M626" s="1571"/>
      <c r="N626" s="1571"/>
      <c r="O626" s="1571"/>
      <c r="P626" s="1571"/>
      <c r="Q626" s="1571"/>
      <c r="R626" s="1571"/>
      <c r="S626" s="1571"/>
      <c r="T626" s="1571"/>
      <c r="U626" s="1208"/>
      <c r="V626" s="1208"/>
      <c r="W626" s="1208"/>
      <c r="X626" s="1571"/>
      <c r="Y626" s="1571"/>
      <c r="Z626" s="1571"/>
      <c r="AA626" s="1571"/>
      <c r="AB626" s="1571"/>
      <c r="AC626" s="1208"/>
      <c r="AD626" s="1208"/>
      <c r="AE626" s="1208"/>
      <c r="AF626" s="1208"/>
      <c r="AG626" s="1208"/>
      <c r="AH626" s="1208"/>
      <c r="AI626" s="1208"/>
      <c r="AJ626" s="1208"/>
      <c r="AK626" s="1208"/>
      <c r="AL626" s="1208"/>
      <c r="AN626" s="1297"/>
      <c r="AO626" s="1306" t="s">
        <v>1598</v>
      </c>
      <c r="AP626" s="1569">
        <v>4</v>
      </c>
    </row>
    <row r="627" spans="1:42" s="1223" customFormat="1" ht="12.75" customHeight="1">
      <c r="B627" s="1208"/>
      <c r="C627" s="1553"/>
      <c r="D627" s="1208" t="s">
        <v>1601</v>
      </c>
      <c r="E627" s="1560"/>
      <c r="F627" s="1560"/>
      <c r="G627" s="1560"/>
      <c r="H627" s="2464" t="s">
        <v>618</v>
      </c>
      <c r="I627" s="2464"/>
      <c r="J627" s="1571"/>
      <c r="K627" s="1571"/>
      <c r="L627" s="1571"/>
      <c r="M627" s="1571"/>
      <c r="N627" s="1571"/>
      <c r="O627" s="1571"/>
      <c r="P627" s="1571"/>
      <c r="Q627" s="1571"/>
      <c r="R627" s="1571"/>
      <c r="S627" s="1571"/>
      <c r="T627" s="1571"/>
      <c r="U627" s="1560"/>
      <c r="V627" s="1560"/>
      <c r="W627" s="1560"/>
      <c r="X627" s="1208"/>
      <c r="Y627" s="1208"/>
      <c r="Z627" s="1208"/>
      <c r="AA627" s="1208"/>
      <c r="AB627" s="1208"/>
      <c r="AC627" s="1208"/>
      <c r="AD627" s="1208"/>
      <c r="AE627" s="1208"/>
      <c r="AF627" s="1208"/>
      <c r="AG627" s="1208"/>
      <c r="AH627" s="1208"/>
      <c r="AI627" s="1208"/>
      <c r="AJ627" s="1208"/>
      <c r="AK627" s="1208"/>
      <c r="AL627" s="1208"/>
      <c r="AN627" s="1297"/>
      <c r="AO627" s="1306" t="s">
        <v>1599</v>
      </c>
      <c r="AP627" s="1223">
        <v>3</v>
      </c>
    </row>
    <row r="628" spans="1:42" s="1223" customFormat="1" ht="12.75" customHeight="1">
      <c r="B628" s="1208"/>
      <c r="C628" s="1553"/>
      <c r="D628" s="1208"/>
      <c r="E628" s="1560"/>
      <c r="F628" s="1571"/>
      <c r="G628" s="1571"/>
      <c r="H628" s="1571"/>
      <c r="I628" s="1572"/>
      <c r="J628" s="1571"/>
      <c r="K628" s="1571"/>
      <c r="L628" s="1571"/>
      <c r="M628" s="1571"/>
      <c r="N628" s="1571"/>
      <c r="O628" s="1571"/>
      <c r="P628" s="1571"/>
      <c r="Q628" s="1571"/>
      <c r="R628" s="1208"/>
      <c r="S628" s="1208"/>
      <c r="T628" s="1571"/>
      <c r="U628" s="1560"/>
      <c r="V628" s="1560"/>
      <c r="W628" s="1560"/>
      <c r="X628" s="1560"/>
      <c r="Y628" s="1560"/>
      <c r="Z628" s="1560"/>
      <c r="AA628" s="1560"/>
      <c r="AB628" s="1560"/>
      <c r="AC628" s="1208"/>
      <c r="AD628" s="1208"/>
      <c r="AE628" s="1208"/>
      <c r="AF628" s="1208"/>
      <c r="AG628" s="1208"/>
      <c r="AH628" s="1208"/>
      <c r="AI628" s="1571"/>
      <c r="AJ628" s="1571"/>
      <c r="AK628" s="1571"/>
      <c r="AL628" s="1571"/>
      <c r="AM628" s="1573"/>
      <c r="AN628" s="1297"/>
      <c r="AO628" s="1306" t="s">
        <v>1610</v>
      </c>
      <c r="AP628" s="1223">
        <v>2</v>
      </c>
    </row>
    <row r="629" spans="1:42" s="1223" customFormat="1" ht="12.75" customHeight="1">
      <c r="A629" s="1301"/>
      <c r="B629" s="1293"/>
      <c r="C629" s="1574"/>
      <c r="D629" s="1293"/>
      <c r="E629" s="1564"/>
      <c r="F629" s="1564"/>
      <c r="G629" s="1575"/>
      <c r="H629" s="1575"/>
      <c r="I629" s="1575"/>
      <c r="J629" s="1575"/>
      <c r="K629" s="1575"/>
      <c r="L629" s="1575"/>
      <c r="M629" s="1575"/>
      <c r="N629" s="1575"/>
      <c r="O629" s="1575"/>
      <c r="P629" s="1575"/>
      <c r="Q629" s="1575"/>
      <c r="R629" s="1575"/>
      <c r="S629" s="1575"/>
      <c r="T629" s="1564"/>
      <c r="U629" s="1564"/>
      <c r="V629" s="1564"/>
      <c r="W629" s="1564"/>
      <c r="X629" s="1564"/>
      <c r="Y629" s="1564"/>
      <c r="Z629" s="1564"/>
      <c r="AA629" s="1564"/>
      <c r="AB629" s="1293"/>
      <c r="AC629" s="1293"/>
      <c r="AD629" s="1293"/>
      <c r="AE629" s="1293"/>
      <c r="AF629" s="1293"/>
      <c r="AG629" s="1293"/>
      <c r="AH629" s="1293"/>
      <c r="AI629" s="1240" t="s">
        <v>1611</v>
      </c>
      <c r="AJ629" s="2442">
        <f>VLOOKUP($H$627,$AO$594:$AP$596,2,FALSE)</f>
        <v>0</v>
      </c>
      <c r="AK629" s="2444"/>
      <c r="AL629" s="1268"/>
      <c r="AN629" s="1297"/>
      <c r="AO629" s="1306" t="s">
        <v>1612</v>
      </c>
      <c r="AP629" s="1223">
        <v>1</v>
      </c>
    </row>
    <row r="630" spans="1:42" s="1223" customFormat="1" ht="12.75" customHeight="1">
      <c r="B630" s="1208"/>
      <c r="C630" s="1553"/>
      <c r="D630" s="1208"/>
      <c r="E630" s="1560"/>
      <c r="F630" s="1560"/>
      <c r="G630" s="1560"/>
      <c r="H630" s="1208"/>
      <c r="I630" s="1208"/>
      <c r="J630" s="1571"/>
      <c r="K630" s="1571"/>
      <c r="L630" s="1571"/>
      <c r="M630" s="1571"/>
      <c r="N630" s="1571"/>
      <c r="O630" s="1571"/>
      <c r="P630" s="1571"/>
      <c r="Q630" s="1571"/>
      <c r="R630" s="1571"/>
      <c r="S630" s="1571"/>
      <c r="T630" s="1571"/>
      <c r="U630" s="1560"/>
      <c r="V630" s="1560"/>
      <c r="W630" s="1560"/>
      <c r="X630" s="1560"/>
      <c r="Y630" s="1560"/>
      <c r="Z630" s="1560"/>
      <c r="AA630" s="1560"/>
      <c r="AB630" s="1560"/>
      <c r="AC630" s="1208"/>
      <c r="AD630" s="1208"/>
      <c r="AE630" s="1208"/>
      <c r="AF630" s="1208"/>
      <c r="AG630" s="1208"/>
      <c r="AH630" s="1208"/>
      <c r="AI630" s="1208"/>
      <c r="AJ630" s="1215"/>
      <c r="AK630" s="1208"/>
      <c r="AL630" s="1208"/>
      <c r="AN630" s="1297"/>
    </row>
    <row r="631" spans="1:42" s="1223" customFormat="1" ht="12.75" customHeight="1">
      <c r="B631" s="1208"/>
      <c r="C631" s="1211" t="s">
        <v>1613</v>
      </c>
      <c r="D631" s="1208"/>
      <c r="E631" s="1560"/>
      <c r="F631" s="1571"/>
      <c r="G631" s="1571"/>
      <c r="H631" s="1571"/>
      <c r="I631" s="1571"/>
      <c r="J631" s="1571"/>
      <c r="K631" s="1571"/>
      <c r="L631" s="1571"/>
      <c r="M631" s="1571"/>
      <c r="N631" s="1571"/>
      <c r="O631" s="1571"/>
      <c r="P631" s="1571"/>
      <c r="Q631" s="1571"/>
      <c r="R631" s="1571"/>
      <c r="S631" s="1571"/>
      <c r="T631" s="1571"/>
      <c r="U631" s="1208"/>
      <c r="V631" s="1208"/>
      <c r="W631" s="1571"/>
      <c r="X631" s="1571"/>
      <c r="Y631" s="1571"/>
      <c r="Z631" s="1571"/>
      <c r="AA631" s="1571"/>
      <c r="AB631" s="1571"/>
      <c r="AC631" s="1290"/>
      <c r="AD631" s="1290"/>
      <c r="AE631" s="1290"/>
      <c r="AF631" s="1290"/>
      <c r="AG631" s="1290"/>
      <c r="AH631" s="1290"/>
      <c r="AI631" s="1290"/>
      <c r="AJ631" s="1208"/>
      <c r="AK631" s="1208"/>
      <c r="AL631" s="1208"/>
      <c r="AN631" s="1297"/>
    </row>
    <row r="632" spans="1:42" s="1223" customFormat="1" ht="12.75" customHeight="1">
      <c r="A632" s="1386"/>
      <c r="B632" s="1208"/>
      <c r="C632" s="1555"/>
      <c r="D632" s="1208"/>
      <c r="E632" s="1571"/>
      <c r="F632" s="1571"/>
      <c r="G632" s="1571"/>
      <c r="H632" s="1571"/>
      <c r="I632" s="1571"/>
      <c r="J632" s="1571"/>
      <c r="K632" s="1571"/>
      <c r="L632" s="1571"/>
      <c r="M632" s="1571"/>
      <c r="N632" s="1571"/>
      <c r="O632" s="1571"/>
      <c r="P632" s="1571"/>
      <c r="Q632" s="1571"/>
      <c r="R632" s="1571"/>
      <c r="S632" s="1571"/>
      <c r="T632" s="1571"/>
      <c r="U632" s="1571"/>
      <c r="V632" s="1571"/>
      <c r="W632" s="1571"/>
      <c r="X632" s="1571"/>
      <c r="Y632" s="1571"/>
      <c r="Z632" s="1571"/>
      <c r="AA632" s="1571"/>
      <c r="AB632" s="1571"/>
      <c r="AC632" s="1208"/>
      <c r="AD632" s="1208"/>
      <c r="AE632" s="1208"/>
      <c r="AF632" s="1208"/>
      <c r="AG632" s="1208"/>
      <c r="AH632" s="1208"/>
      <c r="AI632" s="1208"/>
      <c r="AJ632" s="1208"/>
      <c r="AK632" s="1208"/>
      <c r="AL632" s="1208"/>
      <c r="AN632" s="1297"/>
    </row>
    <row r="633" spans="1:42" s="1223" customFormat="1" ht="12.75" customHeight="1">
      <c r="B633" s="1208"/>
      <c r="C633" s="1208"/>
      <c r="D633" s="1318" t="s">
        <v>715</v>
      </c>
      <c r="E633" s="1311" t="s">
        <v>1614</v>
      </c>
      <c r="F633" s="1571"/>
      <c r="G633" s="1571"/>
      <c r="H633" s="1571"/>
      <c r="I633" s="1571"/>
      <c r="J633" s="1571"/>
      <c r="K633" s="1571"/>
      <c r="L633" s="1571"/>
      <c r="M633" s="1571"/>
      <c r="N633" s="1571"/>
      <c r="O633" s="1571"/>
      <c r="P633" s="1571"/>
      <c r="Q633" s="1571"/>
      <c r="R633" s="1571"/>
      <c r="S633" s="1571"/>
      <c r="T633" s="1571"/>
      <c r="U633" s="1571"/>
      <c r="V633" s="1571"/>
      <c r="W633" s="1571"/>
      <c r="X633" s="1571"/>
      <c r="Y633" s="1571"/>
      <c r="Z633" s="1571"/>
      <c r="AA633" s="1571"/>
      <c r="AB633" s="1571"/>
      <c r="AC633" s="1208"/>
      <c r="AD633" s="1208"/>
      <c r="AE633" s="1208"/>
      <c r="AF633" s="2463" t="s">
        <v>1553</v>
      </c>
      <c r="AG633" s="2463"/>
      <c r="AH633" s="2463"/>
      <c r="AI633" s="2463"/>
      <c r="AJ633" s="2463"/>
      <c r="AK633" s="2463"/>
      <c r="AL633" s="2463"/>
      <c r="AN633" s="1297"/>
    </row>
    <row r="634" spans="1:42" s="1223" customFormat="1" ht="12.75" customHeight="1">
      <c r="B634" s="1208"/>
      <c r="C634" s="1208"/>
      <c r="D634" s="1318"/>
      <c r="E634" s="1311" t="s">
        <v>1615</v>
      </c>
      <c r="F634" s="1571"/>
      <c r="G634" s="1571"/>
      <c r="H634" s="1571"/>
      <c r="I634" s="1571"/>
      <c r="J634" s="1571"/>
      <c r="K634" s="1571"/>
      <c r="L634" s="1571"/>
      <c r="M634" s="1571"/>
      <c r="N634" s="1571"/>
      <c r="O634" s="1571"/>
      <c r="P634" s="1571"/>
      <c r="Q634" s="1571"/>
      <c r="R634" s="1571"/>
      <c r="S634" s="1571"/>
      <c r="T634" s="1571"/>
      <c r="U634" s="1571"/>
      <c r="V634" s="1571"/>
      <c r="W634" s="1571"/>
      <c r="X634" s="1571"/>
      <c r="Y634" s="1571"/>
      <c r="Z634" s="1571"/>
      <c r="AA634" s="1571"/>
      <c r="AB634" s="1571"/>
      <c r="AC634" s="1208"/>
      <c r="AD634" s="1208"/>
      <c r="AE634" s="1290"/>
      <c r="AF634" s="1290"/>
      <c r="AG634" s="1290"/>
      <c r="AH634" s="1290"/>
      <c r="AI634" s="1290"/>
      <c r="AJ634" s="1290"/>
      <c r="AK634" s="1290"/>
      <c r="AL634" s="1290"/>
      <c r="AN634" s="1297"/>
    </row>
    <row r="635" spans="1:42" s="1223" customFormat="1" ht="12.75" customHeight="1">
      <c r="B635" s="1311"/>
      <c r="C635" s="1566"/>
      <c r="D635" s="1318"/>
      <c r="E635" s="1311"/>
      <c r="F635" s="1311"/>
      <c r="G635" s="1311"/>
      <c r="H635" s="1311"/>
      <c r="I635" s="1311"/>
      <c r="J635" s="1311"/>
      <c r="K635" s="1311"/>
      <c r="L635" s="1311"/>
      <c r="M635" s="1311"/>
      <c r="N635" s="1311"/>
      <c r="O635" s="1311"/>
      <c r="P635" s="1311"/>
      <c r="Q635" s="1311"/>
      <c r="R635" s="1311"/>
      <c r="S635" s="1311"/>
      <c r="T635" s="1311"/>
      <c r="U635" s="1311"/>
      <c r="V635" s="1311"/>
      <c r="W635" s="1311"/>
      <c r="X635" s="1311"/>
      <c r="Y635" s="1311"/>
      <c r="Z635" s="1311"/>
      <c r="AA635" s="1311"/>
      <c r="AB635" s="1311"/>
      <c r="AC635" s="1208"/>
      <c r="AD635" s="1208"/>
      <c r="AE635" s="1311"/>
      <c r="AF635" s="1208"/>
      <c r="AG635" s="1208"/>
      <c r="AH635" s="1208"/>
      <c r="AI635" s="1208"/>
      <c r="AJ635" s="1208"/>
      <c r="AK635" s="1208"/>
      <c r="AL635" s="1208"/>
      <c r="AN635" s="1297"/>
    </row>
    <row r="636" spans="1:42" s="1223" customFormat="1" ht="12.75" customHeight="1">
      <c r="B636" s="1208"/>
      <c r="C636" s="1553"/>
      <c r="D636" s="1318" t="s">
        <v>535</v>
      </c>
      <c r="E636" s="1311" t="s">
        <v>1616</v>
      </c>
      <c r="F636" s="1311"/>
      <c r="G636" s="1311"/>
      <c r="H636" s="1311"/>
      <c r="I636" s="1311"/>
      <c r="J636" s="1311"/>
      <c r="K636" s="1311"/>
      <c r="L636" s="1311"/>
      <c r="M636" s="1311"/>
      <c r="N636" s="1311"/>
      <c r="O636" s="1311"/>
      <c r="P636" s="1311"/>
      <c r="Q636" s="1311"/>
      <c r="R636" s="1311"/>
      <c r="S636" s="1311"/>
      <c r="T636" s="1311"/>
      <c r="U636" s="1311"/>
      <c r="V636" s="1311"/>
      <c r="W636" s="1311"/>
      <c r="X636" s="1311"/>
      <c r="Y636" s="1311"/>
      <c r="Z636" s="1311"/>
      <c r="AA636" s="1311"/>
      <c r="AB636" s="1311"/>
      <c r="AC636" s="1208"/>
      <c r="AD636" s="1208"/>
      <c r="AE636" s="1208"/>
      <c r="AF636" s="2463" t="s">
        <v>1609</v>
      </c>
      <c r="AG636" s="2463"/>
      <c r="AH636" s="2463"/>
      <c r="AI636" s="2463"/>
      <c r="AJ636" s="2463"/>
      <c r="AK636" s="2463"/>
      <c r="AL636" s="2463"/>
      <c r="AN636" s="1297"/>
    </row>
    <row r="637" spans="1:42" s="1223" customFormat="1" ht="12.75" customHeight="1">
      <c r="B637" s="1208"/>
      <c r="C637" s="1553"/>
      <c r="D637" s="1318"/>
      <c r="E637" s="1311" t="s">
        <v>1617</v>
      </c>
      <c r="F637" s="1311"/>
      <c r="G637" s="1311"/>
      <c r="H637" s="1311"/>
      <c r="I637" s="1311"/>
      <c r="J637" s="1311"/>
      <c r="K637" s="1311"/>
      <c r="L637" s="1311"/>
      <c r="M637" s="1311"/>
      <c r="N637" s="1311"/>
      <c r="O637" s="1311"/>
      <c r="P637" s="1311"/>
      <c r="Q637" s="1311"/>
      <c r="R637" s="1311"/>
      <c r="S637" s="1311"/>
      <c r="T637" s="1311"/>
      <c r="U637" s="1311"/>
      <c r="V637" s="1311"/>
      <c r="W637" s="1311"/>
      <c r="X637" s="1311"/>
      <c r="Y637" s="1311"/>
      <c r="Z637" s="1311"/>
      <c r="AA637" s="1311"/>
      <c r="AB637" s="1311"/>
      <c r="AC637" s="1208"/>
      <c r="AD637" s="1208"/>
      <c r="AE637" s="1290"/>
      <c r="AF637" s="1290"/>
      <c r="AG637" s="1290"/>
      <c r="AH637" s="1290"/>
      <c r="AI637" s="1290"/>
      <c r="AJ637" s="1290"/>
      <c r="AK637" s="1290"/>
      <c r="AL637" s="1290"/>
      <c r="AN637" s="1297"/>
    </row>
    <row r="638" spans="1:42" s="1223" customFormat="1" ht="12.75" customHeight="1">
      <c r="B638" s="1208"/>
      <c r="C638" s="1553"/>
      <c r="D638" s="1208"/>
      <c r="E638" s="1311"/>
      <c r="F638" s="1311"/>
      <c r="G638" s="1311"/>
      <c r="H638" s="1311"/>
      <c r="I638" s="1311"/>
      <c r="J638" s="1311"/>
      <c r="K638" s="1311"/>
      <c r="L638" s="1311"/>
      <c r="M638" s="1311"/>
      <c r="N638" s="1311"/>
      <c r="O638" s="1311"/>
      <c r="P638" s="1311"/>
      <c r="Q638" s="1311"/>
      <c r="R638" s="1311"/>
      <c r="S638" s="1311"/>
      <c r="T638" s="1311"/>
      <c r="U638" s="1311"/>
      <c r="V638" s="1311"/>
      <c r="W638" s="1311"/>
      <c r="X638" s="1311"/>
      <c r="Y638" s="1311"/>
      <c r="Z638" s="1311"/>
      <c r="AA638" s="1311"/>
      <c r="AB638" s="1311"/>
      <c r="AC638" s="1208"/>
      <c r="AD638" s="1208"/>
      <c r="AE638" s="1208"/>
      <c r="AF638" s="1208"/>
      <c r="AG638" s="1208"/>
      <c r="AH638" s="1208"/>
      <c r="AI638" s="1208"/>
      <c r="AJ638" s="1208"/>
      <c r="AK638" s="1208"/>
      <c r="AL638" s="1208"/>
      <c r="AN638" s="1297"/>
      <c r="AP638" s="1569"/>
    </row>
    <row r="639" spans="1:42" s="1223" customFormat="1" ht="12.75" customHeight="1">
      <c r="B639" s="1208"/>
      <c r="C639" s="1553"/>
      <c r="D639" s="1208" t="s">
        <v>1601</v>
      </c>
      <c r="E639" s="1560"/>
      <c r="F639" s="1560"/>
      <c r="G639" s="1560"/>
      <c r="H639" s="2464" t="s">
        <v>618</v>
      </c>
      <c r="I639" s="2464"/>
      <c r="J639" s="1311"/>
      <c r="K639" s="1311"/>
      <c r="L639" s="1311"/>
      <c r="M639" s="1311"/>
      <c r="N639" s="1311"/>
      <c r="O639" s="1311"/>
      <c r="P639" s="1311"/>
      <c r="Q639" s="1311"/>
      <c r="R639" s="1311"/>
      <c r="S639" s="1311"/>
      <c r="T639" s="1311"/>
      <c r="U639" s="1311"/>
      <c r="V639" s="1311"/>
      <c r="W639" s="1208"/>
      <c r="X639" s="1208"/>
      <c r="Y639" s="1208"/>
      <c r="Z639" s="1208"/>
      <c r="AA639" s="1208"/>
      <c r="AB639" s="1208"/>
      <c r="AC639" s="1208"/>
      <c r="AD639" s="1208"/>
      <c r="AE639" s="1208"/>
      <c r="AF639" s="1208"/>
      <c r="AG639" s="1208"/>
      <c r="AH639" s="1208"/>
      <c r="AI639" s="1208"/>
      <c r="AJ639" s="1208"/>
      <c r="AK639" s="1208"/>
      <c r="AL639" s="1208"/>
      <c r="AN639" s="1297"/>
    </row>
    <row r="640" spans="1:42" s="1223" customFormat="1" ht="12.75" customHeight="1">
      <c r="B640" s="1208"/>
      <c r="C640" s="1553"/>
      <c r="D640" s="1208"/>
      <c r="E640" s="1560"/>
      <c r="F640" s="1560"/>
      <c r="G640" s="1311"/>
      <c r="H640" s="1311"/>
      <c r="I640" s="1311"/>
      <c r="J640" s="1311"/>
      <c r="K640" s="1311"/>
      <c r="L640" s="1311"/>
      <c r="M640" s="1311"/>
      <c r="N640" s="1311"/>
      <c r="O640" s="1311"/>
      <c r="P640" s="1311"/>
      <c r="Q640" s="1311"/>
      <c r="R640" s="1311"/>
      <c r="S640" s="1311"/>
      <c r="T640" s="1311"/>
      <c r="U640" s="1311"/>
      <c r="V640" s="1311"/>
      <c r="W640" s="1311"/>
      <c r="X640" s="1311"/>
      <c r="Y640" s="1311"/>
      <c r="Z640" s="1560"/>
      <c r="AA640" s="1560"/>
      <c r="AB640" s="1560"/>
      <c r="AC640" s="1208"/>
      <c r="AD640" s="1208"/>
      <c r="AE640" s="1208"/>
      <c r="AF640" s="1208"/>
      <c r="AG640" s="1208"/>
      <c r="AH640" s="1208"/>
      <c r="AI640" s="1208"/>
      <c r="AJ640" s="1311"/>
      <c r="AK640" s="1311"/>
      <c r="AL640" s="1311"/>
      <c r="AM640" s="1224"/>
      <c r="AN640" s="1297"/>
    </row>
    <row r="641" spans="1:42" s="1223" customFormat="1" ht="12.75" customHeight="1">
      <c r="A641" s="1301"/>
      <c r="B641" s="1293"/>
      <c r="C641" s="1574"/>
      <c r="D641" s="1293"/>
      <c r="E641" s="1564"/>
      <c r="F641" s="1564"/>
      <c r="G641" s="1417"/>
      <c r="H641" s="1417"/>
      <c r="I641" s="1417"/>
      <c r="J641" s="1417"/>
      <c r="K641" s="1417"/>
      <c r="L641" s="1417"/>
      <c r="M641" s="1417"/>
      <c r="N641" s="1417"/>
      <c r="O641" s="1417"/>
      <c r="P641" s="1417"/>
      <c r="Q641" s="1417"/>
      <c r="R641" s="1417"/>
      <c r="S641" s="1417"/>
      <c r="T641" s="1417"/>
      <c r="U641" s="1417"/>
      <c r="V641" s="1417"/>
      <c r="W641" s="1417"/>
      <c r="X641" s="1417"/>
      <c r="Y641" s="1564"/>
      <c r="Z641" s="1564"/>
      <c r="AA641" s="1564"/>
      <c r="AB641" s="1293"/>
      <c r="AC641" s="1293"/>
      <c r="AD641" s="1293"/>
      <c r="AE641" s="1293"/>
      <c r="AF641" s="1293"/>
      <c r="AG641" s="1293"/>
      <c r="AH641" s="1293"/>
      <c r="AI641" s="1240" t="s">
        <v>1618</v>
      </c>
      <c r="AJ641" s="2442">
        <f>VLOOKUP(H639,AT594:AU596,2,FALSE)</f>
        <v>0</v>
      </c>
      <c r="AK641" s="2444"/>
      <c r="AL641" s="1268"/>
      <c r="AN641" s="1297"/>
      <c r="AO641" s="1223" t="s">
        <v>618</v>
      </c>
      <c r="AP641" s="1556">
        <v>0</v>
      </c>
    </row>
    <row r="642" spans="1:42" s="1223" customFormat="1" ht="12.75" customHeight="1">
      <c r="B642" s="1208"/>
      <c r="C642" s="1553"/>
      <c r="D642" s="1208"/>
      <c r="E642" s="1208"/>
      <c r="F642" s="1208"/>
      <c r="G642" s="1208"/>
      <c r="H642" s="1208"/>
      <c r="I642" s="1208"/>
      <c r="J642" s="1208"/>
      <c r="K642" s="1208"/>
      <c r="L642" s="1208"/>
      <c r="M642" s="1208"/>
      <c r="N642" s="1208"/>
      <c r="O642" s="1208"/>
      <c r="P642" s="1208"/>
      <c r="Q642" s="1208"/>
      <c r="R642" s="1208"/>
      <c r="S642" s="1208"/>
      <c r="T642" s="1208"/>
      <c r="U642" s="1208"/>
      <c r="V642" s="1208"/>
      <c r="W642" s="1208"/>
      <c r="X642" s="1208"/>
      <c r="Y642" s="1208"/>
      <c r="Z642" s="1208"/>
      <c r="AA642" s="1208"/>
      <c r="AB642" s="1208"/>
      <c r="AC642" s="1208"/>
      <c r="AD642" s="1208"/>
      <c r="AE642" s="1208"/>
      <c r="AF642" s="1208"/>
      <c r="AG642" s="1208"/>
      <c r="AH642" s="1208"/>
      <c r="AI642" s="1208"/>
      <c r="AJ642" s="1208"/>
      <c r="AK642" s="1208"/>
      <c r="AL642" s="1208"/>
      <c r="AN642" s="1297"/>
      <c r="AO642" s="1306" t="s">
        <v>715</v>
      </c>
      <c r="AP642" s="1223">
        <v>3</v>
      </c>
    </row>
    <row r="643" spans="1:42" s="1223" customFormat="1" ht="12.75" customHeight="1">
      <c r="B643" s="1208"/>
      <c r="C643" s="1211" t="s">
        <v>1619</v>
      </c>
      <c r="D643" s="1208"/>
      <c r="E643" s="1208"/>
      <c r="F643" s="1208"/>
      <c r="G643" s="1208"/>
      <c r="H643" s="1208"/>
      <c r="I643" s="1208"/>
      <c r="J643" s="1208"/>
      <c r="K643" s="1208"/>
      <c r="L643" s="1208"/>
      <c r="M643" s="1208"/>
      <c r="N643" s="1208"/>
      <c r="O643" s="1208"/>
      <c r="P643" s="1208"/>
      <c r="Q643" s="1208"/>
      <c r="R643" s="1208"/>
      <c r="S643" s="1208"/>
      <c r="T643" s="1208"/>
      <c r="U643" s="1208"/>
      <c r="V643" s="1208"/>
      <c r="W643" s="1208"/>
      <c r="X643" s="1208"/>
      <c r="Y643" s="1208"/>
      <c r="Z643" s="1208"/>
      <c r="AA643" s="1208"/>
      <c r="AB643" s="1208"/>
      <c r="AC643" s="1208"/>
      <c r="AD643" s="1208"/>
      <c r="AE643" s="1208"/>
      <c r="AF643" s="1208"/>
      <c r="AG643" s="1208"/>
      <c r="AH643" s="1208"/>
      <c r="AI643" s="1208"/>
      <c r="AJ643" s="1208"/>
      <c r="AK643" s="1208"/>
      <c r="AL643" s="1208"/>
      <c r="AN643" s="1297"/>
      <c r="AO643" s="1306" t="s">
        <v>535</v>
      </c>
      <c r="AP643" s="1223">
        <v>2</v>
      </c>
    </row>
    <row r="644" spans="1:42" s="1223" customFormat="1" ht="12.75" customHeight="1">
      <c r="B644" s="1208"/>
      <c r="C644" s="1211"/>
      <c r="D644" s="1576" t="s">
        <v>1620</v>
      </c>
      <c r="E644" s="1208"/>
      <c r="F644" s="1208"/>
      <c r="G644" s="1208"/>
      <c r="H644" s="1208"/>
      <c r="I644" s="1208"/>
      <c r="J644" s="1208"/>
      <c r="K644" s="1208"/>
      <c r="L644" s="1208"/>
      <c r="M644" s="1208"/>
      <c r="N644" s="1208"/>
      <c r="O644" s="1208"/>
      <c r="P644" s="1208"/>
      <c r="Q644" s="1208"/>
      <c r="R644" s="1208"/>
      <c r="S644" s="1208"/>
      <c r="T644" s="1208"/>
      <c r="U644" s="1208"/>
      <c r="V644" s="1208"/>
      <c r="W644" s="1208"/>
      <c r="X644" s="1208"/>
      <c r="Y644" s="1208"/>
      <c r="Z644" s="1208"/>
      <c r="AA644" s="1208"/>
      <c r="AB644" s="1208"/>
      <c r="AC644" s="1208"/>
      <c r="AD644" s="1208"/>
      <c r="AE644" s="1208"/>
      <c r="AF644" s="1208"/>
      <c r="AG644" s="1208"/>
      <c r="AH644" s="1208"/>
      <c r="AI644" s="1208"/>
      <c r="AJ644" s="1208"/>
      <c r="AK644" s="1208"/>
      <c r="AL644" s="1208"/>
      <c r="AN644" s="1297"/>
    </row>
    <row r="645" spans="1:42" s="1223" customFormat="1" ht="12.75" customHeight="1">
      <c r="B645" s="1208"/>
      <c r="C645" s="1211"/>
      <c r="D645" s="1208"/>
      <c r="E645" s="1208"/>
      <c r="F645" s="1208"/>
      <c r="G645" s="1208"/>
      <c r="H645" s="1208"/>
      <c r="I645" s="1208"/>
      <c r="J645" s="1208"/>
      <c r="K645" s="1208"/>
      <c r="L645" s="1208"/>
      <c r="M645" s="1208"/>
      <c r="N645" s="1208"/>
      <c r="O645" s="1208"/>
      <c r="P645" s="1208"/>
      <c r="Q645" s="1208"/>
      <c r="R645" s="1208"/>
      <c r="S645" s="1208"/>
      <c r="T645" s="1208"/>
      <c r="U645" s="1208"/>
      <c r="V645" s="1208"/>
      <c r="W645" s="1208"/>
      <c r="X645" s="1208"/>
      <c r="Y645" s="1208"/>
      <c r="Z645" s="1208"/>
      <c r="AA645" s="1208"/>
      <c r="AB645" s="1208"/>
      <c r="AC645" s="1208"/>
      <c r="AD645" s="1208"/>
      <c r="AE645" s="1208"/>
      <c r="AF645" s="1208"/>
      <c r="AG645" s="1208"/>
      <c r="AH645" s="1208"/>
      <c r="AI645" s="1208"/>
      <c r="AJ645" s="1208"/>
      <c r="AK645" s="1208"/>
      <c r="AL645" s="1208"/>
      <c r="AN645" s="1297"/>
    </row>
    <row r="646" spans="1:42" s="1223" customFormat="1" ht="12.75" customHeight="1">
      <c r="B646" s="1208"/>
      <c r="C646" s="1211"/>
      <c r="D646" s="1318" t="s">
        <v>715</v>
      </c>
      <c r="E646" s="2462" t="s">
        <v>1621</v>
      </c>
      <c r="F646" s="2462"/>
      <c r="G646" s="2462"/>
      <c r="H646" s="2462"/>
      <c r="I646" s="2462"/>
      <c r="J646" s="2462"/>
      <c r="K646" s="2462"/>
      <c r="L646" s="2462"/>
      <c r="M646" s="2462"/>
      <c r="N646" s="2462"/>
      <c r="O646" s="2462"/>
      <c r="P646" s="2462"/>
      <c r="Q646" s="2462"/>
      <c r="R646" s="2462"/>
      <c r="S646" s="2462"/>
      <c r="T646" s="2462"/>
      <c r="U646" s="2462"/>
      <c r="V646" s="2462"/>
      <c r="W646" s="2462"/>
      <c r="X646" s="2462"/>
      <c r="Y646" s="2462"/>
      <c r="Z646" s="2462"/>
      <c r="AA646" s="2462"/>
      <c r="AB646" s="2462"/>
      <c r="AC646" s="2462"/>
      <c r="AD646" s="1208"/>
      <c r="AE646" s="1208"/>
      <c r="AF646" s="2463" t="s">
        <v>1579</v>
      </c>
      <c r="AG646" s="2463"/>
      <c r="AH646" s="2463"/>
      <c r="AI646" s="2463"/>
      <c r="AJ646" s="2463"/>
      <c r="AK646" s="2463"/>
      <c r="AL646" s="2463"/>
      <c r="AN646" s="1297"/>
    </row>
    <row r="647" spans="1:42" s="1223" customFormat="1" ht="12.75" customHeight="1">
      <c r="B647" s="1208"/>
      <c r="C647" s="1211"/>
      <c r="D647" s="1208"/>
      <c r="E647" s="2462"/>
      <c r="F647" s="2462"/>
      <c r="G647" s="2462"/>
      <c r="H647" s="2462"/>
      <c r="I647" s="2462"/>
      <c r="J647" s="2462"/>
      <c r="K647" s="2462"/>
      <c r="L647" s="2462"/>
      <c r="M647" s="2462"/>
      <c r="N647" s="2462"/>
      <c r="O647" s="2462"/>
      <c r="P647" s="2462"/>
      <c r="Q647" s="2462"/>
      <c r="R647" s="2462"/>
      <c r="S647" s="2462"/>
      <c r="T647" s="2462"/>
      <c r="U647" s="2462"/>
      <c r="V647" s="2462"/>
      <c r="W647" s="2462"/>
      <c r="X647" s="2462"/>
      <c r="Y647" s="2462"/>
      <c r="Z647" s="2462"/>
      <c r="AA647" s="2462"/>
      <c r="AB647" s="2462"/>
      <c r="AC647" s="2462"/>
      <c r="AD647" s="1208"/>
      <c r="AE647" s="1208"/>
      <c r="AF647" s="1208"/>
      <c r="AG647" s="1208"/>
      <c r="AH647" s="1208"/>
      <c r="AI647" s="1208"/>
      <c r="AJ647" s="1208"/>
      <c r="AK647" s="1208"/>
      <c r="AL647" s="1208"/>
      <c r="AN647" s="1297"/>
    </row>
    <row r="648" spans="1:42" s="1223" customFormat="1" ht="12.75" customHeight="1">
      <c r="B648" s="1208"/>
      <c r="C648" s="1211"/>
      <c r="D648" s="1318"/>
      <c r="E648" s="2462"/>
      <c r="F648" s="2462"/>
      <c r="G648" s="2462"/>
      <c r="H648" s="2462"/>
      <c r="I648" s="2462"/>
      <c r="J648" s="2462"/>
      <c r="K648" s="2462"/>
      <c r="L648" s="2462"/>
      <c r="M648" s="2462"/>
      <c r="N648" s="2462"/>
      <c r="O648" s="2462"/>
      <c r="P648" s="2462"/>
      <c r="Q648" s="2462"/>
      <c r="R648" s="2462"/>
      <c r="S648" s="2462"/>
      <c r="T648" s="2462"/>
      <c r="U648" s="2462"/>
      <c r="V648" s="2462"/>
      <c r="W648" s="2462"/>
      <c r="X648" s="2462"/>
      <c r="Y648" s="2462"/>
      <c r="Z648" s="2462"/>
      <c r="AA648" s="2462"/>
      <c r="AB648" s="2462"/>
      <c r="AC648" s="2462"/>
      <c r="AD648" s="1208"/>
      <c r="AE648" s="1208"/>
      <c r="AF648" s="1208"/>
      <c r="AG648" s="1208"/>
      <c r="AH648" s="1208"/>
      <c r="AI648" s="1208"/>
      <c r="AJ648" s="1208"/>
      <c r="AK648" s="1208"/>
      <c r="AL648" s="1208"/>
      <c r="AN648" s="1297"/>
    </row>
    <row r="649" spans="1:42" s="1223" customFormat="1" ht="15" customHeight="1">
      <c r="B649" s="1208"/>
      <c r="C649" s="1211"/>
      <c r="D649" s="1208"/>
      <c r="E649" s="1577"/>
      <c r="F649" s="1577"/>
      <c r="G649" s="1577"/>
      <c r="H649" s="1577"/>
      <c r="I649" s="1577"/>
      <c r="J649" s="1577"/>
      <c r="K649" s="1577"/>
      <c r="L649" s="1577"/>
      <c r="M649" s="1577"/>
      <c r="N649" s="1577"/>
      <c r="O649" s="1577"/>
      <c r="P649" s="1577"/>
      <c r="Q649" s="1577"/>
      <c r="R649" s="1577"/>
      <c r="S649" s="1577"/>
      <c r="T649" s="1577"/>
      <c r="U649" s="1577"/>
      <c r="V649" s="1577"/>
      <c r="W649" s="1577"/>
      <c r="X649" s="1577"/>
      <c r="Y649" s="1577"/>
      <c r="Z649" s="1577"/>
      <c r="AA649" s="1577"/>
      <c r="AB649" s="1577"/>
      <c r="AC649" s="1208"/>
      <c r="AD649" s="1208"/>
      <c r="AE649" s="1208"/>
      <c r="AF649" s="1208"/>
      <c r="AG649" s="1208"/>
      <c r="AH649" s="1208"/>
      <c r="AI649" s="1208"/>
      <c r="AJ649" s="1208"/>
      <c r="AK649" s="1208"/>
      <c r="AL649" s="1208"/>
      <c r="AN649" s="1297"/>
    </row>
    <row r="650" spans="1:42" s="1223" customFormat="1" ht="12.75" customHeight="1">
      <c r="B650" s="1208"/>
      <c r="C650" s="1211"/>
      <c r="D650" s="1318" t="s">
        <v>535</v>
      </c>
      <c r="E650" s="2462" t="s">
        <v>1622</v>
      </c>
      <c r="F650" s="2462"/>
      <c r="G650" s="2462"/>
      <c r="H650" s="2462"/>
      <c r="I650" s="2462"/>
      <c r="J650" s="2462"/>
      <c r="K650" s="2462"/>
      <c r="L650" s="2462"/>
      <c r="M650" s="2462"/>
      <c r="N650" s="2462"/>
      <c r="O650" s="2462"/>
      <c r="P650" s="2462"/>
      <c r="Q650" s="2462"/>
      <c r="R650" s="2462"/>
      <c r="S650" s="2462"/>
      <c r="T650" s="2462"/>
      <c r="U650" s="2462"/>
      <c r="V650" s="2462"/>
      <c r="W650" s="2462"/>
      <c r="X650" s="2462"/>
      <c r="Y650" s="2462"/>
      <c r="Z650" s="2462"/>
      <c r="AA650" s="2462"/>
      <c r="AB650" s="2462"/>
      <c r="AC650" s="2462"/>
      <c r="AD650" s="1208"/>
      <c r="AE650" s="1208"/>
      <c r="AF650" s="2463" t="s">
        <v>1600</v>
      </c>
      <c r="AG650" s="2463"/>
      <c r="AH650" s="2463"/>
      <c r="AI650" s="2463"/>
      <c r="AJ650" s="2463"/>
      <c r="AK650" s="2463"/>
      <c r="AL650" s="2463"/>
      <c r="AN650" s="1297"/>
    </row>
    <row r="651" spans="1:42" s="1223" customFormat="1" ht="12.75" customHeight="1">
      <c r="B651" s="1208"/>
      <c r="C651" s="1211"/>
      <c r="D651" s="1208"/>
      <c r="E651" s="2462"/>
      <c r="F651" s="2462"/>
      <c r="G651" s="2462"/>
      <c r="H651" s="2462"/>
      <c r="I651" s="2462"/>
      <c r="J651" s="2462"/>
      <c r="K651" s="2462"/>
      <c r="L651" s="2462"/>
      <c r="M651" s="2462"/>
      <c r="N651" s="2462"/>
      <c r="O651" s="2462"/>
      <c r="P651" s="2462"/>
      <c r="Q651" s="2462"/>
      <c r="R651" s="2462"/>
      <c r="S651" s="2462"/>
      <c r="T651" s="2462"/>
      <c r="U651" s="2462"/>
      <c r="V651" s="2462"/>
      <c r="W651" s="2462"/>
      <c r="X651" s="2462"/>
      <c r="Y651" s="2462"/>
      <c r="Z651" s="2462"/>
      <c r="AA651" s="2462"/>
      <c r="AB651" s="2462"/>
      <c r="AC651" s="2462"/>
      <c r="AD651" s="1208"/>
      <c r="AE651" s="1208"/>
      <c r="AF651" s="1208"/>
      <c r="AG651" s="1208"/>
      <c r="AH651" s="1208"/>
      <c r="AI651" s="1208"/>
      <c r="AJ651" s="1208"/>
      <c r="AK651" s="1208"/>
      <c r="AL651" s="1208"/>
      <c r="AN651" s="1297"/>
    </row>
    <row r="652" spans="1:42" s="1223" customFormat="1" ht="15" customHeight="1">
      <c r="B652" s="1208"/>
      <c r="C652" s="1211"/>
      <c r="D652" s="1318"/>
      <c r="E652" s="2462"/>
      <c r="F652" s="2462"/>
      <c r="G652" s="2462"/>
      <c r="H652" s="2462"/>
      <c r="I652" s="2462"/>
      <c r="J652" s="2462"/>
      <c r="K652" s="2462"/>
      <c r="L652" s="2462"/>
      <c r="M652" s="2462"/>
      <c r="N652" s="2462"/>
      <c r="O652" s="2462"/>
      <c r="P652" s="2462"/>
      <c r="Q652" s="2462"/>
      <c r="R652" s="2462"/>
      <c r="S652" s="2462"/>
      <c r="T652" s="2462"/>
      <c r="U652" s="2462"/>
      <c r="V652" s="2462"/>
      <c r="W652" s="2462"/>
      <c r="X652" s="2462"/>
      <c r="Y652" s="2462"/>
      <c r="Z652" s="2462"/>
      <c r="AA652" s="2462"/>
      <c r="AB652" s="2462"/>
      <c r="AC652" s="2462"/>
      <c r="AD652" s="1208"/>
      <c r="AE652" s="1208"/>
      <c r="AF652" s="1208"/>
      <c r="AG652" s="1208"/>
      <c r="AH652" s="1208"/>
      <c r="AI652" s="1208"/>
      <c r="AJ652" s="1208"/>
      <c r="AK652" s="1208"/>
      <c r="AL652" s="1208"/>
      <c r="AN652" s="1297"/>
    </row>
    <row r="653" spans="1:42" s="1223" customFormat="1" ht="12.75" customHeight="1">
      <c r="B653" s="1208"/>
      <c r="C653" s="1211"/>
      <c r="D653" s="1208"/>
      <c r="E653" s="1577"/>
      <c r="F653" s="1577"/>
      <c r="G653" s="1577"/>
      <c r="H653" s="1577"/>
      <c r="I653" s="1577"/>
      <c r="J653" s="1577"/>
      <c r="K653" s="1577"/>
      <c r="L653" s="1577"/>
      <c r="M653" s="1577"/>
      <c r="N653" s="1577"/>
      <c r="O653" s="1577"/>
      <c r="P653" s="1577"/>
      <c r="Q653" s="1577"/>
      <c r="R653" s="1577"/>
      <c r="S653" s="1577"/>
      <c r="T653" s="1577"/>
      <c r="U653" s="1577"/>
      <c r="V653" s="1577"/>
      <c r="W653" s="1577"/>
      <c r="X653" s="1577"/>
      <c r="Y653" s="1577"/>
      <c r="Z653" s="1577"/>
      <c r="AA653" s="1577"/>
      <c r="AB653" s="1577"/>
      <c r="AC653" s="1208"/>
      <c r="AD653" s="1208"/>
      <c r="AE653" s="1208"/>
      <c r="AF653" s="1208"/>
      <c r="AG653" s="1208"/>
      <c r="AH653" s="1208"/>
      <c r="AI653" s="1208"/>
      <c r="AJ653" s="1208"/>
      <c r="AK653" s="1208"/>
      <c r="AL653" s="1208"/>
      <c r="AN653" s="1297"/>
    </row>
    <row r="654" spans="1:42" s="1223" customFormat="1" ht="12.75" customHeight="1">
      <c r="B654" s="1208"/>
      <c r="C654" s="1211"/>
      <c r="D654" s="1318" t="s">
        <v>284</v>
      </c>
      <c r="E654" s="2462" t="s">
        <v>1623</v>
      </c>
      <c r="F654" s="2462"/>
      <c r="G654" s="2462"/>
      <c r="H654" s="2462"/>
      <c r="I654" s="2462"/>
      <c r="J654" s="2462"/>
      <c r="K654" s="2462"/>
      <c r="L654" s="2462"/>
      <c r="M654" s="2462"/>
      <c r="N654" s="2462"/>
      <c r="O654" s="2462"/>
      <c r="P654" s="2462"/>
      <c r="Q654" s="2462"/>
      <c r="R654" s="2462"/>
      <c r="S654" s="2462"/>
      <c r="T654" s="2462"/>
      <c r="U654" s="2462"/>
      <c r="V654" s="2462"/>
      <c r="W654" s="2462"/>
      <c r="X654" s="2462"/>
      <c r="Y654" s="2462"/>
      <c r="Z654" s="2462"/>
      <c r="AA654" s="2462"/>
      <c r="AB654" s="2462"/>
      <c r="AC654" s="2462"/>
      <c r="AD654" s="1208"/>
      <c r="AE654" s="1208"/>
      <c r="AF654" s="2463" t="s">
        <v>1553</v>
      </c>
      <c r="AG654" s="2463"/>
      <c r="AH654" s="2463"/>
      <c r="AI654" s="2463"/>
      <c r="AJ654" s="2463"/>
      <c r="AK654" s="2463"/>
      <c r="AL654" s="2463"/>
      <c r="AN654" s="1297"/>
    </row>
    <row r="655" spans="1:42" s="1223" customFormat="1" ht="12.75" customHeight="1">
      <c r="B655" s="1208"/>
      <c r="C655" s="1553"/>
      <c r="D655" s="1208"/>
      <c r="E655" s="2462"/>
      <c r="F655" s="2462"/>
      <c r="G655" s="2462"/>
      <c r="H655" s="2462"/>
      <c r="I655" s="2462"/>
      <c r="J655" s="2462"/>
      <c r="K655" s="2462"/>
      <c r="L655" s="2462"/>
      <c r="M655" s="2462"/>
      <c r="N655" s="2462"/>
      <c r="O655" s="2462"/>
      <c r="P655" s="2462"/>
      <c r="Q655" s="2462"/>
      <c r="R655" s="2462"/>
      <c r="S655" s="2462"/>
      <c r="T655" s="2462"/>
      <c r="U655" s="2462"/>
      <c r="V655" s="2462"/>
      <c r="W655" s="2462"/>
      <c r="X655" s="2462"/>
      <c r="Y655" s="2462"/>
      <c r="Z655" s="2462"/>
      <c r="AA655" s="2462"/>
      <c r="AB655" s="2462"/>
      <c r="AC655" s="2462"/>
      <c r="AD655" s="1208"/>
      <c r="AE655" s="2463"/>
      <c r="AF655" s="2463"/>
      <c r="AG655" s="2463"/>
      <c r="AH655" s="2463"/>
      <c r="AI655" s="2463"/>
      <c r="AJ655" s="2463"/>
      <c r="AK655" s="2463"/>
      <c r="AL655" s="1290"/>
      <c r="AN655" s="1297"/>
      <c r="AO655" s="1223" t="s">
        <v>618</v>
      </c>
      <c r="AP655" s="1556">
        <v>0</v>
      </c>
    </row>
    <row r="656" spans="1:42" s="1223" customFormat="1" ht="12.75" customHeight="1">
      <c r="A656" s="1493"/>
      <c r="B656" s="1208"/>
      <c r="C656" s="1208"/>
      <c r="D656" s="1318"/>
      <c r="E656" s="2462"/>
      <c r="F656" s="2462"/>
      <c r="G656" s="2462"/>
      <c r="H656" s="2462"/>
      <c r="I656" s="2462"/>
      <c r="J656" s="2462"/>
      <c r="K656" s="2462"/>
      <c r="L656" s="2462"/>
      <c r="M656" s="2462"/>
      <c r="N656" s="2462"/>
      <c r="O656" s="2462"/>
      <c r="P656" s="2462"/>
      <c r="Q656" s="2462"/>
      <c r="R656" s="2462"/>
      <c r="S656" s="2462"/>
      <c r="T656" s="2462"/>
      <c r="U656" s="2462"/>
      <c r="V656" s="2462"/>
      <c r="W656" s="2462"/>
      <c r="X656" s="2462"/>
      <c r="Y656" s="2462"/>
      <c r="Z656" s="2462"/>
      <c r="AA656" s="2462"/>
      <c r="AB656" s="2462"/>
      <c r="AC656" s="2462"/>
      <c r="AD656" s="1208"/>
      <c r="AE656" s="1208"/>
      <c r="AF656" s="1208"/>
      <c r="AG656" s="1208"/>
      <c r="AH656" s="1208"/>
      <c r="AI656" s="1208"/>
      <c r="AJ656" s="1208"/>
      <c r="AK656" s="1208"/>
      <c r="AL656" s="1208"/>
      <c r="AN656" s="1297"/>
      <c r="AO656" s="1306" t="s">
        <v>715</v>
      </c>
      <c r="AP656" s="1223">
        <v>3</v>
      </c>
    </row>
    <row r="657" spans="1:42" s="1223" customFormat="1" ht="12.75" customHeight="1">
      <c r="B657" s="1208"/>
      <c r="C657" s="1553"/>
      <c r="D657" s="1318"/>
      <c r="E657" s="1250"/>
      <c r="F657" s="1250"/>
      <c r="G657" s="1250"/>
      <c r="H657" s="1250"/>
      <c r="I657" s="1250"/>
      <c r="J657" s="1250"/>
      <c r="K657" s="1250"/>
      <c r="L657" s="1250"/>
      <c r="M657" s="1250"/>
      <c r="N657" s="1250"/>
      <c r="O657" s="1250"/>
      <c r="P657" s="1250"/>
      <c r="Q657" s="1250"/>
      <c r="R657" s="1250"/>
      <c r="S657" s="1250"/>
      <c r="T657" s="1250"/>
      <c r="U657" s="1250"/>
      <c r="V657" s="1250"/>
      <c r="W657" s="1250"/>
      <c r="X657" s="1250"/>
      <c r="Y657" s="1250"/>
      <c r="Z657" s="1250"/>
      <c r="AA657" s="1250"/>
      <c r="AB657" s="1250"/>
      <c r="AC657" s="1208"/>
      <c r="AD657" s="1208"/>
      <c r="AE657" s="1208"/>
      <c r="AF657" s="1208"/>
      <c r="AG657" s="1208"/>
      <c r="AH657" s="1208"/>
      <c r="AI657" s="1208"/>
      <c r="AJ657" s="1208"/>
      <c r="AK657" s="1208"/>
      <c r="AL657" s="1208"/>
      <c r="AN657" s="1297"/>
      <c r="AO657" s="1306" t="s">
        <v>535</v>
      </c>
      <c r="AP657" s="1223">
        <v>2</v>
      </c>
    </row>
    <row r="658" spans="1:42" s="1223" customFormat="1" ht="12.75" customHeight="1">
      <c r="A658" s="1578"/>
      <c r="B658" s="1208"/>
      <c r="C658" s="1579"/>
      <c r="D658" s="1318" t="s">
        <v>1598</v>
      </c>
      <c r="E658" s="2462" t="s">
        <v>1624</v>
      </c>
      <c r="F658" s="2462"/>
      <c r="G658" s="2462"/>
      <c r="H658" s="2462"/>
      <c r="I658" s="2462"/>
      <c r="J658" s="2462"/>
      <c r="K658" s="2462"/>
      <c r="L658" s="2462"/>
      <c r="M658" s="2462"/>
      <c r="N658" s="2462"/>
      <c r="O658" s="2462"/>
      <c r="P658" s="2462"/>
      <c r="Q658" s="2462"/>
      <c r="R658" s="2462"/>
      <c r="S658" s="2462"/>
      <c r="T658" s="2462"/>
      <c r="U658" s="2462"/>
      <c r="V658" s="2462"/>
      <c r="W658" s="2462"/>
      <c r="X658" s="2462"/>
      <c r="Y658" s="2462"/>
      <c r="Z658" s="2462"/>
      <c r="AA658" s="2462"/>
      <c r="AB658" s="2462"/>
      <c r="AC658" s="2462"/>
      <c r="AD658" s="1208"/>
      <c r="AE658" s="1208"/>
      <c r="AF658" s="2463" t="s">
        <v>1600</v>
      </c>
      <c r="AG658" s="2463"/>
      <c r="AH658" s="2463"/>
      <c r="AI658" s="2463"/>
      <c r="AJ658" s="2463"/>
      <c r="AK658" s="2463"/>
      <c r="AL658" s="2463"/>
      <c r="AN658" s="1297"/>
    </row>
    <row r="659" spans="1:42" s="1223" customFormat="1" ht="12.75" customHeight="1">
      <c r="A659" s="1578"/>
      <c r="B659" s="1208"/>
      <c r="C659" s="1579"/>
      <c r="D659" s="1318"/>
      <c r="E659" s="2462"/>
      <c r="F659" s="2462"/>
      <c r="G659" s="2462"/>
      <c r="H659" s="2462"/>
      <c r="I659" s="2462"/>
      <c r="J659" s="2462"/>
      <c r="K659" s="2462"/>
      <c r="L659" s="2462"/>
      <c r="M659" s="2462"/>
      <c r="N659" s="2462"/>
      <c r="O659" s="2462"/>
      <c r="P659" s="2462"/>
      <c r="Q659" s="2462"/>
      <c r="R659" s="2462"/>
      <c r="S659" s="2462"/>
      <c r="T659" s="2462"/>
      <c r="U659" s="2462"/>
      <c r="V659" s="2462"/>
      <c r="W659" s="2462"/>
      <c r="X659" s="2462"/>
      <c r="Y659" s="2462"/>
      <c r="Z659" s="2462"/>
      <c r="AA659" s="2462"/>
      <c r="AB659" s="2462"/>
      <c r="AC659" s="2462"/>
      <c r="AD659" s="1208"/>
      <c r="AE659" s="1290"/>
      <c r="AF659" s="1290"/>
      <c r="AG659" s="1290"/>
      <c r="AH659" s="1290"/>
      <c r="AI659" s="1290"/>
      <c r="AJ659" s="1290"/>
      <c r="AK659" s="1290"/>
      <c r="AL659" s="1290"/>
      <c r="AM659" s="1383"/>
      <c r="AN659" s="1297"/>
    </row>
    <row r="660" spans="1:42" s="1223" customFormat="1" ht="12.75" customHeight="1">
      <c r="A660" s="1578"/>
      <c r="B660" s="1208"/>
      <c r="C660" s="1579"/>
      <c r="D660" s="1318"/>
      <c r="E660" s="2462"/>
      <c r="F660" s="2462"/>
      <c r="G660" s="2462"/>
      <c r="H660" s="2462"/>
      <c r="I660" s="2462"/>
      <c r="J660" s="2462"/>
      <c r="K660" s="2462"/>
      <c r="L660" s="2462"/>
      <c r="M660" s="2462"/>
      <c r="N660" s="2462"/>
      <c r="O660" s="2462"/>
      <c r="P660" s="2462"/>
      <c r="Q660" s="2462"/>
      <c r="R660" s="2462"/>
      <c r="S660" s="2462"/>
      <c r="T660" s="2462"/>
      <c r="U660" s="2462"/>
      <c r="V660" s="2462"/>
      <c r="W660" s="2462"/>
      <c r="X660" s="2462"/>
      <c r="Y660" s="2462"/>
      <c r="Z660" s="2462"/>
      <c r="AA660" s="2462"/>
      <c r="AB660" s="2462"/>
      <c r="AC660" s="2462"/>
      <c r="AD660" s="1208"/>
      <c r="AE660" s="1290"/>
      <c r="AF660" s="1290"/>
      <c r="AG660" s="1290"/>
      <c r="AH660" s="1290"/>
      <c r="AI660" s="1290"/>
      <c r="AJ660" s="1290"/>
      <c r="AK660" s="1290"/>
      <c r="AL660" s="1290"/>
      <c r="AM660" s="1383"/>
      <c r="AN660" s="1297"/>
    </row>
    <row r="661" spans="1:42" s="1223" customFormat="1" ht="12.75" customHeight="1">
      <c r="B661" s="1208"/>
      <c r="C661" s="1553"/>
      <c r="D661" s="1318"/>
      <c r="E661" s="1295"/>
      <c r="F661" s="1295"/>
      <c r="G661" s="1295"/>
      <c r="H661" s="1295"/>
      <c r="I661" s="1295"/>
      <c r="J661" s="1295"/>
      <c r="K661" s="1295"/>
      <c r="L661" s="1295"/>
      <c r="M661" s="1295"/>
      <c r="N661" s="1295"/>
      <c r="O661" s="1295"/>
      <c r="P661" s="1295"/>
      <c r="Q661" s="1295"/>
      <c r="R661" s="1295"/>
      <c r="S661" s="1295"/>
      <c r="T661" s="1295"/>
      <c r="U661" s="1295"/>
      <c r="V661" s="1295"/>
      <c r="W661" s="1295"/>
      <c r="X661" s="1295"/>
      <c r="Y661" s="1295"/>
      <c r="Z661" s="1295"/>
      <c r="AA661" s="1295"/>
      <c r="AB661" s="1295"/>
      <c r="AC661" s="1211"/>
      <c r="AD661" s="1211"/>
      <c r="AE661" s="1208"/>
      <c r="AF661" s="1208"/>
      <c r="AG661" s="1208"/>
      <c r="AH661" s="1208"/>
      <c r="AI661" s="1208"/>
      <c r="AJ661" s="1208"/>
      <c r="AK661" s="1208"/>
      <c r="AL661" s="1290"/>
      <c r="AM661" s="1383"/>
      <c r="AN661" s="1297"/>
    </row>
    <row r="662" spans="1:42" s="1223" customFormat="1" ht="12.75" customHeight="1">
      <c r="B662" s="1208"/>
      <c r="C662" s="1553"/>
      <c r="D662" s="1318" t="s">
        <v>1599</v>
      </c>
      <c r="E662" s="2462" t="s">
        <v>1625</v>
      </c>
      <c r="F662" s="2462"/>
      <c r="G662" s="2462"/>
      <c r="H662" s="2462"/>
      <c r="I662" s="2462"/>
      <c r="J662" s="2462"/>
      <c r="K662" s="2462"/>
      <c r="L662" s="2462"/>
      <c r="M662" s="2462"/>
      <c r="N662" s="2462"/>
      <c r="O662" s="2462"/>
      <c r="P662" s="2462"/>
      <c r="Q662" s="2462"/>
      <c r="R662" s="2462"/>
      <c r="S662" s="2462"/>
      <c r="T662" s="2462"/>
      <c r="U662" s="2462"/>
      <c r="V662" s="2462"/>
      <c r="W662" s="2462"/>
      <c r="X662" s="2462"/>
      <c r="Y662" s="2462"/>
      <c r="Z662" s="2462"/>
      <c r="AA662" s="2462"/>
      <c r="AB662" s="2462"/>
      <c r="AC662" s="2462"/>
      <c r="AD662" s="1208"/>
      <c r="AE662" s="1208"/>
      <c r="AF662" s="2463" t="s">
        <v>1553</v>
      </c>
      <c r="AG662" s="2463"/>
      <c r="AH662" s="2463"/>
      <c r="AI662" s="2463"/>
      <c r="AJ662" s="2463"/>
      <c r="AK662" s="2463"/>
      <c r="AL662" s="2463"/>
      <c r="AM662" s="1383"/>
      <c r="AN662" s="1297"/>
    </row>
    <row r="663" spans="1:42" s="1223" customFormat="1" ht="12.75" customHeight="1">
      <c r="B663" s="1208"/>
      <c r="C663" s="1553"/>
      <c r="D663" s="1318"/>
      <c r="E663" s="2462"/>
      <c r="F663" s="2462"/>
      <c r="G663" s="2462"/>
      <c r="H663" s="2462"/>
      <c r="I663" s="2462"/>
      <c r="J663" s="2462"/>
      <c r="K663" s="2462"/>
      <c r="L663" s="2462"/>
      <c r="M663" s="2462"/>
      <c r="N663" s="2462"/>
      <c r="O663" s="2462"/>
      <c r="P663" s="2462"/>
      <c r="Q663" s="2462"/>
      <c r="R663" s="2462"/>
      <c r="S663" s="2462"/>
      <c r="T663" s="2462"/>
      <c r="U663" s="2462"/>
      <c r="V663" s="2462"/>
      <c r="W663" s="2462"/>
      <c r="X663" s="2462"/>
      <c r="Y663" s="2462"/>
      <c r="Z663" s="2462"/>
      <c r="AA663" s="2462"/>
      <c r="AB663" s="2462"/>
      <c r="AC663" s="2462"/>
      <c r="AD663" s="1208"/>
      <c r="AE663" s="1208"/>
      <c r="AF663" s="1208"/>
      <c r="AG663" s="1208"/>
      <c r="AH663" s="1208"/>
      <c r="AI663" s="1208"/>
      <c r="AJ663" s="1208"/>
      <c r="AK663" s="1208"/>
      <c r="AL663" s="1208"/>
      <c r="AM663" s="1383"/>
      <c r="AN663" s="1297"/>
    </row>
    <row r="664" spans="1:42" s="1223" customFormat="1" ht="12.75" customHeight="1">
      <c r="B664" s="1208"/>
      <c r="C664" s="1553"/>
      <c r="D664" s="1318"/>
      <c r="E664" s="2462"/>
      <c r="F664" s="2462"/>
      <c r="G664" s="2462"/>
      <c r="H664" s="2462"/>
      <c r="I664" s="2462"/>
      <c r="J664" s="2462"/>
      <c r="K664" s="2462"/>
      <c r="L664" s="2462"/>
      <c r="M664" s="2462"/>
      <c r="N664" s="2462"/>
      <c r="O664" s="2462"/>
      <c r="P664" s="2462"/>
      <c r="Q664" s="2462"/>
      <c r="R664" s="2462"/>
      <c r="S664" s="2462"/>
      <c r="T664" s="2462"/>
      <c r="U664" s="2462"/>
      <c r="V664" s="2462"/>
      <c r="W664" s="2462"/>
      <c r="X664" s="2462"/>
      <c r="Y664" s="2462"/>
      <c r="Z664" s="2462"/>
      <c r="AA664" s="2462"/>
      <c r="AB664" s="2462"/>
      <c r="AC664" s="2462"/>
      <c r="AD664" s="1208"/>
      <c r="AE664" s="1208"/>
      <c r="AF664" s="1208"/>
      <c r="AG664" s="1208"/>
      <c r="AH664" s="1208"/>
      <c r="AI664" s="1208"/>
      <c r="AJ664" s="1208"/>
      <c r="AK664" s="1208"/>
      <c r="AL664" s="1208"/>
      <c r="AM664" s="1383"/>
      <c r="AN664" s="1297"/>
    </row>
    <row r="665" spans="1:42" s="1223" customFormat="1" ht="12.75" customHeight="1">
      <c r="B665" s="1208"/>
      <c r="C665" s="1553"/>
      <c r="D665" s="1318"/>
      <c r="E665" s="1208"/>
      <c r="F665" s="1208"/>
      <c r="G665" s="1208"/>
      <c r="H665" s="1208"/>
      <c r="I665" s="1208"/>
      <c r="J665" s="1208"/>
      <c r="K665" s="1208"/>
      <c r="L665" s="1208"/>
      <c r="M665" s="1208"/>
      <c r="N665" s="1208"/>
      <c r="O665" s="1208"/>
      <c r="P665" s="1208"/>
      <c r="Q665" s="1208"/>
      <c r="R665" s="1208"/>
      <c r="S665" s="1208"/>
      <c r="T665" s="1208"/>
      <c r="U665" s="1208"/>
      <c r="V665" s="1208"/>
      <c r="W665" s="1208"/>
      <c r="X665" s="1208"/>
      <c r="Y665" s="1208"/>
      <c r="Z665" s="1208"/>
      <c r="AA665" s="1208"/>
      <c r="AB665" s="1208"/>
      <c r="AC665" s="1208"/>
      <c r="AD665" s="1208"/>
      <c r="AE665" s="1208"/>
      <c r="AF665" s="1208"/>
      <c r="AG665" s="1208"/>
      <c r="AH665" s="1208"/>
      <c r="AI665" s="1208"/>
      <c r="AJ665" s="1208"/>
      <c r="AK665" s="1208"/>
      <c r="AL665" s="1208"/>
      <c r="AM665" s="1383"/>
      <c r="AN665" s="1297"/>
    </row>
    <row r="666" spans="1:42" s="1223" customFormat="1" ht="12.75" customHeight="1">
      <c r="A666" s="1493"/>
      <c r="B666" s="1208"/>
      <c r="C666" s="1553"/>
      <c r="D666" s="1318" t="s">
        <v>1610</v>
      </c>
      <c r="E666" s="2462" t="s">
        <v>1626</v>
      </c>
      <c r="F666" s="2462"/>
      <c r="G666" s="2462"/>
      <c r="H666" s="2462"/>
      <c r="I666" s="2462"/>
      <c r="J666" s="2462"/>
      <c r="K666" s="2462"/>
      <c r="L666" s="2462"/>
      <c r="M666" s="2462"/>
      <c r="N666" s="2462"/>
      <c r="O666" s="2462"/>
      <c r="P666" s="2462"/>
      <c r="Q666" s="2462"/>
      <c r="R666" s="2462"/>
      <c r="S666" s="2462"/>
      <c r="T666" s="2462"/>
      <c r="U666" s="2462"/>
      <c r="V666" s="2462"/>
      <c r="W666" s="2462"/>
      <c r="X666" s="2462"/>
      <c r="Y666" s="2462"/>
      <c r="Z666" s="2462"/>
      <c r="AA666" s="2462"/>
      <c r="AB666" s="2462"/>
      <c r="AC666" s="2462"/>
      <c r="AD666" s="1208"/>
      <c r="AE666" s="1208"/>
      <c r="AF666" s="2463" t="s">
        <v>1609</v>
      </c>
      <c r="AG666" s="2463"/>
      <c r="AH666" s="2463"/>
      <c r="AI666" s="2463"/>
      <c r="AJ666" s="2463"/>
      <c r="AK666" s="2463"/>
      <c r="AL666" s="2463"/>
      <c r="AM666" s="1383"/>
      <c r="AN666" s="1297"/>
    </row>
    <row r="667" spans="1:42" s="1223" customFormat="1" ht="12.75" customHeight="1">
      <c r="A667" s="1493"/>
      <c r="B667" s="1208"/>
      <c r="C667" s="1553"/>
      <c r="D667" s="1318"/>
      <c r="E667" s="2462"/>
      <c r="F667" s="2462"/>
      <c r="G667" s="2462"/>
      <c r="H667" s="2462"/>
      <c r="I667" s="2462"/>
      <c r="J667" s="2462"/>
      <c r="K667" s="2462"/>
      <c r="L667" s="2462"/>
      <c r="M667" s="2462"/>
      <c r="N667" s="2462"/>
      <c r="O667" s="2462"/>
      <c r="P667" s="2462"/>
      <c r="Q667" s="2462"/>
      <c r="R667" s="2462"/>
      <c r="S667" s="2462"/>
      <c r="T667" s="2462"/>
      <c r="U667" s="2462"/>
      <c r="V667" s="2462"/>
      <c r="W667" s="2462"/>
      <c r="X667" s="2462"/>
      <c r="Y667" s="2462"/>
      <c r="Z667" s="2462"/>
      <c r="AA667" s="2462"/>
      <c r="AB667" s="2462"/>
      <c r="AC667" s="2462"/>
      <c r="AD667" s="1208"/>
      <c r="AE667" s="1208"/>
      <c r="AF667" s="1290"/>
      <c r="AG667" s="1290"/>
      <c r="AH667" s="1290"/>
      <c r="AI667" s="1290"/>
      <c r="AJ667" s="1290"/>
      <c r="AK667" s="1290"/>
      <c r="AL667" s="1290"/>
      <c r="AM667" s="1383"/>
      <c r="AN667" s="1297"/>
    </row>
    <row r="668" spans="1:42" s="1223" customFormat="1" ht="12.75" customHeight="1">
      <c r="A668" s="1493"/>
      <c r="B668" s="1208"/>
      <c r="C668" s="1553"/>
      <c r="D668" s="1318"/>
      <c r="E668" s="2462"/>
      <c r="F668" s="2462"/>
      <c r="G668" s="2462"/>
      <c r="H668" s="2462"/>
      <c r="I668" s="2462"/>
      <c r="J668" s="2462"/>
      <c r="K668" s="2462"/>
      <c r="L668" s="2462"/>
      <c r="M668" s="2462"/>
      <c r="N668" s="2462"/>
      <c r="O668" s="2462"/>
      <c r="P668" s="2462"/>
      <c r="Q668" s="2462"/>
      <c r="R668" s="2462"/>
      <c r="S668" s="2462"/>
      <c r="T668" s="2462"/>
      <c r="U668" s="2462"/>
      <c r="V668" s="2462"/>
      <c r="W668" s="2462"/>
      <c r="X668" s="2462"/>
      <c r="Y668" s="2462"/>
      <c r="Z668" s="2462"/>
      <c r="AA668" s="2462"/>
      <c r="AB668" s="2462"/>
      <c r="AC668" s="2462"/>
      <c r="AD668" s="1208"/>
      <c r="AE668" s="1290"/>
      <c r="AF668" s="1290"/>
      <c r="AG668" s="1290"/>
      <c r="AH668" s="1290"/>
      <c r="AI668" s="1290"/>
      <c r="AJ668" s="1290"/>
      <c r="AK668" s="1290"/>
      <c r="AL668" s="1290"/>
      <c r="AM668" s="1383"/>
      <c r="AN668" s="1297"/>
    </row>
    <row r="669" spans="1:42" s="1223" customFormat="1" ht="12.75" customHeight="1">
      <c r="A669" s="1493"/>
      <c r="B669" s="1208"/>
      <c r="C669" s="1553"/>
      <c r="D669" s="1318"/>
      <c r="E669" s="1295"/>
      <c r="F669" s="1295"/>
      <c r="G669" s="1295"/>
      <c r="H669" s="1295"/>
      <c r="I669" s="1295"/>
      <c r="J669" s="1295"/>
      <c r="K669" s="1295"/>
      <c r="L669" s="1295"/>
      <c r="M669" s="1295"/>
      <c r="N669" s="1295"/>
      <c r="O669" s="1295"/>
      <c r="P669" s="1295"/>
      <c r="Q669" s="1295"/>
      <c r="R669" s="1295"/>
      <c r="S669" s="1295"/>
      <c r="T669" s="1295"/>
      <c r="U669" s="1295"/>
      <c r="V669" s="1295"/>
      <c r="W669" s="1295"/>
      <c r="X669" s="1295"/>
      <c r="Y669" s="1295"/>
      <c r="Z669" s="1295"/>
      <c r="AA669" s="1295"/>
      <c r="AB669" s="1295"/>
      <c r="AC669" s="1295"/>
      <c r="AD669" s="1208"/>
      <c r="AE669" s="1290"/>
      <c r="AF669" s="1208"/>
      <c r="AG669" s="1208"/>
      <c r="AH669" s="1208"/>
      <c r="AI669" s="1208"/>
      <c r="AJ669" s="1208"/>
      <c r="AK669" s="1208"/>
      <c r="AL669" s="1208"/>
      <c r="AM669" s="1383"/>
      <c r="AN669" s="1297"/>
      <c r="AO669" s="1223" t="s">
        <v>618</v>
      </c>
      <c r="AP669" s="1386">
        <v>0</v>
      </c>
    </row>
    <row r="670" spans="1:42" s="1223" customFormat="1" ht="12.75" customHeight="1">
      <c r="A670" s="1493"/>
      <c r="B670" s="1208"/>
      <c r="C670" s="1553"/>
      <c r="D670" s="1318" t="s">
        <v>1612</v>
      </c>
      <c r="E670" s="2462" t="s">
        <v>1627</v>
      </c>
      <c r="F670" s="2462"/>
      <c r="G670" s="2462"/>
      <c r="H670" s="2462"/>
      <c r="I670" s="2462"/>
      <c r="J670" s="2462"/>
      <c r="K670" s="2462"/>
      <c r="L670" s="2462"/>
      <c r="M670" s="2462"/>
      <c r="N670" s="2462"/>
      <c r="O670" s="2462"/>
      <c r="P670" s="2462"/>
      <c r="Q670" s="2462"/>
      <c r="R670" s="2462"/>
      <c r="S670" s="2462"/>
      <c r="T670" s="2462"/>
      <c r="U670" s="2462"/>
      <c r="V670" s="2462"/>
      <c r="W670" s="2462"/>
      <c r="X670" s="2462"/>
      <c r="Y670" s="2462"/>
      <c r="Z670" s="2462"/>
      <c r="AA670" s="2462"/>
      <c r="AB670" s="2462"/>
      <c r="AC670" s="2462"/>
      <c r="AD670" s="1208"/>
      <c r="AE670" s="1208"/>
      <c r="AF670" s="2463" t="s">
        <v>1628</v>
      </c>
      <c r="AG670" s="2463"/>
      <c r="AH670" s="2463"/>
      <c r="AI670" s="2463"/>
      <c r="AJ670" s="2463"/>
      <c r="AK670" s="2463"/>
      <c r="AL670" s="2463"/>
      <c r="AM670" s="1383"/>
      <c r="AN670" s="1297"/>
      <c r="AO670" s="1306" t="s">
        <v>715</v>
      </c>
      <c r="AP670" s="1223">
        <v>3</v>
      </c>
    </row>
    <row r="671" spans="1:42" s="1223" customFormat="1" ht="12.75" customHeight="1">
      <c r="A671" s="1493"/>
      <c r="B671" s="1208"/>
      <c r="C671" s="1553"/>
      <c r="D671" s="1318"/>
      <c r="E671" s="2462"/>
      <c r="F671" s="2462"/>
      <c r="G671" s="2462"/>
      <c r="H671" s="2462"/>
      <c r="I671" s="2462"/>
      <c r="J671" s="2462"/>
      <c r="K671" s="2462"/>
      <c r="L671" s="2462"/>
      <c r="M671" s="2462"/>
      <c r="N671" s="2462"/>
      <c r="O671" s="2462"/>
      <c r="P671" s="2462"/>
      <c r="Q671" s="2462"/>
      <c r="R671" s="2462"/>
      <c r="S671" s="2462"/>
      <c r="T671" s="2462"/>
      <c r="U671" s="2462"/>
      <c r="V671" s="2462"/>
      <c r="W671" s="2462"/>
      <c r="X671" s="2462"/>
      <c r="Y671" s="2462"/>
      <c r="Z671" s="2462"/>
      <c r="AA671" s="2462"/>
      <c r="AB671" s="2462"/>
      <c r="AC671" s="2462"/>
      <c r="AD671" s="1208"/>
      <c r="AE671" s="1208"/>
      <c r="AF671" s="1290"/>
      <c r="AG671" s="1290"/>
      <c r="AH671" s="1290"/>
      <c r="AI671" s="1290"/>
      <c r="AJ671" s="1290"/>
      <c r="AK671" s="1290"/>
      <c r="AL671" s="1290"/>
      <c r="AM671" s="1383"/>
      <c r="AN671" s="1297"/>
      <c r="AO671" s="1306" t="s">
        <v>535</v>
      </c>
      <c r="AP671" s="1223">
        <v>2</v>
      </c>
    </row>
    <row r="672" spans="1:42" s="1223" customFormat="1" ht="12.75" customHeight="1">
      <c r="A672" s="1493"/>
      <c r="B672" s="1208"/>
      <c r="C672" s="1553"/>
      <c r="D672" s="1318"/>
      <c r="E672" s="2462"/>
      <c r="F672" s="2462"/>
      <c r="G672" s="2462"/>
      <c r="H672" s="2462"/>
      <c r="I672" s="2462"/>
      <c r="J672" s="2462"/>
      <c r="K672" s="2462"/>
      <c r="L672" s="2462"/>
      <c r="M672" s="2462"/>
      <c r="N672" s="2462"/>
      <c r="O672" s="2462"/>
      <c r="P672" s="2462"/>
      <c r="Q672" s="2462"/>
      <c r="R672" s="2462"/>
      <c r="S672" s="2462"/>
      <c r="T672" s="2462"/>
      <c r="U672" s="2462"/>
      <c r="V672" s="2462"/>
      <c r="W672" s="2462"/>
      <c r="X672" s="2462"/>
      <c r="Y672" s="2462"/>
      <c r="Z672" s="2462"/>
      <c r="AA672" s="2462"/>
      <c r="AB672" s="2462"/>
      <c r="AC672" s="2462"/>
      <c r="AD672" s="1208"/>
      <c r="AE672" s="1290"/>
      <c r="AF672" s="1290"/>
      <c r="AG672" s="1290"/>
      <c r="AH672" s="1290"/>
      <c r="AI672" s="1290"/>
      <c r="AJ672" s="1290"/>
      <c r="AK672" s="1290"/>
      <c r="AL672" s="1290"/>
      <c r="AM672" s="1383"/>
      <c r="AN672" s="1297"/>
    </row>
    <row r="673" spans="1:42" s="1223" customFormat="1" ht="12.75" customHeight="1">
      <c r="A673" s="1578"/>
      <c r="B673" s="1208"/>
      <c r="C673" s="1579"/>
      <c r="D673" s="1318"/>
      <c r="E673" s="1320"/>
      <c r="F673" s="1320"/>
      <c r="G673" s="1320"/>
      <c r="H673" s="1320"/>
      <c r="I673" s="1320"/>
      <c r="J673" s="1320"/>
      <c r="K673" s="1320"/>
      <c r="L673" s="1320"/>
      <c r="M673" s="1320"/>
      <c r="N673" s="1320"/>
      <c r="O673" s="1320"/>
      <c r="P673" s="1320"/>
      <c r="Q673" s="1320"/>
      <c r="R673" s="1320"/>
      <c r="S673" s="1320"/>
      <c r="T673" s="1320"/>
      <c r="U673" s="1320"/>
      <c r="V673" s="1320"/>
      <c r="W673" s="1320"/>
      <c r="X673" s="1320"/>
      <c r="Y673" s="1320"/>
      <c r="Z673" s="1320"/>
      <c r="AA673" s="1320"/>
      <c r="AB673" s="1320"/>
      <c r="AC673" s="1320"/>
      <c r="AD673" s="1208"/>
      <c r="AE673" s="1290"/>
      <c r="AF673" s="1290"/>
      <c r="AG673" s="1290"/>
      <c r="AH673" s="1290"/>
      <c r="AI673" s="1290"/>
      <c r="AJ673" s="1290"/>
      <c r="AK673" s="1290"/>
      <c r="AL673" s="1290"/>
      <c r="AM673" s="1383"/>
      <c r="AN673" s="1297"/>
    </row>
    <row r="674" spans="1:42" s="1223" customFormat="1" ht="12.75" customHeight="1">
      <c r="A674" s="1493"/>
      <c r="B674" s="1208"/>
      <c r="C674" s="1553"/>
      <c r="D674" s="1208" t="s">
        <v>1601</v>
      </c>
      <c r="E674" s="1560"/>
      <c r="F674" s="1560"/>
      <c r="G674" s="1560"/>
      <c r="H674" s="2464" t="s">
        <v>284</v>
      </c>
      <c r="I674" s="2464"/>
      <c r="J674" s="1311"/>
      <c r="K674" s="1311"/>
      <c r="L674" s="1208"/>
      <c r="M674" s="1208"/>
      <c r="N674" s="1208"/>
      <c r="O674" s="1208"/>
      <c r="P674" s="1208"/>
      <c r="Q674" s="1208"/>
      <c r="R674" s="1208"/>
      <c r="S674" s="1208"/>
      <c r="T674" s="1208"/>
      <c r="U674" s="1208"/>
      <c r="V674" s="1208"/>
      <c r="W674" s="1208"/>
      <c r="X674" s="1208"/>
      <c r="Y674" s="1208"/>
      <c r="Z674" s="1208"/>
      <c r="AA674" s="1208"/>
      <c r="AB674" s="1208"/>
      <c r="AC674" s="1208"/>
      <c r="AD674" s="1208"/>
      <c r="AE674" s="1208"/>
      <c r="AF674" s="1208"/>
      <c r="AG674" s="1208"/>
      <c r="AH674" s="1208"/>
      <c r="AI674" s="1208"/>
      <c r="AJ674" s="1208"/>
      <c r="AK674" s="1208"/>
      <c r="AL674" s="1208"/>
      <c r="AN674" s="1297"/>
    </row>
    <row r="675" spans="1:42" s="1223" customFormat="1" ht="12.75" customHeight="1">
      <c r="A675" s="1493"/>
      <c r="B675" s="1208"/>
      <c r="C675" s="1553"/>
      <c r="D675" s="1208"/>
      <c r="E675" s="1560"/>
      <c r="F675" s="1560"/>
      <c r="G675" s="1311"/>
      <c r="H675" s="1311"/>
      <c r="I675" s="1311"/>
      <c r="J675" s="1311"/>
      <c r="K675" s="1311"/>
      <c r="L675" s="1311"/>
      <c r="M675" s="1311"/>
      <c r="N675" s="1311"/>
      <c r="O675" s="1311"/>
      <c r="P675" s="1311"/>
      <c r="Q675" s="1311"/>
      <c r="R675" s="1311"/>
      <c r="S675" s="1311"/>
      <c r="T675" s="1311"/>
      <c r="U675" s="1311"/>
      <c r="V675" s="1311"/>
      <c r="W675" s="1311"/>
      <c r="X675" s="1311"/>
      <c r="Y675" s="1311"/>
      <c r="Z675" s="1560"/>
      <c r="AA675" s="1560"/>
      <c r="AB675" s="1560"/>
      <c r="AC675" s="1208"/>
      <c r="AD675" s="1208"/>
      <c r="AE675" s="1208"/>
      <c r="AF675" s="1208"/>
      <c r="AG675" s="1311"/>
      <c r="AH675" s="1311"/>
      <c r="AI675" s="1311"/>
      <c r="AJ675" s="1311"/>
      <c r="AK675" s="1311"/>
      <c r="AL675" s="1311"/>
      <c r="AM675" s="1224"/>
      <c r="AN675" s="1297"/>
    </row>
    <row r="676" spans="1:42" s="1223" customFormat="1" ht="12.75" customHeight="1">
      <c r="A676" s="1580"/>
      <c r="B676" s="1293"/>
      <c r="C676" s="1574"/>
      <c r="D676" s="1293"/>
      <c r="E676" s="1564"/>
      <c r="F676" s="1417"/>
      <c r="G676" s="1417"/>
      <c r="H676" s="1417"/>
      <c r="I676" s="1417"/>
      <c r="J676" s="1417"/>
      <c r="K676" s="1417"/>
      <c r="L676" s="1417"/>
      <c r="M676" s="1417"/>
      <c r="N676" s="1417"/>
      <c r="O676" s="1417"/>
      <c r="P676" s="1417"/>
      <c r="Q676" s="1417"/>
      <c r="R676" s="1417"/>
      <c r="S676" s="1417"/>
      <c r="T676" s="1417"/>
      <c r="U676" s="1417"/>
      <c r="V676" s="1417"/>
      <c r="W676" s="1417"/>
      <c r="X676" s="1417"/>
      <c r="Y676" s="1564"/>
      <c r="Z676" s="1564"/>
      <c r="AA676" s="1564"/>
      <c r="AB676" s="1293"/>
      <c r="AC676" s="1293"/>
      <c r="AD676" s="1293"/>
      <c r="AE676" s="1293"/>
      <c r="AF676" s="1293"/>
      <c r="AG676" s="1293"/>
      <c r="AH676" s="1293"/>
      <c r="AI676" s="1240" t="s">
        <v>1629</v>
      </c>
      <c r="AJ676" s="2442">
        <f>VLOOKUP($H$674,$AO$622:$AP$629,2,FALSE)</f>
        <v>3</v>
      </c>
      <c r="AK676" s="2444"/>
      <c r="AL676" s="1268"/>
      <c r="AN676" s="1297"/>
    </row>
    <row r="677" spans="1:42" s="1223" customFormat="1" ht="12.75" customHeight="1">
      <c r="A677" s="1493"/>
      <c r="B677" s="1208"/>
      <c r="C677" s="1553"/>
      <c r="D677" s="1208"/>
      <c r="E677" s="1311"/>
      <c r="F677" s="1311"/>
      <c r="G677" s="1311"/>
      <c r="H677" s="1311"/>
      <c r="I677" s="1311"/>
      <c r="J677" s="1311"/>
      <c r="K677" s="1311"/>
      <c r="L677" s="1311"/>
      <c r="M677" s="1311"/>
      <c r="N677" s="1311"/>
      <c r="O677" s="1311"/>
      <c r="P677" s="1311"/>
      <c r="Q677" s="1311"/>
      <c r="R677" s="1311"/>
      <c r="S677" s="1311"/>
      <c r="T677" s="1311"/>
      <c r="U677" s="1311"/>
      <c r="V677" s="1311"/>
      <c r="W677" s="1311"/>
      <c r="X677" s="1311"/>
      <c r="Y677" s="1311"/>
      <c r="Z677" s="1311"/>
      <c r="AA677" s="1311"/>
      <c r="AB677" s="1311"/>
      <c r="AC677" s="1311"/>
      <c r="AD677" s="1393"/>
      <c r="AE677" s="1208"/>
      <c r="AF677" s="1208"/>
      <c r="AG677" s="1208"/>
      <c r="AH677" s="1208"/>
      <c r="AI677" s="1208"/>
      <c r="AJ677" s="1208"/>
      <c r="AK677" s="1208"/>
      <c r="AL677" s="1208"/>
      <c r="AN677" s="1297"/>
    </row>
    <row r="678" spans="1:42" s="1223" customFormat="1" ht="12.75" customHeight="1">
      <c r="A678" s="1493"/>
      <c r="B678" s="1208"/>
      <c r="C678" s="1211" t="s">
        <v>1630</v>
      </c>
      <c r="D678" s="1440"/>
      <c r="E678" s="1311"/>
      <c r="F678" s="1311"/>
      <c r="G678" s="1311"/>
      <c r="H678" s="1311"/>
      <c r="I678" s="1311"/>
      <c r="J678" s="1311"/>
      <c r="K678" s="1311"/>
      <c r="L678" s="1311"/>
      <c r="M678" s="1311"/>
      <c r="N678" s="1311"/>
      <c r="O678" s="1311"/>
      <c r="P678" s="1311"/>
      <c r="Q678" s="1311"/>
      <c r="R678" s="1311"/>
      <c r="S678" s="1311"/>
      <c r="T678" s="1311"/>
      <c r="U678" s="1311"/>
      <c r="V678" s="1311"/>
      <c r="W678" s="1311"/>
      <c r="X678" s="1311"/>
      <c r="Y678" s="1311"/>
      <c r="Z678" s="1311"/>
      <c r="AA678" s="1311"/>
      <c r="AB678" s="1311"/>
      <c r="AC678" s="1311"/>
      <c r="AD678" s="1393"/>
      <c r="AE678" s="1208"/>
      <c r="AF678" s="1208"/>
      <c r="AG678" s="1208"/>
      <c r="AH678" s="1208"/>
      <c r="AI678" s="1208"/>
      <c r="AJ678" s="1208"/>
      <c r="AK678" s="1208"/>
      <c r="AL678" s="1208"/>
      <c r="AN678" s="1297"/>
    </row>
    <row r="679" spans="1:42" s="1223" customFormat="1" ht="12.75" customHeight="1">
      <c r="A679" s="1493"/>
      <c r="B679" s="1208"/>
      <c r="C679" s="1581"/>
      <c r="D679" s="1208"/>
      <c r="E679" s="1208"/>
      <c r="F679" s="1208"/>
      <c r="G679" s="1208"/>
      <c r="H679" s="1208"/>
      <c r="I679" s="1208"/>
      <c r="J679" s="1208"/>
      <c r="K679" s="1208"/>
      <c r="L679" s="1208"/>
      <c r="M679" s="1208"/>
      <c r="N679" s="1208"/>
      <c r="O679" s="1208"/>
      <c r="P679" s="1208"/>
      <c r="Q679" s="1208"/>
      <c r="R679" s="1208"/>
      <c r="S679" s="1208"/>
      <c r="T679" s="1208"/>
      <c r="U679" s="1208"/>
      <c r="V679" s="1208"/>
      <c r="W679" s="1208"/>
      <c r="X679" s="1208"/>
      <c r="Y679" s="1208"/>
      <c r="Z679" s="1208"/>
      <c r="AA679" s="1208"/>
      <c r="AB679" s="1208"/>
      <c r="AC679" s="1208"/>
      <c r="AD679" s="1208"/>
      <c r="AE679" s="1208"/>
      <c r="AF679" s="1208"/>
      <c r="AG679" s="1208"/>
      <c r="AH679" s="1208"/>
      <c r="AI679" s="1208"/>
      <c r="AJ679" s="1208"/>
      <c r="AK679" s="1208"/>
      <c r="AL679" s="1208"/>
      <c r="AN679" s="1297"/>
    </row>
    <row r="680" spans="1:42" s="1223" customFormat="1" ht="12.75" customHeight="1">
      <c r="B680" s="1208"/>
      <c r="C680" s="1553"/>
      <c r="D680" s="1318" t="s">
        <v>715</v>
      </c>
      <c r="E680" s="2462" t="s">
        <v>2011</v>
      </c>
      <c r="F680" s="2462"/>
      <c r="G680" s="2462"/>
      <c r="H680" s="2462"/>
      <c r="I680" s="2462"/>
      <c r="J680" s="2462"/>
      <c r="K680" s="2462"/>
      <c r="L680" s="2462"/>
      <c r="M680" s="2462"/>
      <c r="N680" s="2462"/>
      <c r="O680" s="2462"/>
      <c r="P680" s="2462"/>
      <c r="Q680" s="2462"/>
      <c r="R680" s="2462"/>
      <c r="S680" s="2462"/>
      <c r="T680" s="2462"/>
      <c r="U680" s="2462"/>
      <c r="V680" s="2462"/>
      <c r="W680" s="2462"/>
      <c r="X680" s="2462"/>
      <c r="Y680" s="2462"/>
      <c r="Z680" s="2462"/>
      <c r="AA680" s="2462"/>
      <c r="AB680" s="2462"/>
      <c r="AC680" s="1208"/>
      <c r="AD680" s="1208"/>
      <c r="AE680" s="1208"/>
      <c r="AF680" s="2463" t="s">
        <v>1553</v>
      </c>
      <c r="AG680" s="2463"/>
      <c r="AH680" s="2463"/>
      <c r="AI680" s="2463"/>
      <c r="AJ680" s="2463"/>
      <c r="AK680" s="2463"/>
      <c r="AL680" s="2463"/>
      <c r="AN680" s="1297"/>
    </row>
    <row r="681" spans="1:42" s="1223" customFormat="1" ht="12.75" customHeight="1">
      <c r="B681" s="1208"/>
      <c r="C681" s="1566"/>
      <c r="D681" s="1318"/>
      <c r="E681" s="2462"/>
      <c r="F681" s="2462"/>
      <c r="G681" s="2462"/>
      <c r="H681" s="2462"/>
      <c r="I681" s="2462"/>
      <c r="J681" s="2462"/>
      <c r="K681" s="2462"/>
      <c r="L681" s="2462"/>
      <c r="M681" s="2462"/>
      <c r="N681" s="2462"/>
      <c r="O681" s="2462"/>
      <c r="P681" s="2462"/>
      <c r="Q681" s="2462"/>
      <c r="R681" s="2462"/>
      <c r="S681" s="2462"/>
      <c r="T681" s="2462"/>
      <c r="U681" s="2462"/>
      <c r="V681" s="2462"/>
      <c r="W681" s="2462"/>
      <c r="X681" s="2462"/>
      <c r="Y681" s="2462"/>
      <c r="Z681" s="2462"/>
      <c r="AA681" s="2462"/>
      <c r="AB681" s="2462"/>
      <c r="AC681" s="1208"/>
      <c r="AD681" s="1208"/>
      <c r="AE681" s="1311"/>
      <c r="AF681" s="1208"/>
      <c r="AG681" s="1208"/>
      <c r="AH681" s="1208"/>
      <c r="AI681" s="1208"/>
      <c r="AJ681" s="1208"/>
      <c r="AK681" s="1208"/>
      <c r="AL681" s="1208"/>
      <c r="AN681" s="1297"/>
      <c r="AO681" s="2468"/>
      <c r="AP681" s="2468"/>
    </row>
    <row r="682" spans="1:42" s="1223" customFormat="1" ht="12.75" customHeight="1">
      <c r="B682" s="1208"/>
      <c r="C682" s="1566"/>
      <c r="D682" s="1318"/>
      <c r="E682" s="2462"/>
      <c r="F682" s="2462"/>
      <c r="G682" s="2462"/>
      <c r="H682" s="2462"/>
      <c r="I682" s="2462"/>
      <c r="J682" s="2462"/>
      <c r="K682" s="2462"/>
      <c r="L682" s="2462"/>
      <c r="M682" s="2462"/>
      <c r="N682" s="2462"/>
      <c r="O682" s="2462"/>
      <c r="P682" s="2462"/>
      <c r="Q682" s="2462"/>
      <c r="R682" s="2462"/>
      <c r="S682" s="2462"/>
      <c r="T682" s="2462"/>
      <c r="U682" s="2462"/>
      <c r="V682" s="2462"/>
      <c r="W682" s="2462"/>
      <c r="X682" s="2462"/>
      <c r="Y682" s="2462"/>
      <c r="Z682" s="2462"/>
      <c r="AA682" s="2462"/>
      <c r="AB682" s="2462"/>
      <c r="AC682" s="1208"/>
      <c r="AD682" s="1208"/>
      <c r="AE682" s="1311"/>
      <c r="AF682" s="1311"/>
      <c r="AG682" s="1311"/>
      <c r="AH682" s="1311"/>
      <c r="AI682" s="1311"/>
      <c r="AJ682" s="1311"/>
      <c r="AK682" s="1311"/>
      <c r="AL682" s="1311"/>
      <c r="AN682" s="1297"/>
    </row>
    <row r="683" spans="1:42" s="1223" customFormat="1" ht="12.75" customHeight="1">
      <c r="B683" s="1208"/>
      <c r="C683" s="1566"/>
      <c r="D683" s="1318"/>
      <c r="E683" s="2462"/>
      <c r="F683" s="2462"/>
      <c r="G683" s="2462"/>
      <c r="H683" s="2462"/>
      <c r="I683" s="2462"/>
      <c r="J683" s="2462"/>
      <c r="K683" s="2462"/>
      <c r="L683" s="2462"/>
      <c r="M683" s="2462"/>
      <c r="N683" s="2462"/>
      <c r="O683" s="2462"/>
      <c r="P683" s="2462"/>
      <c r="Q683" s="2462"/>
      <c r="R683" s="2462"/>
      <c r="S683" s="2462"/>
      <c r="T683" s="2462"/>
      <c r="U683" s="2462"/>
      <c r="V683" s="2462"/>
      <c r="W683" s="2462"/>
      <c r="X683" s="2462"/>
      <c r="Y683" s="2462"/>
      <c r="Z683" s="2462"/>
      <c r="AA683" s="2462"/>
      <c r="AB683" s="2462"/>
      <c r="AC683" s="1208"/>
      <c r="AD683" s="1208"/>
      <c r="AE683" s="1311"/>
      <c r="AF683" s="1311"/>
      <c r="AG683" s="1311"/>
      <c r="AH683" s="1311"/>
      <c r="AI683" s="1311"/>
      <c r="AJ683" s="1311"/>
      <c r="AK683" s="1311"/>
      <c r="AL683" s="1311"/>
      <c r="AN683" s="1297"/>
      <c r="AO683" s="1223" t="s">
        <v>618</v>
      </c>
      <c r="AP683" s="1556">
        <v>0</v>
      </c>
    </row>
    <row r="684" spans="1:42" s="1223" customFormat="1" ht="12.75" customHeight="1">
      <c r="B684" s="1208"/>
      <c r="C684" s="1566"/>
      <c r="D684" s="1318"/>
      <c r="E684" s="1250"/>
      <c r="F684" s="1250"/>
      <c r="G684" s="1250"/>
      <c r="H684" s="1250"/>
      <c r="I684" s="1250"/>
      <c r="J684" s="1250"/>
      <c r="K684" s="1250"/>
      <c r="L684" s="1250"/>
      <c r="M684" s="1250"/>
      <c r="N684" s="1250"/>
      <c r="O684" s="1250"/>
      <c r="P684" s="1250"/>
      <c r="Q684" s="1250"/>
      <c r="R684" s="1250"/>
      <c r="S684" s="1250"/>
      <c r="T684" s="1250"/>
      <c r="U684" s="1250"/>
      <c r="V684" s="1250"/>
      <c r="W684" s="1250"/>
      <c r="X684" s="1250"/>
      <c r="Y684" s="1250"/>
      <c r="Z684" s="1250"/>
      <c r="AA684" s="1250"/>
      <c r="AB684" s="1250"/>
      <c r="AC684" s="1208"/>
      <c r="AD684" s="1208"/>
      <c r="AE684" s="1311"/>
      <c r="AF684" s="1311"/>
      <c r="AG684" s="1311"/>
      <c r="AH684" s="1311"/>
      <c r="AI684" s="1311"/>
      <c r="AJ684" s="1311"/>
      <c r="AK684" s="1311"/>
      <c r="AL684" s="1311"/>
      <c r="AN684" s="1297"/>
      <c r="AO684" s="1306" t="s">
        <v>715</v>
      </c>
      <c r="AP684" s="1223">
        <v>2</v>
      </c>
    </row>
    <row r="685" spans="1:42" s="1223" customFormat="1" ht="12.75" customHeight="1">
      <c r="B685" s="1208"/>
      <c r="C685" s="1553"/>
      <c r="D685" s="1318" t="s">
        <v>535</v>
      </c>
      <c r="E685" s="2462" t="s">
        <v>2013</v>
      </c>
      <c r="F685" s="2462"/>
      <c r="G685" s="2462"/>
      <c r="H685" s="2462"/>
      <c r="I685" s="2462"/>
      <c r="J685" s="2462"/>
      <c r="K685" s="2462"/>
      <c r="L685" s="2462"/>
      <c r="M685" s="2462"/>
      <c r="N685" s="2462"/>
      <c r="O685" s="2462"/>
      <c r="P685" s="2462"/>
      <c r="Q685" s="2462"/>
      <c r="R685" s="2462"/>
      <c r="S685" s="2462"/>
      <c r="T685" s="2462"/>
      <c r="U685" s="2462"/>
      <c r="V685" s="2462"/>
      <c r="W685" s="2462"/>
      <c r="X685" s="2462"/>
      <c r="Y685" s="2462"/>
      <c r="Z685" s="2462"/>
      <c r="AA685" s="2462"/>
      <c r="AB685" s="2462"/>
      <c r="AC685" s="1208"/>
      <c r="AD685" s="1208"/>
      <c r="AE685" s="1208"/>
      <c r="AF685" s="2463" t="s">
        <v>1609</v>
      </c>
      <c r="AG685" s="2463"/>
      <c r="AH685" s="2463"/>
      <c r="AI685" s="2463"/>
      <c r="AJ685" s="2463"/>
      <c r="AK685" s="2463"/>
      <c r="AL685" s="2463"/>
      <c r="AN685" s="1297"/>
      <c r="AO685" s="1306" t="s">
        <v>535</v>
      </c>
      <c r="AP685" s="1223">
        <v>1</v>
      </c>
    </row>
    <row r="686" spans="1:42" s="1223" customFormat="1" ht="12" customHeight="1">
      <c r="B686" s="1208"/>
      <c r="C686" s="1553"/>
      <c r="D686" s="1208"/>
      <c r="E686" s="2462"/>
      <c r="F686" s="2462"/>
      <c r="G686" s="2462"/>
      <c r="H686" s="2462"/>
      <c r="I686" s="2462"/>
      <c r="J686" s="2462"/>
      <c r="K686" s="2462"/>
      <c r="L686" s="2462"/>
      <c r="M686" s="2462"/>
      <c r="N686" s="2462"/>
      <c r="O686" s="2462"/>
      <c r="P686" s="2462"/>
      <c r="Q686" s="2462"/>
      <c r="R686" s="2462"/>
      <c r="S686" s="2462"/>
      <c r="T686" s="2462"/>
      <c r="U686" s="2462"/>
      <c r="V686" s="2462"/>
      <c r="W686" s="2462"/>
      <c r="X686" s="2462"/>
      <c r="Y686" s="2462"/>
      <c r="Z686" s="2462"/>
      <c r="AA686" s="2462"/>
      <c r="AB686" s="2462"/>
      <c r="AC686" s="1208"/>
      <c r="AD686" s="1208"/>
      <c r="AE686" s="1311"/>
      <c r="AF686" s="1208"/>
      <c r="AG686" s="1208"/>
      <c r="AH686" s="1208"/>
      <c r="AI686" s="1208"/>
      <c r="AJ686" s="1208"/>
      <c r="AK686" s="1208"/>
      <c r="AL686" s="1208"/>
      <c r="AN686" s="1297"/>
    </row>
    <row r="687" spans="1:42" s="1223" customFormat="1" ht="12" customHeight="1">
      <c r="B687" s="1208"/>
      <c r="C687" s="1553"/>
      <c r="D687" s="1208"/>
      <c r="E687" s="2462"/>
      <c r="F687" s="2462"/>
      <c r="G687" s="2462"/>
      <c r="H687" s="2462"/>
      <c r="I687" s="2462"/>
      <c r="J687" s="2462"/>
      <c r="K687" s="2462"/>
      <c r="L687" s="2462"/>
      <c r="M687" s="2462"/>
      <c r="N687" s="2462"/>
      <c r="O687" s="2462"/>
      <c r="P687" s="2462"/>
      <c r="Q687" s="2462"/>
      <c r="R687" s="2462"/>
      <c r="S687" s="2462"/>
      <c r="T687" s="2462"/>
      <c r="U687" s="2462"/>
      <c r="V687" s="2462"/>
      <c r="W687" s="2462"/>
      <c r="X687" s="2462"/>
      <c r="Y687" s="2462"/>
      <c r="Z687" s="2462"/>
      <c r="AA687" s="2462"/>
      <c r="AB687" s="2462"/>
      <c r="AC687" s="1208"/>
      <c r="AD687" s="1208"/>
      <c r="AE687" s="1311"/>
      <c r="AF687" s="1208"/>
      <c r="AG687" s="1208"/>
      <c r="AH687" s="1208"/>
      <c r="AI687" s="1208"/>
      <c r="AJ687" s="1208"/>
      <c r="AK687" s="1208"/>
      <c r="AL687" s="1208"/>
      <c r="AN687" s="1297"/>
    </row>
    <row r="688" spans="1:42" s="1208" customFormat="1" ht="12" customHeight="1">
      <c r="A688" s="1223"/>
      <c r="C688" s="1553"/>
      <c r="E688" s="2462"/>
      <c r="F688" s="2462"/>
      <c r="G688" s="2462"/>
      <c r="H688" s="2462"/>
      <c r="I688" s="2462"/>
      <c r="J688" s="2462"/>
      <c r="K688" s="2462"/>
      <c r="L688" s="2462"/>
      <c r="M688" s="2462"/>
      <c r="N688" s="2462"/>
      <c r="O688" s="2462"/>
      <c r="P688" s="2462"/>
      <c r="Q688" s="2462"/>
      <c r="R688" s="2462"/>
      <c r="S688" s="2462"/>
      <c r="T688" s="2462"/>
      <c r="U688" s="2462"/>
      <c r="V688" s="2462"/>
      <c r="W688" s="2462"/>
      <c r="X688" s="2462"/>
      <c r="Y688" s="2462"/>
      <c r="Z688" s="2462"/>
      <c r="AA688" s="2462"/>
      <c r="AB688" s="2462"/>
      <c r="AE688" s="1311"/>
      <c r="AF688" s="1311"/>
      <c r="AG688" s="1311"/>
      <c r="AH688" s="1311"/>
      <c r="AI688" s="1311"/>
      <c r="AM688" s="1223"/>
      <c r="AN688" s="1207"/>
    </row>
    <row r="689" spans="1:42" s="1208" customFormat="1" ht="12" customHeight="1">
      <c r="A689" s="1223"/>
      <c r="C689" s="1553"/>
      <c r="E689" s="1320"/>
      <c r="F689" s="1320"/>
      <c r="G689" s="1320"/>
      <c r="H689" s="1320"/>
      <c r="I689" s="1320"/>
      <c r="J689" s="1320"/>
      <c r="K689" s="1320"/>
      <c r="L689" s="1320"/>
      <c r="M689" s="1320"/>
      <c r="N689" s="1320"/>
      <c r="O689" s="1320"/>
      <c r="P689" s="1320"/>
      <c r="Q689" s="1320"/>
      <c r="R689" s="1320"/>
      <c r="S689" s="1320"/>
      <c r="T689" s="1320"/>
      <c r="U689" s="1320"/>
      <c r="V689" s="1320"/>
      <c r="W689" s="1320"/>
      <c r="X689" s="1320"/>
      <c r="Y689" s="1320"/>
      <c r="Z689" s="1320"/>
      <c r="AA689" s="1320"/>
      <c r="AB689" s="1320"/>
      <c r="AE689" s="1311"/>
      <c r="AF689" s="1311"/>
      <c r="AG689" s="1311"/>
      <c r="AH689" s="1311"/>
      <c r="AI689" s="1311"/>
      <c r="AM689" s="1223"/>
      <c r="AN689" s="1207"/>
    </row>
    <row r="690" spans="1:42" s="1208" customFormat="1" ht="12.75" customHeight="1">
      <c r="A690" s="1223"/>
      <c r="C690" s="1553"/>
      <c r="E690" s="2462" t="s">
        <v>2012</v>
      </c>
      <c r="F690" s="2462"/>
      <c r="G690" s="2462"/>
      <c r="H690" s="2462"/>
      <c r="I690" s="2462"/>
      <c r="J690" s="2462"/>
      <c r="K690" s="2462"/>
      <c r="L690" s="2462"/>
      <c r="M690" s="2462"/>
      <c r="N690" s="2462"/>
      <c r="O690" s="2462"/>
      <c r="P690" s="2462"/>
      <c r="Q690" s="2462"/>
      <c r="R690" s="2462"/>
      <c r="S690" s="2462"/>
      <c r="T690" s="2462"/>
      <c r="U690" s="2462"/>
      <c r="V690" s="2462"/>
      <c r="W690" s="2462"/>
      <c r="X690" s="2462"/>
      <c r="Y690" s="2462"/>
      <c r="Z690" s="2462"/>
      <c r="AA690" s="2462"/>
      <c r="AB690" s="2462"/>
      <c r="AE690" s="1311"/>
      <c r="AF690" s="1311"/>
      <c r="AG690" s="1311"/>
      <c r="AH690" s="1311"/>
      <c r="AI690" s="1311"/>
      <c r="AM690" s="1223"/>
      <c r="AN690" s="1207"/>
    </row>
    <row r="691" spans="1:42" s="1208" customFormat="1" ht="12.75" customHeight="1">
      <c r="A691" s="1223"/>
      <c r="C691" s="1553"/>
      <c r="E691" s="2462"/>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E691" s="1311"/>
      <c r="AF691" s="1311"/>
      <c r="AG691" s="1311"/>
      <c r="AH691" s="1311"/>
      <c r="AI691" s="1311"/>
      <c r="AM691" s="1223"/>
      <c r="AN691" s="1207"/>
    </row>
    <row r="692" spans="1:42" s="1208" customFormat="1" ht="12.75" customHeight="1">
      <c r="A692" s="1223"/>
      <c r="C692" s="155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E692" s="1311"/>
      <c r="AF692" s="1311"/>
      <c r="AG692" s="1311"/>
      <c r="AH692" s="1311"/>
      <c r="AI692" s="1311"/>
      <c r="AM692" s="1223"/>
      <c r="AN692" s="1207"/>
    </row>
    <row r="693" spans="1:42" s="1208" customFormat="1" ht="12.75" customHeight="1">
      <c r="A693" s="1223"/>
      <c r="C693" s="1553"/>
      <c r="E693" s="1320"/>
      <c r="F693" s="1320"/>
      <c r="G693" s="1320"/>
      <c r="H693" s="1320"/>
      <c r="I693" s="1320"/>
      <c r="J693" s="1320"/>
      <c r="K693" s="1320"/>
      <c r="L693" s="1320"/>
      <c r="M693" s="1320"/>
      <c r="N693" s="1320"/>
      <c r="O693" s="1320"/>
      <c r="P693" s="1320"/>
      <c r="Q693" s="1320"/>
      <c r="R693" s="1320"/>
      <c r="S693" s="1320"/>
      <c r="T693" s="1320"/>
      <c r="U693" s="1320"/>
      <c r="V693" s="1320"/>
      <c r="W693" s="1320"/>
      <c r="X693" s="1320"/>
      <c r="Y693" s="1320"/>
      <c r="Z693" s="1320"/>
      <c r="AA693" s="1320"/>
      <c r="AB693" s="1320"/>
      <c r="AE693" s="1311"/>
      <c r="AF693" s="1311"/>
      <c r="AG693" s="1311"/>
      <c r="AH693" s="1311"/>
      <c r="AI693" s="1311"/>
      <c r="AM693" s="1223"/>
      <c r="AN693" s="1207"/>
    </row>
    <row r="694" spans="1:42" s="1208" customFormat="1" ht="12.75" customHeight="1">
      <c r="A694" s="1223"/>
      <c r="C694" s="1553"/>
      <c r="D694" s="1208" t="s">
        <v>1601</v>
      </c>
      <c r="E694" s="1560"/>
      <c r="F694" s="1560"/>
      <c r="G694" s="1560"/>
      <c r="H694" s="2464" t="s">
        <v>618</v>
      </c>
      <c r="I694" s="2464"/>
      <c r="J694" s="1320"/>
      <c r="K694" s="1320"/>
      <c r="L694" s="1320"/>
      <c r="M694" s="1320"/>
      <c r="N694" s="1320"/>
      <c r="O694" s="1320"/>
      <c r="P694" s="1320"/>
      <c r="Q694" s="1320"/>
      <c r="R694" s="1320"/>
      <c r="S694" s="1320"/>
      <c r="T694" s="1320"/>
      <c r="U694" s="1320"/>
      <c r="V694" s="1320"/>
      <c r="W694" s="1320"/>
      <c r="X694" s="1320"/>
      <c r="Y694" s="1320"/>
      <c r="Z694" s="1320"/>
      <c r="AA694" s="1320"/>
      <c r="AB694" s="1320"/>
      <c r="AE694" s="1311"/>
      <c r="AF694" s="1311"/>
      <c r="AG694" s="1311"/>
      <c r="AH694" s="1311"/>
      <c r="AI694" s="1311"/>
      <c r="AM694" s="1223"/>
      <c r="AN694" s="1207"/>
      <c r="AP694" s="1208" t="s">
        <v>1631</v>
      </c>
    </row>
    <row r="695" spans="1:42" s="1208" customFormat="1">
      <c r="A695" s="1223"/>
      <c r="C695" s="1553"/>
      <c r="E695" s="1320"/>
      <c r="F695" s="1320"/>
      <c r="G695" s="1320"/>
      <c r="H695" s="1320"/>
      <c r="I695" s="1320"/>
      <c r="J695" s="1320"/>
      <c r="K695" s="1320"/>
      <c r="L695" s="1320"/>
      <c r="M695" s="1320"/>
      <c r="N695" s="1320"/>
      <c r="O695" s="1320"/>
      <c r="P695" s="1320"/>
      <c r="Q695" s="1320"/>
      <c r="R695" s="1320"/>
      <c r="S695" s="1320"/>
      <c r="T695" s="1320"/>
      <c r="U695" s="1320"/>
      <c r="V695" s="1320"/>
      <c r="W695" s="1320"/>
      <c r="X695" s="1320"/>
      <c r="Y695" s="1320"/>
      <c r="Z695" s="1320"/>
      <c r="AA695" s="1320"/>
      <c r="AB695" s="1320"/>
      <c r="AE695" s="1311"/>
      <c r="AF695" s="1311"/>
      <c r="AG695" s="1311"/>
      <c r="AH695" s="1311"/>
      <c r="AI695" s="1311"/>
      <c r="AM695" s="1223"/>
      <c r="AN695" s="1207"/>
      <c r="AP695" s="1208" t="s">
        <v>1606</v>
      </c>
    </row>
    <row r="696" spans="1:42" s="1208" customFormat="1" ht="12.75" customHeight="1">
      <c r="A696" s="1301"/>
      <c r="B696" s="1293"/>
      <c r="C696" s="1574"/>
      <c r="D696" s="1293"/>
      <c r="E696" s="1293"/>
      <c r="F696" s="1293"/>
      <c r="G696" s="1293"/>
      <c r="H696" s="1293"/>
      <c r="I696" s="1293"/>
      <c r="J696" s="1582"/>
      <c r="K696" s="1582"/>
      <c r="L696" s="1417"/>
      <c r="M696" s="1417"/>
      <c r="N696" s="1417"/>
      <c r="O696" s="1417"/>
      <c r="P696" s="1417"/>
      <c r="Q696" s="1417"/>
      <c r="R696" s="1417"/>
      <c r="S696" s="1417"/>
      <c r="T696" s="1417"/>
      <c r="U696" s="1417"/>
      <c r="V696" s="1417"/>
      <c r="W696" s="1417"/>
      <c r="X696" s="1417"/>
      <c r="Y696" s="1564"/>
      <c r="Z696" s="1564"/>
      <c r="AA696" s="1564"/>
      <c r="AB696" s="1293"/>
      <c r="AC696" s="1293"/>
      <c r="AD696" s="1293"/>
      <c r="AE696" s="1293"/>
      <c r="AF696" s="1293"/>
      <c r="AG696" s="1293"/>
      <c r="AH696" s="1293"/>
      <c r="AI696" s="1240" t="s">
        <v>1632</v>
      </c>
      <c r="AJ696" s="2442">
        <f>VLOOKUP($H$694,$AO$641:$AP$643,2,FALSE)</f>
        <v>0</v>
      </c>
      <c r="AK696" s="2444"/>
      <c r="AL696" s="1268"/>
      <c r="AM696" s="1223"/>
      <c r="AN696" s="1207"/>
      <c r="AP696" s="1208" t="s">
        <v>1613</v>
      </c>
    </row>
    <row r="697" spans="1:42" s="1208" customFormat="1">
      <c r="A697" s="1223"/>
      <c r="AE697" s="1311"/>
      <c r="AF697" s="1311"/>
      <c r="AG697" s="1311"/>
      <c r="AH697" s="1311"/>
      <c r="AI697" s="1311"/>
      <c r="AM697" s="1223"/>
      <c r="AN697" s="1207"/>
      <c r="AP697" s="1208" t="s">
        <v>1633</v>
      </c>
    </row>
    <row r="698" spans="1:42" s="1208" customFormat="1" ht="12.75" customHeight="1">
      <c r="A698" s="1223"/>
      <c r="C698" s="1211" t="s">
        <v>1634</v>
      </c>
      <c r="D698" s="1440"/>
      <c r="AE698" s="1311"/>
      <c r="AF698" s="1311"/>
      <c r="AG698" s="1311"/>
      <c r="AH698" s="1311"/>
      <c r="AI698" s="1311"/>
      <c r="AM698" s="1223"/>
      <c r="AN698" s="1207"/>
      <c r="AP698" s="1208" t="s">
        <v>1635</v>
      </c>
    </row>
    <row r="699" spans="1:42" s="1208" customFormat="1" ht="12.75" customHeight="1">
      <c r="A699" s="1223"/>
      <c r="C699" s="1553"/>
      <c r="AE699" s="1311"/>
      <c r="AF699" s="1311"/>
      <c r="AG699" s="1311"/>
      <c r="AH699" s="1311"/>
      <c r="AI699" s="1311"/>
      <c r="AM699" s="1223"/>
      <c r="AN699" s="1207"/>
      <c r="AP699" s="1208" t="s">
        <v>1636</v>
      </c>
    </row>
    <row r="700" spans="1:42" s="1208" customFormat="1" ht="12.75" customHeight="1">
      <c r="A700" s="1386"/>
      <c r="C700" s="1553"/>
      <c r="D700" s="1318" t="s">
        <v>715</v>
      </c>
      <c r="E700" s="2466" t="s">
        <v>2015</v>
      </c>
      <c r="F700" s="2466"/>
      <c r="G700" s="2466"/>
      <c r="H700" s="2466"/>
      <c r="I700" s="2466"/>
      <c r="J700" s="2466"/>
      <c r="K700" s="2466"/>
      <c r="L700" s="2466"/>
      <c r="M700" s="2466"/>
      <c r="N700" s="2466"/>
      <c r="O700" s="2466"/>
      <c r="P700" s="2466"/>
      <c r="Q700" s="2466"/>
      <c r="R700" s="2466"/>
      <c r="S700" s="2466"/>
      <c r="T700" s="2466"/>
      <c r="U700" s="2466"/>
      <c r="V700" s="2466"/>
      <c r="W700" s="2466"/>
      <c r="X700" s="2466"/>
      <c r="Y700" s="2466"/>
      <c r="Z700" s="2466"/>
      <c r="AA700" s="2466"/>
      <c r="AB700" s="2466"/>
      <c r="AF700" s="2463" t="s">
        <v>1553</v>
      </c>
      <c r="AG700" s="2463"/>
      <c r="AH700" s="2463"/>
      <c r="AI700" s="2463"/>
      <c r="AJ700" s="2463"/>
      <c r="AK700" s="2463"/>
      <c r="AL700" s="2463"/>
      <c r="AM700" s="1223"/>
      <c r="AN700" s="1207"/>
      <c r="AP700" s="1208" t="s">
        <v>1637</v>
      </c>
    </row>
    <row r="701" spans="1:42" s="1208" customFormat="1" ht="11.85" customHeight="1">
      <c r="A701" s="1223"/>
      <c r="C701" s="1555"/>
      <c r="D701" s="1318"/>
      <c r="E701" s="2466"/>
      <c r="F701" s="2466"/>
      <c r="G701" s="2466"/>
      <c r="H701" s="2466"/>
      <c r="I701" s="2466"/>
      <c r="J701" s="2466"/>
      <c r="K701" s="2466"/>
      <c r="L701" s="2466"/>
      <c r="M701" s="2466"/>
      <c r="N701" s="2466"/>
      <c r="O701" s="2466"/>
      <c r="P701" s="2466"/>
      <c r="Q701" s="2466"/>
      <c r="R701" s="2466"/>
      <c r="S701" s="2466"/>
      <c r="T701" s="2466"/>
      <c r="U701" s="2466"/>
      <c r="V701" s="2466"/>
      <c r="W701" s="2466"/>
      <c r="X701" s="2466"/>
      <c r="Y701" s="2466"/>
      <c r="Z701" s="2466"/>
      <c r="AA701" s="2466"/>
      <c r="AB701" s="2466"/>
      <c r="AM701" s="1223"/>
      <c r="AN701" s="1207"/>
      <c r="AP701" s="1208" t="s">
        <v>1638</v>
      </c>
    </row>
    <row r="702" spans="1:42" s="1208" customFormat="1" ht="13.9" customHeight="1">
      <c r="A702" s="1223"/>
      <c r="B702" s="1305"/>
      <c r="C702" s="1553"/>
      <c r="D702" s="1318"/>
      <c r="E702" s="2466"/>
      <c r="F702" s="2466"/>
      <c r="G702" s="2466"/>
      <c r="H702" s="2466"/>
      <c r="I702" s="2466"/>
      <c r="J702" s="2466"/>
      <c r="K702" s="2466"/>
      <c r="L702" s="2466"/>
      <c r="M702" s="2466"/>
      <c r="N702" s="2466"/>
      <c r="O702" s="2466"/>
      <c r="P702" s="2466"/>
      <c r="Q702" s="2466"/>
      <c r="R702" s="2466"/>
      <c r="S702" s="2466"/>
      <c r="T702" s="2466"/>
      <c r="U702" s="2466"/>
      <c r="V702" s="2466"/>
      <c r="W702" s="2466"/>
      <c r="X702" s="2466"/>
      <c r="Y702" s="2466"/>
      <c r="Z702" s="2466"/>
      <c r="AA702" s="2466"/>
      <c r="AB702" s="2466"/>
      <c r="AE702" s="1311"/>
      <c r="AM702" s="1223"/>
      <c r="AN702" s="1207"/>
      <c r="AP702" s="1208" t="s">
        <v>1639</v>
      </c>
    </row>
    <row r="703" spans="1:42" s="1208" customFormat="1" ht="13.9" customHeight="1">
      <c r="A703" s="1223"/>
      <c r="B703" s="1305"/>
      <c r="C703" s="1553"/>
      <c r="D703" s="1318"/>
      <c r="E703" s="1560"/>
      <c r="F703" s="1560"/>
      <c r="G703" s="1560"/>
      <c r="H703" s="1560"/>
      <c r="I703" s="1560"/>
      <c r="J703" s="1560"/>
      <c r="K703" s="1560"/>
      <c r="L703" s="1560"/>
      <c r="M703" s="1560"/>
      <c r="N703" s="1560"/>
      <c r="O703" s="1560"/>
      <c r="P703" s="1560"/>
      <c r="Q703" s="1560"/>
      <c r="R703" s="1560"/>
      <c r="S703" s="1560"/>
      <c r="T703" s="1560"/>
      <c r="U703" s="1560"/>
      <c r="V703" s="1560"/>
      <c r="W703" s="1560"/>
      <c r="X703" s="1560"/>
      <c r="Y703" s="1560"/>
      <c r="Z703" s="1560"/>
      <c r="AA703" s="1560"/>
      <c r="AB703" s="1560"/>
      <c r="AE703" s="1311"/>
      <c r="AM703" s="1223"/>
      <c r="AN703" s="1207"/>
      <c r="AP703" s="1318" t="s">
        <v>1641</v>
      </c>
    </row>
    <row r="704" spans="1:42" s="1208" customFormat="1" ht="13.9" customHeight="1">
      <c r="A704" s="1223"/>
      <c r="C704" s="1553"/>
      <c r="D704" s="1318" t="s">
        <v>535</v>
      </c>
      <c r="E704" s="2467" t="s">
        <v>1640</v>
      </c>
      <c r="F704" s="2467"/>
      <c r="G704" s="2467"/>
      <c r="H704" s="2467"/>
      <c r="I704" s="2467"/>
      <c r="J704" s="2467"/>
      <c r="K704" s="2467"/>
      <c r="L704" s="2467"/>
      <c r="M704" s="2467"/>
      <c r="N704" s="2467"/>
      <c r="O704" s="2467"/>
      <c r="P704" s="2467"/>
      <c r="Q704" s="2467"/>
      <c r="R704" s="2467"/>
      <c r="S704" s="2467"/>
      <c r="T704" s="2467"/>
      <c r="U704" s="2467"/>
      <c r="V704" s="2467"/>
      <c r="W704" s="2467"/>
      <c r="X704" s="2467"/>
      <c r="Y704" s="2467"/>
      <c r="Z704" s="2467"/>
      <c r="AA704" s="2467"/>
      <c r="AB704" s="2467"/>
      <c r="AF704" s="2463" t="s">
        <v>1609</v>
      </c>
      <c r="AG704" s="2463"/>
      <c r="AH704" s="2463"/>
      <c r="AI704" s="2463"/>
      <c r="AJ704" s="2463"/>
      <c r="AK704" s="2463"/>
      <c r="AL704" s="2463"/>
      <c r="AM704" s="1223"/>
      <c r="AN704" s="1583"/>
    </row>
    <row r="705" spans="1:52" s="1208" customFormat="1" ht="12.75" customHeight="1">
      <c r="A705" s="1223"/>
      <c r="C705" s="1555"/>
      <c r="E705" s="2467"/>
      <c r="F705" s="2467"/>
      <c r="G705" s="2467"/>
      <c r="H705" s="2467"/>
      <c r="I705" s="2467"/>
      <c r="J705" s="2467"/>
      <c r="K705" s="2467"/>
      <c r="L705" s="2467"/>
      <c r="M705" s="2467"/>
      <c r="N705" s="2467"/>
      <c r="O705" s="2467"/>
      <c r="P705" s="2467"/>
      <c r="Q705" s="2467"/>
      <c r="R705" s="2467"/>
      <c r="S705" s="2467"/>
      <c r="T705" s="2467"/>
      <c r="U705" s="2467"/>
      <c r="V705" s="2467"/>
      <c r="W705" s="2467"/>
      <c r="X705" s="2467"/>
      <c r="Y705" s="2467"/>
      <c r="Z705" s="2467"/>
      <c r="AA705" s="2467"/>
      <c r="AB705" s="2467"/>
      <c r="AM705" s="1223"/>
      <c r="AN705" s="1207"/>
      <c r="AP705" s="1223" t="s">
        <v>618</v>
      </c>
      <c r="AQ705" s="1556">
        <v>0</v>
      </c>
    </row>
    <row r="706" spans="1:52" s="1208" customFormat="1" ht="13.9" customHeight="1">
      <c r="A706" s="1223"/>
      <c r="C706" s="1555"/>
      <c r="E706" s="2467"/>
      <c r="F706" s="2467"/>
      <c r="G706" s="2467"/>
      <c r="H706" s="2467"/>
      <c r="I706" s="2467"/>
      <c r="J706" s="2467"/>
      <c r="K706" s="2467"/>
      <c r="L706" s="2467"/>
      <c r="M706" s="2467"/>
      <c r="N706" s="2467"/>
      <c r="O706" s="2467"/>
      <c r="P706" s="2467"/>
      <c r="Q706" s="2467"/>
      <c r="R706" s="2467"/>
      <c r="S706" s="2467"/>
      <c r="T706" s="2467"/>
      <c r="U706" s="2467"/>
      <c r="V706" s="2467"/>
      <c r="W706" s="2467"/>
      <c r="X706" s="2467"/>
      <c r="Y706" s="2467"/>
      <c r="Z706" s="2467"/>
      <c r="AA706" s="2467"/>
      <c r="AB706" s="2467"/>
      <c r="AM706" s="1223"/>
      <c r="AN706" s="1207"/>
      <c r="AP706" s="1306" t="s">
        <v>715</v>
      </c>
      <c r="AQ706" s="1223">
        <v>2</v>
      </c>
    </row>
    <row r="707" spans="1:52" s="1208" customFormat="1" ht="13.9" customHeight="1">
      <c r="A707" s="1223"/>
      <c r="C707" s="1555"/>
      <c r="E707" s="1203"/>
      <c r="F707" s="1203"/>
      <c r="G707" s="1203"/>
      <c r="H707" s="1203"/>
      <c r="I707" s="1203"/>
      <c r="J707" s="1203"/>
      <c r="K707" s="1203"/>
      <c r="L707" s="1203"/>
      <c r="M707" s="1203"/>
      <c r="N707" s="1203"/>
      <c r="O707" s="1203"/>
      <c r="P707" s="1203"/>
      <c r="Q707" s="1203"/>
      <c r="R707" s="1203"/>
      <c r="S707" s="1203"/>
      <c r="T707" s="1203"/>
      <c r="U707" s="1203"/>
      <c r="V707" s="1203"/>
      <c r="W707" s="1203"/>
      <c r="X707" s="1203"/>
      <c r="Y707" s="1203"/>
      <c r="Z707" s="1203"/>
      <c r="AA707" s="1203"/>
      <c r="AB707" s="1203"/>
      <c r="AM707" s="1223"/>
      <c r="AN707" s="1207"/>
      <c r="AP707" s="1306" t="s">
        <v>535</v>
      </c>
      <c r="AQ707" s="1223">
        <v>3</v>
      </c>
    </row>
    <row r="708" spans="1:52" s="1208" customFormat="1" ht="13.9" customHeight="1">
      <c r="A708" s="1223"/>
      <c r="C708" s="1555"/>
      <c r="D708" s="1208" t="s">
        <v>1601</v>
      </c>
      <c r="E708" s="1560"/>
      <c r="F708" s="1560"/>
      <c r="G708" s="1560"/>
      <c r="H708" s="2464" t="s">
        <v>618</v>
      </c>
      <c r="I708" s="2464"/>
      <c r="J708" s="1203"/>
      <c r="K708" s="1203"/>
      <c r="L708" s="1203"/>
      <c r="M708" s="1203"/>
      <c r="N708" s="1203"/>
      <c r="O708" s="1203"/>
      <c r="P708" s="1203"/>
      <c r="Q708" s="1203"/>
      <c r="R708" s="1203"/>
      <c r="S708" s="1203"/>
      <c r="T708" s="1203"/>
      <c r="U708" s="1203"/>
      <c r="V708" s="1203"/>
      <c r="W708" s="1203"/>
      <c r="X708" s="1203"/>
      <c r="Y708" s="1203"/>
      <c r="Z708" s="1203"/>
      <c r="AA708" s="1203"/>
      <c r="AB708" s="1203"/>
      <c r="AM708" s="1223"/>
      <c r="AN708" s="1207"/>
    </row>
    <row r="709" spans="1:52" s="1208" customFormat="1" ht="14.25" customHeight="1">
      <c r="A709" s="1223"/>
      <c r="C709" s="1555"/>
      <c r="E709" s="1203"/>
      <c r="F709" s="1203"/>
      <c r="G709" s="1203"/>
      <c r="H709" s="1203"/>
      <c r="I709" s="1203"/>
      <c r="J709" s="1203"/>
      <c r="K709" s="1203"/>
      <c r="L709" s="1203"/>
      <c r="M709" s="1203"/>
      <c r="N709" s="1203"/>
      <c r="O709" s="1203"/>
      <c r="P709" s="1203"/>
      <c r="Q709" s="1203"/>
      <c r="R709" s="1203"/>
      <c r="S709" s="1203"/>
      <c r="T709" s="1203"/>
      <c r="U709" s="1203"/>
      <c r="V709" s="1203"/>
      <c r="W709" s="1203"/>
      <c r="X709" s="1203"/>
      <c r="Y709" s="1203"/>
      <c r="Z709" s="1203"/>
      <c r="AA709" s="1203"/>
      <c r="AB709" s="1203"/>
      <c r="AM709" s="1223"/>
      <c r="AN709" s="1207"/>
    </row>
    <row r="710" spans="1:52" s="1208" customFormat="1" ht="12.75" customHeight="1">
      <c r="A710" s="1301"/>
      <c r="B710" s="1293"/>
      <c r="C710" s="1563"/>
      <c r="D710" s="1293"/>
      <c r="E710" s="1293"/>
      <c r="F710" s="1293"/>
      <c r="G710" s="1293"/>
      <c r="H710" s="1293"/>
      <c r="I710" s="1293"/>
      <c r="J710" s="997"/>
      <c r="K710" s="997"/>
      <c r="L710" s="997"/>
      <c r="M710" s="997"/>
      <c r="N710" s="997"/>
      <c r="O710" s="997"/>
      <c r="P710" s="997"/>
      <c r="Q710" s="997"/>
      <c r="R710" s="997"/>
      <c r="S710" s="997"/>
      <c r="T710" s="997"/>
      <c r="U710" s="1417"/>
      <c r="V710" s="1417"/>
      <c r="W710" s="1417"/>
      <c r="X710" s="1417"/>
      <c r="Y710" s="1564"/>
      <c r="Z710" s="1564"/>
      <c r="AA710" s="1564"/>
      <c r="AB710" s="1293"/>
      <c r="AC710" s="1293"/>
      <c r="AD710" s="1293"/>
      <c r="AE710" s="1293"/>
      <c r="AF710" s="1293"/>
      <c r="AG710" s="1293"/>
      <c r="AH710" s="1293"/>
      <c r="AI710" s="1240" t="s">
        <v>1642</v>
      </c>
      <c r="AJ710" s="2442">
        <f>VLOOKUP($H$708,$AO$641:$AP$643,2,FALSE)</f>
        <v>0</v>
      </c>
      <c r="AK710" s="2444"/>
      <c r="AL710" s="1268"/>
      <c r="AM710" s="1223"/>
      <c r="AN710" s="1207"/>
      <c r="AP710" s="2442"/>
      <c r="AQ710" s="2444"/>
    </row>
    <row r="711" spans="1:52" s="1208" customFormat="1">
      <c r="A711" s="1223"/>
      <c r="B711" s="1305"/>
      <c r="C711" s="1553"/>
      <c r="D711" s="1558"/>
      <c r="E711" s="1311"/>
      <c r="F711" s="1311"/>
      <c r="G711" s="1311"/>
      <c r="H711" s="1311"/>
      <c r="I711" s="1311"/>
      <c r="J711" s="1311"/>
      <c r="K711" s="1311"/>
      <c r="L711" s="1311"/>
      <c r="M711" s="1311"/>
      <c r="N711" s="1311"/>
      <c r="O711" s="1311"/>
      <c r="P711" s="1311"/>
      <c r="Q711" s="1311"/>
      <c r="R711" s="1311"/>
      <c r="S711" s="1311"/>
      <c r="T711" s="1311"/>
      <c r="U711" s="1311"/>
      <c r="V711" s="1311"/>
      <c r="W711" s="1311"/>
      <c r="X711" s="1311"/>
      <c r="Y711" s="1311"/>
      <c r="Z711" s="1311"/>
      <c r="AA711" s="1311"/>
      <c r="AB711" s="1311"/>
      <c r="AM711" s="1223"/>
      <c r="AN711" s="1207"/>
      <c r="AT711" s="1206"/>
      <c r="AU711" s="1206"/>
      <c r="AV711" s="1206"/>
      <c r="AW711" s="1206"/>
      <c r="AX711" s="1206"/>
      <c r="AY711" s="1206"/>
      <c r="AZ711" s="1206"/>
    </row>
    <row r="712" spans="1:52" s="1208" customFormat="1">
      <c r="A712" s="1223"/>
      <c r="C712" s="1211" t="s">
        <v>1643</v>
      </c>
      <c r="D712" s="1584"/>
      <c r="E712" s="1311"/>
      <c r="F712" s="1311"/>
      <c r="G712" s="1311"/>
      <c r="H712" s="1311"/>
      <c r="I712" s="1311"/>
      <c r="J712" s="1311"/>
      <c r="K712" s="1311"/>
      <c r="L712" s="1311"/>
      <c r="M712" s="1311"/>
      <c r="N712" s="1311"/>
      <c r="O712" s="1311"/>
      <c r="P712" s="1311"/>
      <c r="Q712" s="1311"/>
      <c r="R712" s="1311"/>
      <c r="S712" s="1311"/>
      <c r="T712" s="1311"/>
      <c r="U712" s="1311"/>
      <c r="V712" s="1311"/>
      <c r="W712" s="1311"/>
      <c r="X712" s="1311"/>
      <c r="Y712" s="1311"/>
      <c r="Z712" s="1311"/>
      <c r="AA712" s="1311"/>
      <c r="AB712" s="1311"/>
      <c r="AM712" s="1223"/>
      <c r="AN712" s="1207"/>
      <c r="AT712" s="1206"/>
      <c r="AU712" s="1206"/>
      <c r="AV712" s="1206"/>
      <c r="AW712" s="1206"/>
      <c r="AX712" s="1206"/>
      <c r="AY712" s="1206"/>
      <c r="AZ712" s="1206"/>
    </row>
    <row r="713" spans="1:52" s="1208" customFormat="1">
      <c r="A713" s="1223"/>
      <c r="B713" s="1305"/>
      <c r="C713" s="1553"/>
      <c r="D713" s="1558"/>
      <c r="E713" s="1311"/>
      <c r="F713" s="1311"/>
      <c r="G713" s="1311"/>
      <c r="H713" s="1311"/>
      <c r="I713" s="1311"/>
      <c r="J713" s="1311"/>
      <c r="K713" s="1311"/>
      <c r="L713" s="1311"/>
      <c r="M713" s="1311"/>
      <c r="N713" s="1311"/>
      <c r="O713" s="1311"/>
      <c r="P713" s="1311"/>
      <c r="Q713" s="1311"/>
      <c r="R713" s="1311"/>
      <c r="S713" s="1311"/>
      <c r="T713" s="1311"/>
      <c r="U713" s="1311"/>
      <c r="V713" s="1311"/>
      <c r="W713" s="1311"/>
      <c r="X713" s="1311"/>
      <c r="Y713" s="1311"/>
      <c r="Z713" s="1311"/>
      <c r="AA713" s="1311"/>
      <c r="AB713" s="1311"/>
      <c r="AM713" s="1223"/>
      <c r="AN713" s="1207"/>
      <c r="AT713" s="1206"/>
      <c r="AU713" s="1206"/>
      <c r="AV713" s="1206"/>
      <c r="AW713" s="1206"/>
      <c r="AX713" s="1206"/>
      <c r="AY713" s="1206"/>
      <c r="AZ713" s="1206"/>
    </row>
    <row r="714" spans="1:52" s="1208" customFormat="1">
      <c r="A714" s="1223"/>
      <c r="C714" s="1553"/>
      <c r="D714" s="1318" t="s">
        <v>715</v>
      </c>
      <c r="E714" s="2462" t="s">
        <v>2016</v>
      </c>
      <c r="F714" s="2462"/>
      <c r="G714" s="2462"/>
      <c r="H714" s="2462"/>
      <c r="I714" s="2462"/>
      <c r="J714" s="2462"/>
      <c r="K714" s="2462"/>
      <c r="L714" s="2462"/>
      <c r="M714" s="2462"/>
      <c r="N714" s="2462"/>
      <c r="O714" s="2462"/>
      <c r="P714" s="2462"/>
      <c r="Q714" s="2462"/>
      <c r="R714" s="2462"/>
      <c r="S714" s="2462"/>
      <c r="T714" s="2462"/>
      <c r="U714" s="2462"/>
      <c r="V714" s="2462"/>
      <c r="W714" s="2462"/>
      <c r="X714" s="2462"/>
      <c r="Y714" s="2462"/>
      <c r="Z714" s="2462"/>
      <c r="AA714" s="2462"/>
      <c r="AB714" s="2462"/>
      <c r="AF714" s="2463" t="s">
        <v>1553</v>
      </c>
      <c r="AG714" s="2463"/>
      <c r="AH714" s="2463"/>
      <c r="AI714" s="2463"/>
      <c r="AJ714" s="2463"/>
      <c r="AK714" s="2463"/>
      <c r="AL714" s="2463"/>
      <c r="AM714" s="1223"/>
      <c r="AN714" s="1207"/>
      <c r="AT714" s="1206"/>
      <c r="AU714" s="1206"/>
      <c r="AV714" s="1206"/>
      <c r="AW714" s="1206"/>
      <c r="AX714" s="1206"/>
      <c r="AY714" s="1206"/>
      <c r="AZ714" s="1206"/>
    </row>
    <row r="715" spans="1:52" s="1208" customFormat="1">
      <c r="A715" s="1223"/>
      <c r="C715" s="1555"/>
      <c r="D715" s="1318"/>
      <c r="E715" s="2462"/>
      <c r="F715" s="2462"/>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M715" s="1223"/>
      <c r="AN715" s="1207"/>
      <c r="AT715" s="1206"/>
      <c r="AU715" s="1206"/>
      <c r="AV715" s="1206"/>
      <c r="AW715" s="1206"/>
      <c r="AX715" s="1206"/>
      <c r="AY715" s="1206"/>
      <c r="AZ715" s="1206"/>
    </row>
    <row r="716" spans="1:52" s="1208" customFormat="1">
      <c r="A716" s="1223"/>
      <c r="B716" s="1305"/>
      <c r="C716" s="1553"/>
      <c r="D716" s="1318"/>
      <c r="E716" s="1311"/>
      <c r="F716" s="1311"/>
      <c r="G716" s="1311"/>
      <c r="H716" s="1311"/>
      <c r="I716" s="1311"/>
      <c r="J716" s="1311"/>
      <c r="K716" s="1311"/>
      <c r="L716" s="1311"/>
      <c r="M716" s="1311"/>
      <c r="N716" s="1311"/>
      <c r="O716" s="1311"/>
      <c r="P716" s="1311"/>
      <c r="Q716" s="1311"/>
      <c r="R716" s="1311"/>
      <c r="S716" s="1311"/>
      <c r="T716" s="1311"/>
      <c r="U716" s="1311"/>
      <c r="V716" s="1311"/>
      <c r="W716" s="1311"/>
      <c r="X716" s="1311"/>
      <c r="Y716" s="1311"/>
      <c r="Z716" s="1311"/>
      <c r="AA716" s="1311"/>
      <c r="AB716" s="1311"/>
      <c r="AM716" s="1223"/>
      <c r="AN716" s="1207"/>
      <c r="AT716" s="1206"/>
      <c r="AU716" s="1206"/>
      <c r="AV716" s="1206"/>
      <c r="AW716" s="1206"/>
      <c r="AX716" s="1206"/>
      <c r="AY716" s="1206"/>
      <c r="AZ716" s="1206"/>
    </row>
    <row r="717" spans="1:52" s="1208" customFormat="1" ht="12.75" customHeight="1">
      <c r="A717" s="1223"/>
      <c r="C717" s="1553"/>
      <c r="D717" s="1318" t="s">
        <v>535</v>
      </c>
      <c r="E717" s="2462" t="s">
        <v>1644</v>
      </c>
      <c r="F717" s="2462"/>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F717" s="2463" t="s">
        <v>1609</v>
      </c>
      <c r="AG717" s="2463"/>
      <c r="AH717" s="2463"/>
      <c r="AI717" s="2463"/>
      <c r="AJ717" s="2463"/>
      <c r="AK717" s="2463"/>
      <c r="AL717" s="2463"/>
      <c r="AM717" s="1223"/>
      <c r="AN717" s="1207"/>
      <c r="AT717" s="1206"/>
      <c r="AU717" s="1206"/>
      <c r="AV717" s="1206"/>
      <c r="AW717" s="1206"/>
      <c r="AX717" s="1206"/>
      <c r="AY717" s="1206"/>
      <c r="AZ717" s="1206"/>
    </row>
    <row r="718" spans="1:52" s="1208" customFormat="1">
      <c r="A718" s="1223"/>
      <c r="C718" s="1555"/>
      <c r="E718" s="2462"/>
      <c r="F718" s="2462"/>
      <c r="G718" s="2462"/>
      <c r="H718" s="2462"/>
      <c r="I718" s="2462"/>
      <c r="J718" s="2462"/>
      <c r="K718" s="2462"/>
      <c r="L718" s="2462"/>
      <c r="M718" s="2462"/>
      <c r="N718" s="2462"/>
      <c r="O718" s="2462"/>
      <c r="P718" s="2462"/>
      <c r="Q718" s="2462"/>
      <c r="R718" s="2462"/>
      <c r="S718" s="2462"/>
      <c r="T718" s="2462"/>
      <c r="U718" s="2462"/>
      <c r="V718" s="2462"/>
      <c r="W718" s="2462"/>
      <c r="X718" s="2462"/>
      <c r="Y718" s="2462"/>
      <c r="Z718" s="2462"/>
      <c r="AA718" s="2462"/>
      <c r="AB718" s="2462"/>
      <c r="AM718" s="1223"/>
      <c r="AN718" s="1207"/>
      <c r="AT718" s="1206"/>
      <c r="AU718" s="1206"/>
      <c r="AV718" s="1206"/>
      <c r="AW718" s="1206"/>
      <c r="AX718" s="1206"/>
      <c r="AY718" s="1206"/>
      <c r="AZ718" s="1206"/>
    </row>
    <row r="719" spans="1:52" s="1208" customFormat="1">
      <c r="A719" s="1223"/>
      <c r="C719" s="1555"/>
      <c r="E719" s="1320"/>
      <c r="F719" s="1320"/>
      <c r="G719" s="1320"/>
      <c r="H719" s="1320"/>
      <c r="I719" s="1320"/>
      <c r="J719" s="1320"/>
      <c r="K719" s="1320"/>
      <c r="L719" s="1320"/>
      <c r="M719" s="1320"/>
      <c r="N719" s="1320"/>
      <c r="O719" s="1320"/>
      <c r="P719" s="1320"/>
      <c r="Q719" s="1320"/>
      <c r="R719" s="1320"/>
      <c r="S719" s="1320"/>
      <c r="T719" s="1320"/>
      <c r="U719" s="1320"/>
      <c r="V719" s="1320"/>
      <c r="W719" s="1320"/>
      <c r="X719" s="1320"/>
      <c r="Y719" s="1320"/>
      <c r="Z719" s="1320"/>
      <c r="AA719" s="1320"/>
      <c r="AB719" s="1320"/>
      <c r="AM719" s="1223"/>
      <c r="AN719" s="1207"/>
      <c r="AT719" s="1206"/>
      <c r="AU719" s="1206"/>
      <c r="AV719" s="1206"/>
      <c r="AW719" s="1206"/>
      <c r="AX719" s="1206"/>
      <c r="AY719" s="1206"/>
      <c r="AZ719" s="1206"/>
    </row>
    <row r="720" spans="1:52" s="1208" customFormat="1" ht="12.75" customHeight="1">
      <c r="A720" s="1223"/>
      <c r="C720" s="1555"/>
      <c r="D720" s="1208" t="s">
        <v>1601</v>
      </c>
      <c r="E720" s="1560"/>
      <c r="F720" s="1560"/>
      <c r="G720" s="1560"/>
      <c r="H720" s="2464" t="s">
        <v>618</v>
      </c>
      <c r="I720" s="2464"/>
      <c r="J720" s="1320"/>
      <c r="K720" s="1320"/>
      <c r="L720" s="1320"/>
      <c r="M720" s="1320"/>
      <c r="N720" s="1320"/>
      <c r="O720" s="1320"/>
      <c r="P720" s="1320"/>
      <c r="Q720" s="1320"/>
      <c r="R720" s="1320"/>
      <c r="S720" s="1320"/>
      <c r="T720" s="1320"/>
      <c r="U720" s="1320"/>
      <c r="V720" s="1320"/>
      <c r="W720" s="1320"/>
      <c r="X720" s="1320"/>
      <c r="Y720" s="1320"/>
      <c r="Z720" s="1320"/>
      <c r="AA720" s="1320"/>
      <c r="AB720" s="1320"/>
      <c r="AM720" s="1223"/>
      <c r="AN720" s="1207"/>
      <c r="AT720" s="1206"/>
      <c r="AU720" s="1206"/>
      <c r="AV720" s="1206"/>
      <c r="AW720" s="1206"/>
      <c r="AX720" s="1206"/>
      <c r="AY720" s="1206"/>
      <c r="AZ720" s="1206"/>
    </row>
    <row r="721" spans="1:81" s="1208" customFormat="1">
      <c r="A721" s="1223"/>
      <c r="C721" s="1555"/>
      <c r="E721" s="1320"/>
      <c r="F721" s="1320"/>
      <c r="G721" s="1320"/>
      <c r="H721" s="1320"/>
      <c r="I721" s="1320"/>
      <c r="J721" s="1320"/>
      <c r="K721" s="1320"/>
      <c r="L721" s="1320"/>
      <c r="M721" s="1320"/>
      <c r="N721" s="1320"/>
      <c r="O721" s="1320"/>
      <c r="P721" s="1320"/>
      <c r="Q721" s="1320"/>
      <c r="R721" s="1320"/>
      <c r="S721" s="1320"/>
      <c r="T721" s="1320"/>
      <c r="U721" s="1320"/>
      <c r="V721" s="1320"/>
      <c r="W721" s="1320"/>
      <c r="X721" s="1320"/>
      <c r="Y721" s="1320"/>
      <c r="Z721" s="1320"/>
      <c r="AA721" s="1320"/>
      <c r="AB721" s="1320"/>
      <c r="AM721" s="1223"/>
      <c r="AN721" s="1207"/>
      <c r="AS721" s="1206"/>
      <c r="AT721" s="1206"/>
      <c r="AU721" s="1206"/>
      <c r="AV721" s="1206"/>
      <c r="AW721" s="1206"/>
      <c r="AX721" s="1206"/>
      <c r="AY721" s="1206"/>
      <c r="AZ721" s="1206"/>
      <c r="BA721" s="1206"/>
      <c r="BB721" s="1206"/>
      <c r="BC721" s="1206"/>
      <c r="BD721" s="1370"/>
      <c r="BE721" s="1370"/>
      <c r="BF721" s="1370"/>
      <c r="BG721" s="1370"/>
      <c r="BH721" s="1370"/>
      <c r="BI721" s="1206"/>
      <c r="BJ721" s="1206"/>
      <c r="BK721" s="1206"/>
      <c r="BL721" s="1206"/>
      <c r="BM721" s="1206"/>
      <c r="BN721" s="1206"/>
      <c r="BO721" s="1206"/>
      <c r="BP721" s="1206"/>
      <c r="BQ721" s="1206"/>
      <c r="BR721" s="1206"/>
      <c r="BS721" s="1206"/>
      <c r="BT721" s="1206"/>
      <c r="BU721" s="1206"/>
      <c r="BV721" s="1206"/>
      <c r="BW721" s="1206"/>
      <c r="BX721" s="1206"/>
      <c r="BY721" s="1206"/>
      <c r="BZ721" s="1206"/>
      <c r="CA721" s="1206"/>
      <c r="CB721" s="1206"/>
      <c r="CC721" s="1206"/>
    </row>
    <row r="722" spans="1:81" s="1208" customFormat="1">
      <c r="A722" s="1301"/>
      <c r="B722" s="1293"/>
      <c r="C722" s="1563"/>
      <c r="D722" s="1293"/>
      <c r="E722" s="1582"/>
      <c r="F722" s="1582"/>
      <c r="G722" s="1582"/>
      <c r="H722" s="1582"/>
      <c r="I722" s="1582"/>
      <c r="J722" s="1582"/>
      <c r="K722" s="1582"/>
      <c r="L722" s="1582"/>
      <c r="M722" s="1582"/>
      <c r="N722" s="1582"/>
      <c r="O722" s="1582"/>
      <c r="P722" s="1582"/>
      <c r="Q722" s="1582"/>
      <c r="R722" s="1582"/>
      <c r="S722" s="1582"/>
      <c r="T722" s="1582"/>
      <c r="U722" s="1582"/>
      <c r="V722" s="1417"/>
      <c r="W722" s="1417"/>
      <c r="X722" s="1417"/>
      <c r="Y722" s="1564"/>
      <c r="Z722" s="1564"/>
      <c r="AA722" s="1564"/>
      <c r="AB722" s="1293"/>
      <c r="AC722" s="1293"/>
      <c r="AD722" s="1293"/>
      <c r="AE722" s="1293"/>
      <c r="AF722" s="1293"/>
      <c r="AG722" s="1293"/>
      <c r="AH722" s="1293"/>
      <c r="AI722" s="1240" t="s">
        <v>1645</v>
      </c>
      <c r="AJ722" s="2442">
        <f>VLOOKUP($H$720,$AO$655:$AP$657,2,FALSE)</f>
        <v>0</v>
      </c>
      <c r="AK722" s="2444"/>
      <c r="AL722" s="1268"/>
      <c r="AM722" s="1223"/>
      <c r="AN722" s="1207"/>
      <c r="AS722" s="1206"/>
      <c r="AT722" s="1206"/>
      <c r="AU722" s="1206"/>
      <c r="AV722" s="1206"/>
      <c r="AW722" s="1206"/>
      <c r="AX722" s="1206"/>
      <c r="AY722" s="1206"/>
      <c r="AZ722" s="1206"/>
      <c r="BA722" s="1206"/>
      <c r="BB722" s="1206"/>
      <c r="BC722" s="1206"/>
      <c r="BD722" s="1370"/>
      <c r="BE722" s="1370"/>
      <c r="BF722" s="1370"/>
      <c r="BG722" s="1370"/>
      <c r="BH722" s="1370"/>
      <c r="BI722" s="1206"/>
      <c r="BJ722" s="1206"/>
      <c r="BK722" s="1206"/>
      <c r="BL722" s="1206"/>
      <c r="BM722" s="1206"/>
      <c r="BN722" s="1206"/>
      <c r="BO722" s="1206"/>
      <c r="BP722" s="1206"/>
      <c r="BQ722" s="1206"/>
      <c r="BR722" s="1206"/>
      <c r="BS722" s="1206"/>
      <c r="BT722" s="1206"/>
      <c r="BU722" s="1206"/>
      <c r="BV722" s="1206"/>
      <c r="BW722" s="1206"/>
      <c r="BX722" s="1206"/>
      <c r="BY722" s="1206"/>
      <c r="BZ722" s="1206"/>
      <c r="CA722" s="1206"/>
      <c r="CB722" s="1206"/>
      <c r="CC722" s="1206"/>
    </row>
    <row r="723" spans="1:81" s="1208" customFormat="1" ht="12.75" customHeight="1">
      <c r="A723" s="1223"/>
      <c r="C723" s="1555"/>
      <c r="J723" s="1320"/>
      <c r="K723" s="1320"/>
      <c r="L723" s="1320"/>
      <c r="M723" s="1320"/>
      <c r="AM723" s="1223"/>
      <c r="AN723" s="1207"/>
      <c r="AS723" s="1206"/>
      <c r="AT723" s="1206"/>
      <c r="AU723" s="1206"/>
      <c r="AV723" s="1206"/>
      <c r="AW723" s="1206"/>
      <c r="AX723" s="1206"/>
      <c r="AY723" s="1206"/>
      <c r="AZ723" s="1206"/>
      <c r="BA723" s="1206"/>
      <c r="BB723" s="1206"/>
      <c r="BC723" s="1206"/>
      <c r="BD723" s="1370"/>
      <c r="BE723" s="1370"/>
      <c r="BF723" s="1370"/>
      <c r="BG723" s="1370"/>
      <c r="BH723" s="1370"/>
      <c r="BI723" s="1206"/>
      <c r="BJ723" s="1206"/>
      <c r="BK723" s="1206"/>
      <c r="BL723" s="1206"/>
      <c r="BM723" s="1206"/>
      <c r="BN723" s="1206"/>
      <c r="BO723" s="1206"/>
      <c r="BP723" s="1206"/>
      <c r="BQ723" s="1206"/>
      <c r="BR723" s="1206"/>
      <c r="BS723" s="1206"/>
      <c r="BT723" s="1206"/>
      <c r="BU723" s="1206"/>
      <c r="BV723" s="1206"/>
      <c r="BW723" s="1206"/>
      <c r="BX723" s="1206"/>
      <c r="BY723" s="1206"/>
      <c r="BZ723" s="1206"/>
      <c r="CA723" s="1206"/>
      <c r="CB723" s="1206"/>
      <c r="CC723" s="1206"/>
    </row>
    <row r="724" spans="1:81" s="1208" customFormat="1" ht="12.75" customHeight="1">
      <c r="A724" s="1223"/>
      <c r="C724" s="1211" t="s">
        <v>1646</v>
      </c>
      <c r="AM724" s="1223"/>
      <c r="AN724" s="1207"/>
      <c r="AS724" s="1206"/>
      <c r="AT724" s="1206"/>
      <c r="AU724" s="1206"/>
      <c r="AV724" s="1206"/>
      <c r="AW724" s="1206"/>
      <c r="AX724" s="1206"/>
      <c r="AY724" s="1206"/>
      <c r="AZ724" s="1206"/>
      <c r="BA724" s="1206"/>
      <c r="BB724" s="1206"/>
      <c r="BC724" s="1206"/>
      <c r="BD724" s="1370"/>
      <c r="BE724" s="1370"/>
      <c r="BF724" s="1370"/>
      <c r="BG724" s="1370"/>
      <c r="BH724" s="1370"/>
      <c r="BI724" s="1206"/>
      <c r="BJ724" s="1206"/>
      <c r="BK724" s="1206"/>
      <c r="BL724" s="1206"/>
      <c r="BM724" s="1206"/>
      <c r="BN724" s="1206"/>
      <c r="BO724" s="1206"/>
      <c r="BP724" s="1206"/>
      <c r="BQ724" s="1206"/>
      <c r="BR724" s="1206"/>
      <c r="BS724" s="1206"/>
      <c r="BT724" s="1206"/>
      <c r="BU724" s="1206"/>
      <c r="BV724" s="1206"/>
      <c r="BW724" s="1206"/>
      <c r="BX724" s="1206"/>
      <c r="BY724" s="1206"/>
      <c r="BZ724" s="1206"/>
      <c r="CA724" s="1206"/>
      <c r="CB724" s="1206"/>
      <c r="CC724" s="1206"/>
    </row>
    <row r="725" spans="1:81" s="1208" customFormat="1">
      <c r="A725" s="1223"/>
      <c r="B725" s="1305"/>
      <c r="C725" s="1585"/>
      <c r="D725" s="1305"/>
      <c r="E725" s="1305"/>
      <c r="H725" s="1305"/>
      <c r="I725" s="1305"/>
      <c r="J725" s="1305"/>
      <c r="K725" s="1305"/>
      <c r="L725" s="1305"/>
      <c r="M725" s="1305"/>
      <c r="N725" s="1305"/>
      <c r="O725" s="1305"/>
      <c r="P725" s="1305"/>
      <c r="Q725" s="1305"/>
      <c r="R725" s="1305"/>
      <c r="S725" s="1305"/>
      <c r="X725" s="1268"/>
      <c r="Y725" s="1268"/>
      <c r="Z725" s="1268"/>
      <c r="AA725" s="1268"/>
      <c r="AB725" s="1268"/>
      <c r="AM725" s="1223"/>
      <c r="AN725" s="1207"/>
      <c r="AS725" s="1206"/>
      <c r="AT725" s="1206"/>
      <c r="AU725" s="1206"/>
      <c r="AV725" s="1206"/>
      <c r="AW725" s="1206"/>
      <c r="AX725" s="1206"/>
      <c r="AY725" s="1206"/>
      <c r="AZ725" s="1206"/>
      <c r="BA725" s="1206"/>
      <c r="BB725" s="1206"/>
      <c r="BC725" s="1206"/>
      <c r="BD725" s="1370"/>
      <c r="BE725" s="1370"/>
      <c r="BF725" s="1370"/>
      <c r="BG725" s="1370"/>
      <c r="BH725" s="1370"/>
      <c r="BI725" s="1206"/>
      <c r="BJ725" s="1206"/>
      <c r="BK725" s="1206"/>
      <c r="BL725" s="1206"/>
      <c r="BM725" s="1206"/>
      <c r="BN725" s="1206"/>
      <c r="BO725" s="1206"/>
      <c r="BP725" s="1206"/>
      <c r="BQ725" s="1206"/>
      <c r="BR725" s="1206"/>
      <c r="BS725" s="1206"/>
      <c r="BT725" s="1206"/>
      <c r="BU725" s="1206"/>
      <c r="BV725" s="1206"/>
      <c r="BW725" s="1206"/>
      <c r="BX725" s="1206"/>
      <c r="BY725" s="1206"/>
      <c r="BZ725" s="1206"/>
      <c r="CA725" s="1206"/>
      <c r="CB725" s="1206"/>
      <c r="CC725" s="1206"/>
    </row>
    <row r="726" spans="1:81" s="1208" customFormat="1">
      <c r="A726" s="1223"/>
      <c r="C726" s="1553"/>
      <c r="D726" s="1318" t="s">
        <v>715</v>
      </c>
      <c r="E726" s="2462" t="s">
        <v>1647</v>
      </c>
      <c r="F726" s="2462"/>
      <c r="G726" s="2462"/>
      <c r="H726" s="2462"/>
      <c r="I726" s="2462"/>
      <c r="J726" s="2462"/>
      <c r="K726" s="2462"/>
      <c r="L726" s="2462"/>
      <c r="M726" s="2462"/>
      <c r="N726" s="2462"/>
      <c r="O726" s="2462"/>
      <c r="P726" s="2462"/>
      <c r="Q726" s="2462"/>
      <c r="R726" s="2462"/>
      <c r="S726" s="2462"/>
      <c r="T726" s="2462"/>
      <c r="U726" s="2462"/>
      <c r="V726" s="2462"/>
      <c r="W726" s="2462"/>
      <c r="X726" s="2462"/>
      <c r="Y726" s="2462"/>
      <c r="Z726" s="2462"/>
      <c r="AA726" s="2462"/>
      <c r="AB726" s="2462"/>
      <c r="AF726" s="2463" t="s">
        <v>1553</v>
      </c>
      <c r="AG726" s="2463"/>
      <c r="AH726" s="2463"/>
      <c r="AI726" s="2463"/>
      <c r="AJ726" s="2463"/>
      <c r="AK726" s="2463"/>
      <c r="AL726" s="2463"/>
      <c r="AM726" s="1223"/>
      <c r="AN726" s="1207"/>
      <c r="AT726" s="1206"/>
      <c r="AU726" s="1206"/>
      <c r="AV726" s="1206"/>
      <c r="AW726" s="1206"/>
      <c r="AX726" s="1206"/>
      <c r="AY726" s="1206"/>
      <c r="AZ726" s="1206"/>
    </row>
    <row r="727" spans="1:81" s="1208" customFormat="1">
      <c r="A727" s="1223"/>
      <c r="C727" s="1553"/>
      <c r="D727" s="1318"/>
      <c r="E727" s="2462"/>
      <c r="F727" s="2462"/>
      <c r="G727" s="2462"/>
      <c r="H727" s="2462"/>
      <c r="I727" s="2462"/>
      <c r="J727" s="2462"/>
      <c r="K727" s="2462"/>
      <c r="L727" s="2462"/>
      <c r="M727" s="2462"/>
      <c r="N727" s="2462"/>
      <c r="O727" s="2462"/>
      <c r="P727" s="2462"/>
      <c r="Q727" s="2462"/>
      <c r="R727" s="2462"/>
      <c r="S727" s="2462"/>
      <c r="T727" s="2462"/>
      <c r="U727" s="2462"/>
      <c r="V727" s="2462"/>
      <c r="W727" s="2462"/>
      <c r="X727" s="2462"/>
      <c r="Y727" s="2462"/>
      <c r="Z727" s="2462"/>
      <c r="AA727" s="2462"/>
      <c r="AB727" s="2462"/>
      <c r="AF727" s="1290"/>
      <c r="AG727" s="1290"/>
      <c r="AH727" s="1290"/>
      <c r="AI727" s="1290"/>
      <c r="AJ727" s="1290"/>
      <c r="AK727" s="1290"/>
      <c r="AL727" s="1290"/>
      <c r="AM727" s="1223"/>
      <c r="AN727" s="1207"/>
      <c r="AT727" s="1206"/>
      <c r="AU727" s="1206"/>
      <c r="AV727" s="1206"/>
      <c r="AW727" s="1206"/>
      <c r="AX727" s="1206"/>
      <c r="AY727" s="1206"/>
      <c r="AZ727" s="1206"/>
    </row>
    <row r="728" spans="1:81" s="1208" customFormat="1">
      <c r="A728" s="1223"/>
      <c r="C728" s="1555"/>
      <c r="D728" s="1318"/>
      <c r="E728" s="2462"/>
      <c r="F728" s="2462"/>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M728" s="1223"/>
      <c r="AN728" s="1207"/>
    </row>
    <row r="729" spans="1:81" s="1208" customFormat="1" ht="12.75" customHeight="1">
      <c r="A729" s="1223"/>
      <c r="C729" s="1555"/>
      <c r="D729" s="1318"/>
      <c r="E729" s="2462"/>
      <c r="F729" s="2462"/>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M729" s="1223"/>
      <c r="AN729" s="1204"/>
      <c r="AO729" s="1206"/>
    </row>
    <row r="730" spans="1:81" s="1208" customFormat="1">
      <c r="A730" s="1493"/>
      <c r="B730" s="1268"/>
      <c r="C730" s="1553"/>
      <c r="D730" s="1318"/>
      <c r="E730" s="1577"/>
      <c r="F730" s="1577"/>
      <c r="G730" s="1577"/>
      <c r="H730" s="1577"/>
      <c r="I730" s="1577"/>
      <c r="J730" s="1577"/>
      <c r="K730" s="1577"/>
      <c r="L730" s="1577"/>
      <c r="M730" s="1577"/>
      <c r="N730" s="1577"/>
      <c r="O730" s="1577"/>
      <c r="P730" s="1577"/>
      <c r="Q730" s="1577"/>
      <c r="R730" s="1577"/>
      <c r="S730" s="1577"/>
      <c r="T730" s="1577"/>
      <c r="U730" s="1577"/>
      <c r="V730" s="1577"/>
      <c r="W730" s="1577"/>
      <c r="X730" s="1577"/>
      <c r="Y730" s="1577"/>
      <c r="Z730" s="1577"/>
      <c r="AA730" s="1577"/>
      <c r="AB730" s="1577"/>
      <c r="AM730" s="1223"/>
      <c r="AN730" s="1207"/>
      <c r="AO730" s="1205"/>
      <c r="AP730" s="1206"/>
    </row>
    <row r="731" spans="1:81" s="1208" customFormat="1">
      <c r="A731" s="1223"/>
      <c r="C731" s="1553"/>
      <c r="D731" s="1318" t="s">
        <v>535</v>
      </c>
      <c r="E731" s="2462" t="s">
        <v>1648</v>
      </c>
      <c r="F731" s="2462"/>
      <c r="G731" s="2462"/>
      <c r="H731" s="2462"/>
      <c r="I731" s="2462"/>
      <c r="J731" s="2462"/>
      <c r="K731" s="2462"/>
      <c r="L731" s="2462"/>
      <c r="M731" s="2462"/>
      <c r="N731" s="2462"/>
      <c r="O731" s="2462"/>
      <c r="P731" s="2462"/>
      <c r="Q731" s="2462"/>
      <c r="R731" s="2462"/>
      <c r="S731" s="2462"/>
      <c r="T731" s="2462"/>
      <c r="U731" s="2462"/>
      <c r="V731" s="2462"/>
      <c r="W731" s="2462"/>
      <c r="X731" s="2462"/>
      <c r="Y731" s="2462"/>
      <c r="Z731" s="2462"/>
      <c r="AA731" s="2462"/>
      <c r="AB731" s="1250"/>
      <c r="AF731" s="2463" t="s">
        <v>1609</v>
      </c>
      <c r="AG731" s="2463"/>
      <c r="AH731" s="2463"/>
      <c r="AI731" s="2463"/>
      <c r="AJ731" s="2463"/>
      <c r="AK731" s="2463"/>
      <c r="AL731" s="2463"/>
      <c r="AM731" s="1223"/>
      <c r="AN731" s="1207"/>
      <c r="AO731" s="1205"/>
      <c r="AP731" s="1206"/>
    </row>
    <row r="732" spans="1:81" s="1208" customFormat="1">
      <c r="A732" s="1223"/>
      <c r="C732" s="1553"/>
      <c r="D732" s="1318"/>
      <c r="E732" s="2462"/>
      <c r="F732" s="2462"/>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1250"/>
      <c r="AF732" s="1290"/>
      <c r="AG732" s="1290"/>
      <c r="AH732" s="1290"/>
      <c r="AI732" s="1290"/>
      <c r="AJ732" s="1290"/>
      <c r="AK732" s="1290"/>
      <c r="AL732" s="1290"/>
      <c r="AM732" s="1223"/>
      <c r="AN732" s="1207"/>
      <c r="AO732" s="1205"/>
      <c r="AP732" s="1206"/>
    </row>
    <row r="733" spans="1:81" s="1208" customFormat="1">
      <c r="A733" s="1223"/>
      <c r="C733" s="1553"/>
      <c r="E733" s="2462"/>
      <c r="F733" s="2462"/>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1250"/>
      <c r="AC733" s="1290"/>
      <c r="AD733" s="1290"/>
      <c r="AE733" s="1290"/>
      <c r="AF733" s="1290"/>
      <c r="AG733" s="1290"/>
      <c r="AH733" s="1290"/>
      <c r="AI733" s="1290"/>
      <c r="AM733" s="1223"/>
      <c r="AN733" s="1207"/>
      <c r="AO733" s="1205"/>
      <c r="AP733" s="1206"/>
    </row>
    <row r="734" spans="1:81" s="1208" customFormat="1">
      <c r="A734" s="1223"/>
      <c r="C734" s="1553"/>
      <c r="E734" s="2462"/>
      <c r="F734" s="2462"/>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1250"/>
      <c r="AC734" s="1290"/>
      <c r="AD734" s="1290"/>
      <c r="AE734" s="1290"/>
      <c r="AF734" s="1290"/>
      <c r="AG734" s="1290"/>
      <c r="AH734" s="1290"/>
      <c r="AI734" s="1290"/>
      <c r="AM734" s="1223"/>
      <c r="AN734" s="1207"/>
      <c r="AO734" s="1205"/>
      <c r="AP734" s="1206"/>
    </row>
    <row r="735" spans="1:81" s="1208" customFormat="1">
      <c r="A735" s="1223"/>
      <c r="C735" s="1553"/>
      <c r="E735" s="1295"/>
      <c r="F735" s="1295"/>
      <c r="G735" s="1295"/>
      <c r="H735" s="1295"/>
      <c r="I735" s="1295"/>
      <c r="J735" s="1295"/>
      <c r="K735" s="1295"/>
      <c r="L735" s="1295"/>
      <c r="M735" s="1295"/>
      <c r="N735" s="1295"/>
      <c r="O735" s="1295"/>
      <c r="P735" s="1295"/>
      <c r="Q735" s="1295"/>
      <c r="R735" s="1295"/>
      <c r="S735" s="1295"/>
      <c r="T735" s="1295"/>
      <c r="U735" s="1295"/>
      <c r="V735" s="1295"/>
      <c r="W735" s="1295"/>
      <c r="X735" s="1295"/>
      <c r="Y735" s="1295"/>
      <c r="Z735" s="1295"/>
      <c r="AA735" s="1295"/>
      <c r="AB735" s="1295"/>
      <c r="AC735" s="1290"/>
      <c r="AD735" s="1290"/>
      <c r="AE735" s="1290"/>
      <c r="AF735" s="1290"/>
      <c r="AG735" s="1290"/>
      <c r="AH735" s="1290"/>
      <c r="AI735" s="1290"/>
      <c r="AM735" s="1223"/>
      <c r="AN735" s="1207"/>
    </row>
    <row r="736" spans="1:81" s="1208" customFormat="1" ht="12.75" customHeight="1">
      <c r="A736" s="1223"/>
      <c r="C736" s="1553"/>
      <c r="D736" s="1208" t="s">
        <v>1601</v>
      </c>
      <c r="E736" s="1560"/>
      <c r="F736" s="1560"/>
      <c r="G736" s="1560"/>
      <c r="H736" s="2464" t="s">
        <v>715</v>
      </c>
      <c r="I736" s="2464"/>
      <c r="J736" s="1295"/>
      <c r="K736" s="1295"/>
      <c r="L736" s="1295"/>
      <c r="M736" s="1295"/>
      <c r="N736" s="1295"/>
      <c r="O736" s="1295"/>
      <c r="P736" s="1295"/>
      <c r="Q736" s="1295"/>
      <c r="R736" s="1295"/>
      <c r="S736" s="1295"/>
      <c r="T736" s="1295"/>
      <c r="U736" s="1295"/>
      <c r="V736" s="1295"/>
      <c r="W736" s="1295"/>
      <c r="X736" s="1295"/>
      <c r="Y736" s="1295"/>
      <c r="Z736" s="1295"/>
      <c r="AA736" s="1295"/>
      <c r="AB736" s="1295"/>
      <c r="AC736" s="1290"/>
      <c r="AD736" s="1290"/>
      <c r="AE736" s="1290"/>
      <c r="AF736" s="1290"/>
      <c r="AG736" s="1290"/>
      <c r="AH736" s="1290"/>
      <c r="AI736" s="1290"/>
      <c r="AM736" s="1223"/>
      <c r="AN736" s="1207"/>
    </row>
    <row r="737" spans="1:74" s="1208" customFormat="1" ht="12.75" customHeight="1">
      <c r="A737" s="1223"/>
      <c r="C737" s="1553"/>
      <c r="E737" s="1295"/>
      <c r="F737" s="1295"/>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0"/>
      <c r="AD737" s="1290"/>
      <c r="AE737" s="1290"/>
      <c r="AF737" s="1290"/>
      <c r="AG737" s="1290"/>
      <c r="AH737" s="1290"/>
      <c r="AI737" s="1290"/>
      <c r="AM737" s="1223"/>
      <c r="AN737" s="1204"/>
      <c r="AO737" s="1205"/>
      <c r="AP737" s="1206"/>
      <c r="AQ737" s="1206"/>
      <c r="AR737" s="1206"/>
      <c r="AS737" s="1206"/>
      <c r="AT737" s="1206"/>
      <c r="AU737" s="1206"/>
      <c r="AV737" s="1206"/>
      <c r="AW737" s="1206"/>
      <c r="AX737" s="1206"/>
      <c r="AY737" s="1206"/>
      <c r="AZ737" s="1206"/>
      <c r="BA737" s="1206"/>
      <c r="BB737" s="1206"/>
      <c r="BC737" s="1206"/>
      <c r="BD737" s="1370"/>
      <c r="BE737" s="1370"/>
      <c r="BF737" s="1370"/>
      <c r="BG737" s="1370"/>
      <c r="BH737" s="1370"/>
      <c r="BI737" s="1206"/>
      <c r="BJ737" s="1206"/>
      <c r="BK737" s="1206"/>
      <c r="BL737" s="1206"/>
      <c r="BM737" s="1206"/>
      <c r="BN737" s="1206"/>
      <c r="BO737" s="1206"/>
      <c r="BP737" s="1206"/>
      <c r="BQ737" s="1206"/>
      <c r="BR737" s="1206"/>
      <c r="BS737" s="1206"/>
      <c r="BT737" s="1206"/>
      <c r="BU737" s="1206"/>
      <c r="BV737" s="1206"/>
    </row>
    <row r="738" spans="1:74" s="1208" customFormat="1">
      <c r="A738" s="1301"/>
      <c r="B738" s="1293"/>
      <c r="C738" s="1574"/>
      <c r="D738" s="1293"/>
      <c r="E738" s="1586"/>
      <c r="F738" s="1586"/>
      <c r="G738" s="1586"/>
      <c r="H738" s="1586"/>
      <c r="I738" s="1586"/>
      <c r="J738" s="1586"/>
      <c r="K738" s="1586"/>
      <c r="L738" s="1586"/>
      <c r="M738" s="1586"/>
      <c r="N738" s="1586"/>
      <c r="O738" s="1586"/>
      <c r="P738" s="1586"/>
      <c r="Q738" s="1586"/>
      <c r="R738" s="1586"/>
      <c r="S738" s="1586"/>
      <c r="T738" s="1586"/>
      <c r="U738" s="1586"/>
      <c r="V738" s="1586"/>
      <c r="W738" s="1586"/>
      <c r="X738" s="1586"/>
      <c r="Y738" s="1586"/>
      <c r="Z738" s="1586"/>
      <c r="AA738" s="1586"/>
      <c r="AB738" s="1587"/>
      <c r="AC738" s="1587"/>
      <c r="AD738" s="1587"/>
      <c r="AE738" s="1587"/>
      <c r="AF738" s="1587"/>
      <c r="AG738" s="1587"/>
      <c r="AH738" s="1293"/>
      <c r="AI738" s="1240" t="s">
        <v>1649</v>
      </c>
      <c r="AJ738" s="2442">
        <f>VLOOKUP($H$736,$AO$669:$AP$671,2,FALSE)</f>
        <v>3</v>
      </c>
      <c r="AK738" s="2444"/>
      <c r="AL738" s="1268"/>
      <c r="AM738" s="1223"/>
      <c r="AN738" s="1204"/>
      <c r="AO738" s="1205"/>
      <c r="AP738" s="1206"/>
      <c r="AQ738" s="1206"/>
      <c r="AR738" s="1206"/>
      <c r="AS738" s="1206"/>
      <c r="AT738" s="1206"/>
      <c r="AU738" s="1206"/>
      <c r="AV738" s="1206"/>
      <c r="AW738" s="1206"/>
      <c r="AX738" s="1206"/>
      <c r="AY738" s="1206"/>
      <c r="AZ738" s="1206"/>
      <c r="BA738" s="1206"/>
      <c r="BB738" s="1206"/>
      <c r="BC738" s="1206"/>
      <c r="BD738" s="1370"/>
      <c r="BE738" s="1370"/>
      <c r="BF738" s="1370"/>
      <c r="BG738" s="1370"/>
      <c r="BH738" s="1370"/>
      <c r="BI738" s="1206"/>
      <c r="BJ738" s="1206"/>
      <c r="BK738" s="1206"/>
      <c r="BL738" s="1206"/>
      <c r="BM738" s="1206"/>
      <c r="BN738" s="1206"/>
      <c r="BO738" s="1206"/>
      <c r="BP738" s="1206"/>
      <c r="BQ738" s="1206"/>
      <c r="BR738" s="1206"/>
      <c r="BS738" s="1206"/>
      <c r="BT738" s="1206"/>
      <c r="BU738" s="1206"/>
      <c r="BV738" s="1206"/>
    </row>
    <row r="739" spans="1:74" s="1208" customFormat="1" ht="12.75" customHeight="1">
      <c r="A739" s="1386"/>
      <c r="C739" s="1555"/>
      <c r="J739" s="1295"/>
      <c r="K739" s="1295"/>
      <c r="L739" s="1320"/>
      <c r="M739" s="1320"/>
      <c r="N739" s="1320"/>
      <c r="O739" s="1320"/>
      <c r="P739" s="1320"/>
      <c r="Q739" s="1320"/>
      <c r="R739" s="1320"/>
      <c r="S739" s="1320"/>
      <c r="T739" s="1320"/>
      <c r="U739" s="1320"/>
      <c r="V739" s="1311"/>
      <c r="W739" s="1311"/>
      <c r="X739" s="1311"/>
      <c r="Y739" s="1311"/>
      <c r="Z739" s="1560"/>
      <c r="AA739" s="1560"/>
      <c r="AB739" s="1560"/>
      <c r="AM739" s="1223"/>
      <c r="AN739" s="1204"/>
      <c r="AO739" s="1205"/>
      <c r="AP739" s="1206"/>
      <c r="AQ739" s="1206"/>
      <c r="AR739" s="1206"/>
      <c r="AS739" s="1206"/>
      <c r="AT739" s="1206"/>
      <c r="AU739" s="1206"/>
      <c r="AV739" s="1206"/>
      <c r="AW739" s="1206"/>
      <c r="AX739" s="1206"/>
      <c r="AY739" s="1206"/>
      <c r="AZ739" s="1206"/>
      <c r="BA739" s="1206"/>
      <c r="BB739" s="1206"/>
      <c r="BC739" s="1206"/>
      <c r="BD739" s="1370"/>
      <c r="BE739" s="1370"/>
      <c r="BF739" s="1370"/>
      <c r="BG739" s="1370"/>
      <c r="BH739" s="1370"/>
      <c r="BI739" s="1206"/>
      <c r="BJ739" s="1206"/>
      <c r="BK739" s="1206"/>
      <c r="BL739" s="1206"/>
      <c r="BM739" s="1206"/>
      <c r="BN739" s="1206"/>
      <c r="BO739" s="1206"/>
      <c r="BP739" s="1206"/>
      <c r="BQ739" s="1206"/>
      <c r="BR739" s="1206"/>
      <c r="BS739" s="1206"/>
      <c r="BT739" s="1206"/>
      <c r="BU739" s="1206"/>
      <c r="BV739" s="1206"/>
    </row>
    <row r="740" spans="1:74" s="1208" customFormat="1">
      <c r="A740" s="1223"/>
      <c r="C740" s="1211" t="s">
        <v>1639</v>
      </c>
      <c r="D740" s="1311"/>
      <c r="AM740" s="1223"/>
      <c r="AN740" s="1204"/>
      <c r="AO740" s="1205"/>
      <c r="AP740" s="1206"/>
      <c r="AQ740" s="1206"/>
      <c r="AR740" s="1206"/>
      <c r="AS740" s="1206"/>
      <c r="AT740" s="1206"/>
      <c r="AU740" s="1206"/>
      <c r="AV740" s="1206"/>
      <c r="AW740" s="1206"/>
      <c r="AX740" s="1206"/>
      <c r="AY740" s="1206"/>
      <c r="AZ740" s="1206"/>
      <c r="BA740" s="1206"/>
      <c r="BB740" s="1206"/>
      <c r="BC740" s="1206"/>
      <c r="BD740" s="1370"/>
      <c r="BE740" s="1370"/>
      <c r="BF740" s="1370"/>
      <c r="BG740" s="1370"/>
      <c r="BH740" s="1370"/>
      <c r="BI740" s="1206"/>
      <c r="BJ740" s="1206"/>
      <c r="BK740" s="1206"/>
      <c r="BL740" s="1206"/>
      <c r="BM740" s="1206"/>
      <c r="BN740" s="1206"/>
      <c r="BO740" s="1206"/>
      <c r="BP740" s="1206"/>
      <c r="BQ740" s="1206"/>
      <c r="BR740" s="1206"/>
      <c r="BS740" s="1206"/>
      <c r="BT740" s="1206"/>
      <c r="BU740" s="1206"/>
      <c r="BV740" s="1206"/>
    </row>
    <row r="741" spans="1:74" s="1208" customFormat="1">
      <c r="A741" s="1223"/>
      <c r="B741" s="1311"/>
      <c r="E741" s="1311"/>
      <c r="F741" s="1311"/>
      <c r="G741" s="1311"/>
      <c r="H741" s="1311"/>
      <c r="I741" s="1311"/>
      <c r="J741" s="1311"/>
      <c r="K741" s="1311"/>
      <c r="L741" s="1311"/>
      <c r="M741" s="1311"/>
      <c r="N741" s="1311"/>
      <c r="O741" s="1311"/>
      <c r="P741" s="1311"/>
      <c r="Q741" s="1311"/>
      <c r="R741" s="1311"/>
      <c r="S741" s="1311"/>
      <c r="T741" s="1311"/>
      <c r="U741" s="1311"/>
      <c r="V741" s="1311"/>
      <c r="W741" s="1311"/>
      <c r="X741" s="1311"/>
      <c r="Y741" s="1311"/>
      <c r="Z741" s="1311"/>
      <c r="AA741" s="1311"/>
      <c r="AB741" s="1311"/>
      <c r="AC741" s="1311"/>
      <c r="AD741" s="1311"/>
      <c r="AE741" s="1311"/>
      <c r="AF741" s="1311"/>
      <c r="AG741" s="1311"/>
      <c r="AH741" s="1311"/>
      <c r="AM741" s="1223"/>
      <c r="AN741" s="1204"/>
      <c r="AO741" s="1205"/>
      <c r="AP741" s="1206"/>
      <c r="AQ741" s="1206"/>
      <c r="AR741" s="1206"/>
      <c r="AS741" s="1206"/>
      <c r="AT741" s="1206"/>
      <c r="AU741" s="1206"/>
      <c r="AV741" s="1206"/>
      <c r="AW741" s="1206"/>
      <c r="AX741" s="1206"/>
      <c r="AY741" s="1206"/>
      <c r="AZ741" s="1206"/>
      <c r="BA741" s="1206"/>
      <c r="BB741" s="1206"/>
      <c r="BC741" s="1206"/>
      <c r="BD741" s="1370"/>
      <c r="BE741" s="1370"/>
      <c r="BF741" s="1370"/>
      <c r="BG741" s="1370"/>
      <c r="BH741" s="1370"/>
      <c r="BI741" s="1206"/>
      <c r="BJ741" s="1206"/>
      <c r="BK741" s="1206"/>
      <c r="BL741" s="1206"/>
      <c r="BM741" s="1206"/>
      <c r="BN741" s="1206"/>
      <c r="BO741" s="1206"/>
      <c r="BP741" s="1206"/>
      <c r="BQ741" s="1206"/>
      <c r="BR741" s="1206"/>
      <c r="BS741" s="1206"/>
      <c r="BT741" s="1206"/>
      <c r="BU741" s="1206"/>
      <c r="BV741" s="1206"/>
    </row>
    <row r="742" spans="1:74" s="1208" customFormat="1">
      <c r="A742" s="1223"/>
      <c r="C742" s="1553"/>
      <c r="D742" s="1318" t="s">
        <v>715</v>
      </c>
      <c r="E742" s="2462" t="s">
        <v>1650</v>
      </c>
      <c r="F742" s="2462"/>
      <c r="G742" s="2462"/>
      <c r="H742" s="2462"/>
      <c r="I742" s="2462"/>
      <c r="J742" s="2462"/>
      <c r="K742" s="2462"/>
      <c r="L742" s="2462"/>
      <c r="M742" s="2462"/>
      <c r="N742" s="2462"/>
      <c r="O742" s="2462"/>
      <c r="P742" s="2462"/>
      <c r="Q742" s="2462"/>
      <c r="R742" s="2462"/>
      <c r="S742" s="2462"/>
      <c r="T742" s="2462"/>
      <c r="U742" s="2462"/>
      <c r="V742" s="2462"/>
      <c r="W742" s="2462"/>
      <c r="X742" s="2462"/>
      <c r="Y742" s="2462"/>
      <c r="Z742" s="2462"/>
      <c r="AA742" s="2462"/>
      <c r="AB742" s="2462"/>
      <c r="AF742" s="2463" t="s">
        <v>1609</v>
      </c>
      <c r="AG742" s="2463"/>
      <c r="AH742" s="2463"/>
      <c r="AI742" s="2463"/>
      <c r="AJ742" s="2463"/>
      <c r="AK742" s="2463"/>
      <c r="AL742" s="2463"/>
      <c r="AM742" s="1223"/>
      <c r="AN742" s="1204"/>
      <c r="AO742" s="1205"/>
      <c r="AP742" s="1206"/>
      <c r="AQ742" s="1206"/>
      <c r="AR742" s="1206"/>
      <c r="AS742" s="1206"/>
      <c r="AT742" s="1206"/>
      <c r="AU742" s="1206"/>
      <c r="AV742" s="1206"/>
      <c r="AW742" s="1206"/>
      <c r="AX742" s="1206"/>
      <c r="AY742" s="1206"/>
      <c r="AZ742" s="1206"/>
      <c r="BA742" s="1206"/>
      <c r="BB742" s="1206"/>
      <c r="BC742" s="1206"/>
      <c r="BD742" s="1370"/>
      <c r="BE742" s="1370"/>
      <c r="BF742" s="1370"/>
      <c r="BG742" s="1370"/>
      <c r="BH742" s="1370"/>
      <c r="BI742" s="1206"/>
      <c r="BJ742" s="1206"/>
      <c r="BK742" s="1206"/>
      <c r="BL742" s="1206"/>
      <c r="BM742" s="1206"/>
      <c r="BN742" s="1206"/>
      <c r="BO742" s="1206"/>
      <c r="BP742" s="1206"/>
      <c r="BQ742" s="1206"/>
      <c r="BR742" s="1206"/>
      <c r="BS742" s="1206"/>
      <c r="BT742" s="1206"/>
      <c r="BU742" s="1206"/>
      <c r="BV742" s="1206"/>
    </row>
    <row r="743" spans="1:74" s="1208" customFormat="1">
      <c r="A743" s="1223"/>
      <c r="C743" s="1555"/>
      <c r="D743" s="1318"/>
      <c r="E743" s="2462"/>
      <c r="F743" s="2462"/>
      <c r="G743" s="2462"/>
      <c r="H743" s="2462"/>
      <c r="I743" s="2462"/>
      <c r="J743" s="2462"/>
      <c r="K743" s="2462"/>
      <c r="L743" s="2462"/>
      <c r="M743" s="2462"/>
      <c r="N743" s="2462"/>
      <c r="O743" s="2462"/>
      <c r="P743" s="2462"/>
      <c r="Q743" s="2462"/>
      <c r="R743" s="2462"/>
      <c r="S743" s="2462"/>
      <c r="T743" s="2462"/>
      <c r="U743" s="2462"/>
      <c r="V743" s="2462"/>
      <c r="W743" s="2462"/>
      <c r="X743" s="2462"/>
      <c r="Y743" s="2462"/>
      <c r="Z743" s="2462"/>
      <c r="AA743" s="2462"/>
      <c r="AB743" s="2462"/>
      <c r="AM743" s="1223"/>
      <c r="AN743" s="1204"/>
      <c r="AO743" s="1205"/>
      <c r="AP743" s="1206"/>
      <c r="AQ743" s="1206"/>
      <c r="AR743" s="1206"/>
      <c r="AS743" s="1206"/>
      <c r="AT743" s="1206"/>
      <c r="AU743" s="1206"/>
      <c r="AV743" s="1206"/>
      <c r="AW743" s="1206"/>
      <c r="AX743" s="1206"/>
      <c r="AY743" s="1206"/>
      <c r="AZ743" s="1206"/>
      <c r="BA743" s="1206"/>
      <c r="BB743" s="1206"/>
      <c r="BC743" s="1206"/>
      <c r="BD743" s="1370"/>
      <c r="BE743" s="1370"/>
      <c r="BF743" s="1370"/>
      <c r="BG743" s="1370"/>
      <c r="BH743" s="1370"/>
      <c r="BI743" s="1206"/>
      <c r="BJ743" s="1206"/>
      <c r="BK743" s="1206"/>
      <c r="BL743" s="1206"/>
      <c r="BM743" s="1206"/>
      <c r="BN743" s="1206"/>
      <c r="BO743" s="1206"/>
      <c r="BP743" s="1206"/>
      <c r="BQ743" s="1206"/>
      <c r="BR743" s="1206"/>
      <c r="BS743" s="1206"/>
      <c r="BT743" s="1206"/>
      <c r="BU743" s="1206"/>
      <c r="BV743" s="1206"/>
    </row>
    <row r="744" spans="1:74" s="1208" customFormat="1">
      <c r="A744" s="1223"/>
      <c r="B744" s="1311"/>
      <c r="C744" s="1566"/>
      <c r="D744" s="1318"/>
      <c r="E744" s="1311"/>
      <c r="F744" s="1311"/>
      <c r="G744" s="1311"/>
      <c r="H744" s="1311"/>
      <c r="I744" s="1311"/>
      <c r="J744" s="1311"/>
      <c r="K744" s="1311"/>
      <c r="L744" s="1311"/>
      <c r="M744" s="1311"/>
      <c r="N744" s="1311"/>
      <c r="O744" s="1311"/>
      <c r="P744" s="1311"/>
      <c r="Q744" s="1311"/>
      <c r="R744" s="1311"/>
      <c r="S744" s="1311"/>
      <c r="T744" s="1311"/>
      <c r="U744" s="1311"/>
      <c r="V744" s="1311"/>
      <c r="W744" s="1311"/>
      <c r="X744" s="1311"/>
      <c r="Y744" s="1311"/>
      <c r="Z744" s="1311"/>
      <c r="AA744" s="1311"/>
      <c r="AB744" s="1311"/>
      <c r="AE744" s="1311"/>
      <c r="AF744" s="1311"/>
      <c r="AG744" s="1311"/>
      <c r="AH744" s="1311"/>
      <c r="AI744" s="1311"/>
      <c r="AJ744" s="1311"/>
      <c r="AM744" s="1223"/>
      <c r="AN744" s="1204"/>
      <c r="AO744" s="1205"/>
      <c r="AP744" s="1206"/>
      <c r="AQ744" s="1206"/>
      <c r="AR744" s="1206"/>
      <c r="AS744" s="1206"/>
      <c r="AT744" s="1206"/>
      <c r="AU744" s="1206"/>
      <c r="AV744" s="1206"/>
      <c r="AW744" s="1206"/>
      <c r="AX744" s="1206"/>
      <c r="AY744" s="1206"/>
      <c r="AZ744" s="1206"/>
      <c r="BA744" s="1206"/>
      <c r="BB744" s="1206"/>
      <c r="BC744" s="1206"/>
      <c r="BD744" s="1370"/>
      <c r="BE744" s="1370"/>
      <c r="BF744" s="1370"/>
      <c r="BG744" s="1370"/>
      <c r="BH744" s="1370"/>
      <c r="BI744" s="1206"/>
      <c r="BJ744" s="1206"/>
      <c r="BK744" s="1206"/>
      <c r="BL744" s="1206"/>
      <c r="BM744" s="1206"/>
      <c r="BN744" s="1206"/>
      <c r="BO744" s="1206"/>
      <c r="BP744" s="1206"/>
      <c r="BQ744" s="1206"/>
      <c r="BR744" s="1206"/>
      <c r="BS744" s="1206"/>
      <c r="BT744" s="1206"/>
      <c r="BU744" s="1206"/>
      <c r="BV744" s="1206"/>
    </row>
    <row r="745" spans="1:74" s="1208" customFormat="1">
      <c r="A745" s="1386"/>
      <c r="C745" s="1553"/>
      <c r="D745" s="1318" t="s">
        <v>535</v>
      </c>
      <c r="E745" s="2462" t="s">
        <v>1651</v>
      </c>
      <c r="F745" s="2462"/>
      <c r="G745" s="2462"/>
      <c r="H745" s="2462"/>
      <c r="I745" s="2462"/>
      <c r="J745" s="2462"/>
      <c r="K745" s="2462"/>
      <c r="L745" s="2462"/>
      <c r="M745" s="2462"/>
      <c r="N745" s="2462"/>
      <c r="O745" s="2462"/>
      <c r="P745" s="2462"/>
      <c r="Q745" s="2462"/>
      <c r="R745" s="2462"/>
      <c r="S745" s="2462"/>
      <c r="T745" s="2462"/>
      <c r="U745" s="2462"/>
      <c r="V745" s="2462"/>
      <c r="W745" s="2462"/>
      <c r="X745" s="2462"/>
      <c r="Y745" s="2462"/>
      <c r="Z745" s="2462"/>
      <c r="AA745" s="2462"/>
      <c r="AB745" s="2462"/>
      <c r="AF745" s="2463" t="s">
        <v>1628</v>
      </c>
      <c r="AG745" s="2463"/>
      <c r="AH745" s="2463"/>
      <c r="AI745" s="2463"/>
      <c r="AJ745" s="2463"/>
      <c r="AK745" s="2463"/>
      <c r="AL745" s="2463"/>
      <c r="AM745" s="1223"/>
      <c r="AN745" s="1204"/>
      <c r="AO745" s="1205"/>
      <c r="AP745" s="1206"/>
      <c r="AQ745" s="1206"/>
      <c r="AR745" s="1206"/>
      <c r="AS745" s="1206"/>
      <c r="AT745" s="1206"/>
      <c r="AU745" s="1206"/>
      <c r="AV745" s="1206"/>
      <c r="AW745" s="1206"/>
      <c r="AX745" s="1206"/>
      <c r="AY745" s="1206"/>
      <c r="AZ745" s="1206"/>
      <c r="BA745" s="1206"/>
      <c r="BB745" s="1206"/>
      <c r="BC745" s="1206"/>
      <c r="BD745" s="1370"/>
      <c r="BE745" s="1370"/>
      <c r="BF745" s="1370"/>
      <c r="BG745" s="1370"/>
      <c r="BH745" s="1370"/>
      <c r="BI745" s="1206"/>
      <c r="BJ745" s="1206"/>
      <c r="BK745" s="1206"/>
      <c r="BL745" s="1206"/>
      <c r="BM745" s="1206"/>
      <c r="BN745" s="1206"/>
      <c r="BO745" s="1206"/>
      <c r="BP745" s="1206"/>
      <c r="BQ745" s="1206"/>
      <c r="BR745" s="1206"/>
      <c r="BS745" s="1206"/>
      <c r="BT745" s="1206"/>
      <c r="BU745" s="1206"/>
      <c r="BV745" s="1206"/>
    </row>
    <row r="746" spans="1:74" s="1208" customFormat="1" ht="12.75" customHeight="1">
      <c r="A746" s="1386"/>
      <c r="C746" s="1553"/>
      <c r="D746" s="1318"/>
      <c r="E746" s="2462"/>
      <c r="F746" s="2462"/>
      <c r="G746" s="2462"/>
      <c r="H746" s="2462"/>
      <c r="I746" s="2462"/>
      <c r="J746" s="2462"/>
      <c r="K746" s="2462"/>
      <c r="L746" s="2462"/>
      <c r="M746" s="2462"/>
      <c r="N746" s="2462"/>
      <c r="O746" s="2462"/>
      <c r="P746" s="2462"/>
      <c r="Q746" s="2462"/>
      <c r="R746" s="2462"/>
      <c r="S746" s="2462"/>
      <c r="T746" s="2462"/>
      <c r="U746" s="2462"/>
      <c r="V746" s="2462"/>
      <c r="W746" s="2462"/>
      <c r="X746" s="2462"/>
      <c r="Y746" s="2462"/>
      <c r="Z746" s="2462"/>
      <c r="AA746" s="2462"/>
      <c r="AB746" s="2462"/>
      <c r="AE746" s="1290"/>
      <c r="AM746" s="1223"/>
      <c r="AN746" s="1204"/>
      <c r="AO746" s="1205"/>
      <c r="AP746" s="1206"/>
      <c r="AQ746" s="1206"/>
      <c r="AR746" s="1206"/>
      <c r="AS746" s="1206"/>
      <c r="AT746" s="1206"/>
      <c r="AU746" s="1206"/>
      <c r="AV746" s="1206"/>
      <c r="AW746" s="1206"/>
      <c r="AX746" s="1206"/>
      <c r="AY746" s="1206"/>
      <c r="AZ746" s="1206"/>
      <c r="BA746" s="1206"/>
      <c r="BB746" s="1206"/>
      <c r="BC746" s="1206"/>
      <c r="BD746" s="1370"/>
      <c r="BE746" s="1370"/>
      <c r="BF746" s="1370"/>
      <c r="BG746" s="1370"/>
      <c r="BH746" s="1370"/>
      <c r="BI746" s="1206"/>
      <c r="BJ746" s="1206"/>
      <c r="BK746" s="1206"/>
      <c r="BL746" s="1206"/>
      <c r="BM746" s="1206"/>
      <c r="BN746" s="1206"/>
      <c r="BO746" s="1206"/>
      <c r="BP746" s="1206"/>
      <c r="BQ746" s="1206"/>
      <c r="BR746" s="1206"/>
      <c r="BS746" s="1206"/>
      <c r="BT746" s="1206"/>
      <c r="BU746" s="1206"/>
      <c r="BV746" s="1206"/>
    </row>
    <row r="747" spans="1:74" s="1208" customFormat="1">
      <c r="A747" s="1223"/>
      <c r="C747" s="1555"/>
      <c r="E747" s="1320"/>
      <c r="F747" s="1320"/>
      <c r="G747" s="1320"/>
      <c r="H747" s="1320"/>
      <c r="I747" s="1320"/>
      <c r="J747" s="1320"/>
      <c r="K747" s="1320"/>
      <c r="L747" s="1320"/>
      <c r="M747" s="1320"/>
      <c r="N747" s="1320"/>
      <c r="O747" s="1320"/>
      <c r="P747" s="1320"/>
      <c r="Q747" s="1320"/>
      <c r="R747" s="1320"/>
      <c r="S747" s="1320"/>
      <c r="T747" s="1320"/>
      <c r="U747" s="1320"/>
      <c r="V747" s="1320"/>
      <c r="W747" s="1320"/>
      <c r="X747" s="1320"/>
      <c r="Y747" s="1320"/>
      <c r="Z747" s="1320"/>
      <c r="AA747" s="1320"/>
      <c r="AB747" s="1320"/>
      <c r="AE747" s="1311"/>
      <c r="AF747" s="1311"/>
      <c r="AG747" s="1311"/>
      <c r="AH747" s="1311"/>
      <c r="AM747" s="1223"/>
      <c r="AN747" s="1204"/>
      <c r="AO747" s="1205"/>
      <c r="AP747" s="1206"/>
      <c r="AQ747" s="1206"/>
      <c r="AR747" s="1206"/>
      <c r="AS747" s="1206"/>
      <c r="AT747" s="1206"/>
      <c r="AU747" s="1206"/>
      <c r="AV747" s="1206"/>
      <c r="AW747" s="1206"/>
      <c r="AX747" s="1206"/>
      <c r="AY747" s="1206"/>
      <c r="AZ747" s="1206"/>
      <c r="BA747" s="1206"/>
      <c r="BB747" s="1206"/>
      <c r="BC747" s="1206"/>
      <c r="BD747" s="1370"/>
      <c r="BE747" s="1370"/>
      <c r="BF747" s="1370"/>
      <c r="BG747" s="1370"/>
      <c r="BH747" s="1370"/>
      <c r="BI747" s="1206"/>
      <c r="BJ747" s="1206"/>
      <c r="BK747" s="1206"/>
      <c r="BL747" s="1206"/>
      <c r="BM747" s="1206"/>
      <c r="BN747" s="1206"/>
      <c r="BO747" s="1206"/>
      <c r="BP747" s="1206"/>
      <c r="BQ747" s="1206"/>
      <c r="BR747" s="1206"/>
      <c r="BS747" s="1206"/>
      <c r="BT747" s="1206"/>
      <c r="BU747" s="1206"/>
      <c r="BV747" s="1206"/>
    </row>
    <row r="748" spans="1:74" s="1208" customFormat="1" ht="12.75" customHeight="1">
      <c r="A748" s="1223"/>
      <c r="D748" s="1208" t="s">
        <v>1601</v>
      </c>
      <c r="E748" s="1560"/>
      <c r="F748" s="1560"/>
      <c r="G748" s="1560"/>
      <c r="H748" s="2464" t="s">
        <v>715</v>
      </c>
      <c r="I748" s="2464"/>
      <c r="J748" s="1320"/>
      <c r="K748" s="1320"/>
      <c r="L748" s="1320"/>
      <c r="M748" s="1320"/>
      <c r="N748" s="1320"/>
      <c r="O748" s="1320"/>
      <c r="P748" s="1320"/>
      <c r="W748" s="1320"/>
      <c r="X748" s="1320"/>
      <c r="Y748" s="1320"/>
      <c r="Z748" s="1320"/>
      <c r="AA748" s="1320"/>
      <c r="AB748" s="1320"/>
      <c r="AE748" s="1311"/>
      <c r="AF748" s="1311"/>
      <c r="AG748" s="1311"/>
      <c r="AH748" s="1311"/>
      <c r="AM748" s="1223"/>
      <c r="AN748" s="1204"/>
      <c r="AO748" s="1205"/>
      <c r="AP748" s="1206"/>
      <c r="AQ748" s="1206"/>
      <c r="AR748" s="1206"/>
      <c r="AS748" s="1206"/>
      <c r="AT748" s="1206"/>
      <c r="AU748" s="1206"/>
      <c r="AV748" s="1206"/>
      <c r="AW748" s="1206"/>
      <c r="AX748" s="1206"/>
      <c r="AY748" s="1206"/>
      <c r="AZ748" s="1206"/>
      <c r="BA748" s="1206"/>
      <c r="BB748" s="1206"/>
      <c r="BC748" s="1206"/>
      <c r="BD748" s="1370"/>
      <c r="BE748" s="1370"/>
      <c r="BF748" s="1370"/>
      <c r="BG748" s="1370"/>
      <c r="BH748" s="1370"/>
      <c r="BI748" s="1206"/>
      <c r="BJ748" s="1206"/>
      <c r="BK748" s="1206"/>
      <c r="BL748" s="1206"/>
      <c r="BM748" s="1206"/>
      <c r="BN748" s="1206"/>
      <c r="BO748" s="1206"/>
      <c r="BP748" s="1206"/>
      <c r="BQ748" s="1206"/>
      <c r="BR748" s="1206"/>
      <c r="BS748" s="1206"/>
      <c r="BT748" s="1206"/>
      <c r="BU748" s="1206"/>
      <c r="BV748" s="1206"/>
    </row>
    <row r="749" spans="1:74" s="1208" customFormat="1" ht="12.75" customHeight="1">
      <c r="A749" s="1223"/>
      <c r="B749" s="1311"/>
      <c r="C749" s="1566"/>
      <c r="D749" s="1311"/>
      <c r="E749" s="1311"/>
      <c r="F749" s="1311"/>
      <c r="G749" s="1311"/>
      <c r="H749" s="1311"/>
      <c r="I749" s="1311"/>
      <c r="J749" s="1311"/>
      <c r="K749" s="1311"/>
      <c r="L749" s="1311"/>
      <c r="M749" s="1311"/>
      <c r="N749" s="1311"/>
      <c r="O749" s="1311"/>
      <c r="P749" s="1311"/>
      <c r="Q749" s="1311"/>
      <c r="R749" s="1311"/>
      <c r="S749" s="1311"/>
      <c r="T749" s="1311"/>
      <c r="U749" s="1311"/>
      <c r="V749" s="1311"/>
      <c r="W749" s="1311"/>
      <c r="X749" s="1311"/>
      <c r="Y749" s="1311"/>
      <c r="Z749" s="1311"/>
      <c r="AA749" s="1311"/>
      <c r="AB749" s="1311"/>
      <c r="AC749" s="1311"/>
      <c r="AD749" s="1311"/>
      <c r="AE749" s="1311"/>
      <c r="AF749" s="1311"/>
      <c r="AG749" s="1311"/>
      <c r="AH749" s="1311"/>
      <c r="AM749" s="1223"/>
      <c r="AN749" s="1204"/>
      <c r="AO749" s="1205"/>
      <c r="AP749" s="1206"/>
      <c r="AQ749" s="1206"/>
      <c r="AR749" s="1206"/>
      <c r="AS749" s="1206"/>
      <c r="AT749" s="1206"/>
      <c r="AU749" s="1206"/>
      <c r="AV749" s="1206"/>
      <c r="AW749" s="1206"/>
      <c r="AX749" s="1206"/>
      <c r="AY749" s="1206"/>
      <c r="AZ749" s="1206"/>
      <c r="BA749" s="1206"/>
      <c r="BB749" s="1206"/>
      <c r="BC749" s="1206"/>
      <c r="BD749" s="1370"/>
      <c r="BE749" s="1370"/>
      <c r="BF749" s="1370"/>
      <c r="BG749" s="1370"/>
      <c r="BH749" s="1370"/>
      <c r="BI749" s="1206"/>
      <c r="BJ749" s="1206"/>
      <c r="BK749" s="1206"/>
      <c r="BL749" s="1206"/>
      <c r="BM749" s="1206"/>
      <c r="BN749" s="1206"/>
      <c r="BO749" s="1206"/>
      <c r="BP749" s="1206"/>
      <c r="BQ749" s="1206"/>
      <c r="BR749" s="1206"/>
      <c r="BS749" s="1206"/>
      <c r="BT749" s="1206"/>
      <c r="BU749" s="1206"/>
      <c r="BV749" s="1206"/>
    </row>
    <row r="750" spans="1:74" s="1208" customFormat="1" ht="13.9" customHeight="1">
      <c r="A750" s="1301"/>
      <c r="B750" s="1417"/>
      <c r="C750" s="1588"/>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c r="AA750" s="1417"/>
      <c r="AB750" s="1417"/>
      <c r="AC750" s="1417"/>
      <c r="AD750" s="1417"/>
      <c r="AE750" s="1417"/>
      <c r="AF750" s="1417"/>
      <c r="AG750" s="1417"/>
      <c r="AH750" s="1293"/>
      <c r="AI750" s="1240" t="s">
        <v>1652</v>
      </c>
      <c r="AJ750" s="2442">
        <f>VLOOKUP($H$748,$AO$683:$AP$685,2,FALSE)</f>
        <v>2</v>
      </c>
      <c r="AK750" s="2444"/>
      <c r="AL750" s="1268"/>
      <c r="AM750" s="1223"/>
      <c r="AN750" s="1204"/>
      <c r="AO750" s="1205"/>
      <c r="AP750" s="1206"/>
      <c r="AQ750" s="1206"/>
      <c r="AR750" s="1206"/>
      <c r="AS750" s="1206"/>
      <c r="AT750" s="1206"/>
      <c r="AU750" s="1206"/>
      <c r="AV750" s="1206"/>
      <c r="AW750" s="1206"/>
      <c r="AX750" s="1206"/>
      <c r="AY750" s="1206"/>
      <c r="AZ750" s="1206"/>
      <c r="BA750" s="1206"/>
      <c r="BB750" s="1206"/>
      <c r="BC750" s="1206"/>
      <c r="BD750" s="1370"/>
      <c r="BE750" s="1370"/>
      <c r="BF750" s="1370"/>
      <c r="BG750" s="1370"/>
      <c r="BH750" s="1370"/>
      <c r="BI750" s="1206"/>
      <c r="BJ750" s="1206"/>
      <c r="BK750" s="1206"/>
      <c r="BL750" s="1206"/>
      <c r="BM750" s="1206"/>
      <c r="BN750" s="1206"/>
      <c r="BO750" s="1206"/>
      <c r="BP750" s="1206"/>
      <c r="BQ750" s="1206"/>
      <c r="BR750" s="1206"/>
      <c r="BS750" s="1206"/>
      <c r="BT750" s="1206"/>
      <c r="BU750" s="1206"/>
      <c r="BV750" s="1206"/>
    </row>
    <row r="751" spans="1:74" s="1208" customFormat="1">
      <c r="A751" s="1223"/>
      <c r="B751" s="1311"/>
      <c r="C751" s="1566"/>
      <c r="D751" s="1311"/>
      <c r="E751" s="1311"/>
      <c r="F751" s="1311"/>
      <c r="G751" s="1311"/>
      <c r="H751" s="1311"/>
      <c r="I751" s="1311"/>
      <c r="J751" s="1311"/>
      <c r="K751" s="1311"/>
      <c r="L751" s="1311"/>
      <c r="M751" s="1311"/>
      <c r="N751" s="1311"/>
      <c r="O751" s="1311"/>
      <c r="P751" s="1311"/>
      <c r="Q751" s="1311"/>
      <c r="R751" s="1311"/>
      <c r="S751" s="1311"/>
      <c r="T751" s="1311"/>
      <c r="U751" s="1311"/>
      <c r="V751" s="1311"/>
      <c r="W751" s="1311"/>
      <c r="X751" s="1311"/>
      <c r="Y751" s="1311"/>
      <c r="Z751" s="1311"/>
      <c r="AA751" s="1311"/>
      <c r="AB751" s="1311"/>
      <c r="AC751" s="1311"/>
      <c r="AD751" s="1311"/>
      <c r="AE751" s="1311"/>
      <c r="AF751" s="1311"/>
      <c r="AG751" s="1311"/>
      <c r="AI751" s="1215"/>
      <c r="AJ751" s="1268"/>
      <c r="AK751" s="1268"/>
      <c r="AL751" s="1268"/>
      <c r="AM751" s="1223"/>
      <c r="AN751" s="1204"/>
      <c r="AO751" s="1205"/>
      <c r="AP751" s="1206"/>
      <c r="AQ751" s="1206"/>
      <c r="AR751" s="1206"/>
      <c r="AS751" s="1206"/>
      <c r="AT751" s="1206"/>
      <c r="AU751" s="1206"/>
      <c r="AV751" s="1206"/>
      <c r="AW751" s="1206"/>
      <c r="AX751" s="1206"/>
      <c r="AY751" s="1206"/>
      <c r="AZ751" s="1206"/>
      <c r="BA751" s="1206"/>
      <c r="BB751" s="1206"/>
      <c r="BC751" s="1206"/>
      <c r="BD751" s="1370"/>
      <c r="BE751" s="1370"/>
      <c r="BF751" s="1370"/>
      <c r="BG751" s="1370"/>
      <c r="BH751" s="1370"/>
      <c r="BI751" s="1206"/>
      <c r="BJ751" s="1206"/>
      <c r="BK751" s="1206"/>
      <c r="BL751" s="1206"/>
      <c r="BM751" s="1206"/>
      <c r="BN751" s="1206"/>
      <c r="BO751" s="1206"/>
      <c r="BP751" s="1206"/>
      <c r="BQ751" s="1206"/>
      <c r="BR751" s="1206"/>
      <c r="BS751" s="1206"/>
      <c r="BT751" s="1206"/>
      <c r="BU751" s="1206"/>
      <c r="BV751" s="1206"/>
    </row>
    <row r="752" spans="1:74" s="1208" customFormat="1">
      <c r="A752" s="1223"/>
      <c r="B752" s="1311"/>
      <c r="C752" s="1211" t="s">
        <v>1641</v>
      </c>
      <c r="D752" s="1311"/>
      <c r="E752" s="1311"/>
      <c r="F752" s="1311"/>
      <c r="G752" s="1311"/>
      <c r="H752" s="1311"/>
      <c r="I752" s="1311"/>
      <c r="J752" s="1311"/>
      <c r="K752" s="1311"/>
      <c r="L752" s="1311"/>
      <c r="M752" s="1311"/>
      <c r="N752" s="1311"/>
      <c r="O752" s="1311"/>
      <c r="P752" s="1311"/>
      <c r="Q752" s="1311"/>
      <c r="R752" s="1311"/>
      <c r="S752" s="1311"/>
      <c r="T752" s="1311"/>
      <c r="U752" s="1311"/>
      <c r="V752" s="1311"/>
      <c r="W752" s="1311"/>
      <c r="X752" s="1311"/>
      <c r="Y752" s="1311"/>
      <c r="Z752" s="1311"/>
      <c r="AA752" s="1311"/>
      <c r="AB752" s="1311"/>
      <c r="AC752" s="1311"/>
      <c r="AD752" s="1311"/>
      <c r="AE752" s="1311"/>
      <c r="AF752" s="1311"/>
      <c r="AG752" s="1311"/>
      <c r="AI752" s="1215"/>
      <c r="AJ752" s="1268"/>
      <c r="AK752" s="1268"/>
      <c r="AL752" s="1268"/>
      <c r="AM752" s="1223"/>
      <c r="AN752" s="1204"/>
      <c r="AO752" s="1205"/>
      <c r="AP752" s="1206"/>
      <c r="AQ752" s="1206"/>
      <c r="AR752" s="1206"/>
      <c r="AS752" s="1206"/>
      <c r="AT752" s="1206"/>
      <c r="AU752" s="1206"/>
      <c r="AV752" s="1206"/>
      <c r="AW752" s="1206"/>
      <c r="AX752" s="1206"/>
      <c r="AY752" s="1206"/>
      <c r="AZ752" s="1206"/>
      <c r="BA752" s="1206"/>
      <c r="BB752" s="1206"/>
      <c r="BC752" s="1206"/>
      <c r="BD752" s="1370"/>
      <c r="BE752" s="1370"/>
      <c r="BF752" s="1370"/>
      <c r="BG752" s="1370"/>
      <c r="BH752" s="1370"/>
      <c r="BI752" s="1206"/>
      <c r="BJ752" s="1206"/>
      <c r="BK752" s="1206"/>
      <c r="BL752" s="1206"/>
      <c r="BM752" s="1206"/>
      <c r="BN752" s="1206"/>
      <c r="BO752" s="1206"/>
      <c r="BP752" s="1206"/>
      <c r="BQ752" s="1206"/>
      <c r="BR752" s="1206"/>
      <c r="BS752" s="1206"/>
      <c r="BT752" s="1206"/>
      <c r="BU752" s="1206"/>
      <c r="BV752" s="1206"/>
    </row>
    <row r="753" spans="1:81" s="1208" customFormat="1">
      <c r="A753" s="1223"/>
      <c r="B753" s="1311"/>
      <c r="C753" s="1566"/>
      <c r="D753" s="1311"/>
      <c r="E753" s="1311"/>
      <c r="F753" s="1311"/>
      <c r="G753" s="1311"/>
      <c r="H753" s="1311"/>
      <c r="I753" s="1311"/>
      <c r="J753" s="1311"/>
      <c r="K753" s="1311"/>
      <c r="L753" s="1311"/>
      <c r="M753" s="1311"/>
      <c r="N753" s="1311"/>
      <c r="O753" s="1311"/>
      <c r="P753" s="1311"/>
      <c r="Q753" s="1311"/>
      <c r="R753" s="1311"/>
      <c r="S753" s="1311"/>
      <c r="T753" s="1311"/>
      <c r="U753" s="1311"/>
      <c r="V753" s="1311"/>
      <c r="W753" s="1311"/>
      <c r="X753" s="1311"/>
      <c r="Y753" s="1311"/>
      <c r="Z753" s="1311"/>
      <c r="AA753" s="1311"/>
      <c r="AB753" s="1311"/>
      <c r="AC753" s="1311"/>
      <c r="AD753" s="1311"/>
      <c r="AE753" s="1311"/>
      <c r="AF753" s="1311"/>
      <c r="AG753" s="1311"/>
      <c r="AI753" s="1215"/>
      <c r="AJ753" s="1268"/>
      <c r="AK753" s="1268"/>
      <c r="AL753" s="1268"/>
      <c r="AM753" s="1223"/>
      <c r="AN753" s="1207"/>
    </row>
    <row r="754" spans="1:81" s="1208" customFormat="1" ht="13.7" customHeight="1">
      <c r="A754" s="1223"/>
      <c r="B754" s="1311"/>
      <c r="C754" s="1566"/>
      <c r="D754" s="1318" t="s">
        <v>715</v>
      </c>
      <c r="E754" s="2462" t="s">
        <v>2010</v>
      </c>
      <c r="F754" s="2462"/>
      <c r="G754" s="2462"/>
      <c r="H754" s="2462"/>
      <c r="I754" s="2462"/>
      <c r="J754" s="2462"/>
      <c r="K754" s="2462"/>
      <c r="L754" s="2462"/>
      <c r="M754" s="2462"/>
      <c r="N754" s="2462"/>
      <c r="O754" s="2462"/>
      <c r="P754" s="2462"/>
      <c r="Q754" s="2462"/>
      <c r="R754" s="2462"/>
      <c r="S754" s="2462"/>
      <c r="T754" s="2462"/>
      <c r="U754" s="2462"/>
      <c r="V754" s="2462"/>
      <c r="W754" s="2462"/>
      <c r="X754" s="2462"/>
      <c r="Y754" s="2462"/>
      <c r="Z754" s="2462"/>
      <c r="AA754" s="2462"/>
      <c r="AB754" s="2462"/>
      <c r="AC754" s="2462"/>
      <c r="AD754" s="2462"/>
      <c r="AF754" s="2463" t="s">
        <v>1609</v>
      </c>
      <c r="AG754" s="2463"/>
      <c r="AH754" s="2463"/>
      <c r="AI754" s="2463"/>
      <c r="AJ754" s="2463"/>
      <c r="AK754" s="2463"/>
      <c r="AL754" s="2463"/>
      <c r="AM754" s="1308"/>
      <c r="AN754" s="1207"/>
    </row>
    <row r="755" spans="1:81" s="1208" customFormat="1" ht="13.7" customHeight="1">
      <c r="A755" s="1223"/>
      <c r="B755" s="1311"/>
      <c r="C755" s="1566"/>
      <c r="D755" s="1318"/>
      <c r="E755" s="2462"/>
      <c r="F755" s="2462"/>
      <c r="G755" s="2462"/>
      <c r="H755" s="2462"/>
      <c r="I755" s="2462"/>
      <c r="J755" s="2462"/>
      <c r="K755" s="2462"/>
      <c r="L755" s="2462"/>
      <c r="M755" s="2462"/>
      <c r="N755" s="2462"/>
      <c r="O755" s="2462"/>
      <c r="P755" s="2462"/>
      <c r="Q755" s="2462"/>
      <c r="R755" s="2462"/>
      <c r="S755" s="2462"/>
      <c r="T755" s="2462"/>
      <c r="U755" s="2462"/>
      <c r="V755" s="2462"/>
      <c r="W755" s="2462"/>
      <c r="X755" s="2462"/>
      <c r="Y755" s="2462"/>
      <c r="Z755" s="2462"/>
      <c r="AA755" s="2462"/>
      <c r="AB755" s="2462"/>
      <c r="AC755" s="2462"/>
      <c r="AD755" s="2462"/>
      <c r="AF755" s="1290"/>
      <c r="AG755" s="1290"/>
      <c r="AH755" s="1290"/>
      <c r="AI755" s="1290"/>
      <c r="AJ755" s="1290"/>
      <c r="AK755" s="1290"/>
      <c r="AL755" s="1290"/>
      <c r="AM755" s="1308"/>
      <c r="AN755" s="1207"/>
    </row>
    <row r="756" spans="1:81" s="1208" customFormat="1">
      <c r="A756" s="1223"/>
      <c r="B756" s="1311"/>
      <c r="C756" s="1566"/>
      <c r="D756" s="1318"/>
      <c r="E756" s="2462"/>
      <c r="F756" s="2462"/>
      <c r="G756" s="2462"/>
      <c r="H756" s="2462"/>
      <c r="I756" s="2462"/>
      <c r="J756" s="2462"/>
      <c r="K756" s="2462"/>
      <c r="L756" s="2462"/>
      <c r="M756" s="2462"/>
      <c r="N756" s="2462"/>
      <c r="O756" s="2462"/>
      <c r="P756" s="2462"/>
      <c r="Q756" s="2462"/>
      <c r="R756" s="2462"/>
      <c r="S756" s="2462"/>
      <c r="T756" s="2462"/>
      <c r="U756" s="2462"/>
      <c r="V756" s="2462"/>
      <c r="W756" s="2462"/>
      <c r="X756" s="2462"/>
      <c r="Y756" s="2462"/>
      <c r="Z756" s="2462"/>
      <c r="AA756" s="2462"/>
      <c r="AB756" s="2462"/>
      <c r="AC756" s="2462"/>
      <c r="AD756" s="2462"/>
      <c r="AL756" s="1290"/>
      <c r="AM756" s="1308"/>
      <c r="AN756" s="1204"/>
      <c r="AO756" s="1205"/>
      <c r="AP756" s="1206"/>
      <c r="AQ756" s="1206"/>
      <c r="AR756" s="1206"/>
      <c r="AS756" s="1206"/>
      <c r="AT756" s="1206"/>
      <c r="AU756" s="1206"/>
      <c r="AV756" s="1206"/>
      <c r="AW756" s="1206"/>
      <c r="AX756" s="1206"/>
      <c r="AY756" s="1206"/>
      <c r="AZ756" s="1206"/>
      <c r="BA756" s="1206"/>
      <c r="BB756" s="1206"/>
      <c r="BC756" s="1206"/>
      <c r="BD756" s="1370"/>
      <c r="BE756" s="1370"/>
      <c r="BF756" s="1370"/>
      <c r="BG756" s="1370"/>
      <c r="BH756" s="1370"/>
      <c r="BI756" s="1206"/>
      <c r="BJ756" s="1206"/>
      <c r="BK756" s="1206"/>
      <c r="BL756" s="1206"/>
      <c r="BM756" s="1206"/>
      <c r="BN756" s="1206"/>
      <c r="BO756" s="1206"/>
      <c r="BP756" s="1206"/>
      <c r="BQ756" s="1206"/>
      <c r="BR756" s="1206"/>
      <c r="BS756" s="1206"/>
      <c r="BT756" s="1206"/>
      <c r="BU756" s="1206"/>
    </row>
    <row r="757" spans="1:81" s="1208" customFormat="1" ht="18.600000000000001" customHeight="1">
      <c r="A757" s="1223"/>
      <c r="B757" s="1311"/>
      <c r="C757" s="1566"/>
      <c r="D757" s="1318"/>
      <c r="E757" s="2462"/>
      <c r="F757" s="2462"/>
      <c r="G757" s="2462"/>
      <c r="H757" s="2462"/>
      <c r="I757" s="2462"/>
      <c r="J757" s="2462"/>
      <c r="K757" s="2462"/>
      <c r="L757" s="2462"/>
      <c r="M757" s="2462"/>
      <c r="N757" s="2462"/>
      <c r="O757" s="2462"/>
      <c r="P757" s="2462"/>
      <c r="Q757" s="2462"/>
      <c r="R757" s="2462"/>
      <c r="S757" s="2462"/>
      <c r="T757" s="2462"/>
      <c r="U757" s="2462"/>
      <c r="V757" s="2462"/>
      <c r="W757" s="2462"/>
      <c r="X757" s="2462"/>
      <c r="Y757" s="2462"/>
      <c r="Z757" s="2462"/>
      <c r="AA757" s="2462"/>
      <c r="AB757" s="2462"/>
      <c r="AC757" s="2462"/>
      <c r="AD757" s="2462"/>
      <c r="AE757" s="1290"/>
      <c r="AF757" s="1290"/>
      <c r="AG757" s="1290"/>
      <c r="AH757" s="1290"/>
      <c r="AI757" s="1290"/>
      <c r="AJ757" s="1290"/>
      <c r="AK757" s="1290"/>
      <c r="AL757" s="1290"/>
      <c r="AM757" s="1308"/>
      <c r="AN757" s="1204"/>
      <c r="AO757" s="1205"/>
      <c r="AP757" s="1206"/>
      <c r="AQ757" s="1206"/>
      <c r="AR757" s="1206"/>
      <c r="AS757" s="1206"/>
      <c r="AT757" s="1206"/>
      <c r="AU757" s="1206"/>
      <c r="AV757" s="1206"/>
      <c r="AW757" s="1206"/>
      <c r="AX757" s="1206"/>
      <c r="AY757" s="1206"/>
      <c r="AZ757" s="1206"/>
      <c r="BA757" s="1206"/>
      <c r="BB757" s="1206"/>
      <c r="BC757" s="1206"/>
      <c r="BD757" s="1370"/>
      <c r="BE757" s="1370"/>
      <c r="BF757" s="1370"/>
      <c r="BG757" s="1370"/>
      <c r="BH757" s="1370"/>
      <c r="BI757" s="1206"/>
      <c r="BJ757" s="1206"/>
      <c r="BK757" s="1206"/>
      <c r="BL757" s="1206"/>
      <c r="BM757" s="1206"/>
      <c r="BN757" s="1206"/>
      <c r="BO757" s="1206"/>
      <c r="BP757" s="1206"/>
      <c r="BQ757" s="1206"/>
      <c r="BR757" s="1206"/>
      <c r="BS757" s="1206"/>
      <c r="BT757" s="1206"/>
      <c r="BU757" s="1206"/>
    </row>
    <row r="758" spans="1:81" s="1223" customFormat="1" ht="12.75" customHeight="1">
      <c r="B758" s="1311"/>
      <c r="C758" s="1566"/>
      <c r="D758" s="1318"/>
      <c r="E758" s="1251"/>
      <c r="F758" s="1251"/>
      <c r="G758" s="1251"/>
      <c r="H758" s="1251"/>
      <c r="I758" s="1251"/>
      <c r="J758" s="1251"/>
      <c r="K758" s="1251"/>
      <c r="L758" s="1251"/>
      <c r="M758" s="1251"/>
      <c r="N758" s="1251"/>
      <c r="O758" s="1251"/>
      <c r="P758" s="1251"/>
      <c r="Q758" s="1251"/>
      <c r="R758" s="1251"/>
      <c r="S758" s="1251"/>
      <c r="T758" s="1251"/>
      <c r="U758" s="1251"/>
      <c r="V758" s="1251"/>
      <c r="W758" s="1251"/>
      <c r="X758" s="1251"/>
      <c r="Y758" s="1251"/>
      <c r="Z758" s="1251"/>
      <c r="AA758" s="1251"/>
      <c r="AB758" s="1251"/>
      <c r="AC758" s="1251"/>
      <c r="AD758" s="1251"/>
      <c r="AE758" s="1290"/>
      <c r="AF758" s="1208"/>
      <c r="AG758" s="1208"/>
      <c r="AH758" s="1208"/>
      <c r="AI758" s="1208"/>
      <c r="AJ758" s="1208"/>
      <c r="AK758" s="1208"/>
      <c r="AL758" s="1208"/>
      <c r="AM758" s="1308"/>
      <c r="AN758" s="1297"/>
    </row>
    <row r="759" spans="1:81" s="1223" customFormat="1" ht="12.75" customHeight="1">
      <c r="B759" s="1311"/>
      <c r="C759" s="1566"/>
      <c r="D759" s="1318" t="s">
        <v>535</v>
      </c>
      <c r="E759" s="2465" t="s">
        <v>2017</v>
      </c>
      <c r="F759" s="2465"/>
      <c r="G759" s="2465"/>
      <c r="H759" s="2465"/>
      <c r="I759" s="2465"/>
      <c r="J759" s="2465"/>
      <c r="K759" s="2465"/>
      <c r="L759" s="2465"/>
      <c r="M759" s="2465"/>
      <c r="N759" s="2465"/>
      <c r="O759" s="2465"/>
      <c r="P759" s="2465"/>
      <c r="Q759" s="2465"/>
      <c r="R759" s="2465"/>
      <c r="S759" s="2465"/>
      <c r="T759" s="2465"/>
      <c r="U759" s="2465"/>
      <c r="V759" s="2465"/>
      <c r="W759" s="2465"/>
      <c r="X759" s="2465"/>
      <c r="Y759" s="2465"/>
      <c r="Z759" s="2465"/>
      <c r="AA759" s="2465"/>
      <c r="AB759" s="2465"/>
      <c r="AC759" s="2465"/>
      <c r="AD759" s="2465"/>
      <c r="AE759" s="1208"/>
      <c r="AF759" s="2463" t="s">
        <v>1553</v>
      </c>
      <c r="AG759" s="2463"/>
      <c r="AH759" s="2463"/>
      <c r="AI759" s="2463"/>
      <c r="AJ759" s="2463"/>
      <c r="AK759" s="2463"/>
      <c r="AL759" s="2463"/>
      <c r="AM759" s="1308"/>
      <c r="AN759" s="1297"/>
    </row>
    <row r="760" spans="1:81" s="1223" customFormat="1" ht="12.75" customHeight="1">
      <c r="B760" s="1311"/>
      <c r="C760" s="1566"/>
      <c r="D760" s="1318"/>
      <c r="E760" s="2465"/>
      <c r="F760" s="2465"/>
      <c r="G760" s="2465"/>
      <c r="H760" s="2465"/>
      <c r="I760" s="2465"/>
      <c r="J760" s="2465"/>
      <c r="K760" s="2465"/>
      <c r="L760" s="2465"/>
      <c r="M760" s="2465"/>
      <c r="N760" s="2465"/>
      <c r="O760" s="2465"/>
      <c r="P760" s="2465"/>
      <c r="Q760" s="2465"/>
      <c r="R760" s="2465"/>
      <c r="S760" s="2465"/>
      <c r="T760" s="2465"/>
      <c r="U760" s="2465"/>
      <c r="V760" s="2465"/>
      <c r="W760" s="2465"/>
      <c r="X760" s="2465"/>
      <c r="Y760" s="2465"/>
      <c r="Z760" s="2465"/>
      <c r="AA760" s="2465"/>
      <c r="AB760" s="2465"/>
      <c r="AC760" s="2465"/>
      <c r="AD760" s="2465"/>
      <c r="AE760" s="1290"/>
      <c r="AF760" s="1290"/>
      <c r="AG760" s="1290"/>
      <c r="AH760" s="1290"/>
      <c r="AI760" s="1290"/>
      <c r="AJ760" s="1290"/>
      <c r="AK760" s="1290"/>
      <c r="AL760" s="1290"/>
      <c r="AM760" s="1308"/>
      <c r="AN760" s="1297"/>
    </row>
    <row r="761" spans="1:81" s="1223" customFormat="1" ht="12.75" customHeight="1">
      <c r="B761" s="1311"/>
      <c r="C761" s="1566"/>
      <c r="D761" s="1318"/>
      <c r="E761" s="2465"/>
      <c r="F761" s="2465"/>
      <c r="G761" s="2465"/>
      <c r="H761" s="2465"/>
      <c r="I761" s="2465"/>
      <c r="J761" s="2465"/>
      <c r="K761" s="2465"/>
      <c r="L761" s="2465"/>
      <c r="M761" s="2465"/>
      <c r="N761" s="2465"/>
      <c r="O761" s="2465"/>
      <c r="P761" s="2465"/>
      <c r="Q761" s="2465"/>
      <c r="R761" s="2465"/>
      <c r="S761" s="2465"/>
      <c r="T761" s="2465"/>
      <c r="U761" s="2465"/>
      <c r="V761" s="2465"/>
      <c r="W761" s="2465"/>
      <c r="X761" s="2465"/>
      <c r="Y761" s="2465"/>
      <c r="Z761" s="2465"/>
      <c r="AA761" s="2465"/>
      <c r="AB761" s="2465"/>
      <c r="AC761" s="2465"/>
      <c r="AD761" s="2465"/>
      <c r="AE761" s="1290"/>
      <c r="AF761" s="1290"/>
      <c r="AG761" s="1290"/>
      <c r="AH761" s="1290"/>
      <c r="AI761" s="1290"/>
      <c r="AJ761" s="1290"/>
      <c r="AK761" s="1290"/>
      <c r="AL761" s="1290"/>
      <c r="AM761" s="1308"/>
      <c r="AN761" s="1297"/>
    </row>
    <row r="762" spans="1:81" s="1223" customFormat="1" ht="12.75" customHeight="1">
      <c r="B762" s="1311"/>
      <c r="C762" s="1566"/>
      <c r="D762" s="1318"/>
      <c r="E762" s="2465"/>
      <c r="F762" s="2465"/>
      <c r="G762" s="2465"/>
      <c r="H762" s="2465"/>
      <c r="I762" s="2465"/>
      <c r="J762" s="2465"/>
      <c r="K762" s="2465"/>
      <c r="L762" s="2465"/>
      <c r="M762" s="2465"/>
      <c r="N762" s="2465"/>
      <c r="O762" s="2465"/>
      <c r="P762" s="2465"/>
      <c r="Q762" s="2465"/>
      <c r="R762" s="2465"/>
      <c r="S762" s="2465"/>
      <c r="T762" s="2465"/>
      <c r="U762" s="2465"/>
      <c r="V762" s="2465"/>
      <c r="W762" s="2465"/>
      <c r="X762" s="2465"/>
      <c r="Y762" s="2465"/>
      <c r="Z762" s="2465"/>
      <c r="AA762" s="2465"/>
      <c r="AB762" s="2465"/>
      <c r="AC762" s="2465"/>
      <c r="AD762" s="2465"/>
      <c r="AE762" s="1290"/>
      <c r="AF762" s="1290"/>
      <c r="AG762" s="1290"/>
      <c r="AH762" s="1290"/>
      <c r="AI762" s="1290"/>
      <c r="AJ762" s="1290"/>
      <c r="AK762" s="1290"/>
      <c r="AL762" s="1290"/>
      <c r="AM762" s="1308"/>
      <c r="AN762" s="1297"/>
    </row>
    <row r="763" spans="1:81" s="1223" customFormat="1" ht="12.75" customHeight="1">
      <c r="A763" s="1208"/>
      <c r="B763" s="1208"/>
      <c r="C763" s="1208"/>
      <c r="D763" s="1208"/>
      <c r="E763" s="1208"/>
      <c r="F763" s="1208"/>
      <c r="G763" s="1208"/>
      <c r="H763" s="1208"/>
      <c r="I763" s="1208"/>
      <c r="J763" s="1208"/>
      <c r="K763" s="1208"/>
      <c r="L763" s="1208"/>
      <c r="M763" s="1208"/>
      <c r="N763" s="1208"/>
      <c r="O763" s="1208"/>
      <c r="P763" s="1208"/>
      <c r="Q763" s="1208"/>
      <c r="R763" s="1208"/>
      <c r="S763" s="1208"/>
      <c r="T763" s="1208"/>
      <c r="U763" s="1208"/>
      <c r="V763" s="1208"/>
      <c r="W763" s="1208"/>
      <c r="X763" s="1208"/>
      <c r="Y763" s="1208"/>
      <c r="Z763" s="1208"/>
      <c r="AA763" s="1208"/>
      <c r="AB763" s="1208"/>
      <c r="AC763" s="1208"/>
      <c r="AD763" s="1208"/>
      <c r="AE763" s="1208"/>
      <c r="AF763" s="1208"/>
      <c r="AG763" s="1208"/>
      <c r="AH763" s="1208"/>
      <c r="AI763" s="1208"/>
      <c r="AJ763" s="1208"/>
      <c r="AK763" s="1208"/>
      <c r="AL763" s="1208"/>
      <c r="AM763" s="1208"/>
      <c r="AN763" s="1297"/>
    </row>
    <row r="764" spans="1:81" s="1223" customFormat="1" ht="12.75" customHeight="1">
      <c r="B764" s="1311"/>
      <c r="C764" s="1566"/>
      <c r="D764" s="1208" t="s">
        <v>1601</v>
      </c>
      <c r="E764" s="1560"/>
      <c r="F764" s="1560"/>
      <c r="G764" s="1560"/>
      <c r="H764" s="2464" t="s">
        <v>618</v>
      </c>
      <c r="I764" s="2464"/>
      <c r="J764" s="1320"/>
      <c r="K764" s="1320"/>
      <c r="L764" s="1320"/>
      <c r="M764" s="1320"/>
      <c r="N764" s="1320"/>
      <c r="O764" s="1320"/>
      <c r="P764" s="1320"/>
      <c r="Q764" s="1320"/>
      <c r="R764" s="1320"/>
      <c r="S764" s="1320"/>
      <c r="T764" s="1320"/>
      <c r="U764" s="1320"/>
      <c r="V764" s="1320"/>
      <c r="W764" s="1320"/>
      <c r="X764" s="1320"/>
      <c r="Y764" s="1320"/>
      <c r="Z764" s="1320"/>
      <c r="AA764" s="1320"/>
      <c r="AB764" s="1320"/>
      <c r="AC764" s="1320"/>
      <c r="AD764" s="1320"/>
      <c r="AE764" s="1320"/>
      <c r="AF764" s="1320"/>
      <c r="AG764" s="1311"/>
      <c r="AH764" s="1208"/>
      <c r="AI764" s="1215"/>
      <c r="AJ764" s="1268"/>
      <c r="AK764" s="1268"/>
      <c r="AL764" s="1268"/>
      <c r="AN764" s="1297"/>
    </row>
    <row r="765" spans="1:81" s="1223" customFormat="1" ht="12.75" customHeight="1">
      <c r="B765" s="1311"/>
      <c r="C765" s="1566"/>
      <c r="D765" s="1311"/>
      <c r="E765" s="1311"/>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208"/>
      <c r="AI765" s="1215"/>
      <c r="AJ765" s="1268"/>
      <c r="AK765" s="1268"/>
      <c r="AL765" s="1268"/>
      <c r="AN765" s="1297"/>
    </row>
    <row r="766" spans="1:81" s="1223" customFormat="1" ht="12.75" customHeight="1">
      <c r="A766" s="1301"/>
      <c r="B766" s="1417"/>
      <c r="C766" s="1588"/>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c r="AA766" s="1417"/>
      <c r="AB766" s="1417"/>
      <c r="AC766" s="1417"/>
      <c r="AD766" s="1417"/>
      <c r="AE766" s="1417"/>
      <c r="AF766" s="1417"/>
      <c r="AG766" s="1417"/>
      <c r="AH766" s="1293"/>
      <c r="AI766" s="1240" t="s">
        <v>1653</v>
      </c>
      <c r="AJ766" s="2442">
        <f>VLOOKUP($H$764,$AP$705:$AQ$707,2,FALSE)</f>
        <v>0</v>
      </c>
      <c r="AK766" s="2444"/>
      <c r="AL766" s="1268"/>
      <c r="AN766" s="1297"/>
    </row>
    <row r="767" spans="1:81" s="1208" customFormat="1">
      <c r="A767" s="1223"/>
      <c r="B767" s="1311"/>
      <c r="C767" s="1566"/>
      <c r="D767" s="1311"/>
      <c r="E767" s="1311"/>
      <c r="F767" s="1311"/>
      <c r="G767" s="1311"/>
      <c r="H767" s="1311"/>
      <c r="I767" s="1311"/>
      <c r="J767" s="1311"/>
      <c r="K767" s="1311"/>
      <c r="L767" s="1311"/>
      <c r="M767" s="1311"/>
      <c r="N767" s="1311"/>
      <c r="O767" s="1311"/>
      <c r="P767" s="1311"/>
      <c r="Q767" s="1311"/>
      <c r="R767" s="1311"/>
      <c r="S767" s="1311"/>
      <c r="T767" s="1311"/>
      <c r="U767" s="1311"/>
      <c r="V767" s="1311"/>
      <c r="W767" s="1311"/>
      <c r="X767" s="1311"/>
      <c r="Y767" s="1311"/>
      <c r="Z767" s="1311"/>
      <c r="AA767" s="1311"/>
      <c r="AB767" s="1311"/>
      <c r="AC767" s="1311"/>
      <c r="AD767" s="1311"/>
      <c r="AE767" s="1311"/>
      <c r="AF767" s="1311"/>
      <c r="AG767" s="1311"/>
      <c r="AI767" s="1215"/>
      <c r="AJ767" s="1268"/>
      <c r="AK767" s="1268"/>
      <c r="AL767" s="1268"/>
      <c r="AM767" s="1223"/>
      <c r="AN767" s="1207"/>
      <c r="AS767" s="1559"/>
      <c r="AT767" s="1559"/>
      <c r="AU767" s="1559"/>
      <c r="AV767" s="1559"/>
      <c r="AW767" s="1559"/>
      <c r="AX767" s="1559"/>
      <c r="AY767" s="1559"/>
      <c r="AZ767" s="1559"/>
      <c r="BA767" s="1559"/>
      <c r="BB767" s="1559"/>
      <c r="BC767" s="1559"/>
      <c r="BD767" s="1589"/>
      <c r="BE767" s="1589"/>
      <c r="BF767" s="1589"/>
      <c r="BG767" s="1589"/>
      <c r="BH767" s="1589"/>
      <c r="BI767" s="1559"/>
      <c r="BJ767" s="1559"/>
      <c r="BK767" s="1559"/>
      <c r="BL767" s="1559"/>
      <c r="BM767" s="1559"/>
      <c r="BN767" s="1559"/>
      <c r="BO767" s="1559"/>
      <c r="BP767" s="1559"/>
      <c r="BQ767" s="1559"/>
      <c r="BR767" s="1559"/>
      <c r="BS767" s="1559"/>
      <c r="BT767" s="1559"/>
      <c r="BU767" s="1559"/>
      <c r="BV767" s="1559"/>
      <c r="BW767" s="1559"/>
      <c r="BX767" s="1559"/>
      <c r="BY767" s="1559"/>
      <c r="BZ767" s="1559"/>
      <c r="CA767" s="1559"/>
      <c r="CB767" s="1559"/>
      <c r="CC767" s="1559"/>
    </row>
    <row r="768" spans="1:81" s="1208" customFormat="1">
      <c r="A768" s="1223"/>
      <c r="B768" s="1311"/>
      <c r="C768" s="1211" t="s">
        <v>1654</v>
      </c>
      <c r="D768" s="1311"/>
      <c r="E768" s="1311"/>
      <c r="F768" s="1311"/>
      <c r="G768" s="1311"/>
      <c r="H768" s="1311"/>
      <c r="I768" s="1311"/>
      <c r="J768" s="1311"/>
      <c r="K768" s="1311"/>
      <c r="L768" s="1311"/>
      <c r="M768" s="1311"/>
      <c r="N768" s="1311"/>
      <c r="O768" s="1311"/>
      <c r="P768" s="1311"/>
      <c r="Q768" s="1311"/>
      <c r="R768" s="1311"/>
      <c r="S768" s="1311"/>
      <c r="T768" s="1311"/>
      <c r="U768" s="1311"/>
      <c r="V768" s="1311"/>
      <c r="W768" s="1311"/>
      <c r="X768" s="1311"/>
      <c r="Y768" s="1311"/>
      <c r="Z768" s="1311"/>
      <c r="AA768" s="1311"/>
      <c r="AB768" s="1311"/>
      <c r="AC768" s="1311"/>
      <c r="AD768" s="1311"/>
      <c r="AE768" s="1311"/>
      <c r="AF768" s="1311"/>
      <c r="AG768" s="1311"/>
      <c r="AI768" s="1215"/>
      <c r="AJ768" s="1268"/>
      <c r="AK768" s="1268"/>
      <c r="AL768" s="1268"/>
      <c r="AM768" s="1223"/>
      <c r="AN768" s="1207"/>
      <c r="AT768" s="1559"/>
      <c r="AU768" s="1559"/>
      <c r="AV768" s="1559"/>
      <c r="AW768" s="1559"/>
      <c r="AX768" s="1559"/>
      <c r="AY768" s="1559"/>
      <c r="AZ768" s="1559"/>
    </row>
    <row r="769" spans="1:81" s="1208" customFormat="1">
      <c r="A769" s="1223"/>
      <c r="B769" s="1311"/>
      <c r="C769" s="1566"/>
      <c r="D769" s="1311"/>
      <c r="E769" s="1311"/>
      <c r="F769" s="1311"/>
      <c r="G769" s="1311"/>
      <c r="H769" s="1311"/>
      <c r="I769" s="1311"/>
      <c r="J769" s="1311"/>
      <c r="K769" s="1311"/>
      <c r="L769" s="1311"/>
      <c r="M769" s="1311"/>
      <c r="N769" s="1311"/>
      <c r="O769" s="1311"/>
      <c r="P769" s="1311"/>
      <c r="Q769" s="1311"/>
      <c r="R769" s="1311"/>
      <c r="S769" s="1311"/>
      <c r="T769" s="1311"/>
      <c r="U769" s="1311"/>
      <c r="V769" s="1311"/>
      <c r="W769" s="1311"/>
      <c r="X769" s="1311"/>
      <c r="Y769" s="1311"/>
      <c r="Z769" s="1311"/>
      <c r="AA769" s="1311"/>
      <c r="AB769" s="1311"/>
      <c r="AC769" s="1311"/>
      <c r="AD769" s="1311"/>
      <c r="AL769" s="1268"/>
      <c r="AM769" s="1223"/>
      <c r="AN769" s="1207"/>
      <c r="AO769" s="1223" t="s">
        <v>618</v>
      </c>
      <c r="AP769" s="1569">
        <v>0</v>
      </c>
      <c r="AS769" s="1559"/>
      <c r="AT769" s="1559"/>
      <c r="AU769" s="1559"/>
      <c r="AV769" s="1559"/>
      <c r="AW769" s="1559"/>
      <c r="AX769" s="1559"/>
      <c r="AY769" s="1559"/>
      <c r="AZ769" s="1559"/>
      <c r="BA769" s="1559"/>
      <c r="BB769" s="1559"/>
      <c r="BC769" s="1559"/>
      <c r="BD769" s="1589"/>
      <c r="BE769" s="1589"/>
      <c r="BF769" s="1589"/>
      <c r="BG769" s="1589"/>
      <c r="BH769" s="1589"/>
      <c r="BI769" s="1559"/>
      <c r="BJ769" s="1559"/>
      <c r="BK769" s="1559"/>
      <c r="BL769" s="1559"/>
      <c r="BM769" s="1559"/>
      <c r="BN769" s="1559"/>
      <c r="BO769" s="1559"/>
      <c r="BP769" s="1559"/>
      <c r="BQ769" s="1559"/>
      <c r="BR769" s="1559"/>
      <c r="BS769" s="1559"/>
      <c r="BT769" s="1559"/>
      <c r="BU769" s="1559"/>
      <c r="BV769" s="1559"/>
      <c r="BW769" s="1559"/>
      <c r="BX769" s="1559"/>
      <c r="BY769" s="1559"/>
      <c r="BZ769" s="1559"/>
      <c r="CA769" s="1559"/>
      <c r="CB769" s="1559"/>
      <c r="CC769" s="1559"/>
    </row>
    <row r="770" spans="1:81" s="1208" customFormat="1" ht="13.7" customHeight="1">
      <c r="A770" s="1223"/>
      <c r="B770" s="1311"/>
      <c r="C770" s="1566"/>
      <c r="D770" s="1318" t="s">
        <v>715</v>
      </c>
      <c r="E770" s="2462" t="s">
        <v>2690</v>
      </c>
      <c r="F770" s="2462"/>
      <c r="G770" s="2462"/>
      <c r="H770" s="2462"/>
      <c r="I770" s="2462"/>
      <c r="J770" s="2462"/>
      <c r="K770" s="2462"/>
      <c r="L770" s="2462"/>
      <c r="M770" s="2462"/>
      <c r="N770" s="2462"/>
      <c r="O770" s="2462"/>
      <c r="P770" s="2462"/>
      <c r="Q770" s="2462"/>
      <c r="R770" s="2462"/>
      <c r="S770" s="2462"/>
      <c r="T770" s="2462"/>
      <c r="U770" s="2462"/>
      <c r="V770" s="2462"/>
      <c r="W770" s="2462"/>
      <c r="X770" s="2462"/>
      <c r="Y770" s="2462"/>
      <c r="Z770" s="2462"/>
      <c r="AA770" s="2462"/>
      <c r="AB770" s="2462"/>
      <c r="AC770" s="2462"/>
      <c r="AD770" s="2462"/>
      <c r="AF770" s="2463" t="s">
        <v>1553</v>
      </c>
      <c r="AG770" s="2463"/>
      <c r="AH770" s="2463"/>
      <c r="AI770" s="2463"/>
      <c r="AJ770" s="2463"/>
      <c r="AK770" s="2463"/>
      <c r="AL770" s="2463"/>
      <c r="AM770" s="1308"/>
      <c r="AN770" s="1207"/>
      <c r="AO770" s="1306" t="s">
        <v>571</v>
      </c>
      <c r="AP770" s="1223">
        <v>3</v>
      </c>
      <c r="AT770" s="1559"/>
      <c r="AU770" s="1559"/>
      <c r="AV770" s="1559"/>
      <c r="AW770" s="1559"/>
      <c r="AX770" s="1559"/>
      <c r="AY770" s="1559"/>
      <c r="AZ770" s="1559"/>
    </row>
    <row r="771" spans="1:81" s="1208" customFormat="1" ht="13.7" customHeight="1">
      <c r="A771" s="1223"/>
      <c r="B771" s="1311"/>
      <c r="C771" s="1566"/>
      <c r="D771" s="1318"/>
      <c r="E771" s="2462"/>
      <c r="F771" s="2462"/>
      <c r="G771" s="2462"/>
      <c r="H771" s="2462"/>
      <c r="I771" s="2462"/>
      <c r="J771" s="2462"/>
      <c r="K771" s="2462"/>
      <c r="L771" s="2462"/>
      <c r="M771" s="2462"/>
      <c r="N771" s="2462"/>
      <c r="O771" s="2462"/>
      <c r="P771" s="2462"/>
      <c r="Q771" s="2462"/>
      <c r="R771" s="2462"/>
      <c r="S771" s="2462"/>
      <c r="T771" s="2462"/>
      <c r="U771" s="2462"/>
      <c r="V771" s="2462"/>
      <c r="W771" s="2462"/>
      <c r="X771" s="2462"/>
      <c r="Y771" s="2462"/>
      <c r="Z771" s="2462"/>
      <c r="AA771" s="2462"/>
      <c r="AB771" s="2462"/>
      <c r="AC771" s="2462"/>
      <c r="AD771" s="2462"/>
      <c r="AF771" s="1290"/>
      <c r="AG771" s="1290"/>
      <c r="AH771" s="1290"/>
      <c r="AI771" s="1290"/>
      <c r="AJ771" s="1290"/>
      <c r="AK771" s="1290"/>
      <c r="AL771" s="1290"/>
      <c r="AM771" s="1308"/>
      <c r="AN771" s="1207"/>
      <c r="AO771" s="1306"/>
      <c r="AP771" s="1223"/>
      <c r="AT771" s="1559"/>
      <c r="AU771" s="1559"/>
      <c r="AV771" s="1559"/>
      <c r="AW771" s="1559"/>
      <c r="AX771" s="1559"/>
      <c r="AY771" s="1559"/>
      <c r="AZ771" s="1559"/>
    </row>
    <row r="772" spans="1:81" s="1208" customFormat="1">
      <c r="A772" s="1223"/>
      <c r="B772" s="1311"/>
      <c r="C772" s="1566"/>
      <c r="D772" s="1318"/>
      <c r="E772" s="2462"/>
      <c r="F772" s="2462"/>
      <c r="G772" s="2462"/>
      <c r="H772" s="2462"/>
      <c r="I772" s="2462"/>
      <c r="J772" s="2462"/>
      <c r="K772" s="2462"/>
      <c r="L772" s="2462"/>
      <c r="M772" s="2462"/>
      <c r="N772" s="2462"/>
      <c r="O772" s="2462"/>
      <c r="P772" s="2462"/>
      <c r="Q772" s="2462"/>
      <c r="R772" s="2462"/>
      <c r="S772" s="2462"/>
      <c r="T772" s="2462"/>
      <c r="U772" s="2462"/>
      <c r="V772" s="2462"/>
      <c r="W772" s="2462"/>
      <c r="X772" s="2462"/>
      <c r="Y772" s="2462"/>
      <c r="Z772" s="2462"/>
      <c r="AA772" s="2462"/>
      <c r="AB772" s="2462"/>
      <c r="AC772" s="2462"/>
      <c r="AD772" s="2462"/>
      <c r="AE772" s="1290"/>
      <c r="AF772" s="1290"/>
      <c r="AG772" s="1290"/>
      <c r="AH772" s="1290"/>
      <c r="AI772" s="1290"/>
      <c r="AJ772" s="1290"/>
      <c r="AK772" s="1290"/>
      <c r="AL772" s="1290"/>
      <c r="AM772" s="1308"/>
      <c r="AN772" s="1207"/>
      <c r="AO772" s="1306"/>
      <c r="AP772" s="1223"/>
      <c r="AT772" s="1559"/>
      <c r="AU772" s="1559"/>
      <c r="AV772" s="1559"/>
      <c r="AW772" s="1559"/>
      <c r="AX772" s="1559"/>
      <c r="AY772" s="1559"/>
      <c r="AZ772" s="1559"/>
    </row>
    <row r="773" spans="1:81" s="1208" customFormat="1">
      <c r="A773" s="1223"/>
      <c r="B773" s="1311"/>
      <c r="C773" s="1566"/>
      <c r="D773" s="1318"/>
      <c r="E773" s="2462"/>
      <c r="F773" s="2462"/>
      <c r="G773" s="2462"/>
      <c r="H773" s="2462"/>
      <c r="I773" s="2462"/>
      <c r="J773" s="2462"/>
      <c r="K773" s="2462"/>
      <c r="L773" s="2462"/>
      <c r="M773" s="2462"/>
      <c r="N773" s="2462"/>
      <c r="O773" s="2462"/>
      <c r="P773" s="2462"/>
      <c r="Q773" s="2462"/>
      <c r="R773" s="2462"/>
      <c r="S773" s="2462"/>
      <c r="T773" s="2462"/>
      <c r="U773" s="2462"/>
      <c r="V773" s="2462"/>
      <c r="W773" s="2462"/>
      <c r="X773" s="2462"/>
      <c r="Y773" s="2462"/>
      <c r="Z773" s="2462"/>
      <c r="AA773" s="2462"/>
      <c r="AB773" s="2462"/>
      <c r="AC773" s="2462"/>
      <c r="AD773" s="2462"/>
      <c r="AE773" s="1290"/>
      <c r="AF773" s="1290"/>
      <c r="AG773" s="1290"/>
      <c r="AH773" s="1290"/>
      <c r="AI773" s="1290"/>
      <c r="AJ773" s="1290"/>
      <c r="AK773" s="1290"/>
      <c r="AL773" s="1290"/>
      <c r="AM773" s="1308"/>
      <c r="AN773" s="1207"/>
      <c r="AO773" s="1460"/>
      <c r="AT773" s="1559"/>
      <c r="AU773" s="1559"/>
      <c r="AV773" s="1559"/>
      <c r="AW773" s="1559"/>
      <c r="AX773" s="1559"/>
      <c r="AY773" s="1559"/>
      <c r="AZ773" s="1559"/>
    </row>
    <row r="774" spans="1:81" s="1208" customFormat="1">
      <c r="A774" s="1223"/>
      <c r="B774" s="1311"/>
      <c r="C774" s="1566"/>
      <c r="D774" s="1318"/>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290"/>
      <c r="AF774" s="1290"/>
      <c r="AG774" s="1290"/>
      <c r="AH774" s="1290"/>
      <c r="AI774" s="1290"/>
      <c r="AJ774" s="1290"/>
      <c r="AK774" s="1290"/>
      <c r="AL774" s="1290"/>
      <c r="AM774" s="1308"/>
      <c r="AN774" s="1207"/>
      <c r="AO774" s="1460"/>
      <c r="AT774" s="1559"/>
      <c r="AU774" s="1559"/>
      <c r="AV774" s="1559"/>
      <c r="AW774" s="1559"/>
      <c r="AX774" s="1559"/>
      <c r="AY774" s="1559"/>
      <c r="AZ774" s="1559"/>
    </row>
    <row r="775" spans="1:81" s="1208" customFormat="1">
      <c r="A775" s="1223"/>
      <c r="B775" s="1311"/>
      <c r="C775" s="1566"/>
      <c r="D775" s="1208" t="s">
        <v>1601</v>
      </c>
      <c r="E775" s="1560"/>
      <c r="F775" s="1560"/>
      <c r="G775" s="1560"/>
      <c r="H775" s="2464" t="s">
        <v>618</v>
      </c>
      <c r="I775" s="2464"/>
      <c r="J775" s="1311"/>
      <c r="K775" s="1311"/>
      <c r="L775" s="1311"/>
      <c r="M775" s="1311"/>
      <c r="N775" s="1311"/>
      <c r="O775" s="1311"/>
      <c r="P775" s="1311"/>
      <c r="Q775" s="1311"/>
      <c r="R775" s="1311"/>
      <c r="S775" s="1311"/>
      <c r="T775" s="1311"/>
      <c r="U775" s="1311"/>
      <c r="V775" s="1311"/>
      <c r="W775" s="1311"/>
      <c r="X775" s="1311"/>
      <c r="Y775" s="1311"/>
      <c r="Z775" s="1311"/>
      <c r="AA775" s="1311"/>
      <c r="AB775" s="1311"/>
      <c r="AC775" s="1311"/>
      <c r="AD775" s="1311"/>
      <c r="AE775" s="1311"/>
      <c r="AF775" s="1311"/>
      <c r="AG775" s="1311"/>
      <c r="AI775" s="1215"/>
      <c r="AJ775" s="1268"/>
      <c r="AK775" s="1268"/>
      <c r="AL775" s="1268"/>
      <c r="AM775" s="1223"/>
      <c r="AN775" s="1207"/>
      <c r="AS775" s="1559"/>
      <c r="AT775" s="1559"/>
      <c r="AU775" s="1559"/>
      <c r="AV775" s="1559"/>
      <c r="AW775" s="1559"/>
      <c r="AX775" s="1559"/>
      <c r="AY775" s="1559"/>
      <c r="AZ775" s="1559"/>
      <c r="BA775" s="1559"/>
      <c r="BB775" s="1559"/>
      <c r="BC775" s="1559"/>
      <c r="BD775" s="1589"/>
      <c r="BE775" s="1589"/>
      <c r="BF775" s="1589"/>
      <c r="BG775" s="1589"/>
      <c r="BH775" s="1589"/>
      <c r="BI775" s="1559"/>
      <c r="BJ775" s="1559"/>
      <c r="BK775" s="1559"/>
      <c r="BL775" s="1559"/>
      <c r="BM775" s="1559"/>
      <c r="BN775" s="1559"/>
      <c r="BO775" s="1559"/>
      <c r="BP775" s="1559"/>
      <c r="BQ775" s="1559"/>
      <c r="BR775" s="1559"/>
      <c r="BS775" s="1559"/>
      <c r="BT775" s="1559"/>
      <c r="BU775" s="1559"/>
      <c r="BV775" s="1559"/>
      <c r="BW775" s="1559"/>
      <c r="BX775" s="1559"/>
      <c r="BY775" s="1559"/>
      <c r="BZ775" s="1559"/>
      <c r="CA775" s="1559"/>
      <c r="CB775" s="1559"/>
      <c r="CC775" s="1559"/>
    </row>
    <row r="776" spans="1:81" s="1208" customFormat="1">
      <c r="A776" s="1223"/>
      <c r="B776" s="1311"/>
      <c r="C776" s="1590"/>
      <c r="D776" s="1224"/>
      <c r="E776" s="1224"/>
      <c r="F776" s="1224"/>
      <c r="G776" s="1224"/>
      <c r="H776" s="1224"/>
      <c r="I776" s="1224"/>
      <c r="J776" s="1224"/>
      <c r="K776" s="1224"/>
      <c r="L776" s="1224"/>
      <c r="M776" s="1224"/>
      <c r="N776" s="1224"/>
      <c r="O776" s="1224"/>
      <c r="P776" s="1224"/>
      <c r="Q776" s="1224"/>
      <c r="R776" s="1224"/>
      <c r="S776" s="1224"/>
      <c r="T776" s="1224"/>
      <c r="U776" s="1224"/>
      <c r="V776" s="1224"/>
      <c r="W776" s="1224"/>
      <c r="X776" s="1224"/>
      <c r="Y776" s="1224"/>
      <c r="Z776" s="1224"/>
      <c r="AA776" s="1224"/>
      <c r="AB776" s="1224"/>
      <c r="AC776" s="1224"/>
      <c r="AD776" s="1311"/>
      <c r="AE776" s="1224"/>
      <c r="AF776" s="1224"/>
      <c r="AG776" s="1224"/>
      <c r="AH776" s="1224"/>
      <c r="AI776" s="1223"/>
      <c r="AJ776" s="1223"/>
      <c r="AK776" s="1223"/>
      <c r="AL776" s="1223"/>
      <c r="AM776" s="1223"/>
      <c r="AN776" s="1207"/>
      <c r="AT776" s="1559"/>
      <c r="AU776" s="1559"/>
      <c r="AV776" s="1559"/>
      <c r="AW776" s="1559"/>
      <c r="AX776" s="1559"/>
      <c r="AY776" s="1559"/>
      <c r="AZ776" s="1559"/>
    </row>
    <row r="777" spans="1:81" s="1208" customFormat="1">
      <c r="A777" s="1301"/>
      <c r="B777" s="1417"/>
      <c r="C777" s="1591"/>
      <c r="D777" s="1416"/>
      <c r="E777" s="1416"/>
      <c r="F777" s="1416"/>
      <c r="G777" s="1416"/>
      <c r="H777" s="1416"/>
      <c r="I777" s="1416"/>
      <c r="J777" s="1416"/>
      <c r="K777" s="1416"/>
      <c r="L777" s="1416"/>
      <c r="M777" s="1416"/>
      <c r="N777" s="1416"/>
      <c r="O777" s="1416"/>
      <c r="P777" s="1416"/>
      <c r="Q777" s="1416"/>
      <c r="R777" s="1416"/>
      <c r="S777" s="1416"/>
      <c r="T777" s="1416"/>
      <c r="U777" s="1416"/>
      <c r="V777" s="1416"/>
      <c r="W777" s="1416"/>
      <c r="X777" s="1416"/>
      <c r="Y777" s="1416"/>
      <c r="Z777" s="1416"/>
      <c r="AA777" s="1416"/>
      <c r="AB777" s="1416"/>
      <c r="AC777" s="1417"/>
      <c r="AD777" s="1416"/>
      <c r="AE777" s="1416"/>
      <c r="AF777" s="1416"/>
      <c r="AG777" s="1416"/>
      <c r="AH777" s="1239"/>
      <c r="AI777" s="1240" t="s">
        <v>1655</v>
      </c>
      <c r="AJ777" s="2442">
        <f>VLOOKUP($H$775,$AO$769:$AP$770,2,FALSE)</f>
        <v>0</v>
      </c>
      <c r="AK777" s="2444"/>
      <c r="AL777" s="1268"/>
      <c r="AM777" s="1223"/>
      <c r="AN777" s="1207"/>
      <c r="AS777" s="1559"/>
      <c r="AT777" s="1559"/>
      <c r="AU777" s="1559"/>
      <c r="AV777" s="1559"/>
      <c r="AW777" s="1559"/>
      <c r="AX777" s="1559"/>
      <c r="AY777" s="1559"/>
      <c r="AZ777" s="1559"/>
      <c r="BA777" s="1559"/>
      <c r="BB777" s="1559"/>
      <c r="BC777" s="1559"/>
      <c r="BD777" s="1589"/>
      <c r="BE777" s="1589"/>
      <c r="BF777" s="1589"/>
      <c r="BG777" s="1589"/>
      <c r="BH777" s="1589"/>
      <c r="BI777" s="1559"/>
      <c r="BJ777" s="1559"/>
      <c r="BK777" s="1559"/>
      <c r="BL777" s="1559"/>
      <c r="BM777" s="1559"/>
      <c r="BN777" s="1559"/>
      <c r="BO777" s="1559"/>
      <c r="BP777" s="1559"/>
      <c r="BQ777" s="1559"/>
      <c r="BR777" s="1559"/>
      <c r="BS777" s="1559"/>
      <c r="BT777" s="1559"/>
      <c r="BU777" s="1559"/>
      <c r="BV777" s="1559"/>
      <c r="BW777" s="1559"/>
      <c r="BX777" s="1559"/>
      <c r="BY777" s="1559"/>
      <c r="BZ777" s="1559"/>
      <c r="CA777" s="1559"/>
      <c r="CB777" s="1559"/>
      <c r="CC777" s="1559"/>
    </row>
    <row r="778" spans="1:81" s="1223" customFormat="1" ht="12.75" customHeight="1">
      <c r="B778" s="1311"/>
      <c r="C778" s="1590"/>
      <c r="D778" s="1224"/>
      <c r="E778" s="1224"/>
      <c r="F778" s="1224"/>
      <c r="G778" s="1224"/>
      <c r="H778" s="1224"/>
      <c r="I778" s="1224"/>
      <c r="J778" s="1224"/>
      <c r="K778" s="1224"/>
      <c r="L778" s="1224"/>
      <c r="M778" s="1224"/>
      <c r="N778" s="1224"/>
      <c r="O778" s="1224"/>
      <c r="P778" s="1224"/>
      <c r="Q778" s="1224"/>
      <c r="R778" s="1224"/>
      <c r="S778" s="1224"/>
      <c r="T778" s="1224"/>
      <c r="U778" s="1224"/>
      <c r="V778" s="1224"/>
      <c r="W778" s="1224"/>
      <c r="X778" s="1224"/>
      <c r="Y778" s="1224"/>
      <c r="Z778" s="1224"/>
      <c r="AA778" s="1224"/>
      <c r="AB778" s="1224"/>
      <c r="AC778" s="1224"/>
      <c r="AD778" s="1311"/>
      <c r="AE778" s="1224"/>
      <c r="AF778" s="1224"/>
      <c r="AG778" s="1224"/>
      <c r="AH778" s="1224"/>
      <c r="AN778" s="1297"/>
    </row>
    <row r="779" spans="1:81" s="1223" customFormat="1" ht="12.75" customHeight="1">
      <c r="A779" s="1301"/>
      <c r="B779" s="1416"/>
      <c r="C779" s="1416"/>
      <c r="D779" s="1416"/>
      <c r="E779" s="1416"/>
      <c r="F779" s="1416"/>
      <c r="G779" s="1416"/>
      <c r="H779" s="1416"/>
      <c r="I779" s="1416"/>
      <c r="J779" s="1416"/>
      <c r="K779" s="1416"/>
      <c r="L779" s="1416"/>
      <c r="M779" s="1416"/>
      <c r="N779" s="1416"/>
      <c r="O779" s="1416"/>
      <c r="P779" s="1416"/>
      <c r="Q779" s="1416"/>
      <c r="R779" s="1416"/>
      <c r="S779" s="1416"/>
      <c r="T779" s="1416"/>
      <c r="U779" s="1416"/>
      <c r="V779" s="1416"/>
      <c r="W779" s="1416"/>
      <c r="X779" s="1416"/>
      <c r="Y779" s="1416"/>
      <c r="Z779" s="1416"/>
      <c r="AA779" s="1416"/>
      <c r="AB779" s="1416"/>
      <c r="AC779" s="1417"/>
      <c r="AD779" s="1416"/>
      <c r="AE779" s="1239"/>
      <c r="AF779" s="1239"/>
      <c r="AG779" s="1239"/>
      <c r="AH779" s="1239"/>
      <c r="AI779" s="1240"/>
      <c r="AJ779" s="1240" t="s">
        <v>1656</v>
      </c>
      <c r="AK779" s="2442">
        <f>IF(($AJ$610+$AJ$629+$AJ$641+$AJ$676+$AJ$696+$AJ$710+$AJ$722+$AJ$738+$AJ$750+$AJ$766+AJ777)&gt;10,10,($AJ$610+$AJ$629+$AJ$641+$AJ$676+$AJ$696+$AJ$710+$AJ$722+$AJ$738+$AJ$750+$AJ$766+AJ777))</f>
        <v>10</v>
      </c>
      <c r="AL779" s="2443"/>
      <c r="AM779" s="2444"/>
      <c r="AN779" s="1297"/>
    </row>
    <row r="780" spans="1:81" s="1223" customFormat="1" ht="12.75" customHeight="1">
      <c r="B780" s="1224"/>
      <c r="C780" s="1224"/>
      <c r="D780" s="1224"/>
      <c r="E780" s="1224"/>
      <c r="F780" s="1224"/>
      <c r="G780" s="1224"/>
      <c r="H780" s="1224"/>
      <c r="I780" s="1224"/>
      <c r="J780" s="1224"/>
      <c r="K780" s="1224"/>
      <c r="L780" s="1224"/>
      <c r="M780" s="1224"/>
      <c r="N780" s="1224"/>
      <c r="O780" s="1224"/>
      <c r="P780" s="1224"/>
      <c r="Q780" s="1224"/>
      <c r="R780" s="1224"/>
      <c r="S780" s="1224"/>
      <c r="T780" s="1224"/>
      <c r="U780" s="1224"/>
      <c r="V780" s="1224"/>
      <c r="W780" s="1224"/>
      <c r="X780" s="1224"/>
      <c r="Y780" s="1224"/>
      <c r="Z780" s="1224"/>
      <c r="AA780" s="1224"/>
      <c r="AB780" s="1224"/>
      <c r="AC780" s="1311"/>
      <c r="AD780" s="1224"/>
      <c r="AI780" s="1215"/>
      <c r="AJ780" s="1215"/>
      <c r="AK780" s="1268"/>
      <c r="AL780" s="1268"/>
      <c r="AM780" s="1268"/>
      <c r="AN780" s="1297"/>
    </row>
    <row r="781" spans="1:81">
      <c r="B781" s="1223"/>
      <c r="C781" s="1223"/>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c r="AA781" s="1223"/>
      <c r="AB781" s="1223"/>
      <c r="AC781" s="1223"/>
      <c r="AD781" s="1223"/>
      <c r="AE781" s="1223"/>
      <c r="AF781" s="1223"/>
      <c r="AG781" s="1223"/>
      <c r="AH781" s="1223"/>
      <c r="AI781" s="1223"/>
      <c r="AJ781" s="1223"/>
      <c r="AK781" s="1223"/>
      <c r="AL781" s="1223"/>
      <c r="AM781" s="1223"/>
    </row>
    <row r="782" spans="1:81">
      <c r="A782" s="2452" t="s">
        <v>1778</v>
      </c>
      <c r="B782" s="2453"/>
      <c r="C782" s="2453"/>
      <c r="D782" s="2453"/>
      <c r="E782" s="2453"/>
      <c r="F782" s="2453"/>
      <c r="G782" s="2453"/>
      <c r="H782" s="2453"/>
      <c r="I782" s="2453"/>
      <c r="J782" s="2453"/>
      <c r="K782" s="2453"/>
      <c r="L782" s="2453"/>
      <c r="M782" s="2453"/>
      <c r="N782" s="2453"/>
      <c r="O782" s="2453"/>
      <c r="P782" s="2453"/>
      <c r="Q782" s="2453"/>
      <c r="R782" s="2453"/>
      <c r="S782" s="2453"/>
      <c r="T782" s="2453"/>
      <c r="U782" s="2453"/>
      <c r="V782" s="2453"/>
      <c r="W782" s="2453"/>
      <c r="X782" s="2453"/>
      <c r="Y782" s="2453"/>
      <c r="Z782" s="2453"/>
      <c r="AA782" s="2453"/>
      <c r="AB782" s="2453"/>
      <c r="AC782" s="2453"/>
      <c r="AD782" s="2453"/>
      <c r="AE782" s="2453"/>
      <c r="AF782" s="2453"/>
      <c r="AG782" s="2453"/>
      <c r="AH782" s="2453"/>
      <c r="AI782" s="2453"/>
      <c r="AJ782" s="2453"/>
      <c r="AK782" s="2453"/>
      <c r="AL782" s="2453"/>
      <c r="AM782" s="2453"/>
    </row>
    <row r="783" spans="1:81">
      <c r="A783" s="2454"/>
      <c r="B783" s="2454"/>
      <c r="C783" s="2454"/>
      <c r="D783" s="2454"/>
      <c r="E783" s="2454"/>
      <c r="F783" s="2454"/>
      <c r="G783" s="2454"/>
      <c r="H783" s="2454"/>
      <c r="I783" s="2454"/>
      <c r="J783" s="2454"/>
      <c r="K783" s="2454"/>
      <c r="L783" s="2454"/>
      <c r="M783" s="2454"/>
      <c r="N783" s="2454"/>
      <c r="O783" s="2454"/>
      <c r="P783" s="2454"/>
      <c r="Q783" s="2454"/>
      <c r="R783" s="2454"/>
      <c r="S783" s="2454"/>
      <c r="T783" s="2454"/>
      <c r="U783" s="2454"/>
      <c r="V783" s="2454"/>
      <c r="W783" s="2454"/>
      <c r="X783" s="2454"/>
      <c r="Y783" s="2454"/>
      <c r="Z783" s="2454"/>
      <c r="AA783" s="2454"/>
      <c r="AB783" s="2454"/>
      <c r="AC783" s="2454"/>
      <c r="AD783" s="2454"/>
      <c r="AE783" s="2454"/>
      <c r="AF783" s="2454"/>
      <c r="AG783" s="2454"/>
      <c r="AH783" s="2454"/>
      <c r="AI783" s="2454"/>
      <c r="AJ783" s="2454"/>
      <c r="AK783" s="2454"/>
      <c r="AL783" s="2454"/>
      <c r="AM783" s="2454"/>
      <c r="AO783" s="1592"/>
      <c r="AP783" s="1592"/>
      <c r="AQ783" s="1592"/>
    </row>
    <row r="784" spans="1:81">
      <c r="A784" s="1223"/>
      <c r="B784" s="914"/>
      <c r="C784" s="915"/>
      <c r="D784" s="915"/>
      <c r="E784" s="915"/>
      <c r="F784" s="915"/>
      <c r="G784" s="915"/>
      <c r="H784" s="915"/>
      <c r="I784" s="1245"/>
      <c r="J784" s="1245"/>
      <c r="K784" s="1245"/>
      <c r="L784" s="1245"/>
      <c r="M784" s="1245"/>
      <c r="N784" s="1245"/>
      <c r="O784" s="1245"/>
      <c r="P784" s="1245"/>
      <c r="Q784" s="1245"/>
      <c r="S784" s="1211"/>
      <c r="T784" s="1211"/>
      <c r="U784" s="1211"/>
      <c r="V784" s="1211"/>
      <c r="W784" s="1211"/>
      <c r="X784" s="1211"/>
      <c r="Y784" s="1211"/>
      <c r="Z784" s="1211"/>
      <c r="AA784" s="1211"/>
      <c r="AB784" s="1211"/>
      <c r="AC784" s="1211"/>
      <c r="AD784" s="1211"/>
      <c r="AE784" s="1211"/>
      <c r="AG784" s="1211"/>
      <c r="AH784" s="1211"/>
      <c r="AI784" s="1211"/>
      <c r="AJ784" s="1211"/>
      <c r="AK784" s="1223"/>
      <c r="AL784" s="1223"/>
      <c r="AM784" s="1209"/>
      <c r="AO784" s="1592"/>
      <c r="AP784" s="1592"/>
      <c r="AQ784" s="1592"/>
    </row>
    <row r="785" spans="1:81">
      <c r="A785" s="2455"/>
      <c r="B785" s="2455"/>
      <c r="C785" s="2455"/>
      <c r="D785" s="2455"/>
      <c r="E785" s="2455"/>
      <c r="F785" s="2455"/>
      <c r="G785" s="2455"/>
      <c r="H785" s="2455"/>
      <c r="I785" s="2455"/>
      <c r="J785" s="2455"/>
      <c r="K785" s="2455"/>
      <c r="L785" s="2455"/>
      <c r="M785" s="2455"/>
      <c r="N785" s="2455"/>
      <c r="O785" s="2455"/>
      <c r="P785" s="2455"/>
      <c r="Q785" s="2455"/>
      <c r="R785" s="2455"/>
      <c r="S785" s="2455"/>
      <c r="T785" s="2455"/>
      <c r="U785" s="2455"/>
      <c r="V785" s="2455"/>
      <c r="W785" s="2455"/>
      <c r="X785" s="2455"/>
      <c r="Y785" s="2455"/>
      <c r="Z785" s="2455"/>
      <c r="AA785" s="2455"/>
      <c r="AB785" s="2455"/>
      <c r="AC785" s="2455"/>
      <c r="AD785" s="2455"/>
      <c r="AE785" s="2455"/>
      <c r="AF785" s="2455"/>
      <c r="AG785" s="2455"/>
      <c r="AH785" s="2455"/>
      <c r="AI785" s="2455"/>
      <c r="AJ785" s="2455"/>
      <c r="AK785" s="2455"/>
      <c r="AL785" s="2455"/>
      <c r="AM785" s="2455"/>
      <c r="AP785" s="1592"/>
      <c r="AQ785" s="1592"/>
    </row>
    <row r="786" spans="1:81">
      <c r="A786" s="2455"/>
      <c r="B786" s="2455"/>
      <c r="C786" s="2455"/>
      <c r="D786" s="2455"/>
      <c r="E786" s="2455"/>
      <c r="F786" s="2455"/>
      <c r="G786" s="2455"/>
      <c r="H786" s="2455"/>
      <c r="I786" s="2455"/>
      <c r="J786" s="2455"/>
      <c r="K786" s="2455"/>
      <c r="L786" s="2455"/>
      <c r="M786" s="2455"/>
      <c r="N786" s="2455"/>
      <c r="O786" s="2455"/>
      <c r="P786" s="2455"/>
      <c r="Q786" s="2455"/>
      <c r="R786" s="2455"/>
      <c r="S786" s="2455"/>
      <c r="T786" s="2455"/>
      <c r="U786" s="2455"/>
      <c r="V786" s="2455"/>
      <c r="W786" s="2455"/>
      <c r="X786" s="2455"/>
      <c r="Y786" s="2455"/>
      <c r="Z786" s="2455"/>
      <c r="AA786" s="2455"/>
      <c r="AB786" s="2455"/>
      <c r="AC786" s="2455"/>
      <c r="AD786" s="2455"/>
      <c r="AE786" s="2455"/>
      <c r="AF786" s="2455"/>
      <c r="AG786" s="2455"/>
      <c r="AH786" s="2455"/>
      <c r="AI786" s="2455"/>
      <c r="AJ786" s="2455"/>
      <c r="AK786" s="2455"/>
      <c r="AL786" s="2455"/>
      <c r="AM786" s="2455"/>
      <c r="AO786" s="1592"/>
      <c r="AQ786" s="1592"/>
    </row>
    <row r="787" spans="1:81">
      <c r="A787" s="1593"/>
      <c r="B787" s="1430"/>
      <c r="C787" s="1430"/>
      <c r="D787" s="1430"/>
      <c r="E787" s="1430"/>
      <c r="F787" s="1430"/>
      <c r="G787" s="1430"/>
      <c r="H787" s="1430"/>
      <c r="I787" s="1430"/>
      <c r="J787" s="1430"/>
      <c r="K787" s="1430"/>
      <c r="L787" s="1430"/>
      <c r="M787" s="1430"/>
      <c r="N787" s="1430"/>
      <c r="O787" s="1430"/>
      <c r="P787" s="1430"/>
      <c r="Q787" s="1430"/>
      <c r="R787" s="1430"/>
      <c r="S787" s="1550"/>
      <c r="T787" s="2456" t="s">
        <v>1779</v>
      </c>
      <c r="U787" s="2457"/>
      <c r="V787" s="2457"/>
      <c r="W787" s="2457"/>
      <c r="X787" s="2457"/>
      <c r="Y787" s="2458"/>
      <c r="Z787" s="2456" t="s">
        <v>1780</v>
      </c>
      <c r="AA787" s="2457"/>
      <c r="AB787" s="2457"/>
      <c r="AC787" s="2457"/>
      <c r="AD787" s="2457"/>
      <c r="AE787" s="2458"/>
      <c r="AF787" s="2456" t="s">
        <v>1781</v>
      </c>
      <c r="AG787" s="2457"/>
      <c r="AH787" s="2457"/>
      <c r="AI787" s="2457"/>
      <c r="AJ787" s="2457"/>
      <c r="AK787" s="2458"/>
      <c r="AL787" s="1594"/>
      <c r="AM787" s="1383"/>
      <c r="AO787" s="1592"/>
      <c r="AP787" s="1592"/>
      <c r="AQ787" s="1592"/>
    </row>
    <row r="788" spans="1:81">
      <c r="A788" s="1595"/>
      <c r="B788" s="1419"/>
      <c r="C788" s="1419"/>
      <c r="D788" s="1419"/>
      <c r="E788" s="1419"/>
      <c r="F788" s="1419"/>
      <c r="G788" s="1419"/>
      <c r="H788" s="1419"/>
      <c r="I788" s="1419"/>
      <c r="J788" s="1419"/>
      <c r="K788" s="1419"/>
      <c r="L788" s="1419"/>
      <c r="M788" s="1419"/>
      <c r="N788" s="1419"/>
      <c r="O788" s="1419"/>
      <c r="P788" s="1419"/>
      <c r="Q788" s="1419"/>
      <c r="R788" s="1419"/>
      <c r="S788" s="1435"/>
      <c r="T788" s="2459"/>
      <c r="U788" s="2460"/>
      <c r="V788" s="2460"/>
      <c r="W788" s="2460"/>
      <c r="X788" s="2460"/>
      <c r="Y788" s="2461"/>
      <c r="Z788" s="2459"/>
      <c r="AA788" s="2460"/>
      <c r="AB788" s="2460"/>
      <c r="AC788" s="2460"/>
      <c r="AD788" s="2460"/>
      <c r="AE788" s="2461"/>
      <c r="AF788" s="2459"/>
      <c r="AG788" s="2460"/>
      <c r="AH788" s="2460"/>
      <c r="AI788" s="2460"/>
      <c r="AJ788" s="2460"/>
      <c r="AK788" s="2461"/>
      <c r="AL788" s="1594"/>
      <c r="AM788" s="1383"/>
      <c r="AO788" s="1592"/>
      <c r="AP788" s="1592"/>
      <c r="AQ788" s="1592"/>
    </row>
    <row r="789" spans="1:81">
      <c r="A789" s="1595" t="s">
        <v>788</v>
      </c>
      <c r="B789" s="2420" t="s">
        <v>1505</v>
      </c>
      <c r="C789" s="2420"/>
      <c r="D789" s="2420"/>
      <c r="E789" s="2420"/>
      <c r="F789" s="2420"/>
      <c r="G789" s="2420"/>
      <c r="H789" s="2420"/>
      <c r="I789" s="2420"/>
      <c r="J789" s="2420"/>
      <c r="K789" s="2420"/>
      <c r="L789" s="2420"/>
      <c r="M789" s="2420"/>
      <c r="N789" s="2420"/>
      <c r="O789" s="2420"/>
      <c r="P789" s="2420"/>
      <c r="Q789" s="2420"/>
      <c r="R789" s="2420"/>
      <c r="S789" s="2421"/>
      <c r="T789" s="2451">
        <f>AK56</f>
        <v>0</v>
      </c>
      <c r="U789" s="2447"/>
      <c r="V789" s="2447"/>
      <c r="W789" s="2447"/>
      <c r="X789" s="2447"/>
      <c r="Y789" s="2448"/>
      <c r="Z789" s="2446">
        <v>20</v>
      </c>
      <c r="AA789" s="2447"/>
      <c r="AB789" s="2447"/>
      <c r="AC789" s="2447"/>
      <c r="AD789" s="2447"/>
      <c r="AE789" s="2448"/>
      <c r="AF789" s="2440">
        <f>IF(T789&gt;Z789,Z789,T789)</f>
        <v>0</v>
      </c>
      <c r="AG789" s="2440"/>
      <c r="AH789" s="2440"/>
      <c r="AI789" s="2440"/>
      <c r="AJ789" s="2440"/>
      <c r="AK789" s="2440"/>
      <c r="AL789" s="1594"/>
      <c r="AM789" s="1383"/>
      <c r="AO789" s="1592"/>
      <c r="AP789" s="1592"/>
      <c r="AQ789" s="1592"/>
    </row>
    <row r="790" spans="1:81">
      <c r="A790" s="1595" t="s">
        <v>1751</v>
      </c>
      <c r="B790" s="2420" t="s">
        <v>1514</v>
      </c>
      <c r="C790" s="2420"/>
      <c r="D790" s="2420"/>
      <c r="E790" s="2420"/>
      <c r="F790" s="2420"/>
      <c r="G790" s="2420"/>
      <c r="H790" s="2420"/>
      <c r="I790" s="2420"/>
      <c r="J790" s="2420"/>
      <c r="K790" s="2420"/>
      <c r="L790" s="2420"/>
      <c r="M790" s="2420"/>
      <c r="N790" s="2420"/>
      <c r="O790" s="2420"/>
      <c r="P790" s="2420"/>
      <c r="Q790" s="2420"/>
      <c r="R790" s="2420"/>
      <c r="S790" s="2421"/>
      <c r="T790" s="2451">
        <f>AK78</f>
        <v>10</v>
      </c>
      <c r="U790" s="2447"/>
      <c r="V790" s="2447"/>
      <c r="W790" s="2447"/>
      <c r="X790" s="2447"/>
      <c r="Y790" s="2448"/>
      <c r="Z790" s="2446">
        <v>10</v>
      </c>
      <c r="AA790" s="2447"/>
      <c r="AB790" s="2447"/>
      <c r="AC790" s="2447"/>
      <c r="AD790" s="2447"/>
      <c r="AE790" s="2448"/>
      <c r="AF790" s="2440">
        <f>IF(T790&gt;Z790,Z790,T790)</f>
        <v>10</v>
      </c>
      <c r="AG790" s="2440"/>
      <c r="AH790" s="2440"/>
      <c r="AI790" s="2440"/>
      <c r="AJ790" s="2440"/>
      <c r="AK790" s="2440"/>
      <c r="AL790" s="1594"/>
      <c r="AM790" s="1383"/>
      <c r="AO790" s="1592"/>
      <c r="AP790" s="1592"/>
      <c r="AQ790" s="1592"/>
    </row>
    <row r="791" spans="1:81">
      <c r="A791" s="1595" t="s">
        <v>1760</v>
      </c>
      <c r="B791" s="2420" t="s">
        <v>1524</v>
      </c>
      <c r="C791" s="2420"/>
      <c r="D791" s="2420"/>
      <c r="E791" s="2420"/>
      <c r="F791" s="2420"/>
      <c r="G791" s="2420"/>
      <c r="H791" s="2420"/>
      <c r="I791" s="2420"/>
      <c r="J791" s="2420"/>
      <c r="K791" s="2420"/>
      <c r="L791" s="2420"/>
      <c r="M791" s="2420"/>
      <c r="N791" s="2420"/>
      <c r="O791" s="2420"/>
      <c r="P791" s="2420"/>
      <c r="Q791" s="2420"/>
      <c r="R791" s="2420"/>
      <c r="S791" s="2421"/>
      <c r="T791" s="2451">
        <f ca="1">AK103</f>
        <v>20</v>
      </c>
      <c r="U791" s="2447"/>
      <c r="V791" s="2447"/>
      <c r="W791" s="2447"/>
      <c r="X791" s="2447"/>
      <c r="Y791" s="2448"/>
      <c r="Z791" s="2446">
        <v>20</v>
      </c>
      <c r="AA791" s="2447"/>
      <c r="AB791" s="2447"/>
      <c r="AC791" s="2447"/>
      <c r="AD791" s="2447"/>
      <c r="AE791" s="2448"/>
      <c r="AF791" s="2440">
        <f ca="1">IF(T791&gt;Z791,Z791,T791)</f>
        <v>20</v>
      </c>
      <c r="AG791" s="2440"/>
      <c r="AH791" s="2440"/>
      <c r="AI791" s="2440"/>
      <c r="AJ791" s="2440"/>
      <c r="AK791" s="2440"/>
      <c r="AL791" s="1594"/>
      <c r="AM791" s="1383"/>
      <c r="AO791" s="1592"/>
      <c r="AP791" s="1592"/>
      <c r="AQ791" s="1592"/>
    </row>
    <row r="792" spans="1:81">
      <c r="A792" s="1595" t="s">
        <v>1782</v>
      </c>
      <c r="B792" s="2420" t="s">
        <v>1534</v>
      </c>
      <c r="C792" s="2420"/>
      <c r="D792" s="2420"/>
      <c r="E792" s="2420"/>
      <c r="F792" s="2420"/>
      <c r="G792" s="2420"/>
      <c r="H792" s="2420"/>
      <c r="I792" s="2420"/>
      <c r="J792" s="2420"/>
      <c r="K792" s="2420"/>
      <c r="L792" s="2420"/>
      <c r="M792" s="2420"/>
      <c r="N792" s="2420"/>
      <c r="O792" s="2420"/>
      <c r="P792" s="2420"/>
      <c r="Q792" s="2420"/>
      <c r="R792" s="2420"/>
      <c r="S792" s="2421"/>
      <c r="T792" s="2451">
        <f>AK137</f>
        <v>10</v>
      </c>
      <c r="U792" s="2447"/>
      <c r="V792" s="2447"/>
      <c r="W792" s="2447"/>
      <c r="X792" s="2447"/>
      <c r="Y792" s="2448"/>
      <c r="Z792" s="2446">
        <v>10</v>
      </c>
      <c r="AA792" s="2447"/>
      <c r="AB792" s="2447"/>
      <c r="AC792" s="2447"/>
      <c r="AD792" s="2447"/>
      <c r="AE792" s="2448"/>
      <c r="AF792" s="2440">
        <f>IF(T792&gt;Z792,Z792,T792)</f>
        <v>10</v>
      </c>
      <c r="AG792" s="2440"/>
      <c r="AH792" s="2440"/>
      <c r="AI792" s="2440"/>
      <c r="AJ792" s="2440"/>
      <c r="AK792" s="2440"/>
      <c r="AL792" s="1594"/>
      <c r="AM792" s="1383"/>
      <c r="AO792" s="1592"/>
      <c r="AP792" s="1592"/>
      <c r="AQ792" s="1592"/>
    </row>
    <row r="793" spans="1:81">
      <c r="A793" s="1596" t="s">
        <v>1783</v>
      </c>
      <c r="B793" s="2420" t="s">
        <v>1784</v>
      </c>
      <c r="C793" s="2420"/>
      <c r="D793" s="2420"/>
      <c r="E793" s="2420"/>
      <c r="F793" s="2420"/>
      <c r="G793" s="2420"/>
      <c r="H793" s="2420"/>
      <c r="I793" s="2420"/>
      <c r="J793" s="2420"/>
      <c r="K793" s="2420"/>
      <c r="L793" s="2420"/>
      <c r="M793" s="2420"/>
      <c r="N793" s="2420"/>
      <c r="O793" s="2420"/>
      <c r="P793" s="2420"/>
      <c r="Q793" s="2420"/>
      <c r="R793" s="2420"/>
      <c r="S793" s="2421"/>
      <c r="T793" s="2439">
        <f>SUM(T794:Y795)</f>
        <v>10</v>
      </c>
      <c r="U793" s="2439"/>
      <c r="V793" s="2439"/>
      <c r="W793" s="2439"/>
      <c r="X793" s="2439"/>
      <c r="Y793" s="2439"/>
      <c r="Z793" s="2440">
        <v>10</v>
      </c>
      <c r="AA793" s="2440"/>
      <c r="AB793" s="2440"/>
      <c r="AC793" s="2440"/>
      <c r="AD793" s="2440"/>
      <c r="AE793" s="2440"/>
      <c r="AF793" s="2440">
        <f>IF(T793&gt;Z793,Z793,T793)</f>
        <v>10</v>
      </c>
      <c r="AG793" s="2440"/>
      <c r="AH793" s="2440"/>
      <c r="AI793" s="2440"/>
      <c r="AJ793" s="2440"/>
      <c r="AK793" s="2440"/>
      <c r="AL793" s="1594"/>
      <c r="AM793" s="1383"/>
    </row>
    <row r="794" spans="1:81">
      <c r="A794" s="1207"/>
      <c r="B794" s="1293"/>
      <c r="C794" s="2449" t="s">
        <v>1785</v>
      </c>
      <c r="D794" s="2449"/>
      <c r="E794" s="2449"/>
      <c r="F794" s="2449"/>
      <c r="G794" s="2449"/>
      <c r="H794" s="2449"/>
      <c r="I794" s="2449"/>
      <c r="J794" s="2449"/>
      <c r="K794" s="2449"/>
      <c r="L794" s="2449"/>
      <c r="M794" s="2449"/>
      <c r="N794" s="2449"/>
      <c r="O794" s="2449"/>
      <c r="P794" s="2449"/>
      <c r="Q794" s="2449"/>
      <c r="R794" s="2449"/>
      <c r="S794" s="2450"/>
      <c r="T794" s="2441">
        <f>AJ155</f>
        <v>7</v>
      </c>
      <c r="U794" s="2441"/>
      <c r="V794" s="2441"/>
      <c r="W794" s="2441"/>
      <c r="X794" s="2441"/>
      <c r="Y794" s="2441"/>
      <c r="Z794" s="2423">
        <v>7</v>
      </c>
      <c r="AA794" s="2423"/>
      <c r="AB794" s="2423"/>
      <c r="AC794" s="2423"/>
      <c r="AD794" s="2423"/>
      <c r="AE794" s="2423"/>
      <c r="AF794" s="2445"/>
      <c r="AG794" s="2445"/>
      <c r="AH794" s="2445"/>
      <c r="AI794" s="2445"/>
      <c r="AJ794" s="2445"/>
      <c r="AK794" s="2445"/>
      <c r="AL794" s="1594"/>
      <c r="AM794" s="1383"/>
    </row>
    <row r="795" spans="1:81">
      <c r="A795" s="1292"/>
      <c r="B795" s="1293"/>
      <c r="C795" s="2449" t="s">
        <v>1786</v>
      </c>
      <c r="D795" s="2449"/>
      <c r="E795" s="2449"/>
      <c r="F795" s="2449"/>
      <c r="G795" s="2449"/>
      <c r="H795" s="2449"/>
      <c r="I795" s="2449"/>
      <c r="J795" s="2449"/>
      <c r="K795" s="2449"/>
      <c r="L795" s="2449"/>
      <c r="M795" s="2449"/>
      <c r="N795" s="2449"/>
      <c r="O795" s="2449"/>
      <c r="P795" s="2449"/>
      <c r="Q795" s="2449"/>
      <c r="R795" s="2449"/>
      <c r="S795" s="2450"/>
      <c r="T795" s="2441">
        <f>AJ169</f>
        <v>3</v>
      </c>
      <c r="U795" s="2441"/>
      <c r="V795" s="2441"/>
      <c r="W795" s="2441"/>
      <c r="X795" s="2441"/>
      <c r="Y795" s="2441"/>
      <c r="Z795" s="2423">
        <v>3</v>
      </c>
      <c r="AA795" s="2423"/>
      <c r="AB795" s="2423"/>
      <c r="AC795" s="2423"/>
      <c r="AD795" s="2423"/>
      <c r="AE795" s="2423"/>
      <c r="AF795" s="2445"/>
      <c r="AG795" s="2445"/>
      <c r="AH795" s="2445"/>
      <c r="AI795" s="2445"/>
      <c r="AJ795" s="2445"/>
      <c r="AK795" s="2445"/>
      <c r="AL795" s="1594"/>
      <c r="AM795" s="1383"/>
      <c r="AO795" s="1223"/>
    </row>
    <row r="796" spans="1:81">
      <c r="A796" s="1596" t="s">
        <v>1562</v>
      </c>
      <c r="B796" s="2420" t="s">
        <v>1787</v>
      </c>
      <c r="C796" s="2420"/>
      <c r="D796" s="2420"/>
      <c r="E796" s="2420"/>
      <c r="F796" s="2420"/>
      <c r="G796" s="2420"/>
      <c r="H796" s="2420"/>
      <c r="I796" s="2420"/>
      <c r="J796" s="2420"/>
      <c r="K796" s="2420"/>
      <c r="L796" s="2420"/>
      <c r="M796" s="2420"/>
      <c r="N796" s="2420"/>
      <c r="O796" s="2420"/>
      <c r="P796" s="2420"/>
      <c r="Q796" s="2420"/>
      <c r="R796" s="2420"/>
      <c r="S796" s="2421"/>
      <c r="T796" s="2439">
        <f>AK180</f>
        <v>10</v>
      </c>
      <c r="U796" s="2439"/>
      <c r="V796" s="2439"/>
      <c r="W796" s="2439"/>
      <c r="X796" s="2439"/>
      <c r="Y796" s="2439"/>
      <c r="Z796" s="2440">
        <v>10</v>
      </c>
      <c r="AA796" s="2440"/>
      <c r="AB796" s="2440"/>
      <c r="AC796" s="2440"/>
      <c r="AD796" s="2440"/>
      <c r="AE796" s="2440"/>
      <c r="AF796" s="2440">
        <f>IF(T796&gt;Z796,Z796,T796)</f>
        <v>10</v>
      </c>
      <c r="AG796" s="2440"/>
      <c r="AH796" s="2440"/>
      <c r="AI796" s="2440"/>
      <c r="AJ796" s="2440"/>
      <c r="AK796" s="2440"/>
      <c r="AL796" s="1594"/>
      <c r="AM796" s="1383"/>
    </row>
    <row r="797" spans="1:81">
      <c r="A797" s="1595" t="s">
        <v>1571</v>
      </c>
      <c r="B797" s="2420" t="s">
        <v>1572</v>
      </c>
      <c r="C797" s="2420"/>
      <c r="D797" s="2420"/>
      <c r="E797" s="2420"/>
      <c r="F797" s="2420"/>
      <c r="G797" s="2420"/>
      <c r="H797" s="2420"/>
      <c r="I797" s="2420"/>
      <c r="J797" s="2420"/>
      <c r="K797" s="2420"/>
      <c r="L797" s="2420"/>
      <c r="M797" s="2420"/>
      <c r="N797" s="2420"/>
      <c r="O797" s="2420"/>
      <c r="P797" s="2420"/>
      <c r="Q797" s="2420"/>
      <c r="R797" s="2420"/>
      <c r="S797" s="2421"/>
      <c r="T797" s="2439">
        <f>AK262</f>
        <v>8</v>
      </c>
      <c r="U797" s="2439"/>
      <c r="V797" s="2439"/>
      <c r="W797" s="2439"/>
      <c r="X797" s="2439"/>
      <c r="Y797" s="2439"/>
      <c r="Z797" s="2446">
        <v>8</v>
      </c>
      <c r="AA797" s="2447"/>
      <c r="AB797" s="2447"/>
      <c r="AC797" s="2447"/>
      <c r="AD797" s="2447"/>
      <c r="AE797" s="2448"/>
      <c r="AF797" s="2440">
        <f>IF(T797&gt;Z797,Z797,T797)</f>
        <v>8</v>
      </c>
      <c r="AG797" s="2440"/>
      <c r="AH797" s="2440"/>
      <c r="AI797" s="2440"/>
      <c r="AJ797" s="2440"/>
      <c r="AK797" s="2440"/>
      <c r="AL797" s="1594"/>
      <c r="AM797" s="1383"/>
    </row>
    <row r="798" spans="1:81" s="1204" customFormat="1" hidden="1">
      <c r="A798" s="1596" t="s">
        <v>616</v>
      </c>
      <c r="B798" s="2420" t="s">
        <v>1788</v>
      </c>
      <c r="C798" s="2420"/>
      <c r="D798" s="2420"/>
      <c r="E798" s="2420"/>
      <c r="F798" s="2420"/>
      <c r="G798" s="2420"/>
      <c r="H798" s="2420"/>
      <c r="I798" s="2420"/>
      <c r="J798" s="2420"/>
      <c r="K798" s="2420"/>
      <c r="L798" s="2420"/>
      <c r="M798" s="2420"/>
      <c r="N798" s="2420"/>
      <c r="O798" s="2420"/>
      <c r="P798" s="2420"/>
      <c r="Q798" s="2420"/>
      <c r="R798" s="2420"/>
      <c r="S798" s="2421"/>
      <c r="T798" s="2439">
        <f>IF(AK524&gt;5,5,AK524)</f>
        <v>0</v>
      </c>
      <c r="U798" s="2439"/>
      <c r="V798" s="2439"/>
      <c r="W798" s="2439"/>
      <c r="X798" s="2439"/>
      <c r="Y798" s="2439"/>
      <c r="Z798" s="2440">
        <v>5</v>
      </c>
      <c r="AA798" s="2440"/>
      <c r="AB798" s="2440"/>
      <c r="AC798" s="2440"/>
      <c r="AD798" s="2440"/>
      <c r="AE798" s="2440"/>
      <c r="AF798" s="2440">
        <f>IF(T798&gt;Z798,5,T798)</f>
        <v>0</v>
      </c>
      <c r="AG798" s="2440"/>
      <c r="AH798" s="2440"/>
      <c r="AI798" s="2440"/>
      <c r="AJ798" s="2440"/>
      <c r="AK798" s="2440"/>
      <c r="AL798" s="1594"/>
      <c r="AM798" s="1383"/>
      <c r="AO798" s="1205"/>
      <c r="AP798" s="1206"/>
      <c r="AQ798" s="1206"/>
      <c r="AR798" s="1206"/>
      <c r="AS798" s="1206"/>
      <c r="AT798" s="1206"/>
      <c r="AU798" s="1206"/>
      <c r="AV798" s="1206"/>
      <c r="AW798" s="1206"/>
      <c r="AX798" s="1206"/>
      <c r="AY798" s="1206"/>
      <c r="AZ798" s="1206"/>
      <c r="BA798" s="1206"/>
      <c r="BB798" s="1206"/>
      <c r="BC798" s="1206"/>
      <c r="BD798" s="1370"/>
      <c r="BE798" s="1370"/>
      <c r="BF798" s="1370"/>
      <c r="BG798" s="1370"/>
      <c r="BH798" s="1370"/>
      <c r="BI798" s="1206"/>
      <c r="BJ798" s="1206"/>
      <c r="BK798" s="1206"/>
      <c r="BL798" s="1206"/>
      <c r="BM798" s="1206"/>
      <c r="BN798" s="1206"/>
      <c r="BO798" s="1206"/>
      <c r="BP798" s="1206"/>
      <c r="BQ798" s="1206"/>
      <c r="BR798" s="1206"/>
      <c r="BS798" s="1206"/>
      <c r="BT798" s="1206"/>
      <c r="BU798" s="1206"/>
      <c r="BV798" s="1206"/>
      <c r="BW798" s="1206"/>
      <c r="BX798" s="1206"/>
      <c r="BY798" s="1206"/>
      <c r="BZ798" s="1206"/>
      <c r="CA798" s="1206"/>
      <c r="CB798" s="1206"/>
      <c r="CC798" s="1206"/>
    </row>
    <row r="799" spans="1:81" s="1204" customFormat="1">
      <c r="A799" s="1595" t="s">
        <v>1577</v>
      </c>
      <c r="B799" s="2420" t="s">
        <v>1789</v>
      </c>
      <c r="C799" s="2420"/>
      <c r="D799" s="2420"/>
      <c r="E799" s="2420"/>
      <c r="F799" s="2420"/>
      <c r="G799" s="2420"/>
      <c r="H799" s="2420"/>
      <c r="I799" s="2420"/>
      <c r="J799" s="2420"/>
      <c r="K799" s="2420"/>
      <c r="L799" s="2420"/>
      <c r="M799" s="2420"/>
      <c r="N799" s="2420"/>
      <c r="O799" s="2420"/>
      <c r="P799" s="2420"/>
      <c r="Q799" s="2420"/>
      <c r="R799" s="2420"/>
      <c r="S799" s="2421"/>
      <c r="T799" s="2439">
        <f>AK274</f>
        <v>10</v>
      </c>
      <c r="U799" s="2439"/>
      <c r="V799" s="2439"/>
      <c r="W799" s="2439"/>
      <c r="X799" s="2439"/>
      <c r="Y799" s="2439"/>
      <c r="Z799" s="2440">
        <v>10</v>
      </c>
      <c r="AA799" s="2440"/>
      <c r="AB799" s="2440"/>
      <c r="AC799" s="2440"/>
      <c r="AD799" s="2440"/>
      <c r="AE799" s="2440"/>
      <c r="AF799" s="2424">
        <f>IF(T799&gt;Z799,Z799,T799)</f>
        <v>10</v>
      </c>
      <c r="AG799" s="2425"/>
      <c r="AH799" s="2425"/>
      <c r="AI799" s="2425"/>
      <c r="AJ799" s="2425"/>
      <c r="AK799" s="2426"/>
      <c r="AL799" s="1594"/>
      <c r="AM799" s="1383"/>
      <c r="AO799" s="1205"/>
      <c r="AP799" s="1206"/>
      <c r="AQ799" s="1206"/>
      <c r="AR799" s="1206"/>
      <c r="AS799" s="1206"/>
      <c r="AT799" s="1206"/>
      <c r="AU799" s="1206"/>
      <c r="AV799" s="1206"/>
      <c r="AW799" s="1206"/>
      <c r="AX799" s="1206"/>
      <c r="AY799" s="1206"/>
      <c r="AZ799" s="1206"/>
      <c r="BA799" s="1206"/>
      <c r="BB799" s="1206"/>
      <c r="BC799" s="1206"/>
      <c r="BD799" s="1370"/>
      <c r="BE799" s="1370"/>
      <c r="BF799" s="1370"/>
      <c r="BG799" s="1370"/>
      <c r="BH799" s="1370"/>
      <c r="BI799" s="1206"/>
      <c r="BJ799" s="1206"/>
      <c r="BK799" s="1206"/>
      <c r="BL799" s="1206"/>
      <c r="BM799" s="1206"/>
      <c r="BN799" s="1206"/>
      <c r="BO799" s="1206"/>
      <c r="BP799" s="1206"/>
      <c r="BQ799" s="1206"/>
      <c r="BR799" s="1206"/>
      <c r="BS799" s="1206"/>
      <c r="BT799" s="1206"/>
      <c r="BU799" s="1206"/>
      <c r="BV799" s="1206"/>
      <c r="BW799" s="1206"/>
      <c r="BX799" s="1206"/>
      <c r="BY799" s="1206"/>
      <c r="BZ799" s="1206"/>
      <c r="CA799" s="1206"/>
      <c r="CB799" s="1206"/>
      <c r="CC799" s="1206"/>
    </row>
    <row r="800" spans="1:81" s="1204" customFormat="1">
      <c r="A800" s="1596" t="s">
        <v>1581</v>
      </c>
      <c r="B800" s="2420" t="s">
        <v>1582</v>
      </c>
      <c r="C800" s="2420"/>
      <c r="D800" s="2420"/>
      <c r="E800" s="2420"/>
      <c r="F800" s="2420"/>
      <c r="G800" s="2420"/>
      <c r="H800" s="2420"/>
      <c r="I800" s="2420"/>
      <c r="J800" s="2420"/>
      <c r="K800" s="2420"/>
      <c r="L800" s="2420"/>
      <c r="M800" s="2420"/>
      <c r="N800" s="2420"/>
      <c r="O800" s="2420"/>
      <c r="P800" s="2420"/>
      <c r="Q800" s="2420"/>
      <c r="R800" s="2420"/>
      <c r="S800" s="2421"/>
      <c r="T800" s="2439">
        <f>AK327</f>
        <v>9</v>
      </c>
      <c r="U800" s="2439"/>
      <c r="V800" s="2439"/>
      <c r="W800" s="2439"/>
      <c r="X800" s="2439"/>
      <c r="Y800" s="2439"/>
      <c r="Z800" s="2424">
        <v>10</v>
      </c>
      <c r="AA800" s="2425"/>
      <c r="AB800" s="2425"/>
      <c r="AC800" s="2425"/>
      <c r="AD800" s="2425"/>
      <c r="AE800" s="2426"/>
      <c r="AF800" s="2424">
        <f>IF(T800&gt;Z800,Z800,T800)</f>
        <v>9</v>
      </c>
      <c r="AG800" s="2425"/>
      <c r="AH800" s="2425"/>
      <c r="AI800" s="2425"/>
      <c r="AJ800" s="2425"/>
      <c r="AK800" s="2426"/>
      <c r="AL800" s="1211"/>
      <c r="AM800" s="1383"/>
      <c r="AO800" s="1205"/>
      <c r="AP800" s="1206"/>
      <c r="AQ800" s="1206"/>
      <c r="AR800" s="1206"/>
      <c r="AS800" s="1206"/>
      <c r="AT800" s="1206"/>
      <c r="AU800" s="1206"/>
      <c r="AV800" s="1206"/>
      <c r="AW800" s="1206"/>
      <c r="AX800" s="1206"/>
      <c r="AY800" s="1206"/>
      <c r="AZ800" s="1206"/>
      <c r="BA800" s="1206"/>
      <c r="BB800" s="1206"/>
      <c r="BC800" s="1206"/>
      <c r="BD800" s="1370"/>
      <c r="BE800" s="1370"/>
      <c r="BF800" s="1370"/>
      <c r="BG800" s="1370"/>
      <c r="BH800" s="1370"/>
      <c r="BI800" s="1206"/>
      <c r="BJ800" s="1206"/>
      <c r="BK800" s="1206"/>
      <c r="BL800" s="1206"/>
      <c r="BM800" s="1206"/>
      <c r="BN800" s="1206"/>
      <c r="BO800" s="1206"/>
      <c r="BP800" s="1206"/>
      <c r="BQ800" s="1206"/>
      <c r="BR800" s="1206"/>
      <c r="BS800" s="1206"/>
      <c r="BT800" s="1206"/>
      <c r="BU800" s="1206"/>
      <c r="BV800" s="1206"/>
      <c r="BW800" s="1206"/>
      <c r="BX800" s="1206"/>
      <c r="BY800" s="1206"/>
      <c r="BZ800" s="1206"/>
      <c r="CA800" s="1206"/>
      <c r="CB800" s="1206"/>
      <c r="CC800" s="1206"/>
    </row>
    <row r="801" spans="1:81" s="1204" customFormat="1" hidden="1">
      <c r="A801" s="1596"/>
      <c r="B801" s="1597"/>
      <c r="C801" s="1598" t="s">
        <v>1790</v>
      </c>
      <c r="D801" s="1599"/>
      <c r="E801" s="1599"/>
      <c r="F801" s="1599"/>
      <c r="G801" s="1599"/>
      <c r="H801" s="1599"/>
      <c r="I801" s="1599"/>
      <c r="J801" s="1599"/>
      <c r="K801" s="1599"/>
      <c r="L801" s="1599"/>
      <c r="M801" s="1599"/>
      <c r="N801" s="1599"/>
      <c r="O801" s="1599"/>
      <c r="P801" s="1599"/>
      <c r="Q801" s="1599"/>
      <c r="R801" s="1597"/>
      <c r="S801" s="1600"/>
      <c r="T801" s="2441">
        <f>AK327</f>
        <v>9</v>
      </c>
      <c r="U801" s="2441"/>
      <c r="V801" s="2441"/>
      <c r="W801" s="2441"/>
      <c r="X801" s="2441"/>
      <c r="Y801" s="2441"/>
      <c r="Z801" s="2442">
        <v>20</v>
      </c>
      <c r="AA801" s="2443"/>
      <c r="AB801" s="2443"/>
      <c r="AC801" s="2443"/>
      <c r="AD801" s="2443"/>
      <c r="AE801" s="2444"/>
      <c r="AF801" s="2445"/>
      <c r="AG801" s="2445"/>
      <c r="AH801" s="2445"/>
      <c r="AI801" s="2445"/>
      <c r="AJ801" s="2445"/>
      <c r="AK801" s="2445"/>
      <c r="AL801" s="1211"/>
      <c r="AM801" s="1383"/>
      <c r="AO801" s="1205"/>
      <c r="AP801" s="1206"/>
      <c r="AQ801" s="1206"/>
      <c r="AR801" s="1206"/>
      <c r="AS801" s="1206"/>
      <c r="AT801" s="1206"/>
      <c r="AU801" s="1206"/>
      <c r="AV801" s="1206"/>
      <c r="AW801" s="1206"/>
      <c r="AX801" s="1206"/>
      <c r="AY801" s="1206"/>
      <c r="AZ801" s="1206"/>
      <c r="BA801" s="1206"/>
      <c r="BB801" s="1206"/>
      <c r="BC801" s="1206"/>
      <c r="BD801" s="1370"/>
      <c r="BE801" s="1370"/>
      <c r="BF801" s="1370"/>
      <c r="BG801" s="1370"/>
      <c r="BH801" s="1370"/>
      <c r="BI801" s="1206"/>
      <c r="BJ801" s="1206"/>
      <c r="BK801" s="1206"/>
      <c r="BL801" s="1206"/>
      <c r="BM801" s="1206"/>
      <c r="BN801" s="1206"/>
      <c r="BO801" s="1206"/>
      <c r="BP801" s="1206"/>
      <c r="BQ801" s="1206"/>
      <c r="BR801" s="1206"/>
      <c r="BS801" s="1206"/>
      <c r="BT801" s="1206"/>
      <c r="BU801" s="1206"/>
      <c r="BV801" s="1206"/>
      <c r="BW801" s="1206"/>
      <c r="BX801" s="1206"/>
      <c r="BY801" s="1206"/>
      <c r="BZ801" s="1206"/>
      <c r="CA801" s="1206"/>
      <c r="CB801" s="1206"/>
      <c r="CC801" s="1206"/>
    </row>
    <row r="802" spans="1:81" s="1204" customFormat="1">
      <c r="A802" s="1596" t="s">
        <v>1658</v>
      </c>
      <c r="B802" s="2420" t="s">
        <v>892</v>
      </c>
      <c r="C802" s="2420"/>
      <c r="D802" s="2420"/>
      <c r="E802" s="2420"/>
      <c r="F802" s="2420"/>
      <c r="G802" s="2420"/>
      <c r="H802" s="2420"/>
      <c r="I802" s="2420"/>
      <c r="J802" s="2420"/>
      <c r="K802" s="2420"/>
      <c r="L802" s="2420"/>
      <c r="M802" s="2420"/>
      <c r="N802" s="2420"/>
      <c r="O802" s="2420"/>
      <c r="P802" s="2420"/>
      <c r="Q802" s="2420"/>
      <c r="R802" s="2420"/>
      <c r="S802" s="2421"/>
      <c r="T802" s="2439">
        <f>AK458</f>
        <v>10</v>
      </c>
      <c r="U802" s="2439"/>
      <c r="V802" s="2439"/>
      <c r="W802" s="2439"/>
      <c r="X802" s="2439"/>
      <c r="Y802" s="2439"/>
      <c r="Z802" s="2424">
        <v>10</v>
      </c>
      <c r="AA802" s="2425"/>
      <c r="AB802" s="2425"/>
      <c r="AC802" s="2425"/>
      <c r="AD802" s="2425"/>
      <c r="AE802" s="2426"/>
      <c r="AF802" s="2440">
        <f>IF(T802&gt;Z802,Z802,T802)</f>
        <v>10</v>
      </c>
      <c r="AG802" s="2440"/>
      <c r="AH802" s="2440"/>
      <c r="AI802" s="2440"/>
      <c r="AJ802" s="2440"/>
      <c r="AK802" s="2440"/>
      <c r="AL802" s="1211"/>
      <c r="AM802" s="1383"/>
      <c r="AO802" s="1205"/>
      <c r="AP802" s="1206"/>
      <c r="AQ802" s="1206"/>
      <c r="AR802" s="1206"/>
      <c r="AS802" s="1206"/>
      <c r="AT802" s="1206"/>
      <c r="AU802" s="1206"/>
      <c r="AV802" s="1206"/>
      <c r="AW802" s="1206"/>
      <c r="AX802" s="1206"/>
      <c r="AY802" s="1206"/>
      <c r="AZ802" s="1206"/>
      <c r="BA802" s="1206"/>
      <c r="BB802" s="1206"/>
      <c r="BC802" s="1206"/>
      <c r="BD802" s="1370"/>
      <c r="BE802" s="1370"/>
      <c r="BF802" s="1370"/>
      <c r="BG802" s="1370"/>
      <c r="BH802" s="1370"/>
      <c r="BI802" s="1206"/>
      <c r="BJ802" s="1206"/>
      <c r="BK802" s="1206"/>
      <c r="BL802" s="1206"/>
      <c r="BM802" s="1206"/>
      <c r="BN802" s="1206"/>
      <c r="BO802" s="1206"/>
      <c r="BP802" s="1206"/>
      <c r="BQ802" s="1206"/>
      <c r="BR802" s="1206"/>
      <c r="BS802" s="1206"/>
      <c r="BT802" s="1206"/>
      <c r="BU802" s="1206"/>
      <c r="BV802" s="1206"/>
      <c r="BW802" s="1206"/>
      <c r="BX802" s="1206"/>
      <c r="BY802" s="1206"/>
      <c r="BZ802" s="1206"/>
      <c r="CA802" s="1206"/>
      <c r="CB802" s="1206"/>
      <c r="CC802" s="1206"/>
    </row>
    <row r="803" spans="1:81" s="1204" customFormat="1">
      <c r="A803" s="1596" t="s">
        <v>1768</v>
      </c>
      <c r="B803" s="2420" t="s">
        <v>1769</v>
      </c>
      <c r="C803" s="2420"/>
      <c r="D803" s="2420"/>
      <c r="E803" s="2420"/>
      <c r="F803" s="2420"/>
      <c r="G803" s="2420"/>
      <c r="H803" s="2420"/>
      <c r="I803" s="2420"/>
      <c r="J803" s="2420"/>
      <c r="K803" s="2420"/>
      <c r="L803" s="2420"/>
      <c r="M803" s="2420"/>
      <c r="N803" s="2420"/>
      <c r="O803" s="2420"/>
      <c r="P803" s="2420"/>
      <c r="Q803" s="2420"/>
      <c r="R803" s="2420"/>
      <c r="S803" s="2421"/>
      <c r="T803" s="2439">
        <f>AK548</f>
        <v>12</v>
      </c>
      <c r="U803" s="2439"/>
      <c r="V803" s="2439"/>
      <c r="W803" s="2439"/>
      <c r="X803" s="2439"/>
      <c r="Y803" s="2439"/>
      <c r="Z803" s="2424">
        <v>12</v>
      </c>
      <c r="AA803" s="2425"/>
      <c r="AB803" s="2425"/>
      <c r="AC803" s="2425"/>
      <c r="AD803" s="2425"/>
      <c r="AE803" s="2426"/>
      <c r="AF803" s="2440">
        <f>IF(T803&gt;Z803,Z803,T803)</f>
        <v>12</v>
      </c>
      <c r="AG803" s="2440"/>
      <c r="AH803" s="2440"/>
      <c r="AI803" s="2440"/>
      <c r="AJ803" s="2440"/>
      <c r="AK803" s="2440"/>
      <c r="AL803" s="1211"/>
      <c r="AM803" s="1383"/>
      <c r="AO803" s="1205"/>
      <c r="AP803" s="1206"/>
      <c r="AQ803" s="1206"/>
      <c r="AR803" s="1206"/>
      <c r="AS803" s="1206"/>
      <c r="AT803" s="1206"/>
      <c r="AU803" s="1206"/>
      <c r="AV803" s="1206"/>
      <c r="AW803" s="1206"/>
      <c r="AX803" s="1206"/>
      <c r="AY803" s="1206"/>
      <c r="AZ803" s="1206"/>
      <c r="BA803" s="1206"/>
      <c r="BB803" s="1206"/>
      <c r="BC803" s="1206"/>
      <c r="BD803" s="1370"/>
      <c r="BE803" s="1370"/>
      <c r="BF803" s="1370"/>
      <c r="BG803" s="1370"/>
      <c r="BH803" s="1370"/>
      <c r="BI803" s="1206"/>
      <c r="BJ803" s="1206"/>
      <c r="BK803" s="1206"/>
      <c r="BL803" s="1206"/>
      <c r="BM803" s="1206"/>
      <c r="BN803" s="1206"/>
      <c r="BO803" s="1206"/>
      <c r="BP803" s="1206"/>
      <c r="BQ803" s="1206"/>
      <c r="BR803" s="1206"/>
      <c r="BS803" s="1206"/>
      <c r="BT803" s="1206"/>
      <c r="BU803" s="1206"/>
      <c r="BV803" s="1206"/>
      <c r="BW803" s="1206"/>
      <c r="BX803" s="1206"/>
      <c r="BY803" s="1206"/>
      <c r="BZ803" s="1206"/>
      <c r="CA803" s="1206"/>
      <c r="CB803" s="1206"/>
      <c r="CC803" s="1206"/>
    </row>
    <row r="804" spans="1:81" s="1204" customFormat="1">
      <c r="A804" s="1596" t="s">
        <v>2691</v>
      </c>
      <c r="B804" s="2420" t="s">
        <v>1791</v>
      </c>
      <c r="C804" s="2420"/>
      <c r="D804" s="2420"/>
      <c r="E804" s="2420"/>
      <c r="F804" s="2420"/>
      <c r="G804" s="2420"/>
      <c r="H804" s="2420"/>
      <c r="I804" s="2420"/>
      <c r="J804" s="2420"/>
      <c r="K804" s="2420"/>
      <c r="L804" s="2420"/>
      <c r="M804" s="2420"/>
      <c r="N804" s="2420"/>
      <c r="O804" s="2420"/>
      <c r="P804" s="2420"/>
      <c r="Q804" s="2420"/>
      <c r="R804" s="2420"/>
      <c r="S804" s="2421"/>
      <c r="T804" s="2439">
        <f>AK779</f>
        <v>10</v>
      </c>
      <c r="U804" s="2439"/>
      <c r="V804" s="2439"/>
      <c r="W804" s="2439"/>
      <c r="X804" s="2439"/>
      <c r="Y804" s="2439"/>
      <c r="Z804" s="2424">
        <v>10</v>
      </c>
      <c r="AA804" s="2425"/>
      <c r="AB804" s="2425"/>
      <c r="AC804" s="2425"/>
      <c r="AD804" s="2425"/>
      <c r="AE804" s="2426"/>
      <c r="AF804" s="2440">
        <f>IF(T804&gt;Z804,Z804,T804)</f>
        <v>10</v>
      </c>
      <c r="AG804" s="2440"/>
      <c r="AH804" s="2440"/>
      <c r="AI804" s="2440"/>
      <c r="AJ804" s="2440"/>
      <c r="AK804" s="2440"/>
      <c r="AL804" s="1211"/>
      <c r="AM804" s="1383"/>
      <c r="AO804" s="1205"/>
      <c r="AP804" s="1206"/>
      <c r="AQ804" s="1206"/>
      <c r="AR804" s="1206"/>
      <c r="AS804" s="1206"/>
      <c r="AT804" s="1206"/>
      <c r="AU804" s="1206"/>
      <c r="AV804" s="1206"/>
      <c r="AW804" s="1206"/>
      <c r="AX804" s="1206"/>
      <c r="AY804" s="1206"/>
      <c r="AZ804" s="1206"/>
      <c r="BA804" s="1206"/>
      <c r="BB804" s="1206"/>
      <c r="BC804" s="1206"/>
      <c r="BD804" s="1370"/>
      <c r="BE804" s="1370"/>
      <c r="BF804" s="1370"/>
      <c r="BG804" s="1370"/>
      <c r="BH804" s="1370"/>
      <c r="BI804" s="1206"/>
      <c r="BJ804" s="1206"/>
      <c r="BK804" s="1206"/>
      <c r="BL804" s="1206"/>
      <c r="BM804" s="1206"/>
      <c r="BN804" s="1206"/>
      <c r="BO804" s="1206"/>
      <c r="BP804" s="1206"/>
      <c r="BQ804" s="1206"/>
      <c r="BR804" s="1206"/>
      <c r="BS804" s="1206"/>
      <c r="BT804" s="1206"/>
      <c r="BU804" s="1206"/>
      <c r="BV804" s="1206"/>
      <c r="BW804" s="1206"/>
      <c r="BX804" s="1206"/>
      <c r="BY804" s="1206"/>
      <c r="BZ804" s="1206"/>
      <c r="CA804" s="1206"/>
      <c r="CB804" s="1206"/>
      <c r="CC804" s="1206"/>
    </row>
    <row r="805" spans="1:81" s="1204" customFormat="1">
      <c r="A805" s="2419" t="s">
        <v>1792</v>
      </c>
      <c r="B805" s="2420"/>
      <c r="C805" s="2420"/>
      <c r="D805" s="2420"/>
      <c r="E805" s="2420"/>
      <c r="F805" s="2420"/>
      <c r="G805" s="2420"/>
      <c r="H805" s="2420"/>
      <c r="I805" s="2420"/>
      <c r="J805" s="2420"/>
      <c r="K805" s="2420"/>
      <c r="L805" s="2420"/>
      <c r="M805" s="2420"/>
      <c r="N805" s="2420"/>
      <c r="O805" s="2420"/>
      <c r="P805" s="2420"/>
      <c r="Q805" s="2420"/>
      <c r="R805" s="2420"/>
      <c r="S805" s="2421"/>
      <c r="T805" s="2422"/>
      <c r="U805" s="2422"/>
      <c r="V805" s="2422"/>
      <c r="W805" s="2422"/>
      <c r="X805" s="2422"/>
      <c r="Y805" s="2422"/>
      <c r="Z805" s="2423" t="s">
        <v>1793</v>
      </c>
      <c r="AA805" s="2423"/>
      <c r="AB805" s="2423"/>
      <c r="AC805" s="2423"/>
      <c r="AD805" s="2423"/>
      <c r="AE805" s="2423"/>
      <c r="AF805" s="2424">
        <f>IF(T805&gt;0,T805,0)</f>
        <v>0</v>
      </c>
      <c r="AG805" s="2425"/>
      <c r="AH805" s="2425"/>
      <c r="AI805" s="2425"/>
      <c r="AJ805" s="2425"/>
      <c r="AK805" s="2426"/>
      <c r="AL805" s="1287"/>
      <c r="AM805" s="1383"/>
      <c r="AO805" s="1205"/>
      <c r="AP805" s="1206"/>
      <c r="AQ805" s="1206"/>
      <c r="AR805" s="1206"/>
      <c r="AS805" s="1206"/>
      <c r="AT805" s="1206"/>
      <c r="AU805" s="1206"/>
      <c r="AV805" s="1206"/>
      <c r="AW805" s="1206"/>
      <c r="AX805" s="1206"/>
      <c r="AY805" s="1206"/>
      <c r="AZ805" s="1206"/>
      <c r="BA805" s="1206"/>
      <c r="BB805" s="1206"/>
      <c r="BC805" s="1206"/>
      <c r="BD805" s="1370"/>
      <c r="BE805" s="1370"/>
      <c r="BF805" s="1370"/>
      <c r="BG805" s="1370"/>
      <c r="BH805" s="1370"/>
      <c r="BI805" s="1206"/>
      <c r="BJ805" s="1206"/>
      <c r="BK805" s="1206"/>
      <c r="BL805" s="1206"/>
      <c r="BM805" s="1206"/>
      <c r="BN805" s="1206"/>
      <c r="BO805" s="1206"/>
      <c r="BP805" s="1206"/>
      <c r="BQ805" s="1206"/>
      <c r="BR805" s="1206"/>
      <c r="BS805" s="1206"/>
      <c r="BT805" s="1206"/>
      <c r="BU805" s="1206"/>
      <c r="BV805" s="1206"/>
      <c r="BW805" s="1206"/>
      <c r="BX805" s="1206"/>
      <c r="BY805" s="1206"/>
      <c r="BZ805" s="1206"/>
      <c r="CA805" s="1206"/>
      <c r="CB805" s="1206"/>
      <c r="CC805" s="1206"/>
    </row>
    <row r="806" spans="1:81" s="1204" customFormat="1" ht="15.75">
      <c r="A806" s="2427" t="s">
        <v>1794</v>
      </c>
      <c r="B806" s="2428"/>
      <c r="C806" s="2428"/>
      <c r="D806" s="2428"/>
      <c r="E806" s="2428"/>
      <c r="F806" s="2428"/>
      <c r="G806" s="2428"/>
      <c r="H806" s="2428"/>
      <c r="I806" s="2428"/>
      <c r="J806" s="2428"/>
      <c r="K806" s="2428"/>
      <c r="L806" s="2428"/>
      <c r="M806" s="2428"/>
      <c r="N806" s="2428"/>
      <c r="O806" s="2428"/>
      <c r="P806" s="2428"/>
      <c r="Q806" s="2428"/>
      <c r="R806" s="2428"/>
      <c r="S806" s="2428"/>
      <c r="T806" s="2428"/>
      <c r="U806" s="2428"/>
      <c r="V806" s="2428"/>
      <c r="W806" s="2428"/>
      <c r="X806" s="2428"/>
      <c r="Y806" s="2428"/>
      <c r="Z806" s="2428"/>
      <c r="AA806" s="2428"/>
      <c r="AB806" s="2428"/>
      <c r="AC806" s="2428"/>
      <c r="AD806" s="2428"/>
      <c r="AE806" s="2429"/>
      <c r="AF806" s="2433">
        <f ca="1">SUM(AF789:AK804)-AF805</f>
        <v>119</v>
      </c>
      <c r="AG806" s="2434"/>
      <c r="AH806" s="2434"/>
      <c r="AI806" s="2434"/>
      <c r="AJ806" s="2434"/>
      <c r="AK806" s="2435"/>
      <c r="AL806" s="1601"/>
      <c r="AM806" s="1223"/>
      <c r="AO806" s="1205"/>
      <c r="AP806" s="1206"/>
      <c r="AQ806" s="1206"/>
      <c r="AR806" s="1206"/>
      <c r="AS806" s="1206"/>
      <c r="AT806" s="1206"/>
      <c r="AU806" s="1206"/>
      <c r="AV806" s="1206"/>
      <c r="AW806" s="1206"/>
      <c r="AX806" s="1206"/>
      <c r="AY806" s="1206"/>
      <c r="AZ806" s="1206"/>
      <c r="BA806" s="1206"/>
      <c r="BB806" s="1206"/>
      <c r="BC806" s="1206"/>
      <c r="BD806" s="1370"/>
      <c r="BE806" s="1370"/>
      <c r="BF806" s="1370"/>
      <c r="BG806" s="1370"/>
      <c r="BH806" s="1370"/>
      <c r="BI806" s="1206"/>
      <c r="BJ806" s="1206"/>
      <c r="BK806" s="1206"/>
      <c r="BL806" s="1206"/>
      <c r="BM806" s="1206"/>
      <c r="BN806" s="1206"/>
      <c r="BO806" s="1206"/>
      <c r="BP806" s="1206"/>
      <c r="BQ806" s="1206"/>
      <c r="BR806" s="1206"/>
      <c r="BS806" s="1206"/>
      <c r="BT806" s="1206"/>
      <c r="BU806" s="1206"/>
      <c r="BV806" s="1206"/>
      <c r="BW806" s="1206"/>
      <c r="BX806" s="1206"/>
      <c r="BY806" s="1206"/>
      <c r="BZ806" s="1206"/>
      <c r="CA806" s="1206"/>
      <c r="CB806" s="1206"/>
      <c r="CC806" s="1206"/>
    </row>
    <row r="807" spans="1:81" s="1204" customFormat="1" ht="15.75">
      <c r="A807" s="2430"/>
      <c r="B807" s="2431"/>
      <c r="C807" s="2431"/>
      <c r="D807" s="2431"/>
      <c r="E807" s="2431"/>
      <c r="F807" s="2431"/>
      <c r="G807" s="2431"/>
      <c r="H807" s="2431"/>
      <c r="I807" s="2431"/>
      <c r="J807" s="2431"/>
      <c r="K807" s="2431"/>
      <c r="L807" s="2431"/>
      <c r="M807" s="2431"/>
      <c r="N807" s="2431"/>
      <c r="O807" s="2431"/>
      <c r="P807" s="2431"/>
      <c r="Q807" s="2431"/>
      <c r="R807" s="2431"/>
      <c r="S807" s="2431"/>
      <c r="T807" s="2431"/>
      <c r="U807" s="2431"/>
      <c r="V807" s="2431"/>
      <c r="W807" s="2431"/>
      <c r="X807" s="2431"/>
      <c r="Y807" s="2431"/>
      <c r="Z807" s="2431"/>
      <c r="AA807" s="2431"/>
      <c r="AB807" s="2431"/>
      <c r="AC807" s="2431"/>
      <c r="AD807" s="2431"/>
      <c r="AE807" s="2432"/>
      <c r="AF807" s="2436"/>
      <c r="AG807" s="2437"/>
      <c r="AH807" s="2437"/>
      <c r="AI807" s="2437"/>
      <c r="AJ807" s="2437"/>
      <c r="AK807" s="2438"/>
      <c r="AL807" s="1601"/>
      <c r="AM807" s="1223"/>
      <c r="AO807" s="1205"/>
      <c r="AP807" s="1206"/>
      <c r="AQ807" s="1206"/>
      <c r="AR807" s="1206"/>
      <c r="AS807" s="1206"/>
      <c r="AT807" s="1206"/>
      <c r="AU807" s="1206"/>
      <c r="AV807" s="1206"/>
      <c r="AW807" s="1206"/>
      <c r="AX807" s="1206"/>
      <c r="AY807" s="1206"/>
      <c r="AZ807" s="1206"/>
      <c r="BA807" s="1206"/>
      <c r="BB807" s="1206"/>
      <c r="BC807" s="1206"/>
      <c r="BD807" s="1370"/>
      <c r="BE807" s="1370"/>
      <c r="BF807" s="1370"/>
      <c r="BG807" s="1370"/>
      <c r="BH807" s="1370"/>
      <c r="BI807" s="1206"/>
      <c r="BJ807" s="1206"/>
      <c r="BK807" s="1206"/>
      <c r="BL807" s="1206"/>
      <c r="BM807" s="1206"/>
      <c r="BN807" s="1206"/>
      <c r="BO807" s="1206"/>
      <c r="BP807" s="1206"/>
      <c r="BQ807" s="1206"/>
      <c r="BR807" s="1206"/>
      <c r="BS807" s="1206"/>
      <c r="BT807" s="1206"/>
      <c r="BU807" s="1206"/>
      <c r="BV807" s="1206"/>
      <c r="BW807" s="1206"/>
      <c r="BX807" s="1206"/>
      <c r="BY807" s="1206"/>
      <c r="BZ807" s="1206"/>
      <c r="CA807" s="1206"/>
      <c r="CB807" s="1206"/>
      <c r="CC807" s="1206"/>
    </row>
    <row r="808" spans="1:81" s="1204" customFormat="1">
      <c r="A808" s="1318"/>
      <c r="B808" s="1318"/>
      <c r="C808" s="1318"/>
      <c r="D808" s="1318"/>
      <c r="E808" s="1318"/>
      <c r="F808" s="1318"/>
      <c r="G808" s="1318"/>
      <c r="H808" s="1318"/>
      <c r="I808" s="1318"/>
      <c r="J808" s="1318"/>
      <c r="K808" s="1318"/>
      <c r="L808" s="1318"/>
      <c r="M808" s="1318"/>
      <c r="N808" s="1318"/>
      <c r="O808" s="1318"/>
      <c r="P808" s="1318"/>
      <c r="Q808" s="1318"/>
      <c r="R808" s="1318"/>
      <c r="S808" s="1318"/>
      <c r="T808" s="1318"/>
      <c r="U808" s="1318"/>
      <c r="V808" s="1318"/>
      <c r="W808" s="1318"/>
      <c r="X808" s="1318"/>
      <c r="Y808" s="1318"/>
      <c r="Z808" s="1318"/>
      <c r="AA808" s="1318"/>
      <c r="AB808" s="1318"/>
      <c r="AC808" s="1318"/>
      <c r="AD808" s="1318"/>
      <c r="AE808" s="1318"/>
      <c r="AF808" s="1318"/>
      <c r="AG808" s="1318"/>
      <c r="AH808" s="1318"/>
      <c r="AI808" s="1318"/>
      <c r="AJ808" s="1318"/>
      <c r="AK808" s="1318"/>
      <c r="AL808" s="1318"/>
      <c r="AM808" s="1427"/>
      <c r="AO808" s="1205"/>
      <c r="AP808" s="1206"/>
      <c r="AQ808" s="1206"/>
      <c r="AR808" s="1206"/>
      <c r="AS808" s="1206"/>
      <c r="AT808" s="1206"/>
      <c r="AU808" s="1206"/>
      <c r="AV808" s="1206"/>
      <c r="AW808" s="1206"/>
      <c r="AX808" s="1206"/>
      <c r="AY808" s="1206"/>
      <c r="AZ808" s="1206"/>
      <c r="BA808" s="1206"/>
      <c r="BB808" s="1206"/>
      <c r="BC808" s="1206"/>
      <c r="BD808" s="1370"/>
      <c r="BE808" s="1370"/>
      <c r="BF808" s="1370"/>
      <c r="BG808" s="1370"/>
      <c r="BH808" s="1370"/>
      <c r="BI808" s="1206"/>
      <c r="BJ808" s="1206"/>
      <c r="BK808" s="1206"/>
      <c r="BL808" s="1206"/>
      <c r="BM808" s="1206"/>
      <c r="BN808" s="1206"/>
      <c r="BO808" s="1206"/>
      <c r="BP808" s="1206"/>
      <c r="BQ808" s="1206"/>
      <c r="BR808" s="1206"/>
      <c r="BS808" s="1206"/>
      <c r="BT808" s="1206"/>
      <c r="BU808" s="1206"/>
      <c r="BV808" s="1206"/>
      <c r="BW808" s="1206"/>
      <c r="BX808" s="1206"/>
      <c r="BY808" s="1206"/>
      <c r="BZ808" s="1206"/>
      <c r="CA808" s="1206"/>
      <c r="CB808" s="1206"/>
      <c r="CC808" s="1206"/>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M75PATJwmpdwMIE3WSHiq+KWZD9b5xzzbG+D78wSfgstHLbQ5un7UNbICBJ056dJtpqOvXBJWLJ0BJXXEZTMhw==" saltValue="jyd0u2FX1pcA/UzAaGb+XA=="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146" priority="12" stopIfTrue="1">
      <formula>ISERROR(T434)</formula>
    </cfRule>
  </conditionalFormatting>
  <conditionalFormatting sqref="AP460">
    <cfRule type="expression" dxfId="145" priority="11" stopIfTrue="1">
      <formula>ISERROR(AP460)</formula>
    </cfRule>
  </conditionalFormatting>
  <conditionalFormatting sqref="AF802:AK802">
    <cfRule type="expression" dxfId="144" priority="10" stopIfTrue="1">
      <formula>ISERROR(AF802)</formula>
    </cfRule>
  </conditionalFormatting>
  <conditionalFormatting sqref="T803:Y804">
    <cfRule type="expression" dxfId="143" priority="9" stopIfTrue="1">
      <formula>ISERROR(T803)</formula>
    </cfRule>
  </conditionalFormatting>
  <conditionalFormatting sqref="AF803:AK804">
    <cfRule type="expression" dxfId="142" priority="8" stopIfTrue="1">
      <formula>ISERROR(AF803)</formula>
    </cfRule>
  </conditionalFormatting>
  <conditionalFormatting sqref="AF797:AK797">
    <cfRule type="expression" dxfId="141" priority="7" stopIfTrue="1">
      <formula>ISERROR(AF797)</formula>
    </cfRule>
  </conditionalFormatting>
  <conditionalFormatting sqref="T797:Y797">
    <cfRule type="expression" dxfId="140" priority="6" stopIfTrue="1">
      <formula>ISERROR(T797)</formula>
    </cfRule>
  </conditionalFormatting>
  <conditionalFormatting sqref="AF792:AK792">
    <cfRule type="expression" dxfId="139" priority="5" stopIfTrue="1">
      <formula>ISERROR(AF792)</formula>
    </cfRule>
  </conditionalFormatting>
  <conditionalFormatting sqref="AF791:AK791">
    <cfRule type="expression" dxfId="138" priority="4" stopIfTrue="1">
      <formula>ISERROR(AF791)</formula>
    </cfRule>
  </conditionalFormatting>
  <conditionalFormatting sqref="AF790:AK790">
    <cfRule type="expression" dxfId="137" priority="3" stopIfTrue="1">
      <formula>ISERROR(AF790)</formula>
    </cfRule>
  </conditionalFormatting>
  <conditionalFormatting sqref="AF789:AK789">
    <cfRule type="expression" dxfId="136" priority="2" stopIfTrue="1">
      <formula>ISERROR(AF789)</formula>
    </cfRule>
  </conditionalFormatting>
  <conditionalFormatting sqref="Z804">
    <cfRule type="expression" dxfId="135" priority="1" stopIfTrue="1">
      <formula>ISERROR(Z804)</formula>
    </cfRule>
  </conditionalFormatting>
  <dataValidations count="33">
    <dataValidation type="list" allowBlank="1" showInputMessage="1" showErrorMessage="1" sqref="C281:D281" xr:uid="{9703F757-4581-4B57-9937-80861FBD7E66}">
      <formula1>"N/A, Yes, 50% Met"</formula1>
    </dataValidation>
    <dataValidation type="list" allowBlank="1" showInputMessage="1" showErrorMessage="1" sqref="H674:I674" xr:uid="{E24B8E33-A9D1-4754-9525-E7802612605E}">
      <formula1>$AO$622:$AO$629</formula1>
    </dataValidation>
    <dataValidation type="list" allowBlank="1" showInputMessage="1" showErrorMessage="1" sqref="F305:AD309" xr:uid="{55B5EB21-BD12-4D16-B8DF-6E76DE95CD54}">
      <formula1>$AP$300:$AP$303</formula1>
    </dataValidation>
    <dataValidation type="list" allowBlank="1" showInputMessage="1" showErrorMessage="1" sqref="I603" xr:uid="{5DFD2D1A-EB7C-4B1E-BBE0-6B8B67281B8A}">
      <formula1>$AO$602:$AO$604</formula1>
    </dataValidation>
    <dataValidation type="list" allowBlank="1" showInputMessage="1" showErrorMessage="1" sqref="H595:I601" xr:uid="{E75FB469-C943-4DCB-87E2-5E0934C19A6B}">
      <formula1>$AO$575:$AO$580</formula1>
    </dataValidation>
    <dataValidation type="list" allowBlank="1" showInputMessage="1" showErrorMessage="1" sqref="H764:I764" xr:uid="{147028EF-E2D9-4D9A-B767-4BA30BBD3061}">
      <formula1>$AP$705:$AP$707</formula1>
    </dataValidation>
    <dataValidation type="list" allowBlank="1" showInputMessage="1" showErrorMessage="1" sqref="C160:AD160" xr:uid="{CA9F8533-F9B3-4B8B-9804-98BA83F2DE9E}">
      <formula1>$AO$159:$AO$164</formula1>
    </dataValidation>
    <dataValidation type="list" allowBlank="1" showInputMessage="1" showErrorMessage="1" sqref="C159:AI159" xr:uid="{CB501E8C-1B78-4E6B-9F04-E2F8D1E26813}">
      <formula1>$AO$159:$AO$162</formula1>
    </dataValidation>
    <dataValidation type="list" allowBlank="1" showInputMessage="1" showErrorMessage="1" sqref="C163:AD163" xr:uid="{9CB573BB-C886-484B-AEC3-CDD9F94D5BE5}">
      <formula1>$AO$166:$AO$168</formula1>
    </dataValidation>
    <dataValidation type="list" allowBlank="1" showInputMessage="1" showErrorMessage="1" sqref="O590" xr:uid="{9AC88F91-C8A9-48B8-AEBF-DBDC25920B94}">
      <formula1>"(select),Dial-a-ride service,Project-operated van service"</formula1>
    </dataValidation>
    <dataValidation type="list" allowBlank="1" showInputMessage="1" showErrorMessage="1" sqref="I313" xr:uid="{793CEF0C-3C41-4961-A329-1C6ED0C3759D}">
      <formula1>$AP$312:$AP$316</formula1>
    </dataValidation>
    <dataValidation type="list" allowBlank="1" showInputMessage="1" showErrorMessage="1" sqref="I318:AD320" xr:uid="{F927F367-73BE-4AB2-870C-F280480D4DE6}">
      <formula1>$AP$319:$AP$321</formula1>
    </dataValidation>
    <dataValidation type="list" allowBlank="1" showInputMessage="1" showErrorMessage="1" sqref="B213:G222" xr:uid="{9AB9332A-273B-4CFA-80BD-4E4AA698114E}">
      <formula1>"(select),SRO/Studio,1 bedroom,2 bedroom,3 bedroom,4 bedroom,5 bedroom"</formula1>
    </dataValidation>
    <dataValidation type="list" allowBlank="1" showInputMessage="1" showErrorMessage="1" sqref="H775:I775" xr:uid="{66B657AE-F50A-4098-BBE8-87A8B3CB3485}">
      <formula1>$AO$769:$AO$770</formula1>
    </dataValidation>
    <dataValidation type="list" allowBlank="1" showInputMessage="1" showErrorMessage="1" sqref="F513" xr:uid="{972A8428-00E0-4C6B-9A30-E732071F49AE}">
      <formula1>$AO$483:$AO$486</formula1>
    </dataValidation>
    <dataValidation type="list" allowBlank="1" showInputMessage="1" showErrorMessage="1" sqref="F497:H497" xr:uid="{D061529D-BFBB-413A-B4F4-74A05E2E0271}">
      <formula1>$AO$470:$AO$472</formula1>
    </dataValidation>
    <dataValidation type="list" allowBlank="1" showInputMessage="1" showErrorMessage="1" sqref="F492:Z492" xr:uid="{304C3CAF-7488-4DDA-BAA3-6D5880A4322F}">
      <formula1>$AO$460:$AO$468</formula1>
    </dataValidation>
    <dataValidation type="list" allowBlank="1" showInputMessage="1" showErrorMessage="1" sqref="B152" xr:uid="{6CD3DD83-3D59-48E3-B21E-E2D8AC8C446A}">
      <formula1>$AO$150:$AO$152</formula1>
    </dataValidation>
    <dataValidation type="list" allowBlank="1" showInputMessage="1" showErrorMessage="1" sqref="AB149:AC149 AC161:AD161" xr:uid="{DC796C09-9D06-452A-BF23-F706BAB02522}">
      <formula1>"N/A,Yes,"</formula1>
    </dataValidation>
    <dataValidation type="list" showInputMessage="1" showErrorMessage="1" sqref="B605:C605" xr:uid="{2450FB7F-F6C4-49D6-A8B8-09CD78ABC6CD}">
      <formula1>$AP$563:$AP$564</formula1>
    </dataValidation>
    <dataValidation type="list" allowBlank="1" showInputMessage="1" showErrorMessage="1" sqref="H639:I639" xr:uid="{E14DD346-1A7A-4DBF-B9BD-687D573DBB19}">
      <formula1>$AO$575:$AO$576</formula1>
    </dataValidation>
    <dataValidation type="list" allowBlank="1" showInputMessage="1" showErrorMessage="1" sqref="H748:I748 H736:I736 H720:I720 H708:I708 H694:I694 H639:I639 H627:I627" xr:uid="{0E3DC5B9-E7CC-48F5-9B01-AA3847DA9C3D}">
      <formula1>$AO$575:$AO$577</formula1>
    </dataValidation>
    <dataValidation type="list" allowBlank="1" showInputMessage="1" showErrorMessage="1" sqref="G502:AF502" xr:uid="{F33CA40B-0980-4B2B-A46A-4ED8E095C3D6}">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CFB03BC3-A44F-4F5E-8C05-A2D1085DB39C}">
      <formula1>"N/A, Yes"</formula1>
    </dataValidation>
    <dataValidation type="list" allowBlank="1" showInputMessage="1" showErrorMessage="1" sqref="B147:AI147" xr:uid="{EC97D23B-E355-4476-91F8-5E1BAC8D5DFE}">
      <formula1>$AO$145:$AO$148</formula1>
    </dataValidation>
    <dataValidation type="list" showInputMessage="1" showErrorMessage="1" sqref="B177" xr:uid="{5A9DADAC-43AE-4D31-9BC2-7D7580BA10E8}">
      <formula1>$AP$174:$AP$181</formula1>
    </dataValidation>
    <dataValidation type="list" showInputMessage="1" showErrorMessage="1" sqref="T178:AC178" xr:uid="{0E5E9B09-909E-4B65-A5B5-2A3152A35F00}">
      <formula1>$AS$178:$AS$180</formula1>
    </dataValidation>
    <dataValidation type="list" allowBlank="1" showInputMessage="1" showErrorMessage="1" sqref="V474:X474" xr:uid="{386A984B-738B-479D-8E62-4A2A1210D035}">
      <formula1>$AR$444:$AR$446</formula1>
    </dataValidation>
    <dataValidation type="list" allowBlank="1" showInputMessage="1" showErrorMessage="1" sqref="V481:X481" xr:uid="{BCA43CDA-F640-4BBB-B915-452F47D979F7}">
      <formula1>$AO$448:$AO$450</formula1>
    </dataValidation>
    <dataValidation type="list" allowBlank="1" showInputMessage="1" showErrorMessage="1" sqref="F469:Z469" xr:uid="{AB7B10EF-1503-4021-9E97-0B7439893AF2}">
      <formula1>$AO$434:$AO$442</formula1>
    </dataValidation>
    <dataValidation type="list" allowBlank="1" showInputMessage="1" showErrorMessage="1" sqref="V487:X487" xr:uid="{09468065-B4D8-4675-A22F-6F280D040672}">
      <formula1>$BA$444:$BA$446</formula1>
    </dataValidation>
    <dataValidation type="list" allowBlank="1" showInputMessage="1" showErrorMessage="1" sqref="V485:X485" xr:uid="{6646D84D-DED2-4122-B90D-A90F3E113540}">
      <formula1>$AW$444:$AW$447</formula1>
    </dataValidation>
    <dataValidation type="list" allowBlank="1" showInputMessage="1" showErrorMessage="1" sqref="V476:X476" xr:uid="{254C2C6C-A12D-4D93-AD7A-4F618A31D757}">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55" zoomScaleNormal="100" zoomScaleSheetLayoutView="90" workbookViewId="0">
      <selection activeCell="G94" sqref="G9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66" t="s">
        <v>648</v>
      </c>
      <c r="G1" s="2667"/>
      <c r="H1" s="2667"/>
      <c r="I1" s="2667"/>
      <c r="J1" s="2667"/>
      <c r="K1" s="2667"/>
      <c r="L1" s="2667"/>
      <c r="M1" s="2667"/>
      <c r="N1" s="2667"/>
      <c r="O1" s="2667"/>
      <c r="P1" s="2667"/>
      <c r="Q1" s="2667"/>
      <c r="R1" s="2668"/>
      <c r="S1" s="168"/>
      <c r="T1" s="167"/>
      <c r="U1" s="169"/>
    </row>
    <row r="2" spans="1:21" s="208" customFormat="1" ht="71.25" customHeight="1">
      <c r="A2" s="207"/>
      <c r="B2" s="208" t="s">
        <v>24</v>
      </c>
      <c r="C2" s="208" t="s">
        <v>389</v>
      </c>
      <c r="D2" s="208" t="s">
        <v>388</v>
      </c>
      <c r="E2" s="208" t="s">
        <v>25</v>
      </c>
      <c r="F2" s="209" t="str">
        <f>Application!B637&amp;Application!C637</f>
        <v>1)Citibank, N.A.</v>
      </c>
      <c r="G2" s="209" t="str">
        <f>Application!B638&amp;Application!C638</f>
        <v>2)NOI during construction</v>
      </c>
      <c r="H2" s="209" t="str">
        <f>Application!B639&amp;Application!C639</f>
        <v>3)USA Multi-Family Development, Inc.</v>
      </c>
      <c r="I2" s="209" t="str">
        <f>Application!B640&amp;Application!C640</f>
        <v>4)Riverside Charitable Corporation</v>
      </c>
      <c r="J2" s="209" t="str">
        <f>Application!B641&amp;Application!C641</f>
        <v>5)Riverside Charitable Corporation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c r="A5" s="215" t="s">
        <v>29</v>
      </c>
      <c r="B5" s="216">
        <f>SUM(C5+D5)</f>
        <v>550000</v>
      </c>
      <c r="C5" s="217">
        <v>550000</v>
      </c>
      <c r="D5" s="217"/>
      <c r="E5" s="217"/>
      <c r="F5" s="217">
        <f>C5</f>
        <v>550000</v>
      </c>
      <c r="G5" s="217"/>
      <c r="H5" s="217"/>
      <c r="I5" s="217"/>
      <c r="J5" s="217"/>
      <c r="K5" s="217"/>
      <c r="L5" s="217"/>
      <c r="M5" s="217"/>
      <c r="N5" s="217"/>
      <c r="O5" s="217"/>
      <c r="P5" s="217"/>
      <c r="Q5" s="217"/>
      <c r="R5" s="871">
        <f>SUM(E5:Q5)</f>
        <v>550000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550000</v>
      </c>
      <c r="C8" s="216">
        <f t="shared" ref="C8:Q8" si="0">SUM(C4:C7)</f>
        <v>550000</v>
      </c>
      <c r="D8" s="216">
        <f t="shared" si="0"/>
        <v>0</v>
      </c>
      <c r="E8" s="216">
        <f t="shared" si="0"/>
        <v>0</v>
      </c>
      <c r="F8" s="216">
        <f t="shared" si="0"/>
        <v>550000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550000</v>
      </c>
      <c r="S8" s="218"/>
      <c r="T8" s="218"/>
      <c r="U8" s="213"/>
    </row>
    <row r="9" spans="1:21" s="214" customFormat="1">
      <c r="A9" s="215" t="s">
        <v>621</v>
      </c>
      <c r="B9" s="216">
        <f>SUM(C9+D9)</f>
        <v>630000</v>
      </c>
      <c r="C9" s="217">
        <v>630000</v>
      </c>
      <c r="D9" s="217"/>
      <c r="E9" s="217"/>
      <c r="F9" s="217">
        <f>C9</f>
        <v>630000</v>
      </c>
      <c r="G9" s="217"/>
      <c r="H9" s="217"/>
      <c r="I9" s="217"/>
      <c r="J9" s="217"/>
      <c r="K9" s="217"/>
      <c r="L9" s="217"/>
      <c r="M9" s="217"/>
      <c r="N9" s="217"/>
      <c r="O9" s="217"/>
      <c r="P9" s="217"/>
      <c r="Q9" s="217"/>
      <c r="R9" s="871">
        <f>SUM(E9:Q9)</f>
        <v>630000</v>
      </c>
      <c r="S9" s="218"/>
      <c r="T9" s="217"/>
      <c r="U9" s="213"/>
    </row>
    <row r="10" spans="1:21" s="214" customFormat="1">
      <c r="A10" s="215" t="s">
        <v>622</v>
      </c>
      <c r="B10" s="216">
        <f>SUM(C10+D10)</f>
        <v>113300</v>
      </c>
      <c r="C10" s="217">
        <v>113300</v>
      </c>
      <c r="D10" s="217"/>
      <c r="E10" s="217"/>
      <c r="F10" s="217">
        <f>C10</f>
        <v>113300</v>
      </c>
      <c r="G10" s="217"/>
      <c r="H10" s="217"/>
      <c r="I10" s="217"/>
      <c r="J10" s="217"/>
      <c r="K10" s="217"/>
      <c r="L10" s="217"/>
      <c r="M10" s="217"/>
      <c r="N10" s="217"/>
      <c r="O10" s="217"/>
      <c r="P10" s="217"/>
      <c r="Q10" s="217"/>
      <c r="R10" s="871">
        <f>SUM(E10:Q10)</f>
        <v>113300</v>
      </c>
      <c r="S10" s="217">
        <f>C10</f>
        <v>113300</v>
      </c>
      <c r="T10" s="217"/>
      <c r="U10" s="213"/>
    </row>
    <row r="11" spans="1:21" s="214" customFormat="1">
      <c r="A11" s="219" t="s">
        <v>623</v>
      </c>
      <c r="B11" s="216">
        <f>SUM(C11:D11)</f>
        <v>743300</v>
      </c>
      <c r="C11" s="216">
        <f t="shared" ref="C11:Q11" si="1">SUM(C9:C10)</f>
        <v>743300</v>
      </c>
      <c r="D11" s="216">
        <f t="shared" si="1"/>
        <v>0</v>
      </c>
      <c r="E11" s="216">
        <f t="shared" si="1"/>
        <v>0</v>
      </c>
      <c r="F11" s="216">
        <f t="shared" si="1"/>
        <v>743300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743300</v>
      </c>
      <c r="S11" s="218"/>
      <c r="T11" s="220">
        <f>SUM(T9:T10)</f>
        <v>0</v>
      </c>
      <c r="U11" s="213"/>
    </row>
    <row r="12" spans="1:21" s="214" customFormat="1">
      <c r="A12" s="219" t="s">
        <v>89</v>
      </c>
      <c r="B12" s="216">
        <f t="shared" ref="B12:Q12" si="2">SUM(B8+B11)</f>
        <v>1293300</v>
      </c>
      <c r="C12" s="216">
        <f t="shared" si="2"/>
        <v>1293300</v>
      </c>
      <c r="D12" s="216">
        <f t="shared" si="2"/>
        <v>0</v>
      </c>
      <c r="E12" s="216">
        <f t="shared" si="2"/>
        <v>0</v>
      </c>
      <c r="F12" s="216">
        <f t="shared" si="2"/>
        <v>1293300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1293300</v>
      </c>
      <c r="S12" s="218"/>
      <c r="T12" s="218"/>
      <c r="U12" s="213"/>
    </row>
    <row r="13" spans="1:21" s="214" customFormat="1">
      <c r="A13" s="446" t="s">
        <v>954</v>
      </c>
      <c r="B13" s="216">
        <f>SUM(C13+D13)</f>
        <v>1381038</v>
      </c>
      <c r="C13" s="217">
        <f>1214750+166288</f>
        <v>1381038</v>
      </c>
      <c r="D13" s="217"/>
      <c r="E13" s="217"/>
      <c r="F13" s="217">
        <f>C13</f>
        <v>1381038</v>
      </c>
      <c r="G13" s="217"/>
      <c r="H13" s="217"/>
      <c r="I13" s="217"/>
      <c r="J13" s="217"/>
      <c r="K13" s="217"/>
      <c r="L13" s="217"/>
      <c r="M13" s="217"/>
      <c r="N13" s="217"/>
      <c r="O13" s="217"/>
      <c r="P13" s="217"/>
      <c r="Q13" s="217"/>
      <c r="R13" s="871">
        <f>SUM(E13:Q13)</f>
        <v>1381038</v>
      </c>
      <c r="S13" s="217">
        <f>C13</f>
        <v>1381038</v>
      </c>
      <c r="T13" s="217"/>
      <c r="U13" s="213"/>
    </row>
    <row r="14" spans="1:21" s="214" customFormat="1" ht="24">
      <c r="A14" s="447" t="s">
        <v>1856</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SUM(C18+D18)</f>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ref="B19:B26" si="3">SUM(C19+D19)</f>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1853</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SUM(C29+D29)</f>
        <v>3754871</v>
      </c>
      <c r="C29" s="217">
        <f>4304871-C5</f>
        <v>3754871</v>
      </c>
      <c r="D29" s="217"/>
      <c r="E29" s="217"/>
      <c r="F29" s="217">
        <f>C29</f>
        <v>3754871</v>
      </c>
      <c r="G29" s="217"/>
      <c r="H29" s="217"/>
      <c r="I29" s="217"/>
      <c r="J29" s="217"/>
      <c r="K29" s="217"/>
      <c r="L29" s="217"/>
      <c r="M29" s="217"/>
      <c r="N29" s="217"/>
      <c r="O29" s="217"/>
      <c r="P29" s="217"/>
      <c r="Q29" s="217"/>
      <c r="R29" s="871">
        <f t="shared" ref="R29:R37" si="6">SUM(E29:Q29)</f>
        <v>3754871</v>
      </c>
      <c r="S29" s="217">
        <v>3754871</v>
      </c>
      <c r="T29" s="217"/>
      <c r="U29" s="213"/>
    </row>
    <row r="30" spans="1:21" s="214" customFormat="1">
      <c r="A30" s="215" t="s">
        <v>626</v>
      </c>
      <c r="B30" s="216">
        <f>SUM(C30+D30)</f>
        <v>24929291</v>
      </c>
      <c r="C30" s="217">
        <f>1243425+616000+23069866</f>
        <v>24929291</v>
      </c>
      <c r="D30" s="217"/>
      <c r="E30" s="217">
        <f>C30-F30-I30-J30</f>
        <v>4148500</v>
      </c>
      <c r="F30" s="217">
        <f>19580000-6429209</f>
        <v>13150791</v>
      </c>
      <c r="G30" s="217"/>
      <c r="H30" s="217"/>
      <c r="I30" s="217">
        <v>2630000</v>
      </c>
      <c r="J30" s="217">
        <v>5000000</v>
      </c>
      <c r="K30" s="217"/>
      <c r="L30" s="217"/>
      <c r="M30" s="217"/>
      <c r="N30" s="217"/>
      <c r="O30" s="217"/>
      <c r="P30" s="217"/>
      <c r="Q30" s="217"/>
      <c r="R30" s="871">
        <f t="shared" si="6"/>
        <v>24929291</v>
      </c>
      <c r="S30" s="217">
        <f>C30</f>
        <v>24929291</v>
      </c>
      <c r="T30" s="217"/>
      <c r="U30" s="213"/>
    </row>
    <row r="31" spans="1:21" s="214" customFormat="1">
      <c r="A31" s="215" t="s">
        <v>627</v>
      </c>
      <c r="B31" s="216">
        <f t="shared" ref="B31:B38" si="7">SUM(C31+D31)</f>
        <v>1386000</v>
      </c>
      <c r="C31" s="217">
        <v>1386000</v>
      </c>
      <c r="D31" s="217"/>
      <c r="E31" s="217">
        <f>C31</f>
        <v>1386000</v>
      </c>
      <c r="F31" s="217"/>
      <c r="G31" s="217"/>
      <c r="H31" s="217"/>
      <c r="I31" s="217"/>
      <c r="J31" s="217"/>
      <c r="K31" s="217"/>
      <c r="L31" s="217"/>
      <c r="M31" s="217"/>
      <c r="N31" s="217"/>
      <c r="O31" s="217"/>
      <c r="P31" s="217"/>
      <c r="Q31" s="217"/>
      <c r="R31" s="871">
        <f t="shared" si="6"/>
        <v>1386000</v>
      </c>
      <c r="S31" s="217">
        <f>C31-25975</f>
        <v>1360025</v>
      </c>
      <c r="T31" s="217"/>
      <c r="U31" s="213"/>
    </row>
    <row r="32" spans="1:21" s="214" customFormat="1">
      <c r="A32" s="215" t="s">
        <v>142</v>
      </c>
      <c r="B32" s="216">
        <f t="shared" si="7"/>
        <v>1425613</v>
      </c>
      <c r="C32" s="217">
        <f>2851226/2</f>
        <v>1425613</v>
      </c>
      <c r="D32" s="217"/>
      <c r="E32" s="217">
        <f>C32</f>
        <v>1425613</v>
      </c>
      <c r="F32" s="217"/>
      <c r="G32" s="217"/>
      <c r="H32" s="217"/>
      <c r="I32" s="217"/>
      <c r="J32" s="217"/>
      <c r="K32" s="217"/>
      <c r="L32" s="217"/>
      <c r="M32" s="217"/>
      <c r="N32" s="217"/>
      <c r="O32" s="217"/>
      <c r="P32" s="217"/>
      <c r="Q32" s="217"/>
      <c r="R32" s="871">
        <f t="shared" si="6"/>
        <v>1425613</v>
      </c>
      <c r="S32" s="217">
        <f>C32-(53434/2)</f>
        <v>1398896</v>
      </c>
      <c r="T32" s="217"/>
      <c r="U32" s="213"/>
    </row>
    <row r="33" spans="1:21" s="214" customFormat="1">
      <c r="A33" s="215" t="s">
        <v>143</v>
      </c>
      <c r="B33" s="216">
        <f t="shared" si="7"/>
        <v>1425614</v>
      </c>
      <c r="C33" s="217">
        <f>C32+1</f>
        <v>1425614</v>
      </c>
      <c r="D33" s="217"/>
      <c r="E33" s="217">
        <f>C33</f>
        <v>1425614</v>
      </c>
      <c r="F33" s="217"/>
      <c r="G33" s="217"/>
      <c r="H33" s="217"/>
      <c r="I33" s="217"/>
      <c r="J33" s="217"/>
      <c r="K33" s="217"/>
      <c r="L33" s="217"/>
      <c r="M33" s="217"/>
      <c r="N33" s="217"/>
      <c r="O33" s="217"/>
      <c r="P33" s="217"/>
      <c r="Q33" s="217"/>
      <c r="R33" s="871">
        <f t="shared" si="6"/>
        <v>1425614</v>
      </c>
      <c r="S33" s="217">
        <f>C33-(53434/2)-1</f>
        <v>1398896</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1">
        <f t="shared" si="6"/>
        <v>0</v>
      </c>
      <c r="S34" s="217">
        <f t="shared" ref="S34" si="8">R34</f>
        <v>0</v>
      </c>
      <c r="T34" s="217"/>
      <c r="U34" s="213"/>
    </row>
    <row r="35" spans="1:21" s="214" customFormat="1">
      <c r="A35" s="215" t="s">
        <v>145</v>
      </c>
      <c r="B35" s="216">
        <f t="shared" si="7"/>
        <v>758175</v>
      </c>
      <c r="C35" s="217">
        <v>758175</v>
      </c>
      <c r="D35" s="217"/>
      <c r="E35" s="217">
        <f>C35</f>
        <v>758175</v>
      </c>
      <c r="F35" s="217"/>
      <c r="G35" s="217"/>
      <c r="H35" s="217"/>
      <c r="I35" s="217"/>
      <c r="J35" s="217"/>
      <c r="K35" s="217"/>
      <c r="L35" s="217"/>
      <c r="M35" s="217"/>
      <c r="N35" s="217"/>
      <c r="O35" s="217"/>
      <c r="P35" s="217"/>
      <c r="Q35" s="217"/>
      <c r="R35" s="871">
        <f t="shared" si="6"/>
        <v>758175</v>
      </c>
      <c r="S35" s="217">
        <f>C35</f>
        <v>758175</v>
      </c>
      <c r="T35" s="217"/>
      <c r="U35" s="213"/>
    </row>
    <row r="36" spans="1:21" s="214" customFormat="1">
      <c r="A36" s="1098" t="s">
        <v>1853</v>
      </c>
      <c r="B36" s="216">
        <f t="shared" si="7"/>
        <v>31500</v>
      </c>
      <c r="C36" s="217">
        <v>31500</v>
      </c>
      <c r="D36" s="217"/>
      <c r="E36" s="217">
        <f>C36</f>
        <v>31500</v>
      </c>
      <c r="F36" s="217"/>
      <c r="G36" s="217"/>
      <c r="H36" s="217"/>
      <c r="I36" s="217"/>
      <c r="J36" s="217"/>
      <c r="K36" s="217"/>
      <c r="L36" s="217"/>
      <c r="M36" s="217"/>
      <c r="N36" s="217"/>
      <c r="O36" s="217"/>
      <c r="P36" s="217"/>
      <c r="Q36" s="217"/>
      <c r="R36" s="871">
        <f t="shared" si="6"/>
        <v>31500</v>
      </c>
      <c r="S36" s="217">
        <f>C36</f>
        <v>31500</v>
      </c>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1">
        <f t="shared" si="6"/>
        <v>0</v>
      </c>
      <c r="S37" s="217"/>
      <c r="T37" s="217"/>
      <c r="U37" s="213"/>
    </row>
    <row r="38" spans="1:21" s="214" customFormat="1">
      <c r="A38" s="219" t="s">
        <v>148</v>
      </c>
      <c r="B38" s="216">
        <f t="shared" si="7"/>
        <v>33711064</v>
      </c>
      <c r="C38" s="216">
        <f>SUM(C29:C37)</f>
        <v>33711064</v>
      </c>
      <c r="D38" s="216">
        <f t="shared" ref="D38:Q38" si="9">SUM(D29:D37)</f>
        <v>0</v>
      </c>
      <c r="E38" s="216">
        <f t="shared" si="9"/>
        <v>9175402</v>
      </c>
      <c r="F38" s="216">
        <f t="shared" si="9"/>
        <v>16905662</v>
      </c>
      <c r="G38" s="216">
        <f t="shared" si="9"/>
        <v>0</v>
      </c>
      <c r="H38" s="216">
        <f t="shared" si="9"/>
        <v>0</v>
      </c>
      <c r="I38" s="216">
        <f t="shared" si="9"/>
        <v>2630000</v>
      </c>
      <c r="J38" s="216">
        <f t="shared" si="9"/>
        <v>5000000</v>
      </c>
      <c r="K38" s="216">
        <f t="shared" si="9"/>
        <v>0</v>
      </c>
      <c r="L38" s="216">
        <f t="shared" si="9"/>
        <v>0</v>
      </c>
      <c r="M38" s="216">
        <f t="shared" si="9"/>
        <v>0</v>
      </c>
      <c r="N38" s="216">
        <f t="shared" si="9"/>
        <v>0</v>
      </c>
      <c r="O38" s="216">
        <f t="shared" si="9"/>
        <v>0</v>
      </c>
      <c r="P38" s="216">
        <f t="shared" si="9"/>
        <v>0</v>
      </c>
      <c r="Q38" s="216">
        <f t="shared" si="9"/>
        <v>0</v>
      </c>
      <c r="R38" s="527">
        <f>SUM(R29:R37)</f>
        <v>33711064</v>
      </c>
      <c r="S38" s="220">
        <f>SUM(S29:S37)</f>
        <v>33631654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1777063</v>
      </c>
      <c r="C40" s="217">
        <v>1777063</v>
      </c>
      <c r="D40" s="217"/>
      <c r="E40" s="217">
        <f>C40</f>
        <v>1777063</v>
      </c>
      <c r="F40" s="217"/>
      <c r="G40" s="217"/>
      <c r="H40" s="217"/>
      <c r="I40" s="217"/>
      <c r="J40" s="217"/>
      <c r="K40" s="217"/>
      <c r="L40" s="217"/>
      <c r="M40" s="217"/>
      <c r="N40" s="217"/>
      <c r="O40" s="217"/>
      <c r="P40" s="217"/>
      <c r="Q40" s="217"/>
      <c r="R40" s="871">
        <f>SUM(E40:Q40)</f>
        <v>1777063</v>
      </c>
      <c r="S40" s="217">
        <f>C40</f>
        <v>1777063</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1015"/>
      <c r="T41" s="217"/>
      <c r="U41" s="213"/>
    </row>
    <row r="42" spans="1:21" s="214" customFormat="1">
      <c r="A42" s="219" t="s">
        <v>152</v>
      </c>
      <c r="B42" s="216">
        <f>SUM(C42:D42)</f>
        <v>1777063</v>
      </c>
      <c r="C42" s="216">
        <f>SUM(C39:C41)</f>
        <v>1777063</v>
      </c>
      <c r="D42" s="216">
        <f>SUM(D39:D41)</f>
        <v>0</v>
      </c>
      <c r="E42" s="216">
        <f t="shared" ref="E42:T42" si="10">SUM(E40:E41)</f>
        <v>1777063</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1777063</v>
      </c>
      <c r="S42" s="220">
        <f t="shared" si="10"/>
        <v>1777063</v>
      </c>
      <c r="T42" s="220">
        <f t="shared" si="10"/>
        <v>0</v>
      </c>
      <c r="U42" s="213"/>
    </row>
    <row r="43" spans="1:21" s="214" customFormat="1">
      <c r="A43" s="219" t="s">
        <v>153</v>
      </c>
      <c r="B43" s="216">
        <f>SUM(C43:D43)</f>
        <v>340025</v>
      </c>
      <c r="C43" s="217">
        <v>340025</v>
      </c>
      <c r="D43" s="217"/>
      <c r="E43" s="217">
        <f>C43</f>
        <v>340025</v>
      </c>
      <c r="F43" s="217"/>
      <c r="G43" s="217"/>
      <c r="H43" s="217"/>
      <c r="I43" s="217"/>
      <c r="J43" s="217"/>
      <c r="K43" s="217"/>
      <c r="L43" s="217"/>
      <c r="M43" s="217"/>
      <c r="N43" s="217"/>
      <c r="O43" s="217"/>
      <c r="P43" s="217"/>
      <c r="Q43" s="217"/>
      <c r="R43" s="871">
        <f>SUM(E43:Q43)</f>
        <v>340025</v>
      </c>
      <c r="S43" s="217">
        <f>C43</f>
        <v>340025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2091695</v>
      </c>
      <c r="C45" s="217">
        <v>2091695</v>
      </c>
      <c r="D45" s="217"/>
      <c r="E45" s="217">
        <f>C45</f>
        <v>2091695</v>
      </c>
      <c r="F45" s="217"/>
      <c r="G45" s="217"/>
      <c r="H45" s="217"/>
      <c r="I45" s="217"/>
      <c r="J45" s="217"/>
      <c r="K45" s="217"/>
      <c r="L45" s="217"/>
      <c r="M45" s="217"/>
      <c r="N45" s="217"/>
      <c r="O45" s="217"/>
      <c r="P45" s="217"/>
      <c r="Q45" s="217"/>
      <c r="R45" s="871">
        <f t="shared" ref="R45:R53" si="12">SUM(E45:Q45)</f>
        <v>2091695</v>
      </c>
      <c r="S45" s="217">
        <f>C45</f>
        <v>2091695</v>
      </c>
      <c r="T45" s="217"/>
      <c r="U45" s="213"/>
    </row>
    <row r="46" spans="1:21" s="214" customFormat="1">
      <c r="A46" s="215" t="s">
        <v>156</v>
      </c>
      <c r="B46" s="216">
        <f t="shared" si="11"/>
        <v>57698</v>
      </c>
      <c r="C46" s="217">
        <f>33198+24500</f>
        <v>57698</v>
      </c>
      <c r="D46" s="217"/>
      <c r="E46" s="217">
        <f>C46</f>
        <v>57698</v>
      </c>
      <c r="F46" s="217"/>
      <c r="G46" s="217"/>
      <c r="H46" s="217"/>
      <c r="I46" s="217"/>
      <c r="J46" s="217"/>
      <c r="K46" s="217"/>
      <c r="L46" s="217"/>
      <c r="M46" s="217"/>
      <c r="N46" s="217"/>
      <c r="O46" s="217"/>
      <c r="P46" s="217"/>
      <c r="Q46" s="217"/>
      <c r="R46" s="871">
        <f t="shared" si="12"/>
        <v>57698</v>
      </c>
      <c r="S46" s="217">
        <f>C46</f>
        <v>57698</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1">
        <f t="shared" si="12"/>
        <v>0</v>
      </c>
      <c r="S47" s="217">
        <f t="shared" ref="S47:S52" si="13">R47</f>
        <v>0</v>
      </c>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1">
        <f t="shared" si="12"/>
        <v>0</v>
      </c>
      <c r="S48" s="217">
        <f t="shared" si="13"/>
        <v>0</v>
      </c>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1">
        <f t="shared" si="12"/>
        <v>0</v>
      </c>
      <c r="S49" s="217">
        <f t="shared" si="13"/>
        <v>0</v>
      </c>
      <c r="T49" s="217"/>
      <c r="U49" s="213"/>
    </row>
    <row r="50" spans="1:21" s="214" customFormat="1">
      <c r="A50" s="215" t="s">
        <v>161</v>
      </c>
      <c r="B50" s="216">
        <f t="shared" si="11"/>
        <v>85000</v>
      </c>
      <c r="C50" s="217">
        <v>85000</v>
      </c>
      <c r="D50" s="217"/>
      <c r="E50" s="217">
        <f>C50</f>
        <v>85000</v>
      </c>
      <c r="F50" s="217"/>
      <c r="G50" s="217"/>
      <c r="H50" s="217"/>
      <c r="I50" s="217"/>
      <c r="J50" s="217"/>
      <c r="K50" s="217"/>
      <c r="L50" s="217"/>
      <c r="M50" s="217"/>
      <c r="N50" s="217"/>
      <c r="O50" s="217"/>
      <c r="P50" s="217"/>
      <c r="Q50" s="217"/>
      <c r="R50" s="871">
        <f t="shared" si="12"/>
        <v>85000</v>
      </c>
      <c r="S50" s="217">
        <f>C50</f>
        <v>85000</v>
      </c>
      <c r="T50" s="217"/>
      <c r="U50" s="213"/>
    </row>
    <row r="51" spans="1:21" s="214" customFormat="1">
      <c r="A51" s="437" t="s">
        <v>159</v>
      </c>
      <c r="B51" s="216">
        <f t="shared" si="11"/>
        <v>29470</v>
      </c>
      <c r="C51" s="217">
        <v>29470</v>
      </c>
      <c r="D51" s="217"/>
      <c r="E51" s="217">
        <f>B51</f>
        <v>29470</v>
      </c>
      <c r="F51" s="217"/>
      <c r="G51" s="217"/>
      <c r="H51" s="217"/>
      <c r="I51" s="217"/>
      <c r="J51" s="217"/>
      <c r="K51" s="217"/>
      <c r="L51" s="217"/>
      <c r="M51" s="217"/>
      <c r="N51" s="217"/>
      <c r="O51" s="217"/>
      <c r="P51" s="217"/>
      <c r="Q51" s="217"/>
      <c r="R51" s="871">
        <f t="shared" si="12"/>
        <v>29470</v>
      </c>
      <c r="S51" s="217">
        <f>B51</f>
        <v>29470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1">
        <f t="shared" si="12"/>
        <v>0</v>
      </c>
      <c r="S52" s="217">
        <f t="shared" si="13"/>
        <v>0</v>
      </c>
      <c r="T52" s="217"/>
      <c r="U52" s="213"/>
    </row>
    <row r="53" spans="1:21" s="214" customFormat="1">
      <c r="A53" s="1202" t="s">
        <v>2694</v>
      </c>
      <c r="B53" s="216">
        <f t="shared" si="11"/>
        <v>1027973</v>
      </c>
      <c r="C53" s="217">
        <v>1027973</v>
      </c>
      <c r="D53" s="217"/>
      <c r="E53" s="217">
        <f>C53</f>
        <v>1027973</v>
      </c>
      <c r="F53" s="217"/>
      <c r="G53" s="217"/>
      <c r="H53" s="217"/>
      <c r="I53" s="217"/>
      <c r="J53" s="217"/>
      <c r="K53" s="217"/>
      <c r="L53" s="217"/>
      <c r="M53" s="217"/>
      <c r="N53" s="217"/>
      <c r="O53" s="217"/>
      <c r="P53" s="217"/>
      <c r="Q53" s="217"/>
      <c r="R53" s="871">
        <f t="shared" si="12"/>
        <v>1027973</v>
      </c>
      <c r="S53" s="217">
        <f>C53</f>
        <v>1027973</v>
      </c>
      <c r="T53" s="217"/>
      <c r="U53" s="213"/>
    </row>
    <row r="54" spans="1:21" s="224" customFormat="1">
      <c r="A54" s="219" t="s">
        <v>162</v>
      </c>
      <c r="B54" s="220">
        <f>SUM(C54:D54)</f>
        <v>3291836</v>
      </c>
      <c r="C54" s="220">
        <f t="shared" ref="C54:T54" si="14">SUM(C45:C53)</f>
        <v>3291836</v>
      </c>
      <c r="D54" s="220">
        <f t="shared" si="14"/>
        <v>0</v>
      </c>
      <c r="E54" s="220">
        <f t="shared" si="14"/>
        <v>3291836</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3291836</v>
      </c>
      <c r="S54" s="220">
        <f t="shared" si="14"/>
        <v>3291836</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1156068</v>
      </c>
      <c r="C56" s="217">
        <f>289302+17500+849266</f>
        <v>1156068</v>
      </c>
      <c r="D56" s="217"/>
      <c r="E56" s="217">
        <f>C56</f>
        <v>1156068</v>
      </c>
      <c r="F56" s="217"/>
      <c r="G56" s="217"/>
      <c r="H56" s="217"/>
      <c r="I56" s="217"/>
      <c r="J56" s="217"/>
      <c r="K56" s="217"/>
      <c r="L56" s="217"/>
      <c r="M56" s="217"/>
      <c r="N56" s="217"/>
      <c r="O56" s="217"/>
      <c r="P56" s="217"/>
      <c r="Q56" s="217"/>
      <c r="R56" s="871">
        <f t="shared" ref="R56:R61" si="16">SUM(E56:Q56)</f>
        <v>1156068</v>
      </c>
      <c r="S56" s="218"/>
      <c r="T56" s="218"/>
      <c r="U56" s="213"/>
    </row>
    <row r="57" spans="1:21" s="303" customFormat="1">
      <c r="A57" s="297" t="s">
        <v>157</v>
      </c>
      <c r="B57" s="304">
        <f t="shared" si="15"/>
        <v>236600</v>
      </c>
      <c r="C57" s="301">
        <v>236600</v>
      </c>
      <c r="D57" s="301"/>
      <c r="E57" s="301">
        <f>C57</f>
        <v>236600</v>
      </c>
      <c r="F57" s="301"/>
      <c r="G57" s="301"/>
      <c r="H57" s="301"/>
      <c r="I57" s="301"/>
      <c r="J57" s="301"/>
      <c r="K57" s="301"/>
      <c r="L57" s="301"/>
      <c r="M57" s="301"/>
      <c r="N57" s="301"/>
      <c r="O57" s="301"/>
      <c r="P57" s="301"/>
      <c r="Q57" s="301"/>
      <c r="R57" s="871">
        <f t="shared" si="16"/>
        <v>236600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1">
        <f t="shared" si="16"/>
        <v>0</v>
      </c>
      <c r="S58" s="218"/>
      <c r="T58" s="218"/>
      <c r="U58" s="213"/>
    </row>
    <row r="59" spans="1:21" s="214" customFormat="1">
      <c r="A59" s="437" t="s">
        <v>159</v>
      </c>
      <c r="B59" s="216">
        <f t="shared" si="15"/>
        <v>0</v>
      </c>
      <c r="C59" s="217"/>
      <c r="D59" s="217"/>
      <c r="E59" s="217"/>
      <c r="F59" s="217"/>
      <c r="G59" s="217"/>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1">
        <f t="shared" si="16"/>
        <v>0</v>
      </c>
      <c r="S60" s="218"/>
      <c r="T60" s="218"/>
      <c r="U60" s="213"/>
    </row>
    <row r="61" spans="1:21" s="214" customFormat="1">
      <c r="A61" s="1202" t="s">
        <v>2593</v>
      </c>
      <c r="B61" s="216">
        <f t="shared" si="15"/>
        <v>2752718</v>
      </c>
      <c r="C61" s="217">
        <v>2752718</v>
      </c>
      <c r="D61" s="217"/>
      <c r="E61" s="217">
        <f>C61</f>
        <v>2752718</v>
      </c>
      <c r="F61" s="217"/>
      <c r="G61" s="217"/>
      <c r="H61" s="217"/>
      <c r="I61" s="217"/>
      <c r="J61" s="217"/>
      <c r="K61" s="217"/>
      <c r="L61" s="217"/>
      <c r="M61" s="217"/>
      <c r="N61" s="217"/>
      <c r="O61" s="217"/>
      <c r="P61" s="217"/>
      <c r="Q61" s="217"/>
      <c r="R61" s="871">
        <f t="shared" si="16"/>
        <v>2752718</v>
      </c>
      <c r="S61" s="218"/>
      <c r="T61" s="218"/>
      <c r="U61" s="213"/>
    </row>
    <row r="62" spans="1:21" s="214" customFormat="1" ht="13.7" customHeight="1">
      <c r="A62" s="219" t="s">
        <v>307</v>
      </c>
      <c r="B62" s="216">
        <f>SUM(C62:D62)</f>
        <v>4145386</v>
      </c>
      <c r="C62" s="216">
        <f t="shared" ref="C62:R62" si="17">SUM(C56:C61)</f>
        <v>4145386</v>
      </c>
      <c r="D62" s="216">
        <f t="shared" si="17"/>
        <v>0</v>
      </c>
      <c r="E62" s="216">
        <f t="shared" si="17"/>
        <v>4145386</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4145386</v>
      </c>
      <c r="S62" s="218"/>
      <c r="T62" s="218"/>
      <c r="U62" s="213"/>
    </row>
    <row r="63" spans="1:21" s="214" customFormat="1">
      <c r="A63" s="225" t="s">
        <v>308</v>
      </c>
      <c r="B63" s="216">
        <f t="shared" ref="B63:R63" si="18">SUM(B8+B11+B13+B14+B15+B26+B27+B38+B42+B43+B54+B62)</f>
        <v>45939712</v>
      </c>
      <c r="C63" s="216">
        <f t="shared" si="18"/>
        <v>45939712</v>
      </c>
      <c r="D63" s="216">
        <f t="shared" si="18"/>
        <v>0</v>
      </c>
      <c r="E63" s="216">
        <f t="shared" si="18"/>
        <v>18729712</v>
      </c>
      <c r="F63" s="216">
        <f t="shared" si="18"/>
        <v>19580000</v>
      </c>
      <c r="G63" s="216">
        <f t="shared" si="18"/>
        <v>0</v>
      </c>
      <c r="H63" s="216">
        <f t="shared" si="18"/>
        <v>0</v>
      </c>
      <c r="I63" s="216">
        <f t="shared" si="18"/>
        <v>2630000</v>
      </c>
      <c r="J63" s="216">
        <f t="shared" si="18"/>
        <v>5000000</v>
      </c>
      <c r="K63" s="216">
        <f t="shared" si="18"/>
        <v>0</v>
      </c>
      <c r="L63" s="216">
        <f t="shared" si="18"/>
        <v>0</v>
      </c>
      <c r="M63" s="216">
        <f t="shared" si="18"/>
        <v>0</v>
      </c>
      <c r="N63" s="216">
        <f t="shared" si="18"/>
        <v>0</v>
      </c>
      <c r="O63" s="216">
        <f t="shared" si="18"/>
        <v>0</v>
      </c>
      <c r="P63" s="216">
        <f t="shared" si="18"/>
        <v>0</v>
      </c>
      <c r="Q63" s="216">
        <f t="shared" si="18"/>
        <v>0</v>
      </c>
      <c r="R63" s="527">
        <f t="shared" si="18"/>
        <v>45939712</v>
      </c>
      <c r="S63" s="216">
        <f>SUM(S10+S13+S14+S15+S26+S27+S38+S42+S43+S54)</f>
        <v>40534916</v>
      </c>
      <c r="T63" s="216">
        <f>SUM(T11+T13+T14+T15+T26+T27+T38+T42+T43+T54)</f>
        <v>0</v>
      </c>
      <c r="U63" s="213"/>
    </row>
    <row r="64" spans="1:21" s="214" customFormat="1" ht="24">
      <c r="A64" s="211" t="s">
        <v>1857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85000</v>
      </c>
      <c r="D65" s="217"/>
      <c r="E65" s="217">
        <f>C65</f>
        <v>85000</v>
      </c>
      <c r="F65" s="217"/>
      <c r="G65" s="217"/>
      <c r="H65" s="217"/>
      <c r="I65" s="217"/>
      <c r="J65" s="217"/>
      <c r="K65" s="217"/>
      <c r="L65" s="217"/>
      <c r="M65" s="217"/>
      <c r="N65" s="217"/>
      <c r="O65" s="217"/>
      <c r="P65" s="217"/>
      <c r="Q65" s="217"/>
      <c r="R65" s="871">
        <f>SUM(E65:Q65)</f>
        <v>85000</v>
      </c>
      <c r="S65" s="217"/>
      <c r="T65" s="217"/>
      <c r="U65" s="213"/>
    </row>
    <row r="66" spans="1:21" s="214" customFormat="1" ht="24" customHeight="1">
      <c r="A66" s="437" t="s">
        <v>1854</v>
      </c>
      <c r="B66" s="216">
        <f t="shared" ref="B66:B69" si="19">SUM(C66+D66)</f>
        <v>0</v>
      </c>
      <c r="C66" s="217"/>
      <c r="D66" s="217"/>
      <c r="E66" s="217"/>
      <c r="F66" s="217"/>
      <c r="G66" s="217"/>
      <c r="H66" s="217"/>
      <c r="I66" s="217"/>
      <c r="J66" s="217"/>
      <c r="K66" s="217"/>
      <c r="L66" s="217"/>
      <c r="M66" s="217"/>
      <c r="N66" s="217"/>
      <c r="O66" s="217"/>
      <c r="P66" s="217"/>
      <c r="Q66" s="217"/>
      <c r="R66" s="871">
        <f t="shared" ref="R66:R68" si="20">SUM(E66:Q66)</f>
        <v>0</v>
      </c>
      <c r="S66" s="217"/>
      <c r="T66" s="217"/>
      <c r="U66" s="213"/>
    </row>
    <row r="67" spans="1:21" s="214" customFormat="1" ht="24" customHeight="1">
      <c r="A67" s="437" t="s">
        <v>1855</v>
      </c>
      <c r="B67" s="216">
        <f t="shared" si="19"/>
        <v>0</v>
      </c>
      <c r="C67" s="217"/>
      <c r="D67" s="217"/>
      <c r="E67" s="217"/>
      <c r="F67" s="217"/>
      <c r="G67" s="217"/>
      <c r="H67" s="217"/>
      <c r="I67" s="217"/>
      <c r="J67" s="217"/>
      <c r="K67" s="217"/>
      <c r="L67" s="217"/>
      <c r="M67" s="217"/>
      <c r="N67" s="217"/>
      <c r="O67" s="217"/>
      <c r="P67" s="217"/>
      <c r="Q67" s="217"/>
      <c r="R67" s="871">
        <f t="shared" si="20"/>
        <v>0</v>
      </c>
      <c r="S67" s="217"/>
      <c r="T67" s="217"/>
      <c r="U67" s="213"/>
    </row>
    <row r="68" spans="1:21" s="214" customFormat="1" ht="12" customHeight="1">
      <c r="A68" s="437" t="s">
        <v>1861</v>
      </c>
      <c r="B68" s="216">
        <f t="shared" si="19"/>
        <v>0</v>
      </c>
      <c r="C68" s="217"/>
      <c r="D68" s="217"/>
      <c r="E68" s="217"/>
      <c r="F68" s="217"/>
      <c r="G68" s="217"/>
      <c r="H68" s="217"/>
      <c r="I68" s="217"/>
      <c r="J68" s="217"/>
      <c r="K68" s="217"/>
      <c r="L68" s="217"/>
      <c r="M68" s="217"/>
      <c r="N68" s="217"/>
      <c r="O68" s="217"/>
      <c r="P68" s="217"/>
      <c r="Q68" s="217"/>
      <c r="R68" s="871">
        <f t="shared" si="20"/>
        <v>0</v>
      </c>
      <c r="S68" s="217"/>
      <c r="T68" s="217"/>
      <c r="U68" s="213"/>
    </row>
    <row r="69" spans="1:21" s="214" customFormat="1">
      <c r="A69" s="222" t="s">
        <v>35</v>
      </c>
      <c r="B69" s="216">
        <f t="shared" si="19"/>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1858</v>
      </c>
      <c r="B70" s="216">
        <f>SUM(C70:D70)</f>
        <v>85000</v>
      </c>
      <c r="C70" s="216">
        <f>SUM(C65:C69)</f>
        <v>85000</v>
      </c>
      <c r="D70" s="216">
        <f>SUM(D65:D69)</f>
        <v>0</v>
      </c>
      <c r="E70" s="216">
        <f t="shared" ref="E70:T70" si="21">SUM(E65:E69)</f>
        <v>85000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85000</v>
      </c>
      <c r="S70" s="220">
        <f t="shared" si="21"/>
        <v>0</v>
      </c>
      <c r="T70" s="220">
        <f t="shared" si="21"/>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694582</v>
      </c>
      <c r="C75" s="217">
        <v>694582</v>
      </c>
      <c r="D75" s="217"/>
      <c r="E75" s="217">
        <f>C75</f>
        <v>694582</v>
      </c>
      <c r="F75" s="217"/>
      <c r="G75" s="217"/>
      <c r="H75" s="217"/>
      <c r="I75" s="217"/>
      <c r="J75" s="217"/>
      <c r="K75" s="217"/>
      <c r="L75" s="217"/>
      <c r="M75" s="217"/>
      <c r="N75" s="217"/>
      <c r="O75" s="217"/>
      <c r="P75" s="217"/>
      <c r="Q75" s="217"/>
      <c r="R75" s="871">
        <f>SUM(E75:Q75)</f>
        <v>694582</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694582</v>
      </c>
      <c r="C77" s="216">
        <f>SUM(C72:C76)</f>
        <v>694582</v>
      </c>
      <c r="D77" s="216">
        <f>SUM(D72:D76)</f>
        <v>0</v>
      </c>
      <c r="E77" s="216">
        <f t="shared" ref="E77:Q77" si="22">SUM(E72:E76)</f>
        <v>694582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27">
        <f>SUM(R72:R76)</f>
        <v>694582</v>
      </c>
      <c r="S77" s="218"/>
      <c r="T77" s="218"/>
      <c r="U77" s="213"/>
    </row>
    <row r="78" spans="1:21" s="214" customFormat="1">
      <c r="A78" s="211" t="s">
        <v>1377</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1379</v>
      </c>
      <c r="B79" s="216">
        <f>SUM(C79:D79)</f>
        <v>2518852</v>
      </c>
      <c r="C79" s="217">
        <v>2518852</v>
      </c>
      <c r="D79" s="217"/>
      <c r="E79" s="217">
        <f>C79</f>
        <v>2518852</v>
      </c>
      <c r="F79" s="217"/>
      <c r="G79" s="217"/>
      <c r="H79" s="217"/>
      <c r="I79" s="217"/>
      <c r="J79" s="217"/>
      <c r="K79" s="217"/>
      <c r="L79" s="217"/>
      <c r="M79" s="217"/>
      <c r="N79" s="217"/>
      <c r="O79" s="217"/>
      <c r="P79" s="217"/>
      <c r="Q79" s="217"/>
      <c r="R79" s="871">
        <f>SUM(E79:Q79)</f>
        <v>2518852</v>
      </c>
      <c r="S79" s="217">
        <f>C79</f>
        <v>2518852</v>
      </c>
      <c r="T79" s="217"/>
      <c r="U79" s="213"/>
    </row>
    <row r="80" spans="1:21" s="214" customFormat="1">
      <c r="A80" s="437" t="s">
        <v>61</v>
      </c>
      <c r="B80" s="216">
        <f>SUM(C80:D80)</f>
        <v>396182</v>
      </c>
      <c r="C80" s="217">
        <v>396182</v>
      </c>
      <c r="D80" s="217"/>
      <c r="E80" s="217">
        <f>C80</f>
        <v>396182</v>
      </c>
      <c r="F80" s="217"/>
      <c r="G80" s="217"/>
      <c r="H80" s="217"/>
      <c r="I80" s="217"/>
      <c r="J80" s="217"/>
      <c r="K80" s="217"/>
      <c r="L80" s="217"/>
      <c r="M80" s="217"/>
      <c r="N80" s="217"/>
      <c r="O80" s="217"/>
      <c r="P80" s="217"/>
      <c r="Q80" s="217"/>
      <c r="R80" s="871">
        <f>SUM(E80:Q80)</f>
        <v>396182</v>
      </c>
      <c r="S80" s="217">
        <f>C80</f>
        <v>396182</v>
      </c>
      <c r="T80" s="217"/>
      <c r="U80" s="213"/>
    </row>
    <row r="81" spans="1:21" s="214" customFormat="1">
      <c r="A81" s="219" t="s">
        <v>1376</v>
      </c>
      <c r="B81" s="216">
        <f>SUM(C81:D81)</f>
        <v>2915034</v>
      </c>
      <c r="C81" s="851">
        <f>SUM(C79:C80)</f>
        <v>2915034</v>
      </c>
      <c r="D81" s="851">
        <f t="shared" ref="D81:T81" si="23">SUM(D79:D80)</f>
        <v>0</v>
      </c>
      <c r="E81" s="851">
        <f t="shared" si="23"/>
        <v>2915034</v>
      </c>
      <c r="F81" s="851">
        <f t="shared" si="23"/>
        <v>0</v>
      </c>
      <c r="G81" s="851">
        <f t="shared" si="23"/>
        <v>0</v>
      </c>
      <c r="H81" s="851">
        <f t="shared" si="23"/>
        <v>0</v>
      </c>
      <c r="I81" s="851">
        <f t="shared" si="23"/>
        <v>0</v>
      </c>
      <c r="J81" s="851">
        <f t="shared" si="23"/>
        <v>0</v>
      </c>
      <c r="K81" s="851">
        <f t="shared" si="23"/>
        <v>0</v>
      </c>
      <c r="L81" s="851">
        <f t="shared" si="23"/>
        <v>0</v>
      </c>
      <c r="M81" s="851">
        <f t="shared" si="23"/>
        <v>0</v>
      </c>
      <c r="N81" s="851">
        <f t="shared" si="23"/>
        <v>0</v>
      </c>
      <c r="O81" s="851">
        <f t="shared" si="23"/>
        <v>0</v>
      </c>
      <c r="P81" s="851">
        <f t="shared" si="23"/>
        <v>0</v>
      </c>
      <c r="Q81" s="851">
        <f t="shared" si="23"/>
        <v>0</v>
      </c>
      <c r="R81" s="851">
        <f t="shared" si="23"/>
        <v>2915034</v>
      </c>
      <c r="S81" s="851">
        <f t="shared" si="23"/>
        <v>2915034</v>
      </c>
      <c r="T81" s="851">
        <f t="shared" si="23"/>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2651</v>
      </c>
      <c r="B83" s="216">
        <f t="shared" ref="B83:B95" si="24">SUM(C83+D83)</f>
        <v>90729</v>
      </c>
      <c r="C83" s="217">
        <v>90729</v>
      </c>
      <c r="D83" s="217"/>
      <c r="E83" s="217">
        <f>C83</f>
        <v>90729</v>
      </c>
      <c r="F83" s="217"/>
      <c r="G83" s="217"/>
      <c r="H83" s="217"/>
      <c r="I83" s="217"/>
      <c r="J83" s="217"/>
      <c r="K83" s="217"/>
      <c r="L83" s="217"/>
      <c r="M83" s="217"/>
      <c r="N83" s="217"/>
      <c r="O83" s="217"/>
      <c r="P83" s="217"/>
      <c r="Q83" s="217"/>
      <c r="R83" s="871">
        <f t="shared" ref="R83:R95" si="25">SUM(E83:Q83)</f>
        <v>90729</v>
      </c>
      <c r="S83" s="218"/>
      <c r="T83" s="218"/>
      <c r="U83" s="213"/>
    </row>
    <row r="84" spans="1:21" s="214" customFormat="1">
      <c r="A84" s="215" t="s">
        <v>809</v>
      </c>
      <c r="B84" s="216">
        <f t="shared" si="24"/>
        <v>0</v>
      </c>
      <c r="C84" s="217"/>
      <c r="D84" s="217"/>
      <c r="E84" s="217">
        <f t="shared" ref="E84:E92" si="26">C84</f>
        <v>0</v>
      </c>
      <c r="F84" s="217"/>
      <c r="G84" s="217"/>
      <c r="H84" s="217"/>
      <c r="I84" s="217"/>
      <c r="J84" s="217"/>
      <c r="K84" s="217"/>
      <c r="L84" s="217"/>
      <c r="M84" s="217"/>
      <c r="N84" s="217"/>
      <c r="O84" s="217"/>
      <c r="P84" s="217"/>
      <c r="Q84" s="217"/>
      <c r="R84" s="871">
        <f t="shared" si="25"/>
        <v>0</v>
      </c>
      <c r="S84" s="217"/>
      <c r="T84" s="217"/>
      <c r="U84" s="213"/>
    </row>
    <row r="85" spans="1:21" s="214" customFormat="1">
      <c r="A85" s="215" t="s">
        <v>810</v>
      </c>
      <c r="B85" s="216">
        <f t="shared" si="24"/>
        <v>3835784</v>
      </c>
      <c r="C85" s="217">
        <v>3835784</v>
      </c>
      <c r="D85" s="217"/>
      <c r="E85" s="217">
        <f t="shared" si="26"/>
        <v>3835784</v>
      </c>
      <c r="F85" s="217"/>
      <c r="G85" s="217"/>
      <c r="H85" s="217"/>
      <c r="I85" s="217"/>
      <c r="J85" s="217"/>
      <c r="K85" s="217"/>
      <c r="L85" s="217"/>
      <c r="M85" s="217"/>
      <c r="N85" s="217"/>
      <c r="O85" s="217"/>
      <c r="P85" s="217"/>
      <c r="Q85" s="217"/>
      <c r="R85" s="871">
        <f t="shared" si="25"/>
        <v>3835784</v>
      </c>
      <c r="S85" s="217">
        <f>C85</f>
        <v>3835784</v>
      </c>
      <c r="T85" s="217"/>
      <c r="U85" s="213"/>
    </row>
    <row r="86" spans="1:21" s="214" customFormat="1">
      <c r="A86" s="215" t="s">
        <v>811</v>
      </c>
      <c r="B86" s="216">
        <f t="shared" si="24"/>
        <v>1002747</v>
      </c>
      <c r="C86" s="217">
        <v>1002747</v>
      </c>
      <c r="D86" s="217"/>
      <c r="E86" s="217">
        <f t="shared" si="26"/>
        <v>1002747</v>
      </c>
      <c r="F86" s="217"/>
      <c r="G86" s="217"/>
      <c r="H86" s="217"/>
      <c r="I86" s="217"/>
      <c r="J86" s="217"/>
      <c r="K86" s="217"/>
      <c r="L86" s="217"/>
      <c r="M86" s="217"/>
      <c r="N86" s="217"/>
      <c r="O86" s="217"/>
      <c r="P86" s="217"/>
      <c r="Q86" s="217"/>
      <c r="R86" s="871">
        <f t="shared" si="25"/>
        <v>1002747</v>
      </c>
      <c r="S86" s="217">
        <f>C86</f>
        <v>1002747</v>
      </c>
      <c r="T86" s="217"/>
      <c r="U86" s="213"/>
    </row>
    <row r="87" spans="1:21" s="214" customFormat="1">
      <c r="A87" s="215" t="s">
        <v>812</v>
      </c>
      <c r="B87" s="216">
        <f t="shared" si="24"/>
        <v>0</v>
      </c>
      <c r="C87" s="217"/>
      <c r="D87" s="217"/>
      <c r="E87" s="217">
        <f t="shared" si="26"/>
        <v>0</v>
      </c>
      <c r="F87" s="217"/>
      <c r="G87" s="217"/>
      <c r="H87" s="217"/>
      <c r="I87" s="217"/>
      <c r="J87" s="217"/>
      <c r="K87" s="217"/>
      <c r="L87" s="217"/>
      <c r="M87" s="217"/>
      <c r="N87" s="217"/>
      <c r="O87" s="217"/>
      <c r="P87" s="217"/>
      <c r="Q87" s="217"/>
      <c r="R87" s="871">
        <f t="shared" si="25"/>
        <v>0</v>
      </c>
      <c r="S87" s="217"/>
      <c r="T87" s="217"/>
      <c r="U87" s="213"/>
    </row>
    <row r="88" spans="1:21" s="214" customFormat="1">
      <c r="A88" s="215" t="s">
        <v>813</v>
      </c>
      <c r="B88" s="216">
        <f t="shared" si="24"/>
        <v>172500</v>
      </c>
      <c r="C88" s="217">
        <f>122500+50000</f>
        <v>172500</v>
      </c>
      <c r="D88" s="217"/>
      <c r="E88" s="217">
        <f t="shared" si="26"/>
        <v>172500</v>
      </c>
      <c r="F88" s="217"/>
      <c r="G88" s="217"/>
      <c r="H88" s="217"/>
      <c r="I88" s="217"/>
      <c r="J88" s="217"/>
      <c r="K88" s="217"/>
      <c r="L88" s="217"/>
      <c r="M88" s="217"/>
      <c r="N88" s="217"/>
      <c r="O88" s="217"/>
      <c r="P88" s="217"/>
      <c r="Q88" s="217"/>
      <c r="R88" s="871">
        <f t="shared" si="25"/>
        <v>172500</v>
      </c>
      <c r="S88" s="218"/>
      <c r="T88" s="218"/>
      <c r="U88" s="213"/>
    </row>
    <row r="89" spans="1:21" s="214" customFormat="1">
      <c r="A89" s="215" t="s">
        <v>814</v>
      </c>
      <c r="B89" s="216">
        <f t="shared" si="24"/>
        <v>285800</v>
      </c>
      <c r="C89" s="217">
        <v>285800</v>
      </c>
      <c r="D89" s="217"/>
      <c r="E89" s="217">
        <f t="shared" si="26"/>
        <v>285800</v>
      </c>
      <c r="F89" s="217"/>
      <c r="G89" s="217"/>
      <c r="H89" s="217"/>
      <c r="I89" s="217"/>
      <c r="J89" s="217"/>
      <c r="K89" s="217"/>
      <c r="L89" s="217"/>
      <c r="M89" s="217"/>
      <c r="N89" s="217"/>
      <c r="O89" s="217"/>
      <c r="P89" s="217"/>
      <c r="Q89" s="217"/>
      <c r="R89" s="871">
        <f t="shared" si="25"/>
        <v>285800</v>
      </c>
      <c r="S89" s="217">
        <f>C89</f>
        <v>285800</v>
      </c>
      <c r="T89" s="217"/>
      <c r="U89" s="213"/>
    </row>
    <row r="90" spans="1:21" s="214" customFormat="1">
      <c r="A90" s="215" t="s">
        <v>815</v>
      </c>
      <c r="B90" s="216">
        <f t="shared" si="24"/>
        <v>12500</v>
      </c>
      <c r="C90" s="217">
        <v>12500</v>
      </c>
      <c r="D90" s="217"/>
      <c r="E90" s="217">
        <f t="shared" si="26"/>
        <v>12500</v>
      </c>
      <c r="F90" s="217"/>
      <c r="G90" s="217"/>
      <c r="H90" s="217"/>
      <c r="I90" s="217"/>
      <c r="J90" s="217"/>
      <c r="K90" s="217"/>
      <c r="L90" s="217"/>
      <c r="M90" s="217"/>
      <c r="N90" s="217"/>
      <c r="O90" s="217"/>
      <c r="P90" s="217"/>
      <c r="Q90" s="217"/>
      <c r="R90" s="871">
        <f t="shared" si="25"/>
        <v>12500</v>
      </c>
      <c r="S90" s="217">
        <f>C90</f>
        <v>12500</v>
      </c>
      <c r="T90" s="217"/>
      <c r="U90" s="213"/>
    </row>
    <row r="91" spans="1:21" s="214" customFormat="1">
      <c r="A91" s="1099" t="s">
        <v>387</v>
      </c>
      <c r="B91" s="216">
        <f t="shared" si="24"/>
        <v>25000</v>
      </c>
      <c r="C91" s="217">
        <v>25000</v>
      </c>
      <c r="D91" s="217"/>
      <c r="E91" s="217">
        <f t="shared" si="26"/>
        <v>25000</v>
      </c>
      <c r="F91" s="217"/>
      <c r="G91" s="217"/>
      <c r="H91" s="217"/>
      <c r="I91" s="217"/>
      <c r="J91" s="217"/>
      <c r="K91" s="217"/>
      <c r="L91" s="217"/>
      <c r="M91" s="217"/>
      <c r="N91" s="217"/>
      <c r="O91" s="217"/>
      <c r="P91" s="217"/>
      <c r="Q91" s="217"/>
      <c r="R91" s="871">
        <f t="shared" si="25"/>
        <v>25000</v>
      </c>
      <c r="S91" s="217">
        <f>C91</f>
        <v>25000</v>
      </c>
      <c r="T91" s="217"/>
      <c r="U91" s="213"/>
    </row>
    <row r="92" spans="1:21" s="214" customFormat="1">
      <c r="A92" s="1098" t="s">
        <v>1378</v>
      </c>
      <c r="B92" s="216">
        <f t="shared" si="24"/>
        <v>7500</v>
      </c>
      <c r="C92" s="217">
        <v>7500</v>
      </c>
      <c r="D92" s="217"/>
      <c r="E92" s="217">
        <f t="shared" si="26"/>
        <v>7500</v>
      </c>
      <c r="F92" s="217"/>
      <c r="G92" s="217"/>
      <c r="H92" s="217"/>
      <c r="I92" s="217"/>
      <c r="J92" s="217"/>
      <c r="K92" s="217"/>
      <c r="L92" s="217"/>
      <c r="M92" s="217"/>
      <c r="N92" s="217"/>
      <c r="O92" s="217"/>
      <c r="P92" s="217"/>
      <c r="Q92" s="217"/>
      <c r="R92" s="871">
        <f t="shared" si="25"/>
        <v>7500</v>
      </c>
      <c r="S92" s="217">
        <f>C92</f>
        <v>7500</v>
      </c>
      <c r="T92" s="217"/>
      <c r="U92" s="213"/>
    </row>
    <row r="93" spans="1:21" s="214" customFormat="1">
      <c r="A93" s="1202" t="s">
        <v>2594</v>
      </c>
      <c r="B93" s="216">
        <f t="shared" si="24"/>
        <v>269304</v>
      </c>
      <c r="C93" s="217">
        <f>233741+35563</f>
        <v>269304</v>
      </c>
      <c r="D93" s="217"/>
      <c r="E93" s="1015">
        <f>C93-G93</f>
        <v>218902</v>
      </c>
      <c r="F93" s="217"/>
      <c r="G93" s="217">
        <f>G108-2857174</f>
        <v>50402</v>
      </c>
      <c r="H93" s="217"/>
      <c r="I93" s="217"/>
      <c r="J93" s="217"/>
      <c r="K93" s="217"/>
      <c r="L93" s="217"/>
      <c r="M93" s="217"/>
      <c r="N93" s="217"/>
      <c r="O93" s="217"/>
      <c r="P93" s="217"/>
      <c r="Q93" s="217"/>
      <c r="R93" s="871">
        <f t="shared" si="25"/>
        <v>269304</v>
      </c>
      <c r="S93" s="217">
        <f>C93</f>
        <v>269304</v>
      </c>
      <c r="T93" s="217"/>
      <c r="U93" s="213"/>
    </row>
    <row r="94" spans="1:21" s="214" customFormat="1">
      <c r="A94" s="222" t="s">
        <v>35</v>
      </c>
      <c r="B94" s="216">
        <f t="shared" si="24"/>
        <v>0</v>
      </c>
      <c r="C94" s="217"/>
      <c r="D94" s="217"/>
      <c r="E94" s="217"/>
      <c r="F94" s="217"/>
      <c r="G94" s="217"/>
      <c r="H94" s="217"/>
      <c r="I94" s="217"/>
      <c r="J94" s="217"/>
      <c r="K94" s="217"/>
      <c r="L94" s="217"/>
      <c r="M94" s="217"/>
      <c r="N94" s="217"/>
      <c r="O94" s="217"/>
      <c r="P94" s="217"/>
      <c r="Q94" s="217"/>
      <c r="R94" s="871">
        <f t="shared" si="25"/>
        <v>0</v>
      </c>
      <c r="S94" s="217"/>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1">
        <f t="shared" si="25"/>
        <v>0</v>
      </c>
      <c r="S95" s="217"/>
      <c r="T95" s="217"/>
      <c r="U95" s="213"/>
    </row>
    <row r="96" spans="1:21" s="214" customFormat="1">
      <c r="A96" s="219" t="s">
        <v>816</v>
      </c>
      <c r="B96" s="216">
        <f>SUM(C96:D96)</f>
        <v>5701864</v>
      </c>
      <c r="C96" s="216">
        <f t="shared" ref="C96:R96" si="27">SUM(C83:C95)</f>
        <v>5701864</v>
      </c>
      <c r="D96" s="216">
        <f t="shared" si="27"/>
        <v>0</v>
      </c>
      <c r="E96" s="216">
        <f t="shared" si="27"/>
        <v>5651462</v>
      </c>
      <c r="F96" s="216">
        <f t="shared" si="27"/>
        <v>0</v>
      </c>
      <c r="G96" s="216">
        <f t="shared" si="27"/>
        <v>50402</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27">
        <f t="shared" si="27"/>
        <v>5701864</v>
      </c>
      <c r="S96" s="220">
        <f>SUM(S84:S87,S89:S95)</f>
        <v>5438635</v>
      </c>
      <c r="T96" s="216">
        <f>SUM(T84:T87,T89:T95)</f>
        <v>0</v>
      </c>
      <c r="U96" s="213"/>
    </row>
    <row r="97" spans="1:21" s="214" customFormat="1">
      <c r="A97" s="219" t="s">
        <v>817</v>
      </c>
      <c r="B97" s="216">
        <f>SUM(C97:D97)</f>
        <v>55336192</v>
      </c>
      <c r="C97" s="216">
        <f t="shared" ref="C97:R97" si="28">SUM(C63+C70+C77+C81+C96)</f>
        <v>55336192</v>
      </c>
      <c r="D97" s="216">
        <f t="shared" si="28"/>
        <v>0</v>
      </c>
      <c r="E97" s="216">
        <f t="shared" si="28"/>
        <v>28075790</v>
      </c>
      <c r="F97" s="216">
        <f t="shared" si="28"/>
        <v>19580000</v>
      </c>
      <c r="G97" s="216">
        <f t="shared" si="28"/>
        <v>50402</v>
      </c>
      <c r="H97" s="216">
        <f t="shared" si="28"/>
        <v>0</v>
      </c>
      <c r="I97" s="216">
        <f t="shared" si="28"/>
        <v>2630000</v>
      </c>
      <c r="J97" s="216">
        <f t="shared" si="28"/>
        <v>5000000</v>
      </c>
      <c r="K97" s="216">
        <f t="shared" si="28"/>
        <v>0</v>
      </c>
      <c r="L97" s="216">
        <f t="shared" si="28"/>
        <v>0</v>
      </c>
      <c r="M97" s="216">
        <f t="shared" si="28"/>
        <v>0</v>
      </c>
      <c r="N97" s="216">
        <f t="shared" si="28"/>
        <v>0</v>
      </c>
      <c r="O97" s="216">
        <f t="shared" si="28"/>
        <v>0</v>
      </c>
      <c r="P97" s="216">
        <f t="shared" si="28"/>
        <v>0</v>
      </c>
      <c r="Q97" s="216">
        <f t="shared" si="28"/>
        <v>0</v>
      </c>
      <c r="R97" s="216">
        <f t="shared" si="28"/>
        <v>55336192</v>
      </c>
      <c r="S97" s="216">
        <f>SUM(S63+S70+S81+S96)</f>
        <v>48888585</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7333287</v>
      </c>
      <c r="C99" s="1015">
        <v>7333287</v>
      </c>
      <c r="D99" s="1015"/>
      <c r="E99" s="1015"/>
      <c r="F99" s="217"/>
      <c r="G99" s="217">
        <f>C99-H99</f>
        <v>2857174</v>
      </c>
      <c r="H99" s="217">
        <f>Application!AO639</f>
        <v>4476113</v>
      </c>
      <c r="I99" s="217"/>
      <c r="J99" s="217"/>
      <c r="K99" s="217"/>
      <c r="L99" s="217"/>
      <c r="M99" s="217"/>
      <c r="N99" s="217"/>
      <c r="O99" s="217"/>
      <c r="P99" s="217"/>
      <c r="Q99" s="217"/>
      <c r="R99" s="871">
        <f t="shared" ref="R99:R103" si="29">SUM(E99:Q99)</f>
        <v>7333287</v>
      </c>
      <c r="S99" s="217">
        <f>C99</f>
        <v>7333287</v>
      </c>
      <c r="T99" s="217"/>
      <c r="U99" s="213"/>
    </row>
    <row r="100" spans="1:21" s="214" customFormat="1">
      <c r="A100" s="437" t="s">
        <v>1859</v>
      </c>
      <c r="B100" s="216">
        <f t="shared" ref="B100:B103" si="30">SUM(C100+D100)</f>
        <v>0</v>
      </c>
      <c r="C100" s="217"/>
      <c r="D100" s="217"/>
      <c r="E100" s="217"/>
      <c r="F100" s="217"/>
      <c r="G100" s="217"/>
      <c r="H100" s="217"/>
      <c r="I100" s="217"/>
      <c r="J100" s="217"/>
      <c r="K100" s="217"/>
      <c r="L100" s="217"/>
      <c r="M100" s="217"/>
      <c r="N100" s="217"/>
      <c r="O100" s="217"/>
      <c r="P100" s="217"/>
      <c r="Q100" s="217"/>
      <c r="R100" s="871">
        <f t="shared" si="29"/>
        <v>0</v>
      </c>
      <c r="S100" s="217"/>
      <c r="T100" s="217"/>
      <c r="U100" s="213"/>
    </row>
    <row r="101" spans="1:21" s="214" customFormat="1" ht="12" customHeight="1">
      <c r="A101" s="215" t="s">
        <v>820</v>
      </c>
      <c r="B101" s="216">
        <f t="shared" si="30"/>
        <v>0</v>
      </c>
      <c r="C101" s="217"/>
      <c r="D101" s="217"/>
      <c r="E101" s="217"/>
      <c r="F101" s="217"/>
      <c r="G101" s="217"/>
      <c r="H101" s="217"/>
      <c r="I101" s="217"/>
      <c r="J101" s="217"/>
      <c r="K101" s="217"/>
      <c r="L101" s="217"/>
      <c r="M101" s="217"/>
      <c r="N101" s="217"/>
      <c r="O101" s="217"/>
      <c r="P101" s="217"/>
      <c r="Q101" s="217"/>
      <c r="R101" s="871">
        <f t="shared" si="29"/>
        <v>0</v>
      </c>
      <c r="S101" s="217"/>
      <c r="T101" s="217"/>
      <c r="U101" s="213"/>
    </row>
    <row r="102" spans="1:21" s="214" customFormat="1">
      <c r="A102" s="437" t="s">
        <v>1860</v>
      </c>
      <c r="B102" s="216">
        <f t="shared" si="30"/>
        <v>0</v>
      </c>
      <c r="C102" s="217"/>
      <c r="D102" s="217"/>
      <c r="E102" s="217"/>
      <c r="F102" s="217"/>
      <c r="G102" s="217"/>
      <c r="H102" s="217"/>
      <c r="I102" s="217"/>
      <c r="J102" s="217"/>
      <c r="K102" s="217"/>
      <c r="L102" s="217"/>
      <c r="M102" s="217"/>
      <c r="N102" s="217"/>
      <c r="O102" s="217"/>
      <c r="P102" s="217"/>
      <c r="Q102" s="217"/>
      <c r="R102" s="87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1">
        <f t="shared" si="29"/>
        <v>0</v>
      </c>
      <c r="S103" s="217"/>
      <c r="T103" s="217"/>
      <c r="U103" s="213"/>
    </row>
    <row r="104" spans="1:21" s="214" customFormat="1">
      <c r="A104" s="219" t="s">
        <v>821</v>
      </c>
      <c r="B104" s="216">
        <f>SUM(C104:D104)</f>
        <v>7333287</v>
      </c>
      <c r="C104" s="216">
        <f>SUM(C99:C103)</f>
        <v>7333287</v>
      </c>
      <c r="D104" s="216">
        <f t="shared" ref="D104:T104" si="31">SUM(D99:D103)</f>
        <v>0</v>
      </c>
      <c r="E104" s="216">
        <f t="shared" si="31"/>
        <v>0</v>
      </c>
      <c r="F104" s="216">
        <f t="shared" si="31"/>
        <v>0</v>
      </c>
      <c r="G104" s="216">
        <f t="shared" si="31"/>
        <v>2857174</v>
      </c>
      <c r="H104" s="216">
        <f t="shared" si="31"/>
        <v>4476113</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27">
        <f t="shared" si="31"/>
        <v>7333287</v>
      </c>
      <c r="S104" s="220">
        <f t="shared" si="31"/>
        <v>7333287</v>
      </c>
      <c r="T104" s="220">
        <f t="shared" si="31"/>
        <v>0</v>
      </c>
      <c r="U104" s="213"/>
    </row>
    <row r="105" spans="1:21" s="214" customFormat="1">
      <c r="A105" s="219" t="s">
        <v>822</v>
      </c>
      <c r="B105" s="220">
        <f>SUM(C105:D105)</f>
        <v>62669479</v>
      </c>
      <c r="C105" s="220">
        <f t="shared" ref="C105:R105" si="32">SUM(C97+C104)</f>
        <v>62669479</v>
      </c>
      <c r="D105" s="220">
        <f t="shared" si="32"/>
        <v>0</v>
      </c>
      <c r="E105" s="220">
        <f t="shared" si="32"/>
        <v>28075790</v>
      </c>
      <c r="F105" s="220">
        <f t="shared" si="32"/>
        <v>19580000</v>
      </c>
      <c r="G105" s="220">
        <f t="shared" si="32"/>
        <v>2907576</v>
      </c>
      <c r="H105" s="220">
        <f t="shared" si="32"/>
        <v>4476113</v>
      </c>
      <c r="I105" s="220">
        <f t="shared" si="32"/>
        <v>2630000</v>
      </c>
      <c r="J105" s="220">
        <f t="shared" si="32"/>
        <v>5000000</v>
      </c>
      <c r="K105" s="220">
        <f t="shared" si="32"/>
        <v>0</v>
      </c>
      <c r="L105" s="220">
        <f t="shared" si="32"/>
        <v>0</v>
      </c>
      <c r="M105" s="220">
        <f t="shared" si="32"/>
        <v>0</v>
      </c>
      <c r="N105" s="220">
        <f t="shared" si="32"/>
        <v>0</v>
      </c>
      <c r="O105" s="220">
        <f t="shared" si="32"/>
        <v>0</v>
      </c>
      <c r="P105" s="220">
        <f t="shared" si="32"/>
        <v>0</v>
      </c>
      <c r="Q105" s="220">
        <f t="shared" si="32"/>
        <v>0</v>
      </c>
      <c r="R105" s="527">
        <f t="shared" si="32"/>
        <v>62669479</v>
      </c>
      <c r="S105" s="220">
        <f>S97+S104</f>
        <v>56221872</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56221872</v>
      </c>
      <c r="T107" s="234">
        <f>T105+T106</f>
        <v>0</v>
      </c>
    </row>
    <row r="108" spans="1:21" s="300" customFormat="1">
      <c r="A108" s="233" t="s">
        <v>927</v>
      </c>
      <c r="B108" s="228"/>
      <c r="C108" s="228"/>
      <c r="D108" s="228"/>
      <c r="E108" s="461">
        <f>Application!AO650</f>
        <v>28075790</v>
      </c>
      <c r="F108" s="461">
        <f>Application!AO637</f>
        <v>19580000</v>
      </c>
      <c r="G108" s="461">
        <f>Application!AO638</f>
        <v>2907576</v>
      </c>
      <c r="H108" s="461">
        <f>Application!AO639</f>
        <v>4476113</v>
      </c>
      <c r="I108" s="461">
        <f>Application!AO640</f>
        <v>2630000</v>
      </c>
      <c r="J108" s="461">
        <f>Application!AO641</f>
        <v>5000000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2652</v>
      </c>
      <c r="B114" s="228"/>
      <c r="C114" s="228"/>
      <c r="D114" s="228"/>
    </row>
    <row r="115" spans="1:21" ht="12" customHeight="1">
      <c r="A115" s="480"/>
      <c r="B115" s="228"/>
      <c r="C115" s="228"/>
      <c r="D115" s="228"/>
    </row>
    <row r="116" spans="1:21">
      <c r="A116" s="530" t="s">
        <v>1103</v>
      </c>
      <c r="B116" s="228"/>
      <c r="C116" s="228"/>
      <c r="D116" s="228"/>
    </row>
    <row r="117" spans="1:21">
      <c r="A117" s="530" t="s">
        <v>1395</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72" t="s">
        <v>1067</v>
      </c>
      <c r="E122" s="2672"/>
      <c r="F122" s="2672"/>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75" t="s">
        <v>1396</v>
      </c>
      <c r="E123" s="2676"/>
      <c r="F123" s="2676"/>
      <c r="G123" s="2676"/>
      <c r="H123" s="2676"/>
      <c r="I123" s="2676"/>
      <c r="J123" s="2676"/>
      <c r="K123" s="2676"/>
      <c r="L123" s="2676"/>
      <c r="M123" s="2676"/>
      <c r="N123" s="2676"/>
      <c r="O123" s="2676"/>
      <c r="P123" s="2676"/>
      <c r="Q123" s="2676"/>
      <c r="R123" s="2676"/>
      <c r="S123" s="2676"/>
      <c r="T123" s="507"/>
      <c r="U123" s="509"/>
    </row>
    <row r="124" spans="1:21" ht="12.75">
      <c r="A124" s="506" t="s">
        <v>1069</v>
      </c>
      <c r="B124" s="516"/>
      <c r="C124" s="506"/>
      <c r="D124" s="2676"/>
      <c r="E124" s="2676"/>
      <c r="F124" s="2676"/>
      <c r="G124" s="2676"/>
      <c r="H124" s="2676"/>
      <c r="I124" s="2676"/>
      <c r="J124" s="2676"/>
      <c r="K124" s="2676"/>
      <c r="L124" s="2676"/>
      <c r="M124" s="2676"/>
      <c r="N124" s="2676"/>
      <c r="O124" s="2676"/>
      <c r="P124" s="2676"/>
      <c r="Q124" s="2676"/>
      <c r="R124" s="2676"/>
      <c r="S124" s="2676"/>
      <c r="T124" s="507"/>
      <c r="U124" s="509"/>
    </row>
    <row r="125" spans="1:21" ht="12.75">
      <c r="A125" s="506" t="s">
        <v>1070</v>
      </c>
      <c r="B125" s="516"/>
      <c r="C125" s="506"/>
      <c r="D125" s="2676"/>
      <c r="E125" s="2676"/>
      <c r="F125" s="2676"/>
      <c r="G125" s="2676"/>
      <c r="H125" s="2676"/>
      <c r="I125" s="2676"/>
      <c r="J125" s="2676"/>
      <c r="K125" s="2676"/>
      <c r="L125" s="2676"/>
      <c r="M125" s="2676"/>
      <c r="N125" s="2676"/>
      <c r="O125" s="2676"/>
      <c r="P125" s="2676"/>
      <c r="Q125" s="2676"/>
      <c r="R125" s="2676"/>
      <c r="S125" s="2676"/>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69"/>
      <c r="E128" s="2669"/>
      <c r="F128" s="2669"/>
      <c r="G128" s="2669"/>
      <c r="H128" s="2669"/>
      <c r="I128" s="506"/>
      <c r="J128" s="2670"/>
      <c r="K128" s="2670"/>
      <c r="L128" s="506"/>
      <c r="M128" s="506"/>
      <c r="N128" s="506"/>
      <c r="O128" s="506"/>
      <c r="P128" s="506"/>
      <c r="Q128" s="506"/>
      <c r="R128" s="506"/>
      <c r="S128" s="506"/>
      <c r="T128" s="507"/>
      <c r="U128" s="509"/>
    </row>
    <row r="129" spans="1:21" ht="12.75">
      <c r="A129" s="506" t="s">
        <v>306</v>
      </c>
      <c r="B129" s="516"/>
      <c r="C129" s="506"/>
      <c r="D129" s="2671" t="s">
        <v>1074</v>
      </c>
      <c r="E129" s="2671"/>
      <c r="F129" s="2671"/>
      <c r="G129" s="2671"/>
      <c r="H129" s="2671"/>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405"/>
      <c r="E131" s="2405"/>
      <c r="F131" s="2405"/>
      <c r="G131" s="2405"/>
      <c r="H131" s="2405"/>
      <c r="I131" s="506"/>
      <c r="J131" s="2405"/>
      <c r="K131" s="2405"/>
      <c r="L131" s="2405"/>
      <c r="M131" s="2405"/>
      <c r="N131" s="506"/>
      <c r="O131" s="506"/>
      <c r="P131" s="506"/>
      <c r="Q131" s="506"/>
      <c r="R131" s="506"/>
      <c r="S131" s="506"/>
      <c r="T131" s="507"/>
      <c r="U131" s="509"/>
    </row>
    <row r="132" spans="1:21" ht="12" customHeight="1">
      <c r="A132" s="520"/>
      <c r="B132" s="506"/>
      <c r="C132" s="506"/>
      <c r="D132" s="2677" t="s">
        <v>1077</v>
      </c>
      <c r="E132" s="2677"/>
      <c r="F132" s="2677"/>
      <c r="G132" s="2677"/>
      <c r="H132" s="2677"/>
      <c r="I132" s="506"/>
      <c r="J132" s="2677" t="s">
        <v>1078</v>
      </c>
      <c r="K132" s="2677"/>
      <c r="L132" s="2677"/>
      <c r="M132" s="2677"/>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78"/>
      <c r="B138" s="2679"/>
      <c r="C138" s="2679"/>
      <c r="D138" s="511"/>
      <c r="E138" s="2670"/>
      <c r="F138" s="2670"/>
      <c r="G138" s="506"/>
      <c r="H138" s="506"/>
      <c r="I138" s="506"/>
      <c r="J138" s="506"/>
      <c r="K138" s="506"/>
      <c r="L138" s="506"/>
      <c r="M138" s="506"/>
      <c r="N138" s="506"/>
      <c r="O138" s="506"/>
      <c r="P138" s="506"/>
      <c r="Q138" s="506"/>
      <c r="R138" s="506"/>
      <c r="S138" s="506"/>
      <c r="T138" s="513"/>
      <c r="U138" s="514"/>
    </row>
    <row r="139" spans="1:21" ht="12.75">
      <c r="A139" s="2673" t="s">
        <v>1081</v>
      </c>
      <c r="B139" s="2674"/>
      <c r="C139" s="2674"/>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BDlk//+DySngiCsKEoJIkMayb7o6VH5u9BdJAAfUlpGxYi676r5Lc72DosG3/m4qcSWIJCKRO7eiFWYcKCFxSA==" saltValue="doTABqsVGHTrIDMmY/cMa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S24">
    <cfRule type="expression" dxfId="101" priority="179" stopIfTrue="1">
      <formula>(S23+T23)&gt;C23</formula>
    </cfRule>
  </conditionalFormatting>
  <conditionalFormatting sqref="S25">
    <cfRule type="expression" dxfId="100" priority="178" stopIfTrue="1">
      <formula>(S25+T25)&gt;C25</formula>
    </cfRule>
  </conditionalFormatting>
  <conditionalFormatting sqref="S27">
    <cfRule type="expression" dxfId="99" priority="171" stopIfTrue="1">
      <formula>(S27+T27)&gt;C27</formula>
    </cfRule>
  </conditionalFormatting>
  <conditionalFormatting sqref="S29:S35">
    <cfRule type="expression" dxfId="98" priority="169" stopIfTrue="1">
      <formula>(S29+T29)&gt;C29</formula>
    </cfRule>
  </conditionalFormatting>
  <conditionalFormatting sqref="S36">
    <cfRule type="expression" dxfId="97" priority="162" stopIfTrue="1">
      <formula>(S36+T36)&gt;C36</formula>
    </cfRule>
  </conditionalFormatting>
  <conditionalFormatting sqref="S37">
    <cfRule type="expression" dxfId="96" priority="161" stopIfTrue="1">
      <formula>(S37+T37)&gt;C37</formula>
    </cfRule>
  </conditionalFormatting>
  <conditionalFormatting sqref="S40">
    <cfRule type="expression" dxfId="95" priority="153" stopIfTrue="1">
      <formula>(S40+T40)&gt;C40</formula>
    </cfRule>
  </conditionalFormatting>
  <conditionalFormatting sqref="S41">
    <cfRule type="expression" dxfId="94" priority="152" stopIfTrue="1">
      <formula>(S41+T41)&gt;C41</formula>
    </cfRule>
  </conditionalFormatting>
  <conditionalFormatting sqref="S43">
    <cfRule type="expression" dxfId="93" priority="149" stopIfTrue="1">
      <formula>(S43+T43)&gt;C43</formula>
    </cfRule>
  </conditionalFormatting>
  <conditionalFormatting sqref="S45:S53">
    <cfRule type="expression" dxfId="92" priority="147" stopIfTrue="1">
      <formula>(S45+T45)&gt;C45</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D13" sqref="D13"/>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86" t="s">
        <v>1399</v>
      </c>
      <c r="B1" s="2687"/>
      <c r="C1" s="2687"/>
      <c r="D1" s="2687"/>
      <c r="E1" s="2687"/>
      <c r="F1" s="2687"/>
      <c r="G1" s="2687"/>
      <c r="H1" s="2687"/>
      <c r="I1" s="2687"/>
      <c r="J1" s="2688"/>
      <c r="K1" s="552"/>
    </row>
    <row r="2" spans="1:11" s="608" customFormat="1" ht="72">
      <c r="A2" s="604"/>
      <c r="B2" s="605" t="s">
        <v>1108</v>
      </c>
      <c r="C2" s="605" t="s">
        <v>1401</v>
      </c>
      <c r="D2" s="606" t="s">
        <v>1402</v>
      </c>
      <c r="E2" s="605" t="s">
        <v>1320</v>
      </c>
      <c r="F2" s="605" t="s">
        <v>1403</v>
      </c>
      <c r="G2" s="605" t="s">
        <v>1404</v>
      </c>
      <c r="H2" s="605" t="s">
        <v>1109</v>
      </c>
      <c r="I2" s="605" t="s">
        <v>1405</v>
      </c>
      <c r="J2" s="605" t="s">
        <v>1406</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0</v>
      </c>
      <c r="C4" s="559"/>
      <c r="D4" s="559"/>
      <c r="E4" s="560"/>
      <c r="F4" s="560"/>
      <c r="G4" s="560"/>
      <c r="H4" s="560"/>
      <c r="I4" s="560"/>
      <c r="J4" s="560"/>
      <c r="K4" s="556"/>
    </row>
    <row r="5" spans="1:11" s="557" customFormat="1">
      <c r="A5" s="561" t="s">
        <v>29</v>
      </c>
      <c r="B5" s="558">
        <f>'Sources and Uses Budget'!C5</f>
        <v>550000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550000</v>
      </c>
      <c r="C8" s="558">
        <f>SUM(C4:C7)</f>
        <v>0</v>
      </c>
      <c r="D8" s="558">
        <f>SUM(D4:D7)</f>
        <v>0</v>
      </c>
      <c r="E8" s="560"/>
      <c r="F8" s="560"/>
      <c r="G8" s="560"/>
      <c r="H8" s="560"/>
      <c r="I8" s="560"/>
      <c r="J8" s="560"/>
      <c r="K8" s="556"/>
    </row>
    <row r="9" spans="1:11" s="557" customFormat="1">
      <c r="A9" s="561" t="s">
        <v>621</v>
      </c>
      <c r="B9" s="558">
        <f>'Sources and Uses Budget'!C9</f>
        <v>630000</v>
      </c>
      <c r="C9" s="559"/>
      <c r="D9" s="559"/>
      <c r="E9" s="560"/>
      <c r="F9" s="560"/>
      <c r="G9" s="560"/>
      <c r="H9" s="558">
        <f>'Sources and Uses Budget'!T9</f>
        <v>0</v>
      </c>
      <c r="I9" s="559"/>
      <c r="J9" s="559"/>
      <c r="K9" s="556"/>
    </row>
    <row r="10" spans="1:11" s="557" customFormat="1">
      <c r="A10" s="561" t="s">
        <v>622</v>
      </c>
      <c r="B10" s="558">
        <f>'Sources and Uses Budget'!C10</f>
        <v>113300</v>
      </c>
      <c r="C10" s="559"/>
      <c r="D10" s="559"/>
      <c r="E10" s="558">
        <f>'Sources and Uses Budget'!S10</f>
        <v>113300</v>
      </c>
      <c r="F10" s="559"/>
      <c r="G10" s="559">
        <f>D10</f>
        <v>0</v>
      </c>
      <c r="H10" s="558">
        <f>'Sources and Uses Budget'!T10</f>
        <v>0</v>
      </c>
      <c r="I10" s="559"/>
      <c r="J10" s="559"/>
      <c r="K10" s="556"/>
    </row>
    <row r="11" spans="1:11" s="557" customFormat="1">
      <c r="A11" s="562" t="s">
        <v>623</v>
      </c>
      <c r="B11" s="558">
        <f>'Sources and Uses Budget'!C11</f>
        <v>743300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1293300</v>
      </c>
      <c r="C12" s="558">
        <f>SUM(C8+C11)</f>
        <v>0</v>
      </c>
      <c r="D12" s="558">
        <f>SUM(D8+D11)</f>
        <v>0</v>
      </c>
      <c r="E12" s="560"/>
      <c r="F12" s="560"/>
      <c r="G12" s="560"/>
      <c r="H12" s="560"/>
      <c r="I12" s="560"/>
      <c r="J12" s="560"/>
      <c r="K12" s="556"/>
    </row>
    <row r="13" spans="1:11" s="557" customFormat="1">
      <c r="A13" s="563" t="s">
        <v>954</v>
      </c>
      <c r="B13" s="558">
        <f>'Sources and Uses Budget'!C13</f>
        <v>1381038</v>
      </c>
      <c r="C13" s="559"/>
      <c r="D13" s="559"/>
      <c r="E13" s="558">
        <f>'Sources and Uses Budget'!S13</f>
        <v>1381038</v>
      </c>
      <c r="F13" s="559"/>
      <c r="G13" s="559">
        <f>D13</f>
        <v>0</v>
      </c>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1853</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3754871</v>
      </c>
      <c r="C29" s="559"/>
      <c r="D29" s="559"/>
      <c r="E29" s="558">
        <f>'Sources and Uses Budget'!S29</f>
        <v>3754871</v>
      </c>
      <c r="F29" s="559"/>
      <c r="G29" s="559"/>
      <c r="H29" s="558">
        <f>'Sources and Uses Budget'!T29</f>
        <v>0</v>
      </c>
      <c r="I29" s="559"/>
      <c r="J29" s="559"/>
      <c r="K29" s="556"/>
    </row>
    <row r="30" spans="1:11" s="557" customFormat="1">
      <c r="A30" s="215" t="s">
        <v>626</v>
      </c>
      <c r="B30" s="558">
        <f>'Sources and Uses Budget'!C30</f>
        <v>24929291</v>
      </c>
      <c r="C30" s="559"/>
      <c r="D30" s="559"/>
      <c r="E30" s="558">
        <f>'Sources and Uses Budget'!S30</f>
        <v>24929291</v>
      </c>
      <c r="F30" s="559"/>
      <c r="G30" s="559"/>
      <c r="H30" s="558">
        <f>'Sources and Uses Budget'!T30</f>
        <v>0</v>
      </c>
      <c r="I30" s="559"/>
      <c r="J30" s="559"/>
      <c r="K30" s="556"/>
    </row>
    <row r="31" spans="1:11" s="557" customFormat="1">
      <c r="A31" s="215" t="s">
        <v>627</v>
      </c>
      <c r="B31" s="558">
        <f>'Sources and Uses Budget'!C31</f>
        <v>1386000</v>
      </c>
      <c r="C31" s="559"/>
      <c r="D31" s="559"/>
      <c r="E31" s="558">
        <f>'Sources and Uses Budget'!S31</f>
        <v>1360025</v>
      </c>
      <c r="F31" s="559"/>
      <c r="G31" s="559"/>
      <c r="H31" s="558">
        <f>'Sources and Uses Budget'!T31</f>
        <v>0</v>
      </c>
      <c r="I31" s="559"/>
      <c r="J31" s="559"/>
      <c r="K31" s="556"/>
    </row>
    <row r="32" spans="1:11" s="557" customFormat="1">
      <c r="A32" s="215" t="s">
        <v>142</v>
      </c>
      <c r="B32" s="558">
        <f>'Sources and Uses Budget'!C32</f>
        <v>1425613</v>
      </c>
      <c r="C32" s="559"/>
      <c r="D32" s="559"/>
      <c r="E32" s="558">
        <f>'Sources and Uses Budget'!S32</f>
        <v>1398896</v>
      </c>
      <c r="F32" s="559"/>
      <c r="G32" s="559"/>
      <c r="H32" s="558">
        <f>'Sources and Uses Budget'!T32</f>
        <v>0</v>
      </c>
      <c r="I32" s="559"/>
      <c r="J32" s="559"/>
      <c r="K32" s="556"/>
    </row>
    <row r="33" spans="1:11" s="557" customFormat="1">
      <c r="A33" s="215" t="s">
        <v>143</v>
      </c>
      <c r="B33" s="558">
        <f>'Sources and Uses Budget'!C33</f>
        <v>1425614</v>
      </c>
      <c r="C33" s="559"/>
      <c r="D33" s="559"/>
      <c r="E33" s="558">
        <f>'Sources and Uses Budget'!S33</f>
        <v>1398896</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758175</v>
      </c>
      <c r="C35" s="559"/>
      <c r="D35" s="559"/>
      <c r="E35" s="558">
        <f>'Sources and Uses Budget'!S35</f>
        <v>758175</v>
      </c>
      <c r="F35" s="559"/>
      <c r="G35" s="559"/>
      <c r="H35" s="558">
        <f>'Sources and Uses Budget'!T35</f>
        <v>0</v>
      </c>
      <c r="I35" s="559"/>
      <c r="J35" s="559"/>
      <c r="K35" s="556"/>
    </row>
    <row r="36" spans="1:11" s="557" customFormat="1">
      <c r="A36" s="850" t="s">
        <v>1853</v>
      </c>
      <c r="B36" s="558">
        <f>'Sources and Uses Budget'!C36</f>
        <v>31500</v>
      </c>
      <c r="C36" s="559"/>
      <c r="D36" s="559"/>
      <c r="E36" s="558">
        <f>'Sources and Uses Budget'!S36</f>
        <v>31500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f t="shared" ref="G37" si="0">D37</f>
        <v>0</v>
      </c>
      <c r="H37" s="558">
        <f>'Sources and Uses Budget'!T37</f>
        <v>0</v>
      </c>
      <c r="I37" s="559"/>
      <c r="J37" s="559"/>
      <c r="K37" s="556"/>
    </row>
    <row r="38" spans="1:11" s="557" customFormat="1">
      <c r="A38" s="566" t="s">
        <v>148</v>
      </c>
      <c r="B38" s="558">
        <f>'Sources and Uses Budget'!C38</f>
        <v>33711064</v>
      </c>
      <c r="C38" s="558">
        <f>SUM(C29:C37)</f>
        <v>0</v>
      </c>
      <c r="D38" s="558">
        <f>SUM(D29:D37)</f>
        <v>0</v>
      </c>
      <c r="E38" s="558">
        <f>'Sources and Uses Budget'!S38</f>
        <v>33631654</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1777063</v>
      </c>
      <c r="C40" s="559"/>
      <c r="D40" s="559"/>
      <c r="E40" s="558">
        <f>'Sources and Uses Budget'!S40</f>
        <v>1777063</v>
      </c>
      <c r="F40" s="559"/>
      <c r="G40" s="559">
        <f>D40</f>
        <v>0</v>
      </c>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1777063</v>
      </c>
      <c r="C42" s="558">
        <f>SUM(C39:C41)</f>
        <v>0</v>
      </c>
      <c r="D42" s="558">
        <f>SUM(D39:D41)</f>
        <v>0</v>
      </c>
      <c r="E42" s="558">
        <f>'Sources and Uses Budget'!S42</f>
        <v>1777063</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340025</v>
      </c>
      <c r="C43" s="559"/>
      <c r="D43" s="559"/>
      <c r="E43" s="558">
        <f>'Sources and Uses Budget'!S43</f>
        <v>340025</v>
      </c>
      <c r="F43" s="559"/>
      <c r="G43" s="559">
        <f>D43</f>
        <v>0</v>
      </c>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2091695</v>
      </c>
      <c r="C45" s="559"/>
      <c r="D45" s="559"/>
      <c r="E45" s="558">
        <f>'Sources and Uses Budget'!S45</f>
        <v>2091695</v>
      </c>
      <c r="F45" s="559"/>
      <c r="G45" s="559"/>
      <c r="H45" s="558">
        <f>'Sources and Uses Budget'!T45</f>
        <v>0</v>
      </c>
      <c r="I45" s="559"/>
      <c r="J45" s="559"/>
      <c r="K45" s="556"/>
    </row>
    <row r="46" spans="1:11" s="557" customFormat="1">
      <c r="A46" s="561" t="s">
        <v>156</v>
      </c>
      <c r="B46" s="558">
        <f>'Sources and Uses Budget'!C46</f>
        <v>57698</v>
      </c>
      <c r="C46" s="559"/>
      <c r="D46" s="559"/>
      <c r="E46" s="558">
        <f>'Sources and Uses Budget'!S46</f>
        <v>57698</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85000</v>
      </c>
      <c r="C50" s="559"/>
      <c r="D50" s="559"/>
      <c r="E50" s="558">
        <f>'Sources and Uses Budget'!S50</f>
        <v>85000</v>
      </c>
      <c r="F50" s="559"/>
      <c r="G50" s="559"/>
      <c r="H50" s="558">
        <f>'Sources and Uses Budget'!T50</f>
        <v>0</v>
      </c>
      <c r="I50" s="559"/>
      <c r="J50" s="559"/>
      <c r="K50" s="556"/>
    </row>
    <row r="51" spans="1:11" s="557" customFormat="1">
      <c r="A51" s="561" t="s">
        <v>159</v>
      </c>
      <c r="B51" s="558">
        <f>'Sources and Uses Budget'!C51</f>
        <v>29470</v>
      </c>
      <c r="C51" s="559"/>
      <c r="D51" s="559"/>
      <c r="E51" s="558">
        <f>'Sources and Uses Budget'!S51</f>
        <v>29470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Lease Payments during Const</v>
      </c>
      <c r="B53" s="558">
        <f>'Sources and Uses Budget'!C53</f>
        <v>1027973</v>
      </c>
      <c r="C53" s="559"/>
      <c r="D53" s="559"/>
      <c r="E53" s="558">
        <f>'Sources and Uses Budget'!S53</f>
        <v>1027973</v>
      </c>
      <c r="F53" s="559"/>
      <c r="G53" s="559"/>
      <c r="H53" s="558">
        <f>'Sources and Uses Budget'!T53</f>
        <v>0</v>
      </c>
      <c r="I53" s="559"/>
      <c r="J53" s="559"/>
      <c r="K53" s="556"/>
    </row>
    <row r="54" spans="1:11" s="568" customFormat="1">
      <c r="A54" s="562" t="s">
        <v>162</v>
      </c>
      <c r="B54" s="558">
        <f>'Sources and Uses Budget'!C54</f>
        <v>3291836</v>
      </c>
      <c r="C54" s="565">
        <f>SUM(C45:C53)</f>
        <v>0</v>
      </c>
      <c r="D54" s="565">
        <f>SUM(D45:D53)</f>
        <v>0</v>
      </c>
      <c r="E54" s="558">
        <f>'Sources and Uses Budget'!S54</f>
        <v>3291836</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1156068</v>
      </c>
      <c r="C56" s="559"/>
      <c r="D56" s="559"/>
      <c r="E56" s="560"/>
      <c r="F56" s="560"/>
      <c r="G56" s="560"/>
      <c r="H56" s="560"/>
      <c r="I56" s="560"/>
      <c r="J56" s="560"/>
      <c r="K56" s="556"/>
    </row>
    <row r="57" spans="1:11" s="557" customFormat="1" ht="12" customHeight="1">
      <c r="A57" s="561" t="s">
        <v>157</v>
      </c>
      <c r="B57" s="558">
        <f>'Sources and Uses Budget'!C57</f>
        <v>236600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Interest prior to conversion</v>
      </c>
      <c r="B61" s="558">
        <f>'Sources and Uses Budget'!C61</f>
        <v>2752718</v>
      </c>
      <c r="C61" s="559"/>
      <c r="D61" s="559"/>
      <c r="E61" s="560"/>
      <c r="F61" s="560"/>
      <c r="G61" s="560"/>
      <c r="H61" s="560"/>
      <c r="I61" s="560"/>
      <c r="J61" s="560"/>
      <c r="K61" s="556"/>
    </row>
    <row r="62" spans="1:11" s="557" customFormat="1" ht="13.7" customHeight="1">
      <c r="A62" s="562" t="s">
        <v>307</v>
      </c>
      <c r="B62" s="558">
        <f>'Sources and Uses Budget'!C62</f>
        <v>4145386</v>
      </c>
      <c r="C62" s="558">
        <f>SUM(C56:C61)</f>
        <v>0</v>
      </c>
      <c r="D62" s="558">
        <f>SUM(D56:D61)</f>
        <v>0</v>
      </c>
      <c r="E62" s="560"/>
      <c r="F62" s="560"/>
      <c r="G62" s="560"/>
      <c r="H62" s="560"/>
      <c r="I62" s="560"/>
      <c r="J62" s="560"/>
      <c r="K62" s="556"/>
    </row>
    <row r="63" spans="1:11" s="557" customFormat="1">
      <c r="A63" s="569" t="s">
        <v>308</v>
      </c>
      <c r="B63" s="558">
        <f>'Sources and Uses Budget'!C63</f>
        <v>45939712</v>
      </c>
      <c r="C63" s="558">
        <f>SUM(C8+C11+C13+C14+C15+C26+C27+C38+C42+C43+C54+C62)</f>
        <v>0</v>
      </c>
      <c r="D63" s="558">
        <f>SUM(D8+D11+D13+D14+D15+D26+D27+D38+D42+D43+D54+D62)</f>
        <v>0</v>
      </c>
      <c r="E63" s="558">
        <f>'Sources and Uses Budget'!S63</f>
        <v>40534916</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1857</v>
      </c>
      <c r="B64" s="555"/>
      <c r="C64" s="555"/>
      <c r="D64" s="555"/>
      <c r="E64" s="555"/>
      <c r="F64" s="555"/>
      <c r="G64" s="555"/>
      <c r="H64" s="555"/>
      <c r="I64" s="555"/>
      <c r="J64" s="555"/>
      <c r="K64" s="556"/>
    </row>
    <row r="65" spans="1:11" s="557" customFormat="1">
      <c r="A65" s="215" t="s">
        <v>176</v>
      </c>
      <c r="B65" s="558">
        <f>'Sources and Uses Budget'!C65</f>
        <v>85000</v>
      </c>
      <c r="C65" s="559"/>
      <c r="D65" s="559"/>
      <c r="E65" s="558">
        <f>'Sources and Uses Budget'!S65</f>
        <v>0</v>
      </c>
      <c r="F65" s="559"/>
      <c r="G65" s="559"/>
      <c r="H65" s="558">
        <f>'Sources and Uses Budget'!T65</f>
        <v>0</v>
      </c>
      <c r="I65" s="559"/>
      <c r="J65" s="559"/>
      <c r="K65" s="556"/>
    </row>
    <row r="66" spans="1:11" s="557" customFormat="1" ht="24">
      <c r="A66" s="437" t="s">
        <v>1854</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1855</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1861</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85000</v>
      </c>
      <c r="C70" s="558">
        <f>SUM(C64:C69)</f>
        <v>0</v>
      </c>
      <c r="D70" s="558">
        <f>SUM(D64:D69)</f>
        <v>0</v>
      </c>
      <c r="E70" s="558">
        <f>'Sources and Uses Budget'!S70</f>
        <v>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632</v>
      </c>
      <c r="B75" s="558">
        <f>'Sources and Uses Budget'!C75</f>
        <v>694582</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694582</v>
      </c>
      <c r="C77" s="558">
        <f>SUM(C72:C76)</f>
        <v>0</v>
      </c>
      <c r="D77" s="558">
        <f>SUM(D72:D76)</f>
        <v>0</v>
      </c>
      <c r="E77" s="560"/>
      <c r="F77" s="560"/>
      <c r="G77" s="560"/>
      <c r="H77" s="560"/>
      <c r="I77" s="560"/>
      <c r="J77" s="560"/>
      <c r="K77" s="556"/>
    </row>
    <row r="78" spans="1:11" s="557" customFormat="1">
      <c r="A78" s="554" t="s">
        <v>1377</v>
      </c>
      <c r="B78" s="555"/>
      <c r="C78" s="555"/>
      <c r="D78" s="555"/>
      <c r="E78" s="555"/>
      <c r="F78" s="555"/>
      <c r="G78" s="555"/>
      <c r="H78" s="555"/>
      <c r="I78" s="555"/>
      <c r="J78" s="555"/>
      <c r="K78" s="556"/>
    </row>
    <row r="79" spans="1:11" s="557" customFormat="1">
      <c r="A79" s="561" t="s">
        <v>1379</v>
      </c>
      <c r="B79" s="558">
        <f>'Sources and Uses Budget'!C79</f>
        <v>2518852</v>
      </c>
      <c r="C79" s="559"/>
      <c r="D79" s="559"/>
      <c r="E79" s="558">
        <f>'Sources and Uses Budget'!S79</f>
        <v>2518852</v>
      </c>
      <c r="F79" s="559"/>
      <c r="G79" s="559"/>
      <c r="H79" s="558">
        <f>'Sources and Uses Budget'!T79</f>
        <v>0</v>
      </c>
      <c r="I79" s="559"/>
      <c r="J79" s="559"/>
      <c r="K79" s="556"/>
    </row>
    <row r="80" spans="1:11" s="557" customFormat="1">
      <c r="A80" s="561" t="s">
        <v>61</v>
      </c>
      <c r="B80" s="558">
        <f>'Sources and Uses Budget'!C80</f>
        <v>396182</v>
      </c>
      <c r="C80" s="559"/>
      <c r="D80" s="559"/>
      <c r="E80" s="558">
        <f>'Sources and Uses Budget'!S80</f>
        <v>396182</v>
      </c>
      <c r="F80" s="559"/>
      <c r="G80" s="559"/>
      <c r="H80" s="558">
        <f>'Sources and Uses Budget'!T80</f>
        <v>0</v>
      </c>
      <c r="I80" s="559"/>
      <c r="J80" s="559"/>
      <c r="K80" s="556"/>
    </row>
    <row r="81" spans="1:11" s="557" customFormat="1">
      <c r="A81" s="562" t="s">
        <v>1376</v>
      </c>
      <c r="B81" s="558">
        <f>'Sources and Uses Budget'!C81</f>
        <v>2915034</v>
      </c>
      <c r="C81" s="558">
        <f>SUM(C79:C80)</f>
        <v>0</v>
      </c>
      <c r="D81" s="558">
        <f>SUM(D79:D80)</f>
        <v>0</v>
      </c>
      <c r="E81" s="558">
        <f>'Sources and Uses Budget'!S81</f>
        <v>2915034</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2651</v>
      </c>
      <c r="B83" s="558">
        <f>'Sources and Uses Budget'!C83</f>
        <v>90729</v>
      </c>
      <c r="C83" s="559"/>
      <c r="D83" s="559"/>
      <c r="E83" s="560"/>
      <c r="F83" s="560"/>
      <c r="G83" s="560"/>
      <c r="H83" s="560"/>
      <c r="I83" s="560"/>
      <c r="J83" s="560"/>
      <c r="K83" s="556"/>
    </row>
    <row r="84" spans="1:11" s="557" customFormat="1">
      <c r="A84" s="215" t="s">
        <v>809</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810</v>
      </c>
      <c r="B85" s="558">
        <f>'Sources and Uses Budget'!C85</f>
        <v>3835784</v>
      </c>
      <c r="C85" s="559"/>
      <c r="D85" s="559"/>
      <c r="E85" s="558">
        <f>'Sources and Uses Budget'!S85</f>
        <v>3835784</v>
      </c>
      <c r="F85" s="559"/>
      <c r="G85" s="559"/>
      <c r="H85" s="558">
        <f>'Sources and Uses Budget'!T85</f>
        <v>0</v>
      </c>
      <c r="I85" s="559"/>
      <c r="J85" s="559"/>
      <c r="K85" s="556"/>
    </row>
    <row r="86" spans="1:11" s="557" customFormat="1">
      <c r="A86" s="215" t="s">
        <v>811</v>
      </c>
      <c r="B86" s="558">
        <f>'Sources and Uses Budget'!C86</f>
        <v>1002747</v>
      </c>
      <c r="C86" s="559"/>
      <c r="D86" s="559"/>
      <c r="E86" s="558">
        <f>'Sources and Uses Budget'!S86</f>
        <v>1002747</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172500</v>
      </c>
      <c r="C88" s="559"/>
      <c r="D88" s="559"/>
      <c r="E88" s="560"/>
      <c r="F88" s="560"/>
      <c r="G88" s="560"/>
      <c r="H88" s="560"/>
      <c r="I88" s="560"/>
      <c r="J88" s="560"/>
      <c r="K88" s="556"/>
    </row>
    <row r="89" spans="1:11" s="557" customFormat="1">
      <c r="A89" s="215" t="s">
        <v>814</v>
      </c>
      <c r="B89" s="558">
        <f>'Sources and Uses Budget'!C89</f>
        <v>285800</v>
      </c>
      <c r="C89" s="559"/>
      <c r="D89" s="559"/>
      <c r="E89" s="558">
        <f>'Sources and Uses Budget'!S89</f>
        <v>285800</v>
      </c>
      <c r="F89" s="559"/>
      <c r="G89" s="559"/>
      <c r="H89" s="558">
        <f>'Sources and Uses Budget'!T89</f>
        <v>0</v>
      </c>
      <c r="I89" s="559"/>
      <c r="J89" s="559"/>
      <c r="K89" s="556"/>
    </row>
    <row r="90" spans="1:11" s="557" customFormat="1">
      <c r="A90" s="215" t="s">
        <v>815</v>
      </c>
      <c r="B90" s="558">
        <f>'Sources and Uses Budget'!C90</f>
        <v>12500</v>
      </c>
      <c r="C90" s="559"/>
      <c r="D90" s="559"/>
      <c r="E90" s="558">
        <f>'Sources and Uses Budget'!S90</f>
        <v>12500</v>
      </c>
      <c r="F90" s="559"/>
      <c r="G90" s="559"/>
      <c r="H90" s="558">
        <f>'Sources and Uses Budget'!T90</f>
        <v>0</v>
      </c>
      <c r="I90" s="559"/>
      <c r="J90" s="559"/>
      <c r="K90" s="556"/>
    </row>
    <row r="91" spans="1:11" s="557" customFormat="1">
      <c r="A91" s="226" t="s">
        <v>387</v>
      </c>
      <c r="B91" s="558">
        <f>'Sources and Uses Budget'!C91</f>
        <v>25000</v>
      </c>
      <c r="C91" s="559"/>
      <c r="D91" s="559"/>
      <c r="E91" s="558">
        <f>'Sources and Uses Budget'!S91</f>
        <v>25000</v>
      </c>
      <c r="F91" s="559"/>
      <c r="G91" s="559"/>
      <c r="H91" s="558">
        <f>'Sources and Uses Budget'!T91</f>
        <v>0</v>
      </c>
      <c r="I91" s="559"/>
      <c r="J91" s="559"/>
      <c r="K91" s="556"/>
    </row>
    <row r="92" spans="1:11" s="557" customFormat="1">
      <c r="A92" s="850" t="s">
        <v>1378</v>
      </c>
      <c r="B92" s="558">
        <f>'Sources and Uses Budget'!C92</f>
        <v>7500</v>
      </c>
      <c r="C92" s="559"/>
      <c r="D92" s="559"/>
      <c r="E92" s="558">
        <f>'Sources and Uses Budget'!S92</f>
        <v>7500</v>
      </c>
      <c r="F92" s="559"/>
      <c r="G92" s="559"/>
      <c r="H92" s="558">
        <f>'Sources and Uses Budget'!T92</f>
        <v>0</v>
      </c>
      <c r="I92" s="559"/>
      <c r="J92" s="559"/>
      <c r="K92" s="556"/>
    </row>
    <row r="93" spans="1:11" s="557" customFormat="1">
      <c r="A93" s="564" t="str">
        <f>'Sources and Uses Budget'!$A93</f>
        <v>Other: Development Expense</v>
      </c>
      <c r="B93" s="558">
        <f>'Sources and Uses Budget'!C93</f>
        <v>269304</v>
      </c>
      <c r="C93" s="559"/>
      <c r="D93" s="559"/>
      <c r="E93" s="558">
        <f>'Sources and Uses Budget'!S93</f>
        <v>269304</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f t="shared" ref="D94:D95" si="1">B94</f>
        <v>0</v>
      </c>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f t="shared" si="1"/>
        <v>0</v>
      </c>
      <c r="E95" s="558">
        <f>'Sources and Uses Budget'!S95</f>
        <v>0</v>
      </c>
      <c r="F95" s="559"/>
      <c r="G95" s="559"/>
      <c r="H95" s="558">
        <f>'Sources and Uses Budget'!T95</f>
        <v>0</v>
      </c>
      <c r="I95" s="559"/>
      <c r="J95" s="559"/>
      <c r="K95" s="556"/>
    </row>
    <row r="96" spans="1:11" s="557" customFormat="1">
      <c r="A96" s="562" t="s">
        <v>816</v>
      </c>
      <c r="B96" s="558">
        <f>'Sources and Uses Budget'!C96</f>
        <v>5701864</v>
      </c>
      <c r="C96" s="558">
        <f>SUM(C83:C95)</f>
        <v>0</v>
      </c>
      <c r="D96" s="558">
        <f>SUM(D83:D95)</f>
        <v>0</v>
      </c>
      <c r="E96" s="558">
        <f>'Sources and Uses Budget'!S96</f>
        <v>5438635</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55336192</v>
      </c>
      <c r="C97" s="558">
        <f>SUM(C63+C70+C77+C81+C96)</f>
        <v>0</v>
      </c>
      <c r="D97" s="558">
        <f>SUM(D63+D70+D77+D81+D96)</f>
        <v>0</v>
      </c>
      <c r="E97" s="558">
        <f>'Sources and Uses Budget'!S97</f>
        <v>48888585</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7333287</v>
      </c>
      <c r="C99" s="559"/>
      <c r="D99" s="559"/>
      <c r="E99" s="558">
        <f>'Sources and Uses Budget'!S99</f>
        <v>7333287</v>
      </c>
      <c r="F99" s="559"/>
      <c r="G99" s="559"/>
      <c r="H99" s="558">
        <f>'Sources and Uses Budget'!T99</f>
        <v>0</v>
      </c>
      <c r="I99" s="559"/>
      <c r="J99" s="559"/>
      <c r="K99" s="556"/>
    </row>
    <row r="100" spans="1:11" s="557" customFormat="1">
      <c r="A100" s="437" t="s">
        <v>1859</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1860</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7333287</v>
      </c>
      <c r="C104" s="558">
        <f>SUM(C99:C103)</f>
        <v>0</v>
      </c>
      <c r="D104" s="558">
        <f>SUM(D99:D103)</f>
        <v>0</v>
      </c>
      <c r="E104" s="558">
        <f>'Sources and Uses Budget'!S104</f>
        <v>7333287</v>
      </c>
      <c r="F104" s="565">
        <f>SUM(F99:F103)</f>
        <v>0</v>
      </c>
      <c r="G104" s="565">
        <f>SUM(G99:G103)</f>
        <v>0</v>
      </c>
      <c r="H104" s="558">
        <f>'Sources and Uses Budget'!T104</f>
        <v>0</v>
      </c>
      <c r="I104" s="565">
        <f>SUM(I99:I103)</f>
        <v>0</v>
      </c>
      <c r="J104" s="565">
        <f>SUM(J99:J103)</f>
        <v>0</v>
      </c>
      <c r="K104" s="556"/>
    </row>
    <row r="105" spans="1:11" s="557" customFormat="1">
      <c r="A105" s="562" t="s">
        <v>1111</v>
      </c>
      <c r="B105" s="558">
        <f>'Sources and Uses Budget'!C105</f>
        <v>62669479</v>
      </c>
      <c r="C105" s="565">
        <f>SUM(C97+C104)</f>
        <v>0</v>
      </c>
      <c r="D105" s="565">
        <f>SUM(D97+D104)</f>
        <v>0</v>
      </c>
      <c r="E105" s="558">
        <f>'Sources and Uses Budget'!S105</f>
        <v>56221872</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56221872</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80"/>
      <c r="E124" s="2681"/>
      <c r="F124" s="2681"/>
      <c r="G124" s="2681"/>
      <c r="H124" s="2681"/>
      <c r="I124" s="2681"/>
      <c r="J124" s="576"/>
      <c r="K124" s="556"/>
    </row>
    <row r="125" spans="1:11" s="557" customFormat="1" ht="12.75">
      <c r="A125" s="587"/>
      <c r="B125" s="586"/>
      <c r="C125" s="587"/>
      <c r="D125" s="2681"/>
      <c r="E125" s="2681"/>
      <c r="F125" s="2681"/>
      <c r="G125" s="2681"/>
      <c r="H125" s="2681"/>
      <c r="I125" s="2681"/>
      <c r="J125" s="576"/>
      <c r="K125" s="556"/>
    </row>
    <row r="126" spans="1:11" s="557" customFormat="1" ht="12.75">
      <c r="A126" s="587"/>
      <c r="B126" s="586"/>
      <c r="C126" s="587"/>
      <c r="D126" s="2681"/>
      <c r="E126" s="2681"/>
      <c r="F126" s="2681"/>
      <c r="G126" s="2681"/>
      <c r="H126" s="2681"/>
      <c r="I126" s="2681"/>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82"/>
      <c r="B139" s="2683"/>
      <c r="C139" s="2683"/>
      <c r="D139" s="599"/>
      <c r="E139" s="587"/>
      <c r="F139" s="587"/>
      <c r="G139" s="587"/>
    </row>
    <row r="140" spans="1:11" ht="12" customHeight="1">
      <c r="A140" s="2684"/>
      <c r="B140" s="2685"/>
      <c r="C140" s="2685"/>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M8EDzXhu4zVTBuYClMetfsgf3gHZGm3KNJeztGCUgqWhV4xFUPry/bCnpdkjFpv3cM0Ew4INcb8INP/IiesHnA==" saltValue="vGln0NXKop/tcaV6CnbN7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99" zoomScaleNormal="100" workbookViewId="0">
      <selection activeCell="S15" sqref="S15:W15"/>
    </sheetView>
  </sheetViews>
  <sheetFormatPr defaultColWidth="2.7109375" defaultRowHeight="15.75" customHeight="1"/>
  <cols>
    <col min="1" max="37" width="2.7109375" style="1141"/>
    <col min="38" max="38" width="3" style="1141" customWidth="1"/>
    <col min="39" max="64" width="2.7109375" style="1141"/>
    <col min="65" max="65" width="6.140625" style="1141" bestFit="1" customWidth="1"/>
    <col min="66" max="70" width="5.5703125" style="1141" bestFit="1" customWidth="1"/>
    <col min="71" max="71" width="6.140625" style="1141" bestFit="1" customWidth="1"/>
    <col min="72" max="76" width="5.5703125" style="1141" bestFit="1" customWidth="1"/>
    <col min="77" max="77" width="6.140625" style="1141" bestFit="1" customWidth="1"/>
    <col min="78" max="78" width="5.5703125" style="1141" bestFit="1" customWidth="1"/>
    <col min="79" max="16384" width="2.7109375" style="1141"/>
  </cols>
  <sheetData>
    <row r="1" spans="1:65" ht="15.75" customHeight="1">
      <c r="A1" s="3119" t="s">
        <v>2653</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c r="AN1" s="3120"/>
      <c r="AO1" s="3120"/>
      <c r="AP1" s="3120"/>
      <c r="AQ1" s="3120"/>
      <c r="AR1" s="3120"/>
      <c r="AS1" s="3120"/>
      <c r="AT1" s="3120"/>
      <c r="AU1" s="3120"/>
      <c r="AV1" s="3120"/>
      <c r="AW1" s="3120"/>
      <c r="AX1" s="3120"/>
      <c r="AY1" s="3120"/>
      <c r="AZ1" s="3120"/>
      <c r="BA1" s="3120"/>
      <c r="BB1" s="3120"/>
      <c r="BC1" s="3120"/>
      <c r="BD1" s="3120"/>
      <c r="BE1" s="3121"/>
    </row>
    <row r="2" spans="1:65" ht="15.75" customHeight="1">
      <c r="A2" s="3122" t="s">
        <v>2654</v>
      </c>
      <c r="B2" s="3123"/>
      <c r="C2" s="3123"/>
      <c r="D2" s="3123"/>
      <c r="E2" s="3123"/>
      <c r="F2" s="3123"/>
      <c r="G2" s="3123"/>
      <c r="H2" s="3123"/>
      <c r="I2" s="3123"/>
      <c r="J2" s="3123"/>
      <c r="K2" s="3123"/>
      <c r="L2" s="3123"/>
      <c r="M2" s="3123"/>
      <c r="N2" s="3123"/>
      <c r="O2" s="3123"/>
      <c r="P2" s="3123"/>
      <c r="Q2" s="3123"/>
      <c r="R2" s="3123"/>
      <c r="S2" s="3123"/>
      <c r="T2" s="3123"/>
      <c r="U2" s="3123"/>
      <c r="V2" s="3123"/>
      <c r="W2" s="3123"/>
      <c r="X2" s="3123"/>
      <c r="Y2" s="3123"/>
      <c r="Z2" s="3123"/>
      <c r="AA2" s="3123"/>
      <c r="AB2" s="3123"/>
      <c r="AC2" s="3123"/>
      <c r="AD2" s="3123"/>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3"/>
      <c r="BC2" s="3123"/>
      <c r="BD2" s="3123"/>
      <c r="BE2" s="3124"/>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683</v>
      </c>
      <c r="C4" s="1146"/>
      <c r="D4" s="1146"/>
      <c r="E4" s="1146"/>
      <c r="F4" s="1146"/>
      <c r="G4" s="1144"/>
      <c r="H4" s="1144"/>
      <c r="I4" s="1144"/>
      <c r="J4" s="1144"/>
      <c r="K4" s="1144"/>
      <c r="L4" s="3050" t="str">
        <f>IF(Application!H18="","",Application!H18)</f>
        <v>Orion</v>
      </c>
      <c r="M4" s="3051"/>
      <c r="N4" s="3051"/>
      <c r="O4" s="3051"/>
      <c r="P4" s="3051"/>
      <c r="Q4" s="3051"/>
      <c r="R4" s="3051"/>
      <c r="S4" s="3051"/>
      <c r="T4" s="3051"/>
      <c r="U4" s="3051"/>
      <c r="V4" s="3051"/>
      <c r="W4" s="3051"/>
      <c r="X4" s="3051"/>
      <c r="Y4" s="3051"/>
      <c r="Z4" s="3051"/>
      <c r="AA4" s="3051"/>
      <c r="AB4" s="3051"/>
      <c r="AC4" s="3052"/>
      <c r="AD4" s="1144"/>
      <c r="AE4" s="1144"/>
      <c r="AF4" s="2751" t="s">
        <v>1891</v>
      </c>
      <c r="AG4" s="2752"/>
      <c r="AH4" s="2752"/>
      <c r="AI4" s="2752"/>
      <c r="AJ4" s="2752"/>
      <c r="AK4" s="2752"/>
      <c r="AL4" s="2752"/>
      <c r="AM4" s="2752"/>
      <c r="AN4" s="2752"/>
      <c r="AO4" s="2752"/>
      <c r="AP4" s="3125">
        <v>44562</v>
      </c>
      <c r="AQ4" s="3098"/>
      <c r="AR4" s="3098"/>
      <c r="AS4" s="3098"/>
      <c r="AT4" s="3098"/>
      <c r="AU4" s="3099"/>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807" t="s">
        <v>1892</v>
      </c>
      <c r="AG5" s="2808"/>
      <c r="AH5" s="2808"/>
      <c r="AI5" s="2808"/>
      <c r="AJ5" s="2808"/>
      <c r="AK5" s="2808"/>
      <c r="AL5" s="2808"/>
      <c r="AM5" s="2808"/>
      <c r="AN5" s="2808"/>
      <c r="AO5" s="2808"/>
      <c r="AP5" s="3125">
        <v>44562</v>
      </c>
      <c r="AQ5" s="3098"/>
      <c r="AR5" s="3098"/>
      <c r="AS5" s="3098"/>
      <c r="AT5" s="3098"/>
      <c r="AU5" s="3099"/>
      <c r="AV5" s="1144"/>
      <c r="AW5" s="1144"/>
      <c r="AX5" s="1144"/>
      <c r="AY5" s="1144"/>
      <c r="AZ5" s="1144"/>
      <c r="BA5" s="1144"/>
      <c r="BB5" s="1144"/>
      <c r="BC5" s="1144"/>
      <c r="BD5" s="1144"/>
      <c r="BE5" s="1145"/>
    </row>
    <row r="6" spans="1:65" ht="15.75" customHeight="1" thickBot="1">
      <c r="A6" s="1143"/>
      <c r="B6" s="1146" t="s">
        <v>1893</v>
      </c>
      <c r="C6" s="1144"/>
      <c r="D6" s="1144"/>
      <c r="E6" s="1144"/>
      <c r="F6" s="1144"/>
      <c r="G6" s="1144"/>
      <c r="H6" s="1144"/>
      <c r="I6" s="1144"/>
      <c r="J6" s="1144"/>
      <c r="K6" s="1144"/>
      <c r="L6" s="3104" t="str">
        <f>IF(Application!H16="","",Application!H16)</f>
        <v>Orange 702, L.P.</v>
      </c>
      <c r="M6" s="3105"/>
      <c r="N6" s="3105"/>
      <c r="O6" s="3105"/>
      <c r="P6" s="3105"/>
      <c r="Q6" s="3105"/>
      <c r="R6" s="3105"/>
      <c r="S6" s="3105"/>
      <c r="T6" s="3105"/>
      <c r="U6" s="3105"/>
      <c r="V6" s="3105"/>
      <c r="W6" s="3105"/>
      <c r="X6" s="3105"/>
      <c r="Y6" s="3105"/>
      <c r="Z6" s="3105"/>
      <c r="AA6" s="3105"/>
      <c r="AB6" s="3105"/>
      <c r="AC6" s="3106"/>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thickBot="1">
      <c r="A8" s="1143"/>
      <c r="B8" s="1146" t="s">
        <v>1894</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3107" t="str">
        <f>Application!T196</f>
        <v>No</v>
      </c>
      <c r="AC8" s="3108"/>
      <c r="AD8" s="3109"/>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thickBot="1">
      <c r="A10" s="1143"/>
      <c r="B10" s="1146" t="s">
        <v>1896</v>
      </c>
      <c r="C10" s="1146"/>
      <c r="D10" s="1146"/>
      <c r="E10" s="1146"/>
      <c r="F10" s="1146"/>
      <c r="G10" s="1146"/>
      <c r="H10" s="1146"/>
      <c r="I10" s="1146"/>
      <c r="J10" s="1146"/>
      <c r="K10" s="1146"/>
      <c r="L10" s="1146"/>
      <c r="M10" s="1144"/>
      <c r="N10" s="3110">
        <f>Application!AO637</f>
        <v>19580000</v>
      </c>
      <c r="O10" s="3111"/>
      <c r="P10" s="3111"/>
      <c r="Q10" s="3111"/>
      <c r="R10" s="3111"/>
      <c r="S10" s="3111"/>
      <c r="T10" s="3112"/>
      <c r="U10" s="1144"/>
      <c r="V10" s="1144"/>
      <c r="W10" s="1144"/>
      <c r="X10" s="2792" t="s">
        <v>1897</v>
      </c>
      <c r="Y10" s="2793"/>
      <c r="Z10" s="2793"/>
      <c r="AA10" s="2793"/>
      <c r="AB10" s="2793"/>
      <c r="AC10" s="2793"/>
      <c r="AD10" s="2793"/>
      <c r="AE10" s="2793"/>
      <c r="AF10" s="2793"/>
      <c r="AG10" s="2793"/>
      <c r="AH10" s="2793"/>
      <c r="AI10" s="2793"/>
      <c r="AJ10" s="2793"/>
      <c r="AK10" s="2794"/>
      <c r="AL10" s="3129">
        <f>Application!W471</f>
        <v>0</v>
      </c>
      <c r="AM10" s="3108"/>
      <c r="AN10" s="3108"/>
      <c r="AO10" s="3108"/>
      <c r="AP10" s="3109"/>
      <c r="AQ10" s="1147"/>
      <c r="AR10" s="1147"/>
      <c r="AS10" s="1147"/>
      <c r="AT10" s="1147"/>
      <c r="AU10" s="1147"/>
      <c r="AV10" s="1147"/>
      <c r="AW10" s="1147"/>
      <c r="AX10" s="1144"/>
      <c r="AY10" s="1144"/>
      <c r="AZ10" s="1144"/>
      <c r="BA10" s="1144"/>
      <c r="BB10" s="1144"/>
      <c r="BC10" s="1144"/>
      <c r="BD10" s="1144"/>
      <c r="BE10" s="1145"/>
    </row>
    <row r="11" spans="1:65" thickBot="1">
      <c r="A11" s="1143"/>
      <c r="B11" s="1146" t="s">
        <v>1898</v>
      </c>
      <c r="C11" s="1146"/>
      <c r="D11" s="1146"/>
      <c r="E11" s="1146"/>
      <c r="F11" s="1146"/>
      <c r="G11" s="1146"/>
      <c r="H11" s="1146"/>
      <c r="I11" s="1146"/>
      <c r="J11" s="1146"/>
      <c r="K11" s="1146"/>
      <c r="L11" s="1146"/>
      <c r="M11" s="1144"/>
      <c r="N11" s="3113">
        <f>Application!AA925</f>
        <v>0</v>
      </c>
      <c r="O11" s="3114"/>
      <c r="P11" s="3114"/>
      <c r="Q11" s="3114"/>
      <c r="R11" s="3114"/>
      <c r="S11" s="3114"/>
      <c r="T11" s="3115"/>
      <c r="U11" s="1144"/>
      <c r="V11" s="1144"/>
      <c r="W11" s="1144"/>
      <c r="X11" s="3116" t="s">
        <v>1899</v>
      </c>
      <c r="Y11" s="3117"/>
      <c r="Z11" s="3117"/>
      <c r="AA11" s="3117"/>
      <c r="AB11" s="3117"/>
      <c r="AC11" s="3117"/>
      <c r="AD11" s="3117"/>
      <c r="AE11" s="3117"/>
      <c r="AF11" s="3117"/>
      <c r="AG11" s="3117"/>
      <c r="AH11" s="3117"/>
      <c r="AI11" s="3117"/>
      <c r="AJ11" s="3117"/>
      <c r="AK11" s="3118"/>
      <c r="AL11" s="3126">
        <v>44562</v>
      </c>
      <c r="AM11" s="3127"/>
      <c r="AN11" s="3127"/>
      <c r="AO11" s="3127"/>
      <c r="AP11" s="3128"/>
      <c r="AQ11" s="1148"/>
      <c r="AR11" s="1149"/>
      <c r="AS11" s="1147"/>
      <c r="AT11" s="1147"/>
      <c r="AU11" s="1147"/>
      <c r="AV11" s="1147"/>
      <c r="AW11" s="1147"/>
      <c r="AX11" s="1144"/>
      <c r="AY11" s="1144"/>
      <c r="AZ11" s="1144"/>
      <c r="BA11" s="1144"/>
      <c r="BB11" s="1144"/>
      <c r="BC11" s="1144"/>
      <c r="BD11" s="1144"/>
      <c r="BE11" s="1145"/>
    </row>
    <row r="12" spans="1:6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92" t="s">
        <v>2655</v>
      </c>
      <c r="Y12" s="2793"/>
      <c r="Z12" s="2793"/>
      <c r="AA12" s="2793"/>
      <c r="AB12" s="2793"/>
      <c r="AC12" s="2793"/>
      <c r="AD12" s="2793"/>
      <c r="AE12" s="2793"/>
      <c r="AF12" s="2793"/>
      <c r="AG12" s="2793"/>
      <c r="AH12" s="2793"/>
      <c r="AI12" s="2793"/>
      <c r="AJ12" s="2793"/>
      <c r="AK12" s="2794"/>
      <c r="AL12" s="3126">
        <v>44562</v>
      </c>
      <c r="AM12" s="3127"/>
      <c r="AN12" s="3127"/>
      <c r="AO12" s="3127"/>
      <c r="AP12" s="3128"/>
      <c r="AQ12" s="1147"/>
      <c r="AR12" s="1147"/>
      <c r="AS12" s="1147"/>
      <c r="AT12" s="1147"/>
      <c r="AU12" s="1147"/>
      <c r="AV12" s="1144"/>
      <c r="AW12" s="1144"/>
      <c r="AX12" s="1144"/>
      <c r="AY12" s="1144"/>
      <c r="AZ12" s="1144"/>
      <c r="BA12" s="1144"/>
      <c r="BB12" s="1144"/>
      <c r="BC12" s="1144"/>
      <c r="BD12" s="1144"/>
      <c r="BE12" s="1150"/>
    </row>
    <row r="13" spans="1:65" thickBot="1">
      <c r="A13" s="1144"/>
      <c r="B13" s="2792" t="s">
        <v>1900</v>
      </c>
      <c r="C13" s="2793"/>
      <c r="D13" s="2793"/>
      <c r="E13" s="2793"/>
      <c r="F13" s="2793"/>
      <c r="G13" s="2793"/>
      <c r="H13" s="2793"/>
      <c r="I13" s="2793"/>
      <c r="J13" s="2793"/>
      <c r="K13" s="2793"/>
      <c r="L13" s="2793"/>
      <c r="M13" s="2793"/>
      <c r="N13" s="2793"/>
      <c r="O13" s="2793"/>
      <c r="P13" s="2794"/>
      <c r="Q13" s="3097" t="s">
        <v>1895</v>
      </c>
      <c r="R13" s="3098"/>
      <c r="S13" s="3098"/>
      <c r="T13" s="3099"/>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5">
      <c r="A15" s="1144"/>
      <c r="B15" s="3100" t="s">
        <v>1901</v>
      </c>
      <c r="C15" s="3100"/>
      <c r="D15" s="3100"/>
      <c r="E15" s="3100"/>
      <c r="F15" s="3100"/>
      <c r="G15" s="3100"/>
      <c r="H15" s="3100"/>
      <c r="I15" s="3100"/>
      <c r="J15" s="3100"/>
      <c r="K15" s="3100"/>
      <c r="L15" s="3101"/>
      <c r="M15" s="2751" t="s">
        <v>1902</v>
      </c>
      <c r="N15" s="2752"/>
      <c r="O15" s="2752"/>
      <c r="P15" s="2752"/>
      <c r="Q15" s="2752"/>
      <c r="R15" s="2752"/>
      <c r="S15" s="3102" t="str">
        <f>IF(Application!AB214="","",Application!AB214)</f>
        <v/>
      </c>
      <c r="T15" s="3102"/>
      <c r="U15" s="3102"/>
      <c r="V15" s="3102"/>
      <c r="W15" s="3103"/>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5">
      <c r="A17" s="1144"/>
      <c r="B17" s="2836" t="s">
        <v>1903</v>
      </c>
      <c r="C17" s="2837"/>
      <c r="D17" s="2837"/>
      <c r="E17" s="2837"/>
      <c r="F17" s="2837"/>
      <c r="G17" s="2837"/>
      <c r="H17" s="2837"/>
      <c r="I17" s="2837"/>
      <c r="J17" s="2837"/>
      <c r="K17" s="2837"/>
      <c r="L17" s="2837"/>
      <c r="M17" s="2837"/>
      <c r="N17" s="2837"/>
      <c r="O17" s="2837"/>
      <c r="P17" s="2837"/>
      <c r="Q17" s="2837"/>
      <c r="R17" s="2837"/>
      <c r="S17" s="2837"/>
      <c r="T17" s="2837"/>
      <c r="U17" s="2837"/>
      <c r="V17" s="2837"/>
      <c r="W17" s="2837"/>
      <c r="X17" s="2837"/>
      <c r="Y17" s="2837"/>
      <c r="Z17" s="2837"/>
      <c r="AA17" s="2837"/>
      <c r="AB17" s="2837"/>
      <c r="AC17" s="2837"/>
      <c r="AD17" s="2837"/>
      <c r="AE17" s="2837"/>
      <c r="AF17" s="2837"/>
      <c r="AG17" s="2837"/>
      <c r="AH17" s="2837"/>
      <c r="AI17" s="2837"/>
      <c r="AJ17" s="2837"/>
      <c r="AK17" s="2837"/>
      <c r="AL17" s="2837"/>
      <c r="AM17" s="2837"/>
      <c r="AN17" s="2837"/>
      <c r="AO17" s="2837"/>
      <c r="AP17" s="2837"/>
      <c r="AQ17" s="2837"/>
      <c r="AR17" s="2837"/>
      <c r="AS17" s="2837"/>
      <c r="AT17" s="2837"/>
      <c r="AU17" s="2837"/>
      <c r="AV17" s="2837"/>
      <c r="AW17" s="2837"/>
      <c r="AX17" s="2837"/>
      <c r="AY17" s="2838"/>
      <c r="AZ17" s="1144"/>
      <c r="BA17" s="1144"/>
      <c r="BB17" s="1144"/>
      <c r="BC17" s="1144"/>
      <c r="BD17" s="1144"/>
      <c r="BE17" s="1150"/>
      <c r="BF17" s="1142"/>
    </row>
    <row r="18" spans="1:58" ht="15.75" customHeight="1">
      <c r="A18" s="1144"/>
      <c r="B18" s="3090" t="s">
        <v>1904</v>
      </c>
      <c r="C18" s="3091"/>
      <c r="D18" s="3091"/>
      <c r="E18" s="3091"/>
      <c r="F18" s="3091"/>
      <c r="G18" s="3091"/>
      <c r="H18" s="3091"/>
      <c r="I18" s="3092"/>
      <c r="J18" s="3093" t="s">
        <v>1796</v>
      </c>
      <c r="K18" s="3094"/>
      <c r="L18" s="3094"/>
      <c r="M18" s="3094"/>
      <c r="N18" s="3094"/>
      <c r="O18" s="3095"/>
      <c r="P18" s="3093" t="s">
        <v>330</v>
      </c>
      <c r="Q18" s="3094"/>
      <c r="R18" s="3094"/>
      <c r="S18" s="3094"/>
      <c r="T18" s="3094"/>
      <c r="U18" s="3095"/>
      <c r="V18" s="3093" t="s">
        <v>331</v>
      </c>
      <c r="W18" s="3094"/>
      <c r="X18" s="3094"/>
      <c r="Y18" s="3094"/>
      <c r="Z18" s="3094"/>
      <c r="AA18" s="3095"/>
      <c r="AB18" s="3093" t="s">
        <v>168</v>
      </c>
      <c r="AC18" s="3094"/>
      <c r="AD18" s="3094"/>
      <c r="AE18" s="3094"/>
      <c r="AF18" s="3094"/>
      <c r="AG18" s="3095"/>
      <c r="AH18" s="3093" t="s">
        <v>169</v>
      </c>
      <c r="AI18" s="3094"/>
      <c r="AJ18" s="3094"/>
      <c r="AK18" s="3094"/>
      <c r="AL18" s="3094"/>
      <c r="AM18" s="3095"/>
      <c r="AN18" s="3093" t="s">
        <v>170</v>
      </c>
      <c r="AO18" s="3094"/>
      <c r="AP18" s="3094"/>
      <c r="AQ18" s="3094"/>
      <c r="AR18" s="3094"/>
      <c r="AS18" s="3095"/>
      <c r="AT18" s="3093" t="s">
        <v>1905</v>
      </c>
      <c r="AU18" s="3094"/>
      <c r="AV18" s="3094"/>
      <c r="AW18" s="3094"/>
      <c r="AX18" s="3094"/>
      <c r="AY18" s="3096"/>
      <c r="AZ18" s="1144"/>
      <c r="BA18" s="1144"/>
      <c r="BB18" s="1144"/>
      <c r="BC18" s="1144"/>
      <c r="BD18" s="1144"/>
      <c r="BE18" s="1150"/>
    </row>
    <row r="19" spans="1:58" ht="15">
      <c r="A19" s="1144"/>
      <c r="B19" s="3088">
        <v>0.2</v>
      </c>
      <c r="C19" s="3089"/>
      <c r="D19" s="3089"/>
      <c r="E19" s="3089"/>
      <c r="F19" s="3089"/>
      <c r="G19" s="3089"/>
      <c r="H19" s="3089"/>
      <c r="I19" s="3089"/>
      <c r="J19" s="3079">
        <f>SUM(P19:AS19)</f>
        <v>0</v>
      </c>
      <c r="K19" s="3080"/>
      <c r="L19" s="3080"/>
      <c r="M19" s="3080"/>
      <c r="N19" s="3080"/>
      <c r="O19" s="3081"/>
      <c r="P19" s="3079" cm="1">
        <f t="array" ref="P19">SUMPRODUCT((Application!$B$728:$B$752 = 'CalHFA Addendum'!P$18)*(Application!$AC$728:$AC$752 = 'CalHFA Addendum'!$B19),Application!$G$728:$G$752)</f>
        <v>0</v>
      </c>
      <c r="Q19" s="3080"/>
      <c r="R19" s="3080"/>
      <c r="S19" s="3080"/>
      <c r="T19" s="3080"/>
      <c r="U19" s="3081"/>
      <c r="V19" s="3079" cm="1">
        <f t="array" ref="V19">SUMPRODUCT((Application!$B$728:$B$752 = 'CalHFA Addendum'!V$18)*(Application!$AC$728:$AC$752 = 'CalHFA Addendum'!$B19),Application!$G$728:$G$752)</f>
        <v>0</v>
      </c>
      <c r="W19" s="3080"/>
      <c r="X19" s="3080"/>
      <c r="Y19" s="3080"/>
      <c r="Z19" s="3080"/>
      <c r="AA19" s="3081"/>
      <c r="AB19" s="3079" cm="1">
        <f t="array" ref="AB19">SUMPRODUCT((Application!$B$728:$B$752 = 'CalHFA Addendum'!AB$18)*(Application!$AC$728:$AC$752 = 'CalHFA Addendum'!$B19),Application!$G$728:$G$752)</f>
        <v>0</v>
      </c>
      <c r="AC19" s="3080"/>
      <c r="AD19" s="3080"/>
      <c r="AE19" s="3080"/>
      <c r="AF19" s="3080"/>
      <c r="AG19" s="3081"/>
      <c r="AH19" s="3079" cm="1">
        <f t="array" ref="AH19">SUMPRODUCT((Application!$B$728:$B$752 = 'CalHFA Addendum'!AH$18)*(Application!$AC$728:$AC$752 = 'CalHFA Addendum'!$B19),Application!$G$728:$G$752)</f>
        <v>0</v>
      </c>
      <c r="AI19" s="3080"/>
      <c r="AJ19" s="3080"/>
      <c r="AK19" s="3080"/>
      <c r="AL19" s="3080"/>
      <c r="AM19" s="3081"/>
      <c r="AN19" s="3079" cm="1">
        <f t="array" ref="AN19">SUMPRODUCT((Application!$B$728:$B$752 = 'CalHFA Addendum'!AN$18)*(Application!$AC$728:$AC$752 = 'CalHFA Addendum'!$B19),Application!$G$728:$G$752)</f>
        <v>0</v>
      </c>
      <c r="AO19" s="3080"/>
      <c r="AP19" s="3080"/>
      <c r="AQ19" s="3080"/>
      <c r="AR19" s="3080"/>
      <c r="AS19" s="3081"/>
      <c r="AT19" s="3082">
        <f t="shared" ref="AT19:AT28" si="0">J19/$J$29</f>
        <v>0</v>
      </c>
      <c r="AU19" s="3083"/>
      <c r="AV19" s="3083"/>
      <c r="AW19" s="3083"/>
      <c r="AX19" s="3083"/>
      <c r="AY19" s="3084"/>
      <c r="AZ19" s="1151"/>
      <c r="BA19" s="1144"/>
      <c r="BB19" s="1144"/>
      <c r="BC19" s="1144"/>
      <c r="BD19" s="1144"/>
      <c r="BE19" s="1150"/>
    </row>
    <row r="20" spans="1:58" ht="15" customHeight="1">
      <c r="A20" s="1144"/>
      <c r="B20" s="3088">
        <v>0.3</v>
      </c>
      <c r="C20" s="3089"/>
      <c r="D20" s="3089"/>
      <c r="E20" s="3089"/>
      <c r="F20" s="3089"/>
      <c r="G20" s="3089"/>
      <c r="H20" s="3089"/>
      <c r="I20" s="3089"/>
      <c r="J20" s="3079">
        <f t="shared" ref="J20:J28" si="1">SUM(P20:AS20)</f>
        <v>17</v>
      </c>
      <c r="K20" s="3080"/>
      <c r="L20" s="3080"/>
      <c r="M20" s="3080"/>
      <c r="N20" s="3080"/>
      <c r="O20" s="3081"/>
      <c r="P20" s="3079" cm="1">
        <f t="array" ref="P20">SUMPRODUCT((Application!$B$728:$B$752 = 'CalHFA Addendum'!P$18)*(Application!$AC$728:$AC$752 = 'CalHFA Addendum'!$B20),Application!$G$728:$G$752)</f>
        <v>0</v>
      </c>
      <c r="Q20" s="3080"/>
      <c r="R20" s="3080"/>
      <c r="S20" s="3080"/>
      <c r="T20" s="3080"/>
      <c r="U20" s="3081"/>
      <c r="V20" s="3079" cm="1">
        <f t="array" ref="V20">SUMPRODUCT((Application!$B$728:$B$752 = 'CalHFA Addendum'!V$18)*(Application!$AC$728:$AC$752 = 'CalHFA Addendum'!$B20),Application!$G$728:$G$752)</f>
        <v>11</v>
      </c>
      <c r="W20" s="3080"/>
      <c r="X20" s="3080"/>
      <c r="Y20" s="3080"/>
      <c r="Z20" s="3080"/>
      <c r="AA20" s="3081"/>
      <c r="AB20" s="3079" cm="1">
        <f t="array" ref="AB20">SUMPRODUCT((Application!$B$728:$B$752 = 'CalHFA Addendum'!AB$18)*(Application!$AC$728:$AC$752 = 'CalHFA Addendum'!$B20),Application!$G$728:$G$752)</f>
        <v>6</v>
      </c>
      <c r="AC20" s="3080"/>
      <c r="AD20" s="3080"/>
      <c r="AE20" s="3080"/>
      <c r="AF20" s="3080"/>
      <c r="AG20" s="3081"/>
      <c r="AH20" s="3079" cm="1">
        <f t="array" ref="AH20">SUMPRODUCT((Application!$B$728:$B$752 = 'CalHFA Addendum'!AH$18)*(Application!$AC$728:$AC$752 = 'CalHFA Addendum'!$B20),Application!$G$728:$G$752)</f>
        <v>0</v>
      </c>
      <c r="AI20" s="3080"/>
      <c r="AJ20" s="3080"/>
      <c r="AK20" s="3080"/>
      <c r="AL20" s="3080"/>
      <c r="AM20" s="3081"/>
      <c r="AN20" s="3079" cm="1">
        <f t="array" ref="AN20">SUMPRODUCT((Application!$B$728:$B$752 = 'CalHFA Addendum'!AN$18)*(Application!$AC$728:$AC$752 = 'CalHFA Addendum'!$B20),Application!$G$728:$G$752)</f>
        <v>0</v>
      </c>
      <c r="AO20" s="3080"/>
      <c r="AP20" s="3080"/>
      <c r="AQ20" s="3080"/>
      <c r="AR20" s="3080"/>
      <c r="AS20" s="3081"/>
      <c r="AT20" s="3082">
        <f t="shared" si="0"/>
        <v>0.10240963855421686</v>
      </c>
      <c r="AU20" s="3083"/>
      <c r="AV20" s="3083"/>
      <c r="AW20" s="3083"/>
      <c r="AX20" s="3083"/>
      <c r="AY20" s="3084"/>
      <c r="AZ20" s="1144"/>
      <c r="BA20" s="1144"/>
      <c r="BB20" s="1144"/>
      <c r="BC20" s="1144"/>
      <c r="BD20" s="1144"/>
      <c r="BE20" s="1150"/>
    </row>
    <row r="21" spans="1:58" ht="15">
      <c r="A21" s="1144"/>
      <c r="B21" s="3088">
        <v>0.4</v>
      </c>
      <c r="C21" s="3089"/>
      <c r="D21" s="3089"/>
      <c r="E21" s="3089"/>
      <c r="F21" s="3089"/>
      <c r="G21" s="3089"/>
      <c r="H21" s="3089"/>
      <c r="I21" s="3089"/>
      <c r="J21" s="3079">
        <f t="shared" si="1"/>
        <v>0</v>
      </c>
      <c r="K21" s="3080"/>
      <c r="L21" s="3080"/>
      <c r="M21" s="3080"/>
      <c r="N21" s="3080"/>
      <c r="O21" s="3081"/>
      <c r="P21" s="3079" cm="1">
        <f t="array" ref="P21">SUMPRODUCT((Application!$B$728:$B$752 = 'CalHFA Addendum'!P$18)*(Application!$AC$728:$AC$752 = 'CalHFA Addendum'!$B21),Application!$G$728:$G$752)</f>
        <v>0</v>
      </c>
      <c r="Q21" s="3080"/>
      <c r="R21" s="3080"/>
      <c r="S21" s="3080"/>
      <c r="T21" s="3080"/>
      <c r="U21" s="3081"/>
      <c r="V21" s="3079" cm="1">
        <f t="array" ref="V21">SUMPRODUCT((Application!$B$728:$B$752 = 'CalHFA Addendum'!V$18)*(Application!$AC$728:$AC$752 = 'CalHFA Addendum'!$B21),Application!$G$728:$G$752)</f>
        <v>0</v>
      </c>
      <c r="W21" s="3080"/>
      <c r="X21" s="3080"/>
      <c r="Y21" s="3080"/>
      <c r="Z21" s="3080"/>
      <c r="AA21" s="3081"/>
      <c r="AB21" s="3079" cm="1">
        <f t="array" ref="AB21">SUMPRODUCT((Application!$B$728:$B$752 = 'CalHFA Addendum'!AB$18)*(Application!$AC$728:$AC$752 = 'CalHFA Addendum'!$B21),Application!$G$728:$G$752)</f>
        <v>0</v>
      </c>
      <c r="AC21" s="3080"/>
      <c r="AD21" s="3080"/>
      <c r="AE21" s="3080"/>
      <c r="AF21" s="3080"/>
      <c r="AG21" s="3081"/>
      <c r="AH21" s="3079" cm="1">
        <f t="array" ref="AH21">SUMPRODUCT((Application!$B$728:$B$752 = 'CalHFA Addendum'!AH$18)*(Application!$AC$728:$AC$752 = 'CalHFA Addendum'!$B21),Application!$G$728:$G$752)</f>
        <v>0</v>
      </c>
      <c r="AI21" s="3080"/>
      <c r="AJ21" s="3080"/>
      <c r="AK21" s="3080"/>
      <c r="AL21" s="3080"/>
      <c r="AM21" s="3081"/>
      <c r="AN21" s="3079" cm="1">
        <f t="array" ref="AN21">SUMPRODUCT((Application!$B$728:$B$752 = 'CalHFA Addendum'!AN$18)*(Application!$AC$728:$AC$752 = 'CalHFA Addendum'!$B21),Application!$G$728:$G$752)</f>
        <v>0</v>
      </c>
      <c r="AO21" s="3080"/>
      <c r="AP21" s="3080"/>
      <c r="AQ21" s="3080"/>
      <c r="AR21" s="3080"/>
      <c r="AS21" s="3081"/>
      <c r="AT21" s="3082">
        <f t="shared" si="0"/>
        <v>0</v>
      </c>
      <c r="AU21" s="3083"/>
      <c r="AV21" s="3083"/>
      <c r="AW21" s="3083"/>
      <c r="AX21" s="3083"/>
      <c r="AY21" s="3084"/>
      <c r="AZ21" s="1144"/>
      <c r="BA21" s="1144"/>
      <c r="BB21" s="1144"/>
      <c r="BC21" s="1144"/>
      <c r="BD21" s="1144"/>
      <c r="BE21" s="1150"/>
    </row>
    <row r="22" spans="1:58" ht="15">
      <c r="A22" s="1144"/>
      <c r="B22" s="3088">
        <v>0.5</v>
      </c>
      <c r="C22" s="3089"/>
      <c r="D22" s="3089"/>
      <c r="E22" s="3089"/>
      <c r="F22" s="3089"/>
      <c r="G22" s="3089"/>
      <c r="H22" s="3089"/>
      <c r="I22" s="3089"/>
      <c r="J22" s="3079">
        <f t="shared" si="1"/>
        <v>33</v>
      </c>
      <c r="K22" s="3080"/>
      <c r="L22" s="3080"/>
      <c r="M22" s="3080"/>
      <c r="N22" s="3080"/>
      <c r="O22" s="3081"/>
      <c r="P22" s="3079" cm="1">
        <f t="array" ref="P22">SUMPRODUCT((Application!$B$728:$B$752 = 'CalHFA Addendum'!P$18)*(Application!$AC$728:$AC$752 = 'CalHFA Addendum'!$B22),Application!$G$728:$G$752)</f>
        <v>0</v>
      </c>
      <c r="Q22" s="3080"/>
      <c r="R22" s="3080"/>
      <c r="S22" s="3080"/>
      <c r="T22" s="3080"/>
      <c r="U22" s="3081"/>
      <c r="V22" s="3079" cm="1">
        <f t="array" ref="V22">SUMPRODUCT((Application!$B$728:$B$752 = 'CalHFA Addendum'!V$18)*(Application!$AC$728:$AC$752 = 'CalHFA Addendum'!$B22),Application!$G$728:$G$752)</f>
        <v>22</v>
      </c>
      <c r="W22" s="3080"/>
      <c r="X22" s="3080"/>
      <c r="Y22" s="3080"/>
      <c r="Z22" s="3080"/>
      <c r="AA22" s="3081"/>
      <c r="AB22" s="3079" cm="1">
        <f t="array" ref="AB22">SUMPRODUCT((Application!$B$728:$B$752 = 'CalHFA Addendum'!AB$18)*(Application!$AC$728:$AC$752 = 'CalHFA Addendum'!$B22),Application!$G$728:$G$752)</f>
        <v>11</v>
      </c>
      <c r="AC22" s="3080"/>
      <c r="AD22" s="3080"/>
      <c r="AE22" s="3080"/>
      <c r="AF22" s="3080"/>
      <c r="AG22" s="3081"/>
      <c r="AH22" s="3079" cm="1">
        <f t="array" ref="AH22">SUMPRODUCT((Application!$B$728:$B$752 = 'CalHFA Addendum'!AH$18)*(Application!$AC$728:$AC$752 = 'CalHFA Addendum'!$B22),Application!$G$728:$G$752)</f>
        <v>0</v>
      </c>
      <c r="AI22" s="3080"/>
      <c r="AJ22" s="3080"/>
      <c r="AK22" s="3080"/>
      <c r="AL22" s="3080"/>
      <c r="AM22" s="3081"/>
      <c r="AN22" s="3079" cm="1">
        <f t="array" ref="AN22">SUMPRODUCT((Application!$B$728:$B$752 = 'CalHFA Addendum'!AN$18)*(Application!$AC$728:$AC$752 = 'CalHFA Addendum'!$B22),Application!$G$728:$G$752)</f>
        <v>0</v>
      </c>
      <c r="AO22" s="3080"/>
      <c r="AP22" s="3080"/>
      <c r="AQ22" s="3080"/>
      <c r="AR22" s="3080"/>
      <c r="AS22" s="3081"/>
      <c r="AT22" s="3082">
        <f t="shared" si="0"/>
        <v>0.19879518072289157</v>
      </c>
      <c r="AU22" s="3083"/>
      <c r="AV22" s="3083"/>
      <c r="AW22" s="3083"/>
      <c r="AX22" s="3083"/>
      <c r="AY22" s="3084"/>
      <c r="AZ22" s="1144"/>
      <c r="BA22" s="1144"/>
      <c r="BB22" s="1144"/>
      <c r="BC22" s="1144"/>
      <c r="BD22" s="1144"/>
      <c r="BE22" s="1150"/>
    </row>
    <row r="23" spans="1:58" ht="15">
      <c r="A23" s="1144"/>
      <c r="B23" s="3088">
        <v>0.6</v>
      </c>
      <c r="C23" s="3089"/>
      <c r="D23" s="3089"/>
      <c r="E23" s="3089"/>
      <c r="F23" s="3089"/>
      <c r="G23" s="3089"/>
      <c r="H23" s="3089"/>
      <c r="I23" s="3089"/>
      <c r="J23" s="3079">
        <f t="shared" si="1"/>
        <v>33</v>
      </c>
      <c r="K23" s="3080"/>
      <c r="L23" s="3080"/>
      <c r="M23" s="3080"/>
      <c r="N23" s="3080"/>
      <c r="O23" s="3081"/>
      <c r="P23" s="3079" cm="1">
        <f t="array" ref="P23">SUMPRODUCT((Application!$B$728:$B$752 = 'CalHFA Addendum'!P$18)*(Application!$AC$728:$AC$752 = 'CalHFA Addendum'!$B23),Application!$G$728:$G$752)</f>
        <v>0</v>
      </c>
      <c r="Q23" s="3080"/>
      <c r="R23" s="3080"/>
      <c r="S23" s="3080"/>
      <c r="T23" s="3080"/>
      <c r="U23" s="3081"/>
      <c r="V23" s="3079" cm="1">
        <f t="array" ref="V23">SUMPRODUCT((Application!$B$728:$B$752 = 'CalHFA Addendum'!V$18)*(Application!$AC$728:$AC$752 = 'CalHFA Addendum'!$B23),Application!$G$728:$G$752)</f>
        <v>22</v>
      </c>
      <c r="W23" s="3080"/>
      <c r="X23" s="3080"/>
      <c r="Y23" s="3080"/>
      <c r="Z23" s="3080"/>
      <c r="AA23" s="3081"/>
      <c r="AB23" s="3079" cm="1">
        <f t="array" ref="AB23">SUMPRODUCT((Application!$B$728:$B$752 = 'CalHFA Addendum'!AB$18)*(Application!$AC$728:$AC$752 = 'CalHFA Addendum'!$B23),Application!$G$728:$G$752)</f>
        <v>11</v>
      </c>
      <c r="AC23" s="3080"/>
      <c r="AD23" s="3080"/>
      <c r="AE23" s="3080"/>
      <c r="AF23" s="3080"/>
      <c r="AG23" s="3081"/>
      <c r="AH23" s="3079" cm="1">
        <f t="array" ref="AH23">SUMPRODUCT((Application!$B$728:$B$752 = 'CalHFA Addendum'!AH$18)*(Application!$AC$728:$AC$752 = 'CalHFA Addendum'!$B23),Application!$G$728:$G$752)</f>
        <v>0</v>
      </c>
      <c r="AI23" s="3080"/>
      <c r="AJ23" s="3080"/>
      <c r="AK23" s="3080"/>
      <c r="AL23" s="3080"/>
      <c r="AM23" s="3081"/>
      <c r="AN23" s="3079" cm="1">
        <f t="array" ref="AN23">SUMPRODUCT((Application!$B$728:$B$752 = 'CalHFA Addendum'!AN$18)*(Application!$AC$728:$AC$752 = 'CalHFA Addendum'!$B23),Application!$G$728:$G$752)</f>
        <v>0</v>
      </c>
      <c r="AO23" s="3080"/>
      <c r="AP23" s="3080"/>
      <c r="AQ23" s="3080"/>
      <c r="AR23" s="3080"/>
      <c r="AS23" s="3081"/>
      <c r="AT23" s="3082">
        <f t="shared" si="0"/>
        <v>0.19879518072289157</v>
      </c>
      <c r="AU23" s="3083"/>
      <c r="AV23" s="3083"/>
      <c r="AW23" s="3083"/>
      <c r="AX23" s="3083"/>
      <c r="AY23" s="3084"/>
      <c r="AZ23" s="1144"/>
      <c r="BA23" s="1144"/>
      <c r="BB23" s="1144"/>
      <c r="BC23" s="1144"/>
      <c r="BD23" s="1144"/>
      <c r="BE23" s="1150"/>
    </row>
    <row r="24" spans="1:58" ht="15">
      <c r="A24" s="1144"/>
      <c r="B24" s="3088">
        <v>0.7</v>
      </c>
      <c r="C24" s="3089"/>
      <c r="D24" s="3089"/>
      <c r="E24" s="3089"/>
      <c r="F24" s="3089"/>
      <c r="G24" s="3089"/>
      <c r="H24" s="3089"/>
      <c r="I24" s="3089"/>
      <c r="J24" s="3079">
        <f t="shared" si="1"/>
        <v>81</v>
      </c>
      <c r="K24" s="3080"/>
      <c r="L24" s="3080"/>
      <c r="M24" s="3080"/>
      <c r="N24" s="3080"/>
      <c r="O24" s="3081"/>
      <c r="P24" s="3079" cm="1">
        <f t="array" ref="P24">SUMPRODUCT((Application!$B$728:$B$752 = 'CalHFA Addendum'!P$18)*(Application!$AC$728:$AC$752 = 'CalHFA Addendum'!$B24),Application!$G$728:$G$752)</f>
        <v>0</v>
      </c>
      <c r="Q24" s="3080"/>
      <c r="R24" s="3080"/>
      <c r="S24" s="3080"/>
      <c r="T24" s="3080"/>
      <c r="U24" s="3081"/>
      <c r="V24" s="3079" cm="1">
        <f t="array" ref="V24">SUMPRODUCT((Application!$B$728:$B$752 = 'CalHFA Addendum'!V$18)*(Application!$AC$728:$AC$752 = 'CalHFA Addendum'!$B24),Application!$G$728:$G$752)</f>
        <v>56</v>
      </c>
      <c r="W24" s="3080"/>
      <c r="X24" s="3080"/>
      <c r="Y24" s="3080"/>
      <c r="Z24" s="3080"/>
      <c r="AA24" s="3081"/>
      <c r="AB24" s="3079" cm="1">
        <f t="array" ref="AB24">SUMPRODUCT((Application!$B$728:$B$752 = 'CalHFA Addendum'!AB$18)*(Application!$AC$728:$AC$752 = 'CalHFA Addendum'!$B24),Application!$G$728:$G$752)</f>
        <v>25</v>
      </c>
      <c r="AC24" s="3080"/>
      <c r="AD24" s="3080"/>
      <c r="AE24" s="3080"/>
      <c r="AF24" s="3080"/>
      <c r="AG24" s="3081"/>
      <c r="AH24" s="3079" cm="1">
        <f t="array" ref="AH24">SUMPRODUCT((Application!$B$728:$B$752 = 'CalHFA Addendum'!AH$18)*(Application!$AC$728:$AC$752 = 'CalHFA Addendum'!$B24),Application!$G$728:$G$752)</f>
        <v>0</v>
      </c>
      <c r="AI24" s="3080"/>
      <c r="AJ24" s="3080"/>
      <c r="AK24" s="3080"/>
      <c r="AL24" s="3080"/>
      <c r="AM24" s="3081"/>
      <c r="AN24" s="3079" cm="1">
        <f t="array" ref="AN24">SUMPRODUCT((Application!$B$728:$B$752 = 'CalHFA Addendum'!AN$18)*(Application!$AC$728:$AC$752 = 'CalHFA Addendum'!$B24),Application!$G$728:$G$752)</f>
        <v>0</v>
      </c>
      <c r="AO24" s="3080"/>
      <c r="AP24" s="3080"/>
      <c r="AQ24" s="3080"/>
      <c r="AR24" s="3080"/>
      <c r="AS24" s="3081"/>
      <c r="AT24" s="3082">
        <f t="shared" si="0"/>
        <v>0.48795180722891568</v>
      </c>
      <c r="AU24" s="3083"/>
      <c r="AV24" s="3083"/>
      <c r="AW24" s="3083"/>
      <c r="AX24" s="3083"/>
      <c r="AY24" s="3084"/>
      <c r="AZ24" s="1144"/>
      <c r="BA24" s="1144"/>
      <c r="BB24" s="1144"/>
      <c r="BC24" s="1144"/>
      <c r="BD24" s="1144"/>
      <c r="BE24" s="1150"/>
    </row>
    <row r="25" spans="1:58" ht="15">
      <c r="A25" s="1144"/>
      <c r="B25" s="3088">
        <v>0.8</v>
      </c>
      <c r="C25" s="3089"/>
      <c r="D25" s="3089"/>
      <c r="E25" s="3089"/>
      <c r="F25" s="3089"/>
      <c r="G25" s="3089"/>
      <c r="H25" s="3089"/>
      <c r="I25" s="3089"/>
      <c r="J25" s="3079">
        <f t="shared" si="1"/>
        <v>0</v>
      </c>
      <c r="K25" s="3080"/>
      <c r="L25" s="3080"/>
      <c r="M25" s="3080"/>
      <c r="N25" s="3080"/>
      <c r="O25" s="3081"/>
      <c r="P25" s="3079" cm="1">
        <f t="array" ref="P25">SUMPRODUCT((Application!$B$728:$B$752 = 'CalHFA Addendum'!P$18)*(Application!$AC$728:$AC$752 = 'CalHFA Addendum'!$B25),Application!$G$728:$G$752)</f>
        <v>0</v>
      </c>
      <c r="Q25" s="3080"/>
      <c r="R25" s="3080"/>
      <c r="S25" s="3080"/>
      <c r="T25" s="3080"/>
      <c r="U25" s="3081"/>
      <c r="V25" s="3079" cm="1">
        <f t="array" ref="V25">SUMPRODUCT((Application!$B$728:$B$752 = 'CalHFA Addendum'!V$18)*(Application!$AC$728:$AC$752 = 'CalHFA Addendum'!$B25),Application!$G$728:$G$752)</f>
        <v>0</v>
      </c>
      <c r="W25" s="3080"/>
      <c r="X25" s="3080"/>
      <c r="Y25" s="3080"/>
      <c r="Z25" s="3080"/>
      <c r="AA25" s="3081"/>
      <c r="AB25" s="3079" cm="1">
        <f t="array" ref="AB25">SUMPRODUCT((Application!$B$728:$B$752 = 'CalHFA Addendum'!AB$18)*(Application!$AC$728:$AC$752 = 'CalHFA Addendum'!$B25),Application!$G$728:$G$752)</f>
        <v>0</v>
      </c>
      <c r="AC25" s="3080"/>
      <c r="AD25" s="3080"/>
      <c r="AE25" s="3080"/>
      <c r="AF25" s="3080"/>
      <c r="AG25" s="3081"/>
      <c r="AH25" s="3079" cm="1">
        <f t="array" ref="AH25">SUMPRODUCT((Application!$B$728:$B$752 = 'CalHFA Addendum'!AH$18)*(Application!$AC$728:$AC$752 = 'CalHFA Addendum'!$B25),Application!$G$728:$G$752)</f>
        <v>0</v>
      </c>
      <c r="AI25" s="3080"/>
      <c r="AJ25" s="3080"/>
      <c r="AK25" s="3080"/>
      <c r="AL25" s="3080"/>
      <c r="AM25" s="3081"/>
      <c r="AN25" s="3079" cm="1">
        <f t="array" ref="AN25">SUMPRODUCT((Application!$B$728:$B$752 = 'CalHFA Addendum'!AN$18)*(Application!$AC$728:$AC$752 = 'CalHFA Addendum'!$B25),Application!$G$728:$G$752)</f>
        <v>0</v>
      </c>
      <c r="AO25" s="3080"/>
      <c r="AP25" s="3080"/>
      <c r="AQ25" s="3080"/>
      <c r="AR25" s="3080"/>
      <c r="AS25" s="3081"/>
      <c r="AT25" s="3082">
        <f t="shared" si="0"/>
        <v>0</v>
      </c>
      <c r="AU25" s="3083"/>
      <c r="AV25" s="3083"/>
      <c r="AW25" s="3083"/>
      <c r="AX25" s="3083"/>
      <c r="AY25" s="3084"/>
      <c r="AZ25" s="1144"/>
      <c r="BA25" s="1144"/>
      <c r="BB25" s="1144"/>
      <c r="BC25" s="1144"/>
      <c r="BD25" s="1144"/>
      <c r="BE25" s="1150"/>
    </row>
    <row r="26" spans="1:58" ht="15">
      <c r="A26" s="1144"/>
      <c r="B26" s="3088">
        <v>0.9</v>
      </c>
      <c r="C26" s="3089"/>
      <c r="D26" s="3089"/>
      <c r="E26" s="3089"/>
      <c r="F26" s="3089"/>
      <c r="G26" s="3089"/>
      <c r="H26" s="3089"/>
      <c r="I26" s="3089"/>
      <c r="J26" s="3079">
        <f t="shared" si="1"/>
        <v>0</v>
      </c>
      <c r="K26" s="3080"/>
      <c r="L26" s="3080"/>
      <c r="M26" s="3080"/>
      <c r="N26" s="3080"/>
      <c r="O26" s="3081"/>
      <c r="P26" s="3079" cm="1">
        <f t="array" ref="P26">SUMPRODUCT((Application!$B$728:$B$752 = 'CalHFA Addendum'!P$18)*(Application!$AC$728:$AC$752 = 'CalHFA Addendum'!$B26),Application!$G$728:$G$752)</f>
        <v>0</v>
      </c>
      <c r="Q26" s="3080"/>
      <c r="R26" s="3080"/>
      <c r="S26" s="3080"/>
      <c r="T26" s="3080"/>
      <c r="U26" s="3081"/>
      <c r="V26" s="3079" cm="1">
        <f t="array" ref="V26">SUMPRODUCT((Application!$B$728:$B$752 = 'CalHFA Addendum'!V$18)*(Application!$AC$728:$AC$752 = 'CalHFA Addendum'!$B26),Application!$G$728:$G$752)</f>
        <v>0</v>
      </c>
      <c r="W26" s="3080"/>
      <c r="X26" s="3080"/>
      <c r="Y26" s="3080"/>
      <c r="Z26" s="3080"/>
      <c r="AA26" s="3081"/>
      <c r="AB26" s="3079" cm="1">
        <f t="array" ref="AB26">SUMPRODUCT((Application!$B$728:$B$752 = 'CalHFA Addendum'!AB$18)*(Application!$AC$728:$AC$752 = 'CalHFA Addendum'!$B26),Application!$G$728:$G$752)</f>
        <v>0</v>
      </c>
      <c r="AC26" s="3080"/>
      <c r="AD26" s="3080"/>
      <c r="AE26" s="3080"/>
      <c r="AF26" s="3080"/>
      <c r="AG26" s="3081"/>
      <c r="AH26" s="3079" cm="1">
        <f t="array" ref="AH26">SUMPRODUCT((Application!$B$728:$B$752 = 'CalHFA Addendum'!AH$18)*(Application!$AC$728:$AC$752 = 'CalHFA Addendum'!$B26),Application!$G$728:$G$752)</f>
        <v>0</v>
      </c>
      <c r="AI26" s="3080"/>
      <c r="AJ26" s="3080"/>
      <c r="AK26" s="3080"/>
      <c r="AL26" s="3080"/>
      <c r="AM26" s="3081"/>
      <c r="AN26" s="3079" cm="1">
        <f t="array" ref="AN26">SUMPRODUCT((Application!$B$728:$B$752 = 'CalHFA Addendum'!AN$18)*(Application!$AC$728:$AC$752 = 'CalHFA Addendum'!$B26),Application!$G$728:$G$752)</f>
        <v>0</v>
      </c>
      <c r="AO26" s="3080"/>
      <c r="AP26" s="3080"/>
      <c r="AQ26" s="3080"/>
      <c r="AR26" s="3080"/>
      <c r="AS26" s="3081"/>
      <c r="AT26" s="3082">
        <f t="shared" si="0"/>
        <v>0</v>
      </c>
      <c r="AU26" s="3083"/>
      <c r="AV26" s="3083"/>
      <c r="AW26" s="3083"/>
      <c r="AX26" s="3083"/>
      <c r="AY26" s="3084"/>
      <c r="AZ26" s="1144"/>
      <c r="BA26" s="1144"/>
      <c r="BB26" s="1144"/>
      <c r="BC26" s="1144"/>
      <c r="BD26" s="1144"/>
      <c r="BE26" s="1150"/>
    </row>
    <row r="27" spans="1:58" ht="15">
      <c r="A27" s="1144"/>
      <c r="B27" s="3088">
        <v>1</v>
      </c>
      <c r="C27" s="3089"/>
      <c r="D27" s="3089"/>
      <c r="E27" s="3089"/>
      <c r="F27" s="3089"/>
      <c r="G27" s="3089"/>
      <c r="H27" s="3089"/>
      <c r="I27" s="3089"/>
      <c r="J27" s="3079">
        <f t="shared" si="1"/>
        <v>0</v>
      </c>
      <c r="K27" s="3080"/>
      <c r="L27" s="3080"/>
      <c r="M27" s="3080"/>
      <c r="N27" s="3080"/>
      <c r="O27" s="3081"/>
      <c r="P27" s="3079" cm="1">
        <f t="array" ref="P27">SUMPRODUCT((Application!$B$728:$B$752 = 'CalHFA Addendum'!P$18)*(Application!$AC$728:$AC$752 = 'CalHFA Addendum'!$B27),Application!$G$728:$G$752)</f>
        <v>0</v>
      </c>
      <c r="Q27" s="3080"/>
      <c r="R27" s="3080"/>
      <c r="S27" s="3080"/>
      <c r="T27" s="3080"/>
      <c r="U27" s="3081"/>
      <c r="V27" s="3079" cm="1">
        <f t="array" ref="V27">SUMPRODUCT((Application!$B$728:$B$752 = 'CalHFA Addendum'!V$18)*(Application!$AC$728:$AC$752 = 'CalHFA Addendum'!$B27),Application!$G$728:$G$752)</f>
        <v>0</v>
      </c>
      <c r="W27" s="3080"/>
      <c r="X27" s="3080"/>
      <c r="Y27" s="3080"/>
      <c r="Z27" s="3080"/>
      <c r="AA27" s="3081"/>
      <c r="AB27" s="3079" cm="1">
        <f t="array" ref="AB27">SUMPRODUCT((Application!$B$728:$B$752 = 'CalHFA Addendum'!AB$18)*(Application!$AC$728:$AC$752 = 'CalHFA Addendum'!$B27),Application!$G$728:$G$752)</f>
        <v>0</v>
      </c>
      <c r="AC27" s="3080"/>
      <c r="AD27" s="3080"/>
      <c r="AE27" s="3080"/>
      <c r="AF27" s="3080"/>
      <c r="AG27" s="3081"/>
      <c r="AH27" s="3079" cm="1">
        <f t="array" ref="AH27">SUMPRODUCT((Application!$B$728:$B$752 = 'CalHFA Addendum'!AH$18)*(Application!$AC$728:$AC$752 = 'CalHFA Addendum'!$B27),Application!$G$728:$G$752)</f>
        <v>0</v>
      </c>
      <c r="AI27" s="3080"/>
      <c r="AJ27" s="3080"/>
      <c r="AK27" s="3080"/>
      <c r="AL27" s="3080"/>
      <c r="AM27" s="3081"/>
      <c r="AN27" s="3079" cm="1">
        <f t="array" ref="AN27">SUMPRODUCT((Application!$B$728:$B$752 = 'CalHFA Addendum'!AN$18)*(Application!$AC$728:$AC$752 = 'CalHFA Addendum'!$B27),Application!$G$728:$G$752)</f>
        <v>0</v>
      </c>
      <c r="AO27" s="3080"/>
      <c r="AP27" s="3080"/>
      <c r="AQ27" s="3080"/>
      <c r="AR27" s="3080"/>
      <c r="AS27" s="3081"/>
      <c r="AT27" s="3082">
        <f t="shared" si="0"/>
        <v>0</v>
      </c>
      <c r="AU27" s="3083"/>
      <c r="AV27" s="3083"/>
      <c r="AW27" s="3083"/>
      <c r="AX27" s="3083"/>
      <c r="AY27" s="3084"/>
      <c r="AZ27" s="1144"/>
      <c r="BA27" s="1144"/>
      <c r="BB27" s="1144"/>
      <c r="BC27" s="1144"/>
      <c r="BD27" s="1144"/>
      <c r="BE27" s="1150"/>
    </row>
    <row r="28" spans="1:58" thickBot="1">
      <c r="A28" s="1144"/>
      <c r="B28" s="3085" t="s">
        <v>1906</v>
      </c>
      <c r="C28" s="3086"/>
      <c r="D28" s="3086"/>
      <c r="E28" s="3086"/>
      <c r="F28" s="3086"/>
      <c r="G28" s="3086"/>
      <c r="H28" s="3086"/>
      <c r="I28" s="3087"/>
      <c r="J28" s="3079">
        <f t="shared" si="1"/>
        <v>2</v>
      </c>
      <c r="K28" s="3080"/>
      <c r="L28" s="3080"/>
      <c r="M28" s="3080"/>
      <c r="N28" s="3080"/>
      <c r="O28" s="3081"/>
      <c r="P28" s="3079">
        <f>_xlfn.IFNA(VLOOKUP(P$18,Application!$J$772:$S$775,6,FALSE), 0)</f>
        <v>0</v>
      </c>
      <c r="Q28" s="3080"/>
      <c r="R28" s="3080"/>
      <c r="S28" s="3080"/>
      <c r="T28" s="3080"/>
      <c r="U28" s="3081"/>
      <c r="V28" s="3079">
        <f>_xlfn.IFNA(VLOOKUP(V$18,Application!$J$772:$S$775,6,FALSE), 0)</f>
        <v>0</v>
      </c>
      <c r="W28" s="3080"/>
      <c r="X28" s="3080"/>
      <c r="Y28" s="3080"/>
      <c r="Z28" s="3080"/>
      <c r="AA28" s="3081"/>
      <c r="AB28" s="3079">
        <f>_xlfn.IFNA(VLOOKUP(AB$18,Application!$J$772:$S$775,6,FALSE), 0)</f>
        <v>2</v>
      </c>
      <c r="AC28" s="3080"/>
      <c r="AD28" s="3080"/>
      <c r="AE28" s="3080"/>
      <c r="AF28" s="3080"/>
      <c r="AG28" s="3081"/>
      <c r="AH28" s="3079">
        <f>_xlfn.IFNA(VLOOKUP(AH$18,Application!$J$772:$S$775,6,FALSE), 0)</f>
        <v>0</v>
      </c>
      <c r="AI28" s="3080"/>
      <c r="AJ28" s="3080"/>
      <c r="AK28" s="3080"/>
      <c r="AL28" s="3080"/>
      <c r="AM28" s="3081"/>
      <c r="AN28" s="3079">
        <f>_xlfn.IFNA(VLOOKUP(AN$18,Application!$J$772:$S$775,6,FALSE), 0)</f>
        <v>0</v>
      </c>
      <c r="AO28" s="3080"/>
      <c r="AP28" s="3080"/>
      <c r="AQ28" s="3080"/>
      <c r="AR28" s="3080"/>
      <c r="AS28" s="3081"/>
      <c r="AT28" s="3082">
        <f t="shared" si="0"/>
        <v>1.2048192771084338E-2</v>
      </c>
      <c r="AU28" s="3083"/>
      <c r="AV28" s="3083"/>
      <c r="AW28" s="3083"/>
      <c r="AX28" s="3083"/>
      <c r="AY28" s="3084"/>
      <c r="AZ28" s="1144"/>
      <c r="BA28" s="1144"/>
      <c r="BB28" s="1144"/>
      <c r="BC28" s="1144"/>
      <c r="BD28" s="1144"/>
      <c r="BE28" s="1150"/>
    </row>
    <row r="29" spans="1:58" thickBot="1">
      <c r="A29" s="1144"/>
      <c r="B29" s="3078" t="s">
        <v>1796</v>
      </c>
      <c r="C29" s="3054"/>
      <c r="D29" s="3054"/>
      <c r="E29" s="3054"/>
      <c r="F29" s="3054"/>
      <c r="G29" s="3054"/>
      <c r="H29" s="3054"/>
      <c r="I29" s="3055"/>
      <c r="J29" s="3053">
        <f>SUM(J19:O28)</f>
        <v>166</v>
      </c>
      <c r="K29" s="3054"/>
      <c r="L29" s="3054"/>
      <c r="M29" s="3054"/>
      <c r="N29" s="3054"/>
      <c r="O29" s="3055"/>
      <c r="P29" s="3053">
        <f>SUM(P19:U28)</f>
        <v>0</v>
      </c>
      <c r="Q29" s="3054"/>
      <c r="R29" s="3054"/>
      <c r="S29" s="3054"/>
      <c r="T29" s="3054"/>
      <c r="U29" s="3055"/>
      <c r="V29" s="3053">
        <f>SUM(V19:AA28)</f>
        <v>111</v>
      </c>
      <c r="W29" s="3054"/>
      <c r="X29" s="3054"/>
      <c r="Y29" s="3054"/>
      <c r="Z29" s="3054"/>
      <c r="AA29" s="3055"/>
      <c r="AB29" s="3053">
        <f>SUM(AB19:AG28)</f>
        <v>55</v>
      </c>
      <c r="AC29" s="3054"/>
      <c r="AD29" s="3054"/>
      <c r="AE29" s="3054"/>
      <c r="AF29" s="3054"/>
      <c r="AG29" s="3055"/>
      <c r="AH29" s="3053">
        <f>SUM(AH19:AM28)</f>
        <v>0</v>
      </c>
      <c r="AI29" s="3054"/>
      <c r="AJ29" s="3054"/>
      <c r="AK29" s="3054"/>
      <c r="AL29" s="3054"/>
      <c r="AM29" s="3055"/>
      <c r="AN29" s="3053">
        <f>SUM(AN19:AS28)</f>
        <v>0</v>
      </c>
      <c r="AO29" s="3054"/>
      <c r="AP29" s="3054"/>
      <c r="AQ29" s="3054"/>
      <c r="AR29" s="3054"/>
      <c r="AS29" s="3055"/>
      <c r="AT29" s="3056">
        <f>J29/$J$29</f>
        <v>1</v>
      </c>
      <c r="AU29" s="3057"/>
      <c r="AV29" s="3057"/>
      <c r="AW29" s="3057"/>
      <c r="AX29" s="3057"/>
      <c r="AY29" s="3058"/>
      <c r="AZ29" s="1144"/>
      <c r="BA29" s="1144"/>
      <c r="BB29" s="1144"/>
      <c r="BC29" s="1144"/>
      <c r="BD29" s="1144"/>
      <c r="BE29" s="1150"/>
    </row>
    <row r="30" spans="1:58"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thickBot="1">
      <c r="A31" s="1144"/>
      <c r="B31" s="3059" t="s">
        <v>1907</v>
      </c>
      <c r="C31" s="3060"/>
      <c r="D31" s="3060"/>
      <c r="E31" s="3060"/>
      <c r="F31" s="3060"/>
      <c r="G31" s="3060"/>
      <c r="H31" s="3060"/>
      <c r="I31" s="3060"/>
      <c r="J31" s="3060"/>
      <c r="K31" s="3060"/>
      <c r="L31" s="3060"/>
      <c r="M31" s="3060"/>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c r="AL31" s="3060"/>
      <c r="AM31" s="3060"/>
      <c r="AN31" s="3060"/>
      <c r="AO31" s="3060"/>
      <c r="AP31" s="3060"/>
      <c r="AQ31" s="3060"/>
      <c r="AR31" s="3060"/>
      <c r="AS31" s="3060"/>
      <c r="AT31" s="3060"/>
      <c r="AU31" s="3060"/>
      <c r="AV31" s="3060"/>
      <c r="AW31" s="3060"/>
      <c r="AX31" s="3060"/>
      <c r="AY31" s="3060"/>
      <c r="AZ31" s="3061"/>
      <c r="BA31" s="1144"/>
      <c r="BB31" s="1144"/>
      <c r="BC31" s="1144"/>
      <c r="BD31" s="1144"/>
      <c r="BE31" s="1150"/>
    </row>
    <row r="32" spans="1:58" thickBot="1">
      <c r="A32" s="1144"/>
      <c r="B32" s="3062" t="s">
        <v>1908</v>
      </c>
      <c r="C32" s="3063"/>
      <c r="D32" s="3063"/>
      <c r="E32" s="3063"/>
      <c r="F32" s="3063"/>
      <c r="G32" s="3063"/>
      <c r="H32" s="3063"/>
      <c r="I32" s="3064"/>
      <c r="J32" s="3066" t="s">
        <v>1909</v>
      </c>
      <c r="K32" s="3067"/>
      <c r="L32" s="3067"/>
      <c r="M32" s="3068"/>
      <c r="N32" s="3066" t="s">
        <v>1910</v>
      </c>
      <c r="O32" s="3067"/>
      <c r="P32" s="3067"/>
      <c r="Q32" s="3067"/>
      <c r="R32" s="3070" t="s">
        <v>1911</v>
      </c>
      <c r="S32" s="3071"/>
      <c r="T32" s="3071"/>
      <c r="U32" s="3071"/>
      <c r="V32" s="3071"/>
      <c r="W32" s="3071"/>
      <c r="X32" s="3071"/>
      <c r="Y32" s="3071"/>
      <c r="Z32" s="3071"/>
      <c r="AA32" s="3071"/>
      <c r="AB32" s="3071"/>
      <c r="AC32" s="3071"/>
      <c r="AD32" s="3071"/>
      <c r="AE32" s="3071"/>
      <c r="AF32" s="3071"/>
      <c r="AG32" s="3071"/>
      <c r="AH32" s="3071"/>
      <c r="AI32" s="3071"/>
      <c r="AJ32" s="3071"/>
      <c r="AK32" s="3071"/>
      <c r="AL32" s="3071"/>
      <c r="AM32" s="3071"/>
      <c r="AN32" s="3071"/>
      <c r="AO32" s="3071"/>
      <c r="AP32" s="3071"/>
      <c r="AQ32" s="3071"/>
      <c r="AR32" s="3071"/>
      <c r="AS32" s="3071"/>
      <c r="AT32" s="3071"/>
      <c r="AU32" s="3071"/>
      <c r="AV32" s="3071"/>
      <c r="AW32" s="3071"/>
      <c r="AX32" s="3071"/>
      <c r="AY32" s="3071"/>
      <c r="AZ32" s="3072"/>
      <c r="BA32" s="1144"/>
      <c r="BB32" s="1144"/>
      <c r="BC32" s="1144"/>
      <c r="BD32" s="1144"/>
      <c r="BE32" s="1150"/>
    </row>
    <row r="33" spans="1:58" ht="15" customHeight="1">
      <c r="A33" s="1144"/>
      <c r="B33" s="3065"/>
      <c r="C33" s="3063"/>
      <c r="D33" s="3063"/>
      <c r="E33" s="3063"/>
      <c r="F33" s="3063"/>
      <c r="G33" s="3063"/>
      <c r="H33" s="3063"/>
      <c r="I33" s="3064"/>
      <c r="J33" s="3069"/>
      <c r="K33" s="3067"/>
      <c r="L33" s="3067"/>
      <c r="M33" s="3068"/>
      <c r="N33" s="3069"/>
      <c r="O33" s="3067"/>
      <c r="P33" s="3067"/>
      <c r="Q33" s="3067"/>
      <c r="R33" s="3001" t="s">
        <v>1912</v>
      </c>
      <c r="S33" s="3073"/>
      <c r="T33" s="3073"/>
      <c r="U33" s="3073"/>
      <c r="V33" s="3073"/>
      <c r="W33" s="3073"/>
      <c r="X33" s="3073"/>
      <c r="Y33" s="3073"/>
      <c r="Z33" s="3073"/>
      <c r="AA33" s="3073"/>
      <c r="AB33" s="3073"/>
      <c r="AC33" s="3073"/>
      <c r="AD33" s="3073"/>
      <c r="AE33" s="3073"/>
      <c r="AF33" s="3073"/>
      <c r="AG33" s="3073"/>
      <c r="AH33" s="3073"/>
      <c r="AI33" s="3073"/>
      <c r="AJ33" s="3073"/>
      <c r="AK33" s="3073"/>
      <c r="AL33" s="3073"/>
      <c r="AM33" s="3073"/>
      <c r="AN33" s="3073"/>
      <c r="AO33" s="3073"/>
      <c r="AP33" s="3073"/>
      <c r="AQ33" s="3073"/>
      <c r="AR33" s="3073"/>
      <c r="AS33" s="3073"/>
      <c r="AT33" s="3073"/>
      <c r="AU33" s="3073"/>
      <c r="AV33" s="3073"/>
      <c r="AW33" s="3073"/>
      <c r="AX33" s="3073"/>
      <c r="AY33" s="3073"/>
      <c r="AZ33" s="3074"/>
      <c r="BA33" s="1151"/>
      <c r="BB33" s="1144"/>
      <c r="BC33" s="1144"/>
      <c r="BD33" s="1144"/>
      <c r="BE33" s="1150"/>
    </row>
    <row r="34" spans="1:58" ht="15.75" customHeight="1" thickBot="1">
      <c r="A34" s="1144"/>
      <c r="B34" s="3065"/>
      <c r="C34" s="3063"/>
      <c r="D34" s="3063"/>
      <c r="E34" s="3063"/>
      <c r="F34" s="3063"/>
      <c r="G34" s="3063"/>
      <c r="H34" s="3063"/>
      <c r="I34" s="3064"/>
      <c r="J34" s="3069"/>
      <c r="K34" s="3067"/>
      <c r="L34" s="3067"/>
      <c r="M34" s="3068"/>
      <c r="N34" s="3069"/>
      <c r="O34" s="3067"/>
      <c r="P34" s="3067"/>
      <c r="Q34" s="3067"/>
      <c r="R34" s="3075"/>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7"/>
      <c r="BA34" s="1151"/>
      <c r="BB34" s="1144"/>
      <c r="BC34" s="1144"/>
      <c r="BD34" s="1144"/>
      <c r="BE34" s="1150"/>
    </row>
    <row r="35" spans="1:58" ht="15.75" customHeight="1" thickBot="1">
      <c r="A35" s="1144"/>
      <c r="B35" s="3065"/>
      <c r="C35" s="3063"/>
      <c r="D35" s="3063"/>
      <c r="E35" s="3063"/>
      <c r="F35" s="3063"/>
      <c r="G35" s="3063"/>
      <c r="H35" s="3063"/>
      <c r="I35" s="3064"/>
      <c r="J35" s="3069"/>
      <c r="K35" s="3067"/>
      <c r="L35" s="3067"/>
      <c r="M35" s="3068"/>
      <c r="N35" s="3069"/>
      <c r="O35" s="3067"/>
      <c r="P35" s="3067"/>
      <c r="Q35" s="3067"/>
      <c r="R35" s="3047">
        <v>0.3</v>
      </c>
      <c r="S35" s="3048"/>
      <c r="T35" s="3048"/>
      <c r="U35" s="3049"/>
      <c r="V35" s="3047">
        <v>0.4</v>
      </c>
      <c r="W35" s="3048"/>
      <c r="X35" s="3048"/>
      <c r="Y35" s="3049"/>
      <c r="Z35" s="3047">
        <v>0.5</v>
      </c>
      <c r="AA35" s="3048"/>
      <c r="AB35" s="3048"/>
      <c r="AC35" s="3049"/>
      <c r="AD35" s="3047">
        <v>0.6</v>
      </c>
      <c r="AE35" s="3048"/>
      <c r="AF35" s="3048"/>
      <c r="AG35" s="3049"/>
      <c r="AH35" s="3047">
        <v>0.8</v>
      </c>
      <c r="AI35" s="3048"/>
      <c r="AJ35" s="3048"/>
      <c r="AK35" s="3049"/>
      <c r="AL35" s="3047" t="s">
        <v>2317</v>
      </c>
      <c r="AM35" s="3048"/>
      <c r="AN35" s="3049"/>
      <c r="AO35" s="3050" t="s">
        <v>1913</v>
      </c>
      <c r="AP35" s="3051"/>
      <c r="AQ35" s="3051"/>
      <c r="AR35" s="3051"/>
      <c r="AS35" s="3051"/>
      <c r="AT35" s="3052"/>
      <c r="AU35" s="3050" t="s">
        <v>1914</v>
      </c>
      <c r="AV35" s="3051"/>
      <c r="AW35" s="3051"/>
      <c r="AX35" s="3051"/>
      <c r="AY35" s="3051"/>
      <c r="AZ35" s="3052"/>
      <c r="BA35" s="1151"/>
      <c r="BB35" s="1144"/>
      <c r="BC35" s="1144"/>
      <c r="BD35" s="1144"/>
      <c r="BE35" s="1150"/>
      <c r="BF35" s="1142"/>
    </row>
    <row r="36" spans="1:58" ht="15.75" customHeight="1">
      <c r="A36" s="1144"/>
      <c r="B36" s="3038" t="s">
        <v>1915</v>
      </c>
      <c r="C36" s="3039"/>
      <c r="D36" s="3039"/>
      <c r="E36" s="3039"/>
      <c r="F36" s="3039"/>
      <c r="G36" s="3039"/>
      <c r="H36" s="3039"/>
      <c r="I36" s="3040"/>
      <c r="J36" s="3041" t="s">
        <v>1916</v>
      </c>
      <c r="K36" s="3042"/>
      <c r="L36" s="3042"/>
      <c r="M36" s="3043"/>
      <c r="N36" s="3044">
        <v>55</v>
      </c>
      <c r="O36" s="3045"/>
      <c r="P36" s="3045"/>
      <c r="Q36" s="3046"/>
      <c r="R36" s="3036">
        <v>10</v>
      </c>
      <c r="S36" s="3036"/>
      <c r="T36" s="3036"/>
      <c r="U36" s="3036"/>
      <c r="V36" s="3036">
        <v>30</v>
      </c>
      <c r="W36" s="3036"/>
      <c r="X36" s="3036"/>
      <c r="Y36" s="3036"/>
      <c r="Z36" s="3036"/>
      <c r="AA36" s="3036"/>
      <c r="AB36" s="3036"/>
      <c r="AC36" s="3036"/>
      <c r="AD36" s="3036"/>
      <c r="AE36" s="3036"/>
      <c r="AF36" s="3036"/>
      <c r="AG36" s="3036"/>
      <c r="AH36" s="3037"/>
      <c r="AI36" s="3037"/>
      <c r="AJ36" s="3037"/>
      <c r="AK36" s="3037"/>
      <c r="AL36" s="3037"/>
      <c r="AM36" s="3037"/>
      <c r="AN36" s="3037"/>
      <c r="AO36" s="3008">
        <f>SUM(R36:AN36)</f>
        <v>40</v>
      </c>
      <c r="AP36" s="3008"/>
      <c r="AQ36" s="3008"/>
      <c r="AR36" s="3008"/>
      <c r="AS36" s="3008"/>
      <c r="AT36" s="3008"/>
      <c r="AU36" s="3009">
        <f>AO36/$J$29</f>
        <v>0.24096385542168675</v>
      </c>
      <c r="AV36" s="3009"/>
      <c r="AW36" s="3009"/>
      <c r="AX36" s="3009"/>
      <c r="AY36" s="3009"/>
      <c r="AZ36" s="3009"/>
      <c r="BA36" s="1144"/>
      <c r="BB36" s="1144"/>
      <c r="BC36" s="1144"/>
      <c r="BD36" s="1144"/>
      <c r="BE36" s="1150"/>
      <c r="BF36" s="1142"/>
    </row>
    <row r="37" spans="1:58" ht="15.75" customHeight="1">
      <c r="A37" s="1144"/>
      <c r="B37" s="3031" t="s">
        <v>1917</v>
      </c>
      <c r="C37" s="3032"/>
      <c r="D37" s="3032"/>
      <c r="E37" s="3032"/>
      <c r="F37" s="3032"/>
      <c r="G37" s="3032"/>
      <c r="H37" s="3032"/>
      <c r="I37" s="3033"/>
      <c r="J37" s="3034" t="s">
        <v>1918</v>
      </c>
      <c r="K37" s="3022"/>
      <c r="L37" s="3022"/>
      <c r="M37" s="3035"/>
      <c r="N37" s="3021">
        <v>55</v>
      </c>
      <c r="O37" s="3022"/>
      <c r="P37" s="3022"/>
      <c r="Q37" s="3023"/>
      <c r="R37" s="3007"/>
      <c r="S37" s="3007"/>
      <c r="T37" s="3007"/>
      <c r="U37" s="3007"/>
      <c r="V37" s="3007"/>
      <c r="W37" s="3007"/>
      <c r="X37" s="3007"/>
      <c r="Y37" s="3007"/>
      <c r="Z37" s="3007"/>
      <c r="AA37" s="3007"/>
      <c r="AB37" s="3007"/>
      <c r="AC37" s="3007"/>
      <c r="AD37" s="3007"/>
      <c r="AE37" s="3007"/>
      <c r="AF37" s="3007"/>
      <c r="AG37" s="3007"/>
      <c r="AH37" s="3007"/>
      <c r="AI37" s="3007"/>
      <c r="AJ37" s="3007"/>
      <c r="AK37" s="3007"/>
      <c r="AL37" s="3007"/>
      <c r="AM37" s="3007"/>
      <c r="AN37" s="3007"/>
      <c r="AO37" s="3008">
        <f t="shared" ref="AO37:AO47" si="2">SUM(R37:AN37)</f>
        <v>0</v>
      </c>
      <c r="AP37" s="3008"/>
      <c r="AQ37" s="3008"/>
      <c r="AR37" s="3008"/>
      <c r="AS37" s="3008"/>
      <c r="AT37" s="3008"/>
      <c r="AU37" s="3009">
        <f t="shared" ref="AU37:AU47" si="3">AO37/$J$29</f>
        <v>0</v>
      </c>
      <c r="AV37" s="3009"/>
      <c r="AW37" s="3009"/>
      <c r="AX37" s="3009"/>
      <c r="AY37" s="3009"/>
      <c r="AZ37" s="3009"/>
      <c r="BA37" s="1144"/>
      <c r="BB37" s="1144"/>
      <c r="BC37" s="1144"/>
      <c r="BD37" s="1144"/>
      <c r="BE37" s="1150"/>
      <c r="BF37" s="1142"/>
    </row>
    <row r="38" spans="1:58" ht="15.75" customHeight="1">
      <c r="A38" s="1144"/>
      <c r="B38" s="3031" t="s">
        <v>2656</v>
      </c>
      <c r="C38" s="3032"/>
      <c r="D38" s="3032"/>
      <c r="E38" s="3032"/>
      <c r="F38" s="3032"/>
      <c r="G38" s="3032"/>
      <c r="H38" s="3032"/>
      <c r="I38" s="3033"/>
      <c r="J38" s="3034" t="s">
        <v>1919</v>
      </c>
      <c r="K38" s="3022"/>
      <c r="L38" s="3022"/>
      <c r="M38" s="3035"/>
      <c r="N38" s="3021">
        <v>55</v>
      </c>
      <c r="O38" s="3022"/>
      <c r="P38" s="3022"/>
      <c r="Q38" s="3023"/>
      <c r="R38" s="3007"/>
      <c r="S38" s="3007"/>
      <c r="T38" s="3007"/>
      <c r="U38" s="3007"/>
      <c r="V38" s="3007"/>
      <c r="W38" s="3007"/>
      <c r="X38" s="3007"/>
      <c r="Y38" s="3007"/>
      <c r="Z38" s="3007"/>
      <c r="AA38" s="3007"/>
      <c r="AB38" s="3007"/>
      <c r="AC38" s="3007"/>
      <c r="AD38" s="3007"/>
      <c r="AE38" s="3007"/>
      <c r="AF38" s="3007"/>
      <c r="AG38" s="3007"/>
      <c r="AH38" s="3007"/>
      <c r="AI38" s="3007"/>
      <c r="AJ38" s="3007"/>
      <c r="AK38" s="3007"/>
      <c r="AL38" s="3007"/>
      <c r="AM38" s="3007"/>
      <c r="AN38" s="3007"/>
      <c r="AO38" s="3008">
        <f t="shared" si="2"/>
        <v>0</v>
      </c>
      <c r="AP38" s="3008"/>
      <c r="AQ38" s="3008"/>
      <c r="AR38" s="3008"/>
      <c r="AS38" s="3008"/>
      <c r="AT38" s="3008"/>
      <c r="AU38" s="3009">
        <f t="shared" si="3"/>
        <v>0</v>
      </c>
      <c r="AV38" s="3009"/>
      <c r="AW38" s="3009"/>
      <c r="AX38" s="3009"/>
      <c r="AY38" s="3009"/>
      <c r="AZ38" s="3009"/>
      <c r="BA38" s="1144"/>
      <c r="BB38" s="1144"/>
      <c r="BC38" s="1144"/>
      <c r="BD38" s="1144"/>
      <c r="BE38" s="1150"/>
      <c r="BF38" s="1142"/>
    </row>
    <row r="39" spans="1:58" ht="15.75" customHeight="1">
      <c r="A39" s="1144"/>
      <c r="B39" s="3031" t="s">
        <v>1920</v>
      </c>
      <c r="C39" s="3032"/>
      <c r="D39" s="3032"/>
      <c r="E39" s="3032"/>
      <c r="F39" s="3032"/>
      <c r="G39" s="3032"/>
      <c r="H39" s="3032"/>
      <c r="I39" s="3033"/>
      <c r="J39" s="3019"/>
      <c r="K39" s="2782"/>
      <c r="L39" s="2782"/>
      <c r="M39" s="3020"/>
      <c r="N39" s="2953"/>
      <c r="O39" s="2782"/>
      <c r="P39" s="2782"/>
      <c r="Q39" s="3024"/>
      <c r="R39" s="3007"/>
      <c r="S39" s="3007"/>
      <c r="T39" s="3007"/>
      <c r="U39" s="3007"/>
      <c r="V39" s="3007"/>
      <c r="W39" s="3007"/>
      <c r="X39" s="3007"/>
      <c r="Y39" s="3007"/>
      <c r="Z39" s="3007"/>
      <c r="AA39" s="3007"/>
      <c r="AB39" s="3007"/>
      <c r="AC39" s="3007"/>
      <c r="AD39" s="3007"/>
      <c r="AE39" s="3007"/>
      <c r="AF39" s="3007"/>
      <c r="AG39" s="3007"/>
      <c r="AH39" s="3007"/>
      <c r="AI39" s="3007"/>
      <c r="AJ39" s="3007"/>
      <c r="AK39" s="3007"/>
      <c r="AL39" s="3007"/>
      <c r="AM39" s="3007"/>
      <c r="AN39" s="3007"/>
      <c r="AO39" s="3008">
        <f t="shared" si="2"/>
        <v>0</v>
      </c>
      <c r="AP39" s="3008"/>
      <c r="AQ39" s="3008"/>
      <c r="AR39" s="3008"/>
      <c r="AS39" s="3008"/>
      <c r="AT39" s="3008"/>
      <c r="AU39" s="3009">
        <f t="shared" si="3"/>
        <v>0</v>
      </c>
      <c r="AV39" s="3009"/>
      <c r="AW39" s="3009"/>
      <c r="AX39" s="3009"/>
      <c r="AY39" s="3009"/>
      <c r="AZ39" s="3009"/>
      <c r="BA39" s="1144"/>
      <c r="BB39" s="1144"/>
      <c r="BC39" s="1144"/>
      <c r="BD39" s="1144"/>
      <c r="BE39" s="1150"/>
    </row>
    <row r="40" spans="1:58" ht="15.75" customHeight="1">
      <c r="A40" s="1144"/>
      <c r="B40" s="3031" t="s">
        <v>1920</v>
      </c>
      <c r="C40" s="3032"/>
      <c r="D40" s="3032"/>
      <c r="E40" s="3032"/>
      <c r="F40" s="3032"/>
      <c r="G40" s="3032"/>
      <c r="H40" s="3032"/>
      <c r="I40" s="3033"/>
      <c r="J40" s="3019"/>
      <c r="K40" s="2782"/>
      <c r="L40" s="2782"/>
      <c r="M40" s="3020"/>
      <c r="N40" s="2953"/>
      <c r="O40" s="2782"/>
      <c r="P40" s="2782"/>
      <c r="Q40" s="3024"/>
      <c r="R40" s="3007"/>
      <c r="S40" s="3007"/>
      <c r="T40" s="3007"/>
      <c r="U40" s="3007"/>
      <c r="V40" s="3007"/>
      <c r="W40" s="3007"/>
      <c r="X40" s="3007"/>
      <c r="Y40" s="3007"/>
      <c r="Z40" s="3007"/>
      <c r="AA40" s="3007"/>
      <c r="AB40" s="3007"/>
      <c r="AC40" s="3007"/>
      <c r="AD40" s="3007"/>
      <c r="AE40" s="3007"/>
      <c r="AF40" s="3007"/>
      <c r="AG40" s="3007"/>
      <c r="AH40" s="3007"/>
      <c r="AI40" s="3007"/>
      <c r="AJ40" s="3007"/>
      <c r="AK40" s="3007"/>
      <c r="AL40" s="3007"/>
      <c r="AM40" s="3007"/>
      <c r="AN40" s="3007"/>
      <c r="AO40" s="3008">
        <f t="shared" si="2"/>
        <v>0</v>
      </c>
      <c r="AP40" s="3008"/>
      <c r="AQ40" s="3008"/>
      <c r="AR40" s="3008"/>
      <c r="AS40" s="3008"/>
      <c r="AT40" s="3008"/>
      <c r="AU40" s="3009">
        <f t="shared" si="3"/>
        <v>0</v>
      </c>
      <c r="AV40" s="3009"/>
      <c r="AW40" s="3009"/>
      <c r="AX40" s="3009"/>
      <c r="AY40" s="3009"/>
      <c r="AZ40" s="3009"/>
      <c r="BA40" s="1144"/>
      <c r="BB40" s="1144"/>
      <c r="BC40" s="1144"/>
      <c r="BD40" s="1144"/>
      <c r="BE40" s="1150"/>
    </row>
    <row r="41" spans="1:58" ht="15.75" customHeight="1">
      <c r="A41" s="1144"/>
      <c r="B41" s="3028" t="s">
        <v>1921</v>
      </c>
      <c r="C41" s="3029"/>
      <c r="D41" s="3029"/>
      <c r="E41" s="3029"/>
      <c r="F41" s="3029"/>
      <c r="G41" s="3029"/>
      <c r="H41" s="3029"/>
      <c r="I41" s="3030"/>
      <c r="J41" s="3019"/>
      <c r="K41" s="2782"/>
      <c r="L41" s="2782"/>
      <c r="M41" s="3020"/>
      <c r="N41" s="2953"/>
      <c r="O41" s="2782"/>
      <c r="P41" s="2782"/>
      <c r="Q41" s="3024"/>
      <c r="R41" s="3007"/>
      <c r="S41" s="3007"/>
      <c r="T41" s="3007"/>
      <c r="U41" s="3007"/>
      <c r="V41" s="3007"/>
      <c r="W41" s="3007"/>
      <c r="X41" s="3007"/>
      <c r="Y41" s="3007"/>
      <c r="Z41" s="3007"/>
      <c r="AA41" s="3007"/>
      <c r="AB41" s="3007"/>
      <c r="AC41" s="3007"/>
      <c r="AD41" s="3007"/>
      <c r="AE41" s="3007"/>
      <c r="AF41" s="3007"/>
      <c r="AG41" s="3007"/>
      <c r="AH41" s="3007"/>
      <c r="AI41" s="3007"/>
      <c r="AJ41" s="3007"/>
      <c r="AK41" s="3007"/>
      <c r="AL41" s="3007"/>
      <c r="AM41" s="3007"/>
      <c r="AN41" s="3007"/>
      <c r="AO41" s="3008">
        <f t="shared" si="2"/>
        <v>0</v>
      </c>
      <c r="AP41" s="3008"/>
      <c r="AQ41" s="3008"/>
      <c r="AR41" s="3008"/>
      <c r="AS41" s="3008"/>
      <c r="AT41" s="3008"/>
      <c r="AU41" s="3009">
        <f t="shared" si="3"/>
        <v>0</v>
      </c>
      <c r="AV41" s="3009"/>
      <c r="AW41" s="3009"/>
      <c r="AX41" s="3009"/>
      <c r="AY41" s="3009"/>
      <c r="AZ41" s="3009"/>
      <c r="BA41" s="1144"/>
      <c r="BB41" s="1144"/>
      <c r="BC41" s="1144"/>
      <c r="BD41" s="1144"/>
      <c r="BE41" s="1150"/>
    </row>
    <row r="42" spans="1:58" ht="15.75" customHeight="1">
      <c r="A42" s="1144"/>
      <c r="B42" s="3028" t="s">
        <v>1921</v>
      </c>
      <c r="C42" s="3029"/>
      <c r="D42" s="3029"/>
      <c r="E42" s="3029"/>
      <c r="F42" s="3029"/>
      <c r="G42" s="3029"/>
      <c r="H42" s="3029"/>
      <c r="I42" s="3030"/>
      <c r="J42" s="3019"/>
      <c r="K42" s="2782"/>
      <c r="L42" s="2782"/>
      <c r="M42" s="3020"/>
      <c r="N42" s="2953"/>
      <c r="O42" s="2782"/>
      <c r="P42" s="2782"/>
      <c r="Q42" s="3024"/>
      <c r="R42" s="3007"/>
      <c r="S42" s="3007"/>
      <c r="T42" s="3007"/>
      <c r="U42" s="3007"/>
      <c r="V42" s="3007"/>
      <c r="W42" s="3007"/>
      <c r="X42" s="3007"/>
      <c r="Y42" s="3007"/>
      <c r="Z42" s="3007"/>
      <c r="AA42" s="3007"/>
      <c r="AB42" s="3007"/>
      <c r="AC42" s="3007"/>
      <c r="AD42" s="3007"/>
      <c r="AE42" s="3007"/>
      <c r="AF42" s="3007"/>
      <c r="AG42" s="3007"/>
      <c r="AH42" s="3007"/>
      <c r="AI42" s="3007"/>
      <c r="AJ42" s="3007"/>
      <c r="AK42" s="3007"/>
      <c r="AL42" s="3007"/>
      <c r="AM42" s="3007"/>
      <c r="AN42" s="3007"/>
      <c r="AO42" s="3008">
        <f t="shared" si="2"/>
        <v>0</v>
      </c>
      <c r="AP42" s="3008"/>
      <c r="AQ42" s="3008"/>
      <c r="AR42" s="3008"/>
      <c r="AS42" s="3008"/>
      <c r="AT42" s="3008"/>
      <c r="AU42" s="3009">
        <f t="shared" si="3"/>
        <v>0</v>
      </c>
      <c r="AV42" s="3009"/>
      <c r="AW42" s="3009"/>
      <c r="AX42" s="3009"/>
      <c r="AY42" s="3009"/>
      <c r="AZ42" s="3009"/>
      <c r="BA42" s="1144"/>
      <c r="BB42" s="1144"/>
      <c r="BC42" s="1144"/>
      <c r="BD42" s="1144"/>
      <c r="BE42" s="1150"/>
    </row>
    <row r="43" spans="1:58" ht="15.75" customHeight="1">
      <c r="A43" s="1144"/>
      <c r="B43" s="3025" t="s">
        <v>1922</v>
      </c>
      <c r="C43" s="3026"/>
      <c r="D43" s="3026"/>
      <c r="E43" s="3026"/>
      <c r="F43" s="3026"/>
      <c r="G43" s="3026"/>
      <c r="H43" s="3026"/>
      <c r="I43" s="3027"/>
      <c r="J43" s="3019"/>
      <c r="K43" s="2782"/>
      <c r="L43" s="2782"/>
      <c r="M43" s="3020"/>
      <c r="N43" s="2953"/>
      <c r="O43" s="2782"/>
      <c r="P43" s="2782"/>
      <c r="Q43" s="3024"/>
      <c r="R43" s="3007"/>
      <c r="S43" s="3007"/>
      <c r="T43" s="3007"/>
      <c r="U43" s="3007"/>
      <c r="V43" s="3007"/>
      <c r="W43" s="3007"/>
      <c r="X43" s="3007"/>
      <c r="Y43" s="3007"/>
      <c r="Z43" s="3007"/>
      <c r="AA43" s="3007"/>
      <c r="AB43" s="3007"/>
      <c r="AC43" s="3007"/>
      <c r="AD43" s="3007"/>
      <c r="AE43" s="3007"/>
      <c r="AF43" s="3007"/>
      <c r="AG43" s="3007"/>
      <c r="AH43" s="3007"/>
      <c r="AI43" s="3007"/>
      <c r="AJ43" s="3007"/>
      <c r="AK43" s="3007"/>
      <c r="AL43" s="3007"/>
      <c r="AM43" s="3007"/>
      <c r="AN43" s="3007"/>
      <c r="AO43" s="3008">
        <f t="shared" si="2"/>
        <v>0</v>
      </c>
      <c r="AP43" s="3008"/>
      <c r="AQ43" s="3008"/>
      <c r="AR43" s="3008"/>
      <c r="AS43" s="3008"/>
      <c r="AT43" s="3008"/>
      <c r="AU43" s="3009">
        <f t="shared" si="3"/>
        <v>0</v>
      </c>
      <c r="AV43" s="3009"/>
      <c r="AW43" s="3009"/>
      <c r="AX43" s="3009"/>
      <c r="AY43" s="3009"/>
      <c r="AZ43" s="3009"/>
      <c r="BA43" s="1144"/>
      <c r="BB43" s="1144"/>
      <c r="BC43" s="1144"/>
      <c r="BD43" s="1144"/>
      <c r="BE43" s="1150"/>
    </row>
    <row r="44" spans="1:58" ht="15.75" customHeight="1">
      <c r="A44" s="1144"/>
      <c r="B44" s="3025" t="s">
        <v>1923</v>
      </c>
      <c r="C44" s="3026"/>
      <c r="D44" s="3026"/>
      <c r="E44" s="3026"/>
      <c r="F44" s="3026"/>
      <c r="G44" s="3026"/>
      <c r="H44" s="3026"/>
      <c r="I44" s="3027"/>
      <c r="J44" s="3019"/>
      <c r="K44" s="2782"/>
      <c r="L44" s="2782"/>
      <c r="M44" s="3020"/>
      <c r="N44" s="2953"/>
      <c r="O44" s="2782"/>
      <c r="P44" s="2782"/>
      <c r="Q44" s="3024"/>
      <c r="R44" s="3007"/>
      <c r="S44" s="3007"/>
      <c r="T44" s="3007"/>
      <c r="U44" s="3007"/>
      <c r="V44" s="3007"/>
      <c r="W44" s="3007"/>
      <c r="X44" s="3007"/>
      <c r="Y44" s="3007"/>
      <c r="Z44" s="3007"/>
      <c r="AA44" s="3007"/>
      <c r="AB44" s="3007"/>
      <c r="AC44" s="3007"/>
      <c r="AD44" s="3007"/>
      <c r="AE44" s="3007"/>
      <c r="AF44" s="3007"/>
      <c r="AG44" s="3007"/>
      <c r="AH44" s="3007"/>
      <c r="AI44" s="3007"/>
      <c r="AJ44" s="3007"/>
      <c r="AK44" s="3007"/>
      <c r="AL44" s="3007"/>
      <c r="AM44" s="3007"/>
      <c r="AN44" s="3007"/>
      <c r="AO44" s="3008">
        <f t="shared" si="2"/>
        <v>0</v>
      </c>
      <c r="AP44" s="3008"/>
      <c r="AQ44" s="3008"/>
      <c r="AR44" s="3008"/>
      <c r="AS44" s="3008"/>
      <c r="AT44" s="3008"/>
      <c r="AU44" s="3009">
        <f t="shared" si="3"/>
        <v>0</v>
      </c>
      <c r="AV44" s="3009"/>
      <c r="AW44" s="3009"/>
      <c r="AX44" s="3009"/>
      <c r="AY44" s="3009"/>
      <c r="AZ44" s="3009"/>
      <c r="BA44" s="1144"/>
      <c r="BB44" s="1144"/>
      <c r="BC44" s="1144"/>
      <c r="BD44" s="1144"/>
      <c r="BE44" s="1150"/>
    </row>
    <row r="45" spans="1:58" ht="15.75" customHeight="1">
      <c r="A45" s="1144"/>
      <c r="B45" s="3016" t="s">
        <v>1924</v>
      </c>
      <c r="C45" s="3017"/>
      <c r="D45" s="3017"/>
      <c r="E45" s="3017"/>
      <c r="F45" s="3017"/>
      <c r="G45" s="3017"/>
      <c r="H45" s="3017"/>
      <c r="I45" s="3018"/>
      <c r="J45" s="3019"/>
      <c r="K45" s="2782"/>
      <c r="L45" s="2782"/>
      <c r="M45" s="3020"/>
      <c r="N45" s="2953"/>
      <c r="O45" s="2782"/>
      <c r="P45" s="2782"/>
      <c r="Q45" s="3024"/>
      <c r="R45" s="3007"/>
      <c r="S45" s="3007"/>
      <c r="T45" s="3007"/>
      <c r="U45" s="3007"/>
      <c r="V45" s="3007"/>
      <c r="W45" s="3007"/>
      <c r="X45" s="3007"/>
      <c r="Y45" s="3007"/>
      <c r="Z45" s="3007"/>
      <c r="AA45" s="3007"/>
      <c r="AB45" s="3007"/>
      <c r="AC45" s="3007"/>
      <c r="AD45" s="3007"/>
      <c r="AE45" s="3007"/>
      <c r="AF45" s="3007"/>
      <c r="AG45" s="3007"/>
      <c r="AH45" s="3007"/>
      <c r="AI45" s="3007"/>
      <c r="AJ45" s="3007"/>
      <c r="AK45" s="3007"/>
      <c r="AL45" s="3007"/>
      <c r="AM45" s="3007"/>
      <c r="AN45" s="3007"/>
      <c r="AO45" s="3008">
        <f t="shared" si="2"/>
        <v>0</v>
      </c>
      <c r="AP45" s="3008"/>
      <c r="AQ45" s="3008"/>
      <c r="AR45" s="3008"/>
      <c r="AS45" s="3008"/>
      <c r="AT45" s="3008"/>
      <c r="AU45" s="3009">
        <f t="shared" si="3"/>
        <v>0</v>
      </c>
      <c r="AV45" s="3009"/>
      <c r="AW45" s="3009"/>
      <c r="AX45" s="3009"/>
      <c r="AY45" s="3009"/>
      <c r="AZ45" s="3009"/>
      <c r="BA45" s="1144"/>
      <c r="BB45" s="1144"/>
      <c r="BC45" s="1144"/>
      <c r="BD45" s="1144"/>
      <c r="BE45" s="1150"/>
    </row>
    <row r="46" spans="1:58" ht="15.75" customHeight="1">
      <c r="A46" s="1144"/>
      <c r="B46" s="3016" t="s">
        <v>1925</v>
      </c>
      <c r="C46" s="3017"/>
      <c r="D46" s="3017"/>
      <c r="E46" s="3017"/>
      <c r="F46" s="3017"/>
      <c r="G46" s="3017"/>
      <c r="H46" s="3017"/>
      <c r="I46" s="3018"/>
      <c r="J46" s="3019"/>
      <c r="K46" s="2782"/>
      <c r="L46" s="2782"/>
      <c r="M46" s="3020"/>
      <c r="N46" s="3021">
        <v>99</v>
      </c>
      <c r="O46" s="3022"/>
      <c r="P46" s="3022"/>
      <c r="Q46" s="3023"/>
      <c r="R46" s="3007"/>
      <c r="S46" s="3007"/>
      <c r="T46" s="3007"/>
      <c r="U46" s="3007"/>
      <c r="V46" s="3007"/>
      <c r="W46" s="3007"/>
      <c r="X46" s="3007"/>
      <c r="Y46" s="3007"/>
      <c r="Z46" s="3007"/>
      <c r="AA46" s="3007"/>
      <c r="AB46" s="3007"/>
      <c r="AC46" s="3007"/>
      <c r="AD46" s="3007"/>
      <c r="AE46" s="3007"/>
      <c r="AF46" s="3007"/>
      <c r="AG46" s="3007"/>
      <c r="AH46" s="3007"/>
      <c r="AI46" s="3007"/>
      <c r="AJ46" s="3007"/>
      <c r="AK46" s="3007"/>
      <c r="AL46" s="3007"/>
      <c r="AM46" s="3007"/>
      <c r="AN46" s="3007"/>
      <c r="AO46" s="3008">
        <f t="shared" si="2"/>
        <v>0</v>
      </c>
      <c r="AP46" s="3008"/>
      <c r="AQ46" s="3008"/>
      <c r="AR46" s="3008"/>
      <c r="AS46" s="3008"/>
      <c r="AT46" s="3008"/>
      <c r="AU46" s="3009">
        <f t="shared" si="3"/>
        <v>0</v>
      </c>
      <c r="AV46" s="3009"/>
      <c r="AW46" s="3009"/>
      <c r="AX46" s="3009"/>
      <c r="AY46" s="3009"/>
      <c r="AZ46" s="3009"/>
      <c r="BA46" s="1144"/>
      <c r="BB46" s="1144"/>
      <c r="BC46" s="1144"/>
      <c r="BD46" s="1144"/>
      <c r="BE46" s="1150"/>
    </row>
    <row r="47" spans="1:58" ht="15.75" customHeight="1" thickBot="1">
      <c r="A47" s="1144"/>
      <c r="B47" s="3010" t="s">
        <v>306</v>
      </c>
      <c r="C47" s="3011"/>
      <c r="D47" s="3011"/>
      <c r="E47" s="3011"/>
      <c r="F47" s="3011"/>
      <c r="G47" s="3011"/>
      <c r="H47" s="3011"/>
      <c r="I47" s="3012"/>
      <c r="J47" s="3013"/>
      <c r="K47" s="2919"/>
      <c r="L47" s="2919"/>
      <c r="M47" s="2920"/>
      <c r="N47" s="3014"/>
      <c r="O47" s="2919"/>
      <c r="P47" s="2919"/>
      <c r="Q47" s="3015"/>
      <c r="R47" s="3007"/>
      <c r="S47" s="3007"/>
      <c r="T47" s="3007"/>
      <c r="U47" s="3007"/>
      <c r="V47" s="3007"/>
      <c r="W47" s="3007"/>
      <c r="X47" s="3007"/>
      <c r="Y47" s="3007"/>
      <c r="Z47" s="3007"/>
      <c r="AA47" s="3007"/>
      <c r="AB47" s="3007"/>
      <c r="AC47" s="3007"/>
      <c r="AD47" s="3007"/>
      <c r="AE47" s="3007"/>
      <c r="AF47" s="3007"/>
      <c r="AG47" s="3007"/>
      <c r="AH47" s="3007"/>
      <c r="AI47" s="3007"/>
      <c r="AJ47" s="3007"/>
      <c r="AK47" s="3007"/>
      <c r="AL47" s="3007"/>
      <c r="AM47" s="3007"/>
      <c r="AN47" s="3007"/>
      <c r="AO47" s="3008">
        <f t="shared" si="2"/>
        <v>0</v>
      </c>
      <c r="AP47" s="3008"/>
      <c r="AQ47" s="3008"/>
      <c r="AR47" s="3008"/>
      <c r="AS47" s="3008"/>
      <c r="AT47" s="3008"/>
      <c r="AU47" s="3009">
        <f t="shared" si="3"/>
        <v>0</v>
      </c>
      <c r="AV47" s="3009"/>
      <c r="AW47" s="3009"/>
      <c r="AX47" s="3009"/>
      <c r="AY47" s="3009"/>
      <c r="AZ47" s="3009"/>
      <c r="BA47" s="1144"/>
      <c r="BB47" s="1144"/>
      <c r="BC47" s="1144"/>
      <c r="BD47" s="1144"/>
      <c r="BE47" s="1150"/>
    </row>
    <row r="48" spans="1:58" ht="15.75" customHeight="1">
      <c r="A48" s="1144"/>
      <c r="B48" s="1152" t="s">
        <v>1926</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2334</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65" t="s">
        <v>1927</v>
      </c>
      <c r="C50" s="2866"/>
      <c r="D50" s="2866"/>
      <c r="E50" s="2866"/>
      <c r="F50" s="2866"/>
      <c r="G50" s="2866"/>
      <c r="H50" s="2866"/>
      <c r="I50" s="2866"/>
      <c r="J50" s="2866"/>
      <c r="K50" s="2866"/>
      <c r="L50" s="2866"/>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997"/>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998" t="s">
        <v>1928</v>
      </c>
      <c r="C51" s="2999"/>
      <c r="D51" s="2999"/>
      <c r="E51" s="2999"/>
      <c r="F51" s="2999"/>
      <c r="G51" s="2999"/>
      <c r="H51" s="2999"/>
      <c r="I51" s="3000"/>
      <c r="J51" s="2998" t="s">
        <v>1929</v>
      </c>
      <c r="K51" s="2999"/>
      <c r="L51" s="2999"/>
      <c r="M51" s="2999"/>
      <c r="N51" s="2999"/>
      <c r="O51" s="2999"/>
      <c r="P51" s="2999"/>
      <c r="Q51" s="3000"/>
      <c r="R51" s="3001" t="s">
        <v>1930</v>
      </c>
      <c r="S51" s="3002"/>
      <c r="T51" s="3002"/>
      <c r="U51" s="3002"/>
      <c r="V51" s="3002"/>
      <c r="W51" s="3002"/>
      <c r="X51" s="3002"/>
      <c r="Y51" s="3003"/>
      <c r="Z51" s="3004" t="s">
        <v>1931</v>
      </c>
      <c r="AA51" s="3005"/>
      <c r="AB51" s="3005"/>
      <c r="AC51" s="3005"/>
      <c r="AD51" s="3005"/>
      <c r="AE51" s="3005"/>
      <c r="AF51" s="3005"/>
      <c r="AG51" s="3006"/>
      <c r="AH51" s="3004" t="s">
        <v>1932</v>
      </c>
      <c r="AI51" s="3005"/>
      <c r="AJ51" s="3005"/>
      <c r="AK51" s="3005"/>
      <c r="AL51" s="3005"/>
      <c r="AM51" s="3005"/>
      <c r="AN51" s="3005"/>
      <c r="AO51" s="3006"/>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973" t="s">
        <v>2335</v>
      </c>
      <c r="C52" s="2974"/>
      <c r="D52" s="2974"/>
      <c r="E52" s="2974"/>
      <c r="F52" s="2974"/>
      <c r="G52" s="2974"/>
      <c r="H52" s="2974"/>
      <c r="I52" s="2974"/>
      <c r="J52" s="2974">
        <v>0</v>
      </c>
      <c r="K52" s="2974"/>
      <c r="L52" s="2974"/>
      <c r="M52" s="2974"/>
      <c r="N52" s="2974"/>
      <c r="O52" s="2974"/>
      <c r="P52" s="2974"/>
      <c r="Q52" s="2974"/>
      <c r="R52" s="2993">
        <v>0</v>
      </c>
      <c r="S52" s="2993"/>
      <c r="T52" s="2993"/>
      <c r="U52" s="2993"/>
      <c r="V52" s="2993"/>
      <c r="W52" s="2993"/>
      <c r="X52" s="2993"/>
      <c r="Y52" s="2993"/>
      <c r="Z52" s="2994"/>
      <c r="AA52" s="2994"/>
      <c r="AB52" s="2994"/>
      <c r="AC52" s="2994"/>
      <c r="AD52" s="2994"/>
      <c r="AE52" s="2994"/>
      <c r="AF52" s="2994"/>
      <c r="AG52" s="2994"/>
      <c r="AH52" s="2995">
        <v>0</v>
      </c>
      <c r="AI52" s="2995"/>
      <c r="AJ52" s="2995"/>
      <c r="AK52" s="2995"/>
      <c r="AL52" s="2995"/>
      <c r="AM52" s="2995"/>
      <c r="AN52" s="2995"/>
      <c r="AO52" s="2996"/>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973" t="s">
        <v>2336</v>
      </c>
      <c r="C53" s="2974"/>
      <c r="D53" s="2974"/>
      <c r="E53" s="2974"/>
      <c r="F53" s="2974"/>
      <c r="G53" s="2974"/>
      <c r="H53" s="2974"/>
      <c r="I53" s="2974"/>
      <c r="J53" s="2974"/>
      <c r="K53" s="2974"/>
      <c r="L53" s="2974"/>
      <c r="M53" s="2974"/>
      <c r="N53" s="2974"/>
      <c r="O53" s="2974"/>
      <c r="P53" s="2974"/>
      <c r="Q53" s="2974"/>
      <c r="R53" s="2993">
        <v>0</v>
      </c>
      <c r="S53" s="2993"/>
      <c r="T53" s="2993"/>
      <c r="U53" s="2993"/>
      <c r="V53" s="2993"/>
      <c r="W53" s="2993"/>
      <c r="X53" s="2993"/>
      <c r="Y53" s="2993"/>
      <c r="Z53" s="2994"/>
      <c r="AA53" s="2994"/>
      <c r="AB53" s="2994"/>
      <c r="AC53" s="2994"/>
      <c r="AD53" s="2994"/>
      <c r="AE53" s="2994"/>
      <c r="AF53" s="2994"/>
      <c r="AG53" s="2994"/>
      <c r="AH53" s="2995">
        <v>0</v>
      </c>
      <c r="AI53" s="2995"/>
      <c r="AJ53" s="2995"/>
      <c r="AK53" s="2995"/>
      <c r="AL53" s="2995"/>
      <c r="AM53" s="2995"/>
      <c r="AN53" s="2995"/>
      <c r="AO53" s="2996"/>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973"/>
      <c r="C54" s="2974"/>
      <c r="D54" s="2974"/>
      <c r="E54" s="2974"/>
      <c r="F54" s="2974"/>
      <c r="G54" s="2974"/>
      <c r="H54" s="2974"/>
      <c r="I54" s="2974"/>
      <c r="J54" s="2974"/>
      <c r="K54" s="2974"/>
      <c r="L54" s="2974"/>
      <c r="M54" s="2974"/>
      <c r="N54" s="2974"/>
      <c r="O54" s="2974"/>
      <c r="P54" s="2974"/>
      <c r="Q54" s="2974"/>
      <c r="R54" s="2993">
        <v>0</v>
      </c>
      <c r="S54" s="2993"/>
      <c r="T54" s="2993"/>
      <c r="U54" s="2993"/>
      <c r="V54" s="2993"/>
      <c r="W54" s="2993"/>
      <c r="X54" s="2993"/>
      <c r="Y54" s="2993"/>
      <c r="Z54" s="2994"/>
      <c r="AA54" s="2994"/>
      <c r="AB54" s="2994"/>
      <c r="AC54" s="2994"/>
      <c r="AD54" s="2994"/>
      <c r="AE54" s="2994"/>
      <c r="AF54" s="2994"/>
      <c r="AG54" s="2994"/>
      <c r="AH54" s="2995">
        <v>0</v>
      </c>
      <c r="AI54" s="2995"/>
      <c r="AJ54" s="2995"/>
      <c r="AK54" s="2995"/>
      <c r="AL54" s="2995"/>
      <c r="AM54" s="2995"/>
      <c r="AN54" s="2995"/>
      <c r="AO54" s="2996"/>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973"/>
      <c r="C55" s="2974"/>
      <c r="D55" s="2974"/>
      <c r="E55" s="2974"/>
      <c r="F55" s="2974"/>
      <c r="G55" s="2974"/>
      <c r="H55" s="2974"/>
      <c r="I55" s="2974"/>
      <c r="J55" s="2974"/>
      <c r="K55" s="2974"/>
      <c r="L55" s="2974"/>
      <c r="M55" s="2974"/>
      <c r="N55" s="2974"/>
      <c r="O55" s="2974"/>
      <c r="P55" s="2974"/>
      <c r="Q55" s="2974"/>
      <c r="R55" s="2993">
        <v>0</v>
      </c>
      <c r="S55" s="2993"/>
      <c r="T55" s="2993"/>
      <c r="U55" s="2993"/>
      <c r="V55" s="2993"/>
      <c r="W55" s="2993"/>
      <c r="X55" s="2993"/>
      <c r="Y55" s="2993"/>
      <c r="Z55" s="2994"/>
      <c r="AA55" s="2994"/>
      <c r="AB55" s="2994"/>
      <c r="AC55" s="2994"/>
      <c r="AD55" s="2994"/>
      <c r="AE55" s="2994"/>
      <c r="AF55" s="2994"/>
      <c r="AG55" s="2994"/>
      <c r="AH55" s="2995">
        <v>0</v>
      </c>
      <c r="AI55" s="2995"/>
      <c r="AJ55" s="2995"/>
      <c r="AK55" s="2995"/>
      <c r="AL55" s="2995"/>
      <c r="AM55" s="2995"/>
      <c r="AN55" s="2995"/>
      <c r="AO55" s="2996"/>
      <c r="AP55" s="1146"/>
      <c r="AQ55" s="1146"/>
      <c r="AR55" s="1146"/>
      <c r="AS55" s="1146"/>
      <c r="AT55" s="1146" t="s">
        <v>256</v>
      </c>
      <c r="AU55" s="1146"/>
      <c r="AV55" s="1146"/>
      <c r="AW55" s="1146"/>
      <c r="AX55" s="1144"/>
      <c r="AY55" s="1144"/>
      <c r="AZ55" s="1144"/>
      <c r="BA55" s="1144"/>
      <c r="BB55" s="1144"/>
      <c r="BC55" s="1144"/>
      <c r="BD55" s="1144"/>
      <c r="BE55" s="1150"/>
    </row>
    <row r="56" spans="1:58" ht="15.75" customHeight="1" thickBot="1">
      <c r="A56" s="1144"/>
      <c r="B56" s="2977"/>
      <c r="C56" s="2978"/>
      <c r="D56" s="2978"/>
      <c r="E56" s="2978"/>
      <c r="F56" s="2978"/>
      <c r="G56" s="2978"/>
      <c r="H56" s="2978"/>
      <c r="I56" s="2978"/>
      <c r="J56" s="2978"/>
      <c r="K56" s="2978"/>
      <c r="L56" s="2978"/>
      <c r="M56" s="2978"/>
      <c r="N56" s="2978"/>
      <c r="O56" s="2978"/>
      <c r="P56" s="2978"/>
      <c r="Q56" s="2978"/>
      <c r="R56" s="2984">
        <v>0</v>
      </c>
      <c r="S56" s="2984"/>
      <c r="T56" s="2984"/>
      <c r="U56" s="2984"/>
      <c r="V56" s="2984"/>
      <c r="W56" s="2984"/>
      <c r="X56" s="2984"/>
      <c r="Y56" s="2984"/>
      <c r="Z56" s="2985"/>
      <c r="AA56" s="2985"/>
      <c r="AB56" s="2985"/>
      <c r="AC56" s="2985"/>
      <c r="AD56" s="2985"/>
      <c r="AE56" s="2985"/>
      <c r="AF56" s="2985"/>
      <c r="AG56" s="2985"/>
      <c r="AH56" s="2986"/>
      <c r="AI56" s="2986"/>
      <c r="AJ56" s="2986"/>
      <c r="AK56" s="2986"/>
      <c r="AL56" s="2986"/>
      <c r="AM56" s="2986"/>
      <c r="AN56" s="2986"/>
      <c r="AO56" s="2987"/>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988" t="s">
        <v>1796</v>
      </c>
      <c r="C57" s="2989"/>
      <c r="D57" s="2989"/>
      <c r="E57" s="2989"/>
      <c r="F57" s="2989"/>
      <c r="G57" s="2989"/>
      <c r="H57" s="2989"/>
      <c r="I57" s="2989"/>
      <c r="J57" s="2989"/>
      <c r="K57" s="2989"/>
      <c r="L57" s="2989"/>
      <c r="M57" s="2989"/>
      <c r="N57" s="2989"/>
      <c r="O57" s="2989"/>
      <c r="P57" s="2989"/>
      <c r="Q57" s="2989"/>
      <c r="R57" s="2990">
        <f>SUM(R52:Y56)</f>
        <v>0</v>
      </c>
      <c r="S57" s="2990"/>
      <c r="T57" s="2990"/>
      <c r="U57" s="2990"/>
      <c r="V57" s="2990"/>
      <c r="W57" s="2990"/>
      <c r="X57" s="2990"/>
      <c r="Y57" s="2990"/>
      <c r="Z57" s="2991">
        <f t="shared" ref="Z57" si="4">SUM(Z52:AG56)</f>
        <v>0</v>
      </c>
      <c r="AA57" s="2991"/>
      <c r="AB57" s="2991"/>
      <c r="AC57" s="2991"/>
      <c r="AD57" s="2991"/>
      <c r="AE57" s="2991"/>
      <c r="AF57" s="2991"/>
      <c r="AG57" s="2991"/>
      <c r="AH57" s="2992">
        <f>SUM(AH52:AO56)</f>
        <v>0</v>
      </c>
      <c r="AI57" s="2992"/>
      <c r="AJ57" s="2992"/>
      <c r="AK57" s="2992"/>
      <c r="AL57" s="2992"/>
      <c r="AM57" s="2992"/>
      <c r="AN57" s="2992"/>
      <c r="AO57" s="2992"/>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981" t="s">
        <v>1928</v>
      </c>
      <c r="C59" s="2982"/>
      <c r="D59" s="2982"/>
      <c r="E59" s="2982"/>
      <c r="F59" s="2982"/>
      <c r="G59" s="2982"/>
      <c r="H59" s="2982"/>
      <c r="I59" s="2983"/>
      <c r="J59" s="2790" t="s">
        <v>1933</v>
      </c>
      <c r="K59" s="2790"/>
      <c r="L59" s="2790"/>
      <c r="M59" s="2790"/>
      <c r="N59" s="2790"/>
      <c r="O59" s="2790"/>
      <c r="P59" s="2790"/>
      <c r="Q59" s="2790"/>
      <c r="R59" s="2790"/>
      <c r="S59" s="2790"/>
      <c r="T59" s="2790"/>
      <c r="U59" s="2790"/>
      <c r="V59" s="2790"/>
      <c r="W59" s="2790"/>
      <c r="X59" s="2790"/>
      <c r="Y59" s="2790"/>
      <c r="Z59" s="2790"/>
      <c r="AA59" s="2790"/>
      <c r="AB59" s="2790"/>
      <c r="AC59" s="2790"/>
      <c r="AD59" s="2790"/>
      <c r="AE59" s="2790"/>
      <c r="AF59" s="2790"/>
      <c r="AG59" s="2790"/>
      <c r="AH59" s="2790"/>
      <c r="AI59" s="2790"/>
      <c r="AJ59" s="2790"/>
      <c r="AK59" s="2790"/>
      <c r="AL59" s="2790"/>
      <c r="AM59" s="2790"/>
      <c r="AN59" s="2790"/>
      <c r="AO59" s="2790"/>
      <c r="AP59" s="2790"/>
      <c r="AQ59" s="2790"/>
      <c r="AR59" s="2790"/>
      <c r="AS59" s="2790"/>
      <c r="AT59" s="2790"/>
      <c r="AU59" s="2790"/>
      <c r="AV59" s="2790"/>
      <c r="AW59" s="2791"/>
      <c r="AX59" s="1144"/>
      <c r="AY59" s="1144"/>
      <c r="AZ59" s="1144"/>
      <c r="BA59" s="1144"/>
      <c r="BB59" s="1144"/>
      <c r="BC59" s="1144"/>
      <c r="BD59" s="1144"/>
      <c r="BE59" s="1150"/>
    </row>
    <row r="60" spans="1:58" ht="15.75" customHeight="1">
      <c r="A60" s="1144"/>
      <c r="B60" s="2973" t="str">
        <f>IF(B52="", "", B52)</f>
        <v>Services Company 1</v>
      </c>
      <c r="C60" s="2974"/>
      <c r="D60" s="2974"/>
      <c r="E60" s="2974"/>
      <c r="F60" s="2974"/>
      <c r="G60" s="2974"/>
      <c r="H60" s="2974"/>
      <c r="I60" s="2975"/>
      <c r="J60" s="2976"/>
      <c r="K60" s="2974"/>
      <c r="L60" s="2974"/>
      <c r="M60" s="2974"/>
      <c r="N60" s="2974"/>
      <c r="O60" s="2974"/>
      <c r="P60" s="2974"/>
      <c r="Q60" s="2974"/>
      <c r="R60" s="2974"/>
      <c r="S60" s="2974"/>
      <c r="T60" s="2974"/>
      <c r="U60" s="2974"/>
      <c r="V60" s="2974"/>
      <c r="W60" s="2974"/>
      <c r="X60" s="2974"/>
      <c r="Y60" s="2974"/>
      <c r="Z60" s="2974"/>
      <c r="AA60" s="2974"/>
      <c r="AB60" s="2974"/>
      <c r="AC60" s="2974"/>
      <c r="AD60" s="2974"/>
      <c r="AE60" s="2974"/>
      <c r="AF60" s="2974"/>
      <c r="AG60" s="2974"/>
      <c r="AH60" s="2974"/>
      <c r="AI60" s="2974"/>
      <c r="AJ60" s="2974"/>
      <c r="AK60" s="2974"/>
      <c r="AL60" s="2974"/>
      <c r="AM60" s="2974"/>
      <c r="AN60" s="2974"/>
      <c r="AO60" s="2974"/>
      <c r="AP60" s="2974"/>
      <c r="AQ60" s="2974"/>
      <c r="AR60" s="2974"/>
      <c r="AS60" s="2974"/>
      <c r="AT60" s="2974"/>
      <c r="AU60" s="2974"/>
      <c r="AV60" s="2974"/>
      <c r="AW60" s="2975"/>
      <c r="AX60" s="1144"/>
      <c r="AY60" s="1144"/>
      <c r="AZ60" s="1144"/>
      <c r="BA60" s="1144"/>
      <c r="BB60" s="1144"/>
      <c r="BC60" s="1144"/>
      <c r="BD60" s="1144"/>
      <c r="BE60" s="1150"/>
    </row>
    <row r="61" spans="1:58" ht="15.75" customHeight="1">
      <c r="A61" s="1144"/>
      <c r="B61" s="2973" t="str">
        <f t="shared" ref="B61:B64" si="5">IF(B53="", "", B53)</f>
        <v>Services Company 2</v>
      </c>
      <c r="C61" s="2974"/>
      <c r="D61" s="2974"/>
      <c r="E61" s="2974"/>
      <c r="F61" s="2974"/>
      <c r="G61" s="2974"/>
      <c r="H61" s="2974"/>
      <c r="I61" s="2975"/>
      <c r="J61" s="2976"/>
      <c r="K61" s="2974"/>
      <c r="L61" s="2974"/>
      <c r="M61" s="2974"/>
      <c r="N61" s="2974"/>
      <c r="O61" s="2974"/>
      <c r="P61" s="2974"/>
      <c r="Q61" s="2974"/>
      <c r="R61" s="2974"/>
      <c r="S61" s="2974"/>
      <c r="T61" s="2974"/>
      <c r="U61" s="2974"/>
      <c r="V61" s="2974"/>
      <c r="W61" s="2974"/>
      <c r="X61" s="2974"/>
      <c r="Y61" s="2974"/>
      <c r="Z61" s="2974"/>
      <c r="AA61" s="2974"/>
      <c r="AB61" s="2974"/>
      <c r="AC61" s="2974"/>
      <c r="AD61" s="2974"/>
      <c r="AE61" s="2974"/>
      <c r="AF61" s="2974"/>
      <c r="AG61" s="2974"/>
      <c r="AH61" s="2974"/>
      <c r="AI61" s="2974"/>
      <c r="AJ61" s="2974"/>
      <c r="AK61" s="2974"/>
      <c r="AL61" s="2974"/>
      <c r="AM61" s="2974"/>
      <c r="AN61" s="2974"/>
      <c r="AO61" s="2974"/>
      <c r="AP61" s="2974"/>
      <c r="AQ61" s="2974"/>
      <c r="AR61" s="2974"/>
      <c r="AS61" s="2974"/>
      <c r="AT61" s="2974"/>
      <c r="AU61" s="2974"/>
      <c r="AV61" s="2974"/>
      <c r="AW61" s="2975"/>
      <c r="AX61" s="1144"/>
      <c r="AY61" s="1144"/>
      <c r="AZ61" s="1144"/>
      <c r="BA61" s="1144"/>
      <c r="BB61" s="1144"/>
      <c r="BC61" s="1144"/>
      <c r="BD61" s="1144"/>
      <c r="BE61" s="1150"/>
    </row>
    <row r="62" spans="1:58" ht="15.75" customHeight="1">
      <c r="A62" s="1144"/>
      <c r="B62" s="2973" t="str">
        <f t="shared" si="5"/>
        <v/>
      </c>
      <c r="C62" s="2974"/>
      <c r="D62" s="2974"/>
      <c r="E62" s="2974"/>
      <c r="F62" s="2974"/>
      <c r="G62" s="2974"/>
      <c r="H62" s="2974"/>
      <c r="I62" s="2975"/>
      <c r="J62" s="2976"/>
      <c r="K62" s="2974"/>
      <c r="L62" s="2974"/>
      <c r="M62" s="2974"/>
      <c r="N62" s="2974"/>
      <c r="O62" s="2974"/>
      <c r="P62" s="2974"/>
      <c r="Q62" s="2974"/>
      <c r="R62" s="2974"/>
      <c r="S62" s="2974"/>
      <c r="T62" s="2974"/>
      <c r="U62" s="2974"/>
      <c r="V62" s="2974"/>
      <c r="W62" s="2974"/>
      <c r="X62" s="2974"/>
      <c r="Y62" s="2974"/>
      <c r="Z62" s="2974"/>
      <c r="AA62" s="2974"/>
      <c r="AB62" s="2974"/>
      <c r="AC62" s="2974"/>
      <c r="AD62" s="2974"/>
      <c r="AE62" s="2974"/>
      <c r="AF62" s="2974"/>
      <c r="AG62" s="2974"/>
      <c r="AH62" s="2974"/>
      <c r="AI62" s="2974"/>
      <c r="AJ62" s="2974"/>
      <c r="AK62" s="2974"/>
      <c r="AL62" s="2974"/>
      <c r="AM62" s="2974"/>
      <c r="AN62" s="2974"/>
      <c r="AO62" s="2974"/>
      <c r="AP62" s="2974"/>
      <c r="AQ62" s="2974"/>
      <c r="AR62" s="2974"/>
      <c r="AS62" s="2974"/>
      <c r="AT62" s="2974"/>
      <c r="AU62" s="2974"/>
      <c r="AV62" s="2974"/>
      <c r="AW62" s="2975"/>
      <c r="AX62" s="1144"/>
      <c r="AY62" s="1144"/>
      <c r="AZ62" s="1144"/>
      <c r="BA62" s="1144"/>
      <c r="BB62" s="1144"/>
      <c r="BC62" s="1144"/>
      <c r="BD62" s="1144"/>
      <c r="BE62" s="1150"/>
    </row>
    <row r="63" spans="1:58" ht="15.75" customHeight="1">
      <c r="A63" s="1144"/>
      <c r="B63" s="2973" t="str">
        <f t="shared" si="5"/>
        <v/>
      </c>
      <c r="C63" s="2974"/>
      <c r="D63" s="2974"/>
      <c r="E63" s="2974"/>
      <c r="F63" s="2974"/>
      <c r="G63" s="2974"/>
      <c r="H63" s="2974"/>
      <c r="I63" s="2975"/>
      <c r="J63" s="2976"/>
      <c r="K63" s="2974"/>
      <c r="L63" s="2974"/>
      <c r="M63" s="2974"/>
      <c r="N63" s="2974"/>
      <c r="O63" s="2974"/>
      <c r="P63" s="2974"/>
      <c r="Q63" s="2974"/>
      <c r="R63" s="2974"/>
      <c r="S63" s="2974"/>
      <c r="T63" s="2974"/>
      <c r="U63" s="2974"/>
      <c r="V63" s="2974"/>
      <c r="W63" s="2974"/>
      <c r="X63" s="2974"/>
      <c r="Y63" s="2974"/>
      <c r="Z63" s="2974"/>
      <c r="AA63" s="2974"/>
      <c r="AB63" s="2974"/>
      <c r="AC63" s="2974"/>
      <c r="AD63" s="2974"/>
      <c r="AE63" s="2974"/>
      <c r="AF63" s="2974"/>
      <c r="AG63" s="2974"/>
      <c r="AH63" s="2974"/>
      <c r="AI63" s="2974"/>
      <c r="AJ63" s="2974"/>
      <c r="AK63" s="2974"/>
      <c r="AL63" s="2974"/>
      <c r="AM63" s="2974"/>
      <c r="AN63" s="2974"/>
      <c r="AO63" s="2974"/>
      <c r="AP63" s="2974"/>
      <c r="AQ63" s="2974"/>
      <c r="AR63" s="2974"/>
      <c r="AS63" s="2974"/>
      <c r="AT63" s="2974"/>
      <c r="AU63" s="2974"/>
      <c r="AV63" s="2974"/>
      <c r="AW63" s="2975"/>
      <c r="AX63" s="1144"/>
      <c r="AY63" s="1144"/>
      <c r="AZ63" s="1144"/>
      <c r="BA63" s="1144"/>
      <c r="BB63" s="1144"/>
      <c r="BC63" s="1144"/>
      <c r="BD63" s="1144"/>
      <c r="BE63" s="1150"/>
    </row>
    <row r="64" spans="1:58" ht="15.75" customHeight="1" thickBot="1">
      <c r="A64" s="1144"/>
      <c r="B64" s="2977" t="str">
        <f t="shared" si="5"/>
        <v/>
      </c>
      <c r="C64" s="2978"/>
      <c r="D64" s="2978"/>
      <c r="E64" s="2978"/>
      <c r="F64" s="2978"/>
      <c r="G64" s="2978"/>
      <c r="H64" s="2978"/>
      <c r="I64" s="2979"/>
      <c r="J64" s="2980"/>
      <c r="K64" s="2978"/>
      <c r="L64" s="2978"/>
      <c r="M64" s="2978"/>
      <c r="N64" s="2978"/>
      <c r="O64" s="2978"/>
      <c r="P64" s="2978"/>
      <c r="Q64" s="2978"/>
      <c r="R64" s="2978"/>
      <c r="S64" s="2978"/>
      <c r="T64" s="2978"/>
      <c r="U64" s="2978"/>
      <c r="V64" s="2978"/>
      <c r="W64" s="2978"/>
      <c r="X64" s="2978"/>
      <c r="Y64" s="2978"/>
      <c r="Z64" s="2978"/>
      <c r="AA64" s="2978"/>
      <c r="AB64" s="2978"/>
      <c r="AC64" s="2978"/>
      <c r="AD64" s="2978"/>
      <c r="AE64" s="2978"/>
      <c r="AF64" s="2978"/>
      <c r="AG64" s="2978"/>
      <c r="AH64" s="2978"/>
      <c r="AI64" s="2978"/>
      <c r="AJ64" s="2978"/>
      <c r="AK64" s="2978"/>
      <c r="AL64" s="2978"/>
      <c r="AM64" s="2978"/>
      <c r="AN64" s="2978"/>
      <c r="AO64" s="2978"/>
      <c r="AP64" s="2978"/>
      <c r="AQ64" s="2978"/>
      <c r="AR64" s="2978"/>
      <c r="AS64" s="2978"/>
      <c r="AT64" s="2978"/>
      <c r="AU64" s="2978"/>
      <c r="AV64" s="2978"/>
      <c r="AW64" s="2979"/>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1934</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836" t="s">
        <v>1935</v>
      </c>
      <c r="C68" s="2837"/>
      <c r="D68" s="2837"/>
      <c r="E68" s="2837"/>
      <c r="F68" s="2837"/>
      <c r="G68" s="2837"/>
      <c r="H68" s="2837"/>
      <c r="I68" s="2837"/>
      <c r="J68" s="2837"/>
      <c r="K68" s="2837"/>
      <c r="L68" s="2837"/>
      <c r="M68" s="2837"/>
      <c r="N68" s="2837"/>
      <c r="O68" s="2837"/>
      <c r="P68" s="2837"/>
      <c r="Q68" s="2837"/>
      <c r="R68" s="2837"/>
      <c r="S68" s="2837"/>
      <c r="T68" s="2837"/>
      <c r="U68" s="2837"/>
      <c r="V68" s="2837"/>
      <c r="W68" s="2837"/>
      <c r="X68" s="2837"/>
      <c r="Y68" s="2837"/>
      <c r="Z68" s="2837"/>
      <c r="AA68" s="2838"/>
      <c r="AB68" s="1144"/>
      <c r="AC68" s="2935" t="s">
        <v>1936</v>
      </c>
      <c r="AD68" s="2936"/>
      <c r="AE68" s="2936"/>
      <c r="AF68" s="2936"/>
      <c r="AG68" s="2936"/>
      <c r="AH68" s="2936"/>
      <c r="AI68" s="2936"/>
      <c r="AJ68" s="2936"/>
      <c r="AK68" s="2936"/>
      <c r="AL68" s="2936"/>
      <c r="AM68" s="2936"/>
      <c r="AN68" s="2936"/>
      <c r="AO68" s="2936"/>
      <c r="AP68" s="2936"/>
      <c r="AQ68" s="2936"/>
      <c r="AR68" s="2936"/>
      <c r="AS68" s="2936"/>
      <c r="AT68" s="2936"/>
      <c r="AU68" s="2936"/>
      <c r="AV68" s="2968" t="s">
        <v>1895</v>
      </c>
      <c r="AW68" s="2968"/>
      <c r="AX68" s="2968"/>
      <c r="AY68" s="2968"/>
      <c r="AZ68" s="2968"/>
      <c r="BA68" s="2968"/>
      <c r="BB68" s="2968"/>
      <c r="BC68" s="2969"/>
      <c r="BD68" s="1144"/>
      <c r="BE68" s="1150"/>
    </row>
    <row r="69" spans="1:57" ht="15.75" customHeight="1" thickBot="1">
      <c r="A69" s="1144"/>
      <c r="B69" s="2970" t="s">
        <v>1937</v>
      </c>
      <c r="C69" s="2943"/>
      <c r="D69" s="2943"/>
      <c r="E69" s="2943"/>
      <c r="F69" s="2943"/>
      <c r="G69" s="2943"/>
      <c r="H69" s="2943"/>
      <c r="I69" s="2943"/>
      <c r="J69" s="2943"/>
      <c r="K69" s="2943"/>
      <c r="L69" s="2943"/>
      <c r="M69" s="2943"/>
      <c r="N69" s="2943"/>
      <c r="O69" s="2971" t="s">
        <v>1938</v>
      </c>
      <c r="P69" s="2768"/>
      <c r="Q69" s="2768"/>
      <c r="R69" s="2768"/>
      <c r="S69" s="2768"/>
      <c r="T69" s="2768"/>
      <c r="U69" s="2768"/>
      <c r="V69" s="2768"/>
      <c r="W69" s="2768"/>
      <c r="X69" s="2768"/>
      <c r="Y69" s="2768"/>
      <c r="Z69" s="2768"/>
      <c r="AA69" s="2769"/>
      <c r="AB69" s="1144"/>
      <c r="AC69" s="2710" t="s">
        <v>1939</v>
      </c>
      <c r="AD69" s="2711"/>
      <c r="AE69" s="2711"/>
      <c r="AF69" s="2711"/>
      <c r="AG69" s="2711"/>
      <c r="AH69" s="2711"/>
      <c r="AI69" s="2711"/>
      <c r="AJ69" s="2711"/>
      <c r="AK69" s="2711"/>
      <c r="AL69" s="2711"/>
      <c r="AM69" s="2711"/>
      <c r="AN69" s="2711"/>
      <c r="AO69" s="2711"/>
      <c r="AP69" s="2711"/>
      <c r="AQ69" s="2711"/>
      <c r="AR69" s="2711"/>
      <c r="AS69" s="2711"/>
      <c r="AT69" s="2711"/>
      <c r="AU69" s="2711"/>
      <c r="AV69" s="2815">
        <v>44563</v>
      </c>
      <c r="AW69" s="2814"/>
      <c r="AX69" s="2814"/>
      <c r="AY69" s="2814"/>
      <c r="AZ69" s="2814"/>
      <c r="BA69" s="2814"/>
      <c r="BB69" s="2814"/>
      <c r="BC69" s="2972"/>
      <c r="BD69" s="1144"/>
      <c r="BE69" s="1150"/>
    </row>
    <row r="70" spans="1:57" ht="15.75" customHeight="1">
      <c r="A70" s="1144"/>
      <c r="B70" s="2964"/>
      <c r="C70" s="2965"/>
      <c r="D70" s="2965"/>
      <c r="E70" s="2965"/>
      <c r="F70" s="2965"/>
      <c r="G70" s="2965"/>
      <c r="H70" s="2965"/>
      <c r="I70" s="2965"/>
      <c r="J70" s="2965"/>
      <c r="K70" s="2965"/>
      <c r="L70" s="2965"/>
      <c r="M70" s="2965"/>
      <c r="N70" s="2965"/>
      <c r="O70" s="2954">
        <v>1</v>
      </c>
      <c r="P70" s="2954"/>
      <c r="Q70" s="2954"/>
      <c r="R70" s="2954"/>
      <c r="S70" s="2954"/>
      <c r="T70" s="2954"/>
      <c r="U70" s="2954"/>
      <c r="V70" s="2954"/>
      <c r="W70" s="2954"/>
      <c r="X70" s="2954"/>
      <c r="Y70" s="2954"/>
      <c r="Z70" s="2954"/>
      <c r="AA70" s="2955"/>
      <c r="AB70" s="1144"/>
      <c r="AC70" s="2966" t="s">
        <v>1940</v>
      </c>
      <c r="AD70" s="2967"/>
      <c r="AE70" s="2967"/>
      <c r="AF70" s="2922"/>
      <c r="AG70" s="2922"/>
      <c r="AH70" s="2922"/>
      <c r="AI70" s="2922"/>
      <c r="AJ70" s="2922"/>
      <c r="AK70" s="2922"/>
      <c r="AL70" s="2922"/>
      <c r="AM70" s="2922"/>
      <c r="AN70" s="2922"/>
      <c r="AO70" s="2922"/>
      <c r="AP70" s="2922"/>
      <c r="AQ70" s="2922"/>
      <c r="AR70" s="2922"/>
      <c r="AS70" s="2922"/>
      <c r="AT70" s="2922"/>
      <c r="AU70" s="2923"/>
      <c r="AV70" s="1144"/>
      <c r="AW70" s="1144"/>
      <c r="AX70" s="1144"/>
      <c r="AY70" s="1144"/>
      <c r="AZ70" s="1144"/>
      <c r="BA70" s="1144"/>
      <c r="BB70" s="1144"/>
      <c r="BC70" s="1144"/>
      <c r="BD70" s="1144"/>
      <c r="BE70" s="1150"/>
    </row>
    <row r="71" spans="1:57" ht="15.75" customHeight="1" thickBot="1">
      <c r="A71" s="1144"/>
      <c r="B71" s="2953"/>
      <c r="C71" s="2782"/>
      <c r="D71" s="2782"/>
      <c r="E71" s="2782"/>
      <c r="F71" s="2782"/>
      <c r="G71" s="2782"/>
      <c r="H71" s="2782"/>
      <c r="I71" s="2782"/>
      <c r="J71" s="2782"/>
      <c r="K71" s="2782"/>
      <c r="L71" s="2782"/>
      <c r="M71" s="2782"/>
      <c r="N71" s="2782"/>
      <c r="O71" s="2954"/>
      <c r="P71" s="2954"/>
      <c r="Q71" s="2954"/>
      <c r="R71" s="2954"/>
      <c r="S71" s="2954"/>
      <c r="T71" s="2954"/>
      <c r="U71" s="2954"/>
      <c r="V71" s="2954"/>
      <c r="W71" s="2954"/>
      <c r="X71" s="2954"/>
      <c r="Y71" s="2954"/>
      <c r="Z71" s="2954"/>
      <c r="AA71" s="2955"/>
      <c r="AB71" s="1144"/>
      <c r="AC71" s="2718" t="s">
        <v>1941</v>
      </c>
      <c r="AD71" s="2719"/>
      <c r="AE71" s="2719"/>
      <c r="AF71" s="2919"/>
      <c r="AG71" s="2919"/>
      <c r="AH71" s="2919"/>
      <c r="AI71" s="2919"/>
      <c r="AJ71" s="2919"/>
      <c r="AK71" s="2919"/>
      <c r="AL71" s="2919"/>
      <c r="AM71" s="2919"/>
      <c r="AN71" s="2919"/>
      <c r="AO71" s="2919"/>
      <c r="AP71" s="2919"/>
      <c r="AQ71" s="2919"/>
      <c r="AR71" s="2919"/>
      <c r="AS71" s="2919"/>
      <c r="AT71" s="2919"/>
      <c r="AU71" s="2920"/>
      <c r="AV71" s="1144"/>
      <c r="AW71" s="1144"/>
      <c r="AX71" s="1144"/>
      <c r="AY71" s="1144"/>
      <c r="AZ71" s="1144"/>
      <c r="BA71" s="1144"/>
      <c r="BB71" s="1144"/>
      <c r="BC71" s="1144"/>
      <c r="BD71" s="1144"/>
      <c r="BE71" s="1150"/>
    </row>
    <row r="72" spans="1:57" ht="15.75" customHeight="1">
      <c r="A72" s="1144"/>
      <c r="B72" s="2953"/>
      <c r="C72" s="2782"/>
      <c r="D72" s="2782"/>
      <c r="E72" s="2782"/>
      <c r="F72" s="2782"/>
      <c r="G72" s="2782"/>
      <c r="H72" s="2782"/>
      <c r="I72" s="2782"/>
      <c r="J72" s="2782"/>
      <c r="K72" s="2782"/>
      <c r="L72" s="2782"/>
      <c r="M72" s="2782"/>
      <c r="N72" s="2782"/>
      <c r="O72" s="2954"/>
      <c r="P72" s="2954"/>
      <c r="Q72" s="2954"/>
      <c r="R72" s="2954"/>
      <c r="S72" s="2954"/>
      <c r="T72" s="2954"/>
      <c r="U72" s="2954"/>
      <c r="V72" s="2954"/>
      <c r="W72" s="2954"/>
      <c r="X72" s="2954"/>
      <c r="Y72" s="2954"/>
      <c r="Z72" s="2954"/>
      <c r="AA72" s="2955"/>
      <c r="AB72" s="1144"/>
      <c r="AC72" s="2956" t="s">
        <v>1942</v>
      </c>
      <c r="AD72" s="2941"/>
      <c r="AE72" s="2941"/>
      <c r="AF72" s="2941"/>
      <c r="AG72" s="2941"/>
      <c r="AH72" s="2941"/>
      <c r="AI72" s="2941"/>
      <c r="AJ72" s="2941"/>
      <c r="AK72" s="2941"/>
      <c r="AL72" s="2941"/>
      <c r="AM72" s="2941"/>
      <c r="AN72" s="2941"/>
      <c r="AO72" s="2941"/>
      <c r="AP72" s="2941"/>
      <c r="AQ72" s="2941"/>
      <c r="AR72" s="2941"/>
      <c r="AS72" s="2941"/>
      <c r="AT72" s="2941"/>
      <c r="AU72" s="2941"/>
      <c r="AV72" s="2941"/>
      <c r="AW72" s="2941"/>
      <c r="AX72" s="2941"/>
      <c r="AY72" s="2941"/>
      <c r="AZ72" s="2941"/>
      <c r="BA72" s="2941"/>
      <c r="BB72" s="2941"/>
      <c r="BC72" s="2942"/>
      <c r="BD72" s="1144"/>
      <c r="BE72" s="1150"/>
    </row>
    <row r="73" spans="1:57" ht="15.75" customHeight="1">
      <c r="A73" s="1144"/>
      <c r="B73" s="2953"/>
      <c r="C73" s="2782"/>
      <c r="D73" s="2782"/>
      <c r="E73" s="2782"/>
      <c r="F73" s="2782"/>
      <c r="G73" s="2782"/>
      <c r="H73" s="2782"/>
      <c r="I73" s="2782"/>
      <c r="J73" s="2782"/>
      <c r="K73" s="2782"/>
      <c r="L73" s="2782"/>
      <c r="M73" s="2782"/>
      <c r="N73" s="2782"/>
      <c r="O73" s="2954"/>
      <c r="P73" s="2954"/>
      <c r="Q73" s="2954"/>
      <c r="R73" s="2954"/>
      <c r="S73" s="2954"/>
      <c r="T73" s="2954"/>
      <c r="U73" s="2954"/>
      <c r="V73" s="2954"/>
      <c r="W73" s="2954"/>
      <c r="X73" s="2954"/>
      <c r="Y73" s="2954"/>
      <c r="Z73" s="2954"/>
      <c r="AA73" s="2955"/>
      <c r="AB73" s="1144"/>
      <c r="AC73" s="2899" t="s">
        <v>2337</v>
      </c>
      <c r="AD73" s="2900"/>
      <c r="AE73" s="2900"/>
      <c r="AF73" s="2900"/>
      <c r="AG73" s="2900"/>
      <c r="AH73" s="2900"/>
      <c r="AI73" s="2900"/>
      <c r="AJ73" s="2900"/>
      <c r="AK73" s="2900"/>
      <c r="AL73" s="2900"/>
      <c r="AM73" s="2900"/>
      <c r="AN73" s="2900"/>
      <c r="AO73" s="2900"/>
      <c r="AP73" s="2900"/>
      <c r="AQ73" s="2900"/>
      <c r="AR73" s="2900"/>
      <c r="AS73" s="2900"/>
      <c r="AT73" s="2900"/>
      <c r="AU73" s="2900"/>
      <c r="AV73" s="2900"/>
      <c r="AW73" s="2900"/>
      <c r="AX73" s="2900"/>
      <c r="AY73" s="2900"/>
      <c r="AZ73" s="2900"/>
      <c r="BA73" s="2900"/>
      <c r="BB73" s="2900"/>
      <c r="BC73" s="2901"/>
      <c r="BD73" s="1144"/>
      <c r="BE73" s="1150"/>
    </row>
    <row r="74" spans="1:57" ht="15.75" customHeight="1" thickBot="1">
      <c r="A74" s="1144"/>
      <c r="B74" s="2953"/>
      <c r="C74" s="2782"/>
      <c r="D74" s="2782"/>
      <c r="E74" s="2782"/>
      <c r="F74" s="2782"/>
      <c r="G74" s="2782"/>
      <c r="H74" s="2782"/>
      <c r="I74" s="2782"/>
      <c r="J74" s="2782"/>
      <c r="K74" s="2782"/>
      <c r="L74" s="2782"/>
      <c r="M74" s="2782"/>
      <c r="N74" s="2782"/>
      <c r="O74" s="2957"/>
      <c r="P74" s="2957"/>
      <c r="Q74" s="2957"/>
      <c r="R74" s="2957"/>
      <c r="S74" s="2957"/>
      <c r="T74" s="2957"/>
      <c r="U74" s="2957"/>
      <c r="V74" s="2957"/>
      <c r="W74" s="2957"/>
      <c r="X74" s="2957"/>
      <c r="Y74" s="2957"/>
      <c r="Z74" s="2957"/>
      <c r="AA74" s="2958"/>
      <c r="AB74" s="1144"/>
      <c r="AC74" s="2899"/>
      <c r="AD74" s="2900"/>
      <c r="AE74" s="2900"/>
      <c r="AF74" s="2900"/>
      <c r="AG74" s="2900"/>
      <c r="AH74" s="2900"/>
      <c r="AI74" s="2900"/>
      <c r="AJ74" s="2900"/>
      <c r="AK74" s="2900"/>
      <c r="AL74" s="2900"/>
      <c r="AM74" s="2900"/>
      <c r="AN74" s="2900"/>
      <c r="AO74" s="2900"/>
      <c r="AP74" s="2900"/>
      <c r="AQ74" s="2900"/>
      <c r="AR74" s="2900"/>
      <c r="AS74" s="2900"/>
      <c r="AT74" s="2900"/>
      <c r="AU74" s="2900"/>
      <c r="AV74" s="2900"/>
      <c r="AW74" s="2900"/>
      <c r="AX74" s="2900"/>
      <c r="AY74" s="2900"/>
      <c r="AZ74" s="2900"/>
      <c r="BA74" s="2900"/>
      <c r="BB74" s="2900"/>
      <c r="BC74" s="2901"/>
      <c r="BD74" s="1144"/>
      <c r="BE74" s="1150"/>
    </row>
    <row r="75" spans="1:57" ht="15.75" customHeight="1" thickTop="1" thickBot="1">
      <c r="A75" s="1144"/>
      <c r="B75" s="2959" t="s">
        <v>129</v>
      </c>
      <c r="C75" s="2960"/>
      <c r="D75" s="2960"/>
      <c r="E75" s="2960"/>
      <c r="F75" s="2960"/>
      <c r="G75" s="2960"/>
      <c r="H75" s="2960"/>
      <c r="I75" s="2960"/>
      <c r="J75" s="2960"/>
      <c r="K75" s="2960"/>
      <c r="L75" s="2960"/>
      <c r="M75" s="2960"/>
      <c r="N75" s="2960"/>
      <c r="O75" s="2961">
        <f>SUM(O70:AA74)</f>
        <v>1</v>
      </c>
      <c r="P75" s="2962"/>
      <c r="Q75" s="2962"/>
      <c r="R75" s="2962"/>
      <c r="S75" s="2962"/>
      <c r="T75" s="2962"/>
      <c r="U75" s="2962"/>
      <c r="V75" s="2962"/>
      <c r="W75" s="2962"/>
      <c r="X75" s="2962"/>
      <c r="Y75" s="2962"/>
      <c r="Z75" s="2962"/>
      <c r="AA75" s="2963"/>
      <c r="AB75" s="1144"/>
      <c r="AC75" s="2899"/>
      <c r="AD75" s="2900"/>
      <c r="AE75" s="2900"/>
      <c r="AF75" s="2900"/>
      <c r="AG75" s="2900"/>
      <c r="AH75" s="2900"/>
      <c r="AI75" s="2900"/>
      <c r="AJ75" s="2900"/>
      <c r="AK75" s="2900"/>
      <c r="AL75" s="2900"/>
      <c r="AM75" s="2900"/>
      <c r="AN75" s="2900"/>
      <c r="AO75" s="2900"/>
      <c r="AP75" s="2900"/>
      <c r="AQ75" s="2900"/>
      <c r="AR75" s="2900"/>
      <c r="AS75" s="2900"/>
      <c r="AT75" s="2900"/>
      <c r="AU75" s="2900"/>
      <c r="AV75" s="2900"/>
      <c r="AW75" s="2900"/>
      <c r="AX75" s="2900"/>
      <c r="AY75" s="2900"/>
      <c r="AZ75" s="2900"/>
      <c r="BA75" s="2900"/>
      <c r="BB75" s="2900"/>
      <c r="BC75" s="2901"/>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9"/>
      <c r="AD76" s="2900"/>
      <c r="AE76" s="2900"/>
      <c r="AF76" s="2900"/>
      <c r="AG76" s="2900"/>
      <c r="AH76" s="2900"/>
      <c r="AI76" s="2900"/>
      <c r="AJ76" s="2900"/>
      <c r="AK76" s="2900"/>
      <c r="AL76" s="2900"/>
      <c r="AM76" s="2900"/>
      <c r="AN76" s="2900"/>
      <c r="AO76" s="2900"/>
      <c r="AP76" s="2900"/>
      <c r="AQ76" s="2900"/>
      <c r="AR76" s="2900"/>
      <c r="AS76" s="2900"/>
      <c r="AT76" s="2900"/>
      <c r="AU76" s="2900"/>
      <c r="AV76" s="2900"/>
      <c r="AW76" s="2900"/>
      <c r="AX76" s="2900"/>
      <c r="AY76" s="2900"/>
      <c r="AZ76" s="2900"/>
      <c r="BA76" s="2900"/>
      <c r="BB76" s="2900"/>
      <c r="BC76" s="2901"/>
      <c r="BD76" s="1144"/>
      <c r="BE76" s="1150"/>
    </row>
    <row r="77" spans="1:57" ht="15.75" customHeight="1" thickBot="1">
      <c r="A77" s="1144"/>
      <c r="B77" s="1155" t="s">
        <v>1943</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902"/>
      <c r="AD77" s="2903"/>
      <c r="AE77" s="2903"/>
      <c r="AF77" s="2903"/>
      <c r="AG77" s="2903"/>
      <c r="AH77" s="2903"/>
      <c r="AI77" s="2903"/>
      <c r="AJ77" s="2903"/>
      <c r="AK77" s="2903"/>
      <c r="AL77" s="2903"/>
      <c r="AM77" s="2903"/>
      <c r="AN77" s="2903"/>
      <c r="AO77" s="2903"/>
      <c r="AP77" s="2903"/>
      <c r="AQ77" s="2903"/>
      <c r="AR77" s="2903"/>
      <c r="AS77" s="2903"/>
      <c r="AT77" s="2903"/>
      <c r="AU77" s="2903"/>
      <c r="AV77" s="2903"/>
      <c r="AW77" s="2903"/>
      <c r="AX77" s="2903"/>
      <c r="AY77" s="2903"/>
      <c r="AZ77" s="2903"/>
      <c r="BA77" s="2903"/>
      <c r="BB77" s="2903"/>
      <c r="BC77" s="2904"/>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49" t="s">
        <v>2318</v>
      </c>
      <c r="C79" s="2950"/>
      <c r="D79" s="2950"/>
      <c r="E79" s="2950"/>
      <c r="F79" s="2950"/>
      <c r="G79" s="2950"/>
      <c r="H79" s="2950"/>
      <c r="I79" s="2950"/>
      <c r="J79" s="2950"/>
      <c r="K79" s="2950"/>
      <c r="L79" s="2950"/>
      <c r="M79" s="2950"/>
      <c r="N79" s="2950"/>
      <c r="O79" s="2950"/>
      <c r="P79" s="2950"/>
      <c r="Q79" s="2950"/>
      <c r="R79" s="2950"/>
      <c r="S79" s="2950"/>
      <c r="T79" s="2950"/>
      <c r="U79" s="2950"/>
      <c r="V79" s="2950"/>
      <c r="W79" s="2950"/>
      <c r="X79" s="2950"/>
      <c r="Y79" s="2950"/>
      <c r="Z79" s="2950"/>
      <c r="AA79" s="2950"/>
      <c r="AB79" s="2950"/>
      <c r="AC79" s="2950"/>
      <c r="AD79" s="2950"/>
      <c r="AE79" s="2950"/>
      <c r="AF79" s="2950"/>
      <c r="AG79" s="2950"/>
      <c r="AH79" s="2951"/>
      <c r="AI79" s="1144"/>
      <c r="AJ79" s="2925" t="s">
        <v>2338</v>
      </c>
      <c r="AK79" s="2926"/>
      <c r="AL79" s="2926"/>
      <c r="AM79" s="2926"/>
      <c r="AN79" s="2926"/>
      <c r="AO79" s="2926"/>
      <c r="AP79" s="2926"/>
      <c r="AQ79" s="2926"/>
      <c r="AR79" s="2926"/>
      <c r="AS79" s="2926"/>
      <c r="AT79" s="2926"/>
      <c r="AU79" s="2926"/>
      <c r="AV79" s="2926"/>
      <c r="AW79" s="2926"/>
      <c r="AX79" s="2926"/>
      <c r="AY79" s="2868" t="s">
        <v>1895</v>
      </c>
      <c r="AZ79" s="2868"/>
      <c r="BA79" s="2868"/>
      <c r="BB79" s="2869"/>
      <c r="BC79" s="1144"/>
      <c r="BD79" s="1144"/>
      <c r="BE79" s="1150"/>
    </row>
    <row r="80" spans="1:57" ht="15.75" customHeight="1">
      <c r="A80" s="1144"/>
      <c r="B80" s="2798"/>
      <c r="C80" s="2799"/>
      <c r="D80" s="2799"/>
      <c r="E80" s="2799"/>
      <c r="F80" s="2799"/>
      <c r="G80" s="2799"/>
      <c r="H80" s="2800"/>
      <c r="I80" s="2935" t="s">
        <v>1944</v>
      </c>
      <c r="J80" s="2936"/>
      <c r="K80" s="2936"/>
      <c r="L80" s="2936"/>
      <c r="M80" s="2936"/>
      <c r="N80" s="2936"/>
      <c r="O80" s="2936" t="s">
        <v>1945</v>
      </c>
      <c r="P80" s="2936"/>
      <c r="Q80" s="2936"/>
      <c r="R80" s="2936"/>
      <c r="S80" s="2936"/>
      <c r="T80" s="2936"/>
      <c r="U80" s="2936"/>
      <c r="V80" s="2939" t="s">
        <v>2339</v>
      </c>
      <c r="W80" s="2939"/>
      <c r="X80" s="2939"/>
      <c r="Y80" s="2939"/>
      <c r="Z80" s="2939"/>
      <c r="AA80" s="2939"/>
      <c r="AB80" s="2941" t="s">
        <v>1946</v>
      </c>
      <c r="AC80" s="2941"/>
      <c r="AD80" s="2941"/>
      <c r="AE80" s="2941"/>
      <c r="AF80" s="2941"/>
      <c r="AG80" s="2941"/>
      <c r="AH80" s="2942"/>
      <c r="AI80" s="1144"/>
      <c r="AJ80" s="2927"/>
      <c r="AK80" s="2928"/>
      <c r="AL80" s="2928"/>
      <c r="AM80" s="2928"/>
      <c r="AN80" s="2928"/>
      <c r="AO80" s="2928"/>
      <c r="AP80" s="2928"/>
      <c r="AQ80" s="2928"/>
      <c r="AR80" s="2928"/>
      <c r="AS80" s="2928"/>
      <c r="AT80" s="2928"/>
      <c r="AU80" s="2928"/>
      <c r="AV80" s="2928"/>
      <c r="AW80" s="2928"/>
      <c r="AX80" s="2928"/>
      <c r="AY80" s="2931"/>
      <c r="AZ80" s="2931"/>
      <c r="BA80" s="2931"/>
      <c r="BB80" s="2932"/>
      <c r="BC80" s="1144"/>
      <c r="BD80" s="1144"/>
      <c r="BE80" s="1150"/>
    </row>
    <row r="81" spans="1:57" ht="15.75" customHeight="1" thickBot="1">
      <c r="A81" s="1144"/>
      <c r="B81" s="2850"/>
      <c r="C81" s="2851"/>
      <c r="D81" s="2851"/>
      <c r="E81" s="2851"/>
      <c r="F81" s="2851"/>
      <c r="G81" s="2851"/>
      <c r="H81" s="2952"/>
      <c r="I81" s="2937"/>
      <c r="J81" s="2938"/>
      <c r="K81" s="2938"/>
      <c r="L81" s="2938"/>
      <c r="M81" s="2938"/>
      <c r="N81" s="2938"/>
      <c r="O81" s="2938"/>
      <c r="P81" s="2938"/>
      <c r="Q81" s="2938"/>
      <c r="R81" s="2938"/>
      <c r="S81" s="2938"/>
      <c r="T81" s="2938"/>
      <c r="U81" s="2938"/>
      <c r="V81" s="2940"/>
      <c r="W81" s="2940"/>
      <c r="X81" s="2940"/>
      <c r="Y81" s="2940"/>
      <c r="Z81" s="2940"/>
      <c r="AA81" s="2940"/>
      <c r="AB81" s="2943"/>
      <c r="AC81" s="2943"/>
      <c r="AD81" s="2943"/>
      <c r="AE81" s="2943"/>
      <c r="AF81" s="2943"/>
      <c r="AG81" s="2943"/>
      <c r="AH81" s="2944"/>
      <c r="AI81" s="1144"/>
      <c r="AJ81" s="2927"/>
      <c r="AK81" s="2928"/>
      <c r="AL81" s="2928"/>
      <c r="AM81" s="2928"/>
      <c r="AN81" s="2928"/>
      <c r="AO81" s="2928"/>
      <c r="AP81" s="2928"/>
      <c r="AQ81" s="2928"/>
      <c r="AR81" s="2928"/>
      <c r="AS81" s="2928"/>
      <c r="AT81" s="2928"/>
      <c r="AU81" s="2928"/>
      <c r="AV81" s="2928"/>
      <c r="AW81" s="2928"/>
      <c r="AX81" s="2928"/>
      <c r="AY81" s="2931"/>
      <c r="AZ81" s="2931"/>
      <c r="BA81" s="2931"/>
      <c r="BB81" s="2932"/>
      <c r="BC81" s="1144"/>
      <c r="BD81" s="1144"/>
      <c r="BE81" s="1150"/>
    </row>
    <row r="82" spans="1:57" ht="15.75" customHeight="1" thickBot="1">
      <c r="A82" s="1144"/>
      <c r="B82" s="2792" t="s">
        <v>2319</v>
      </c>
      <c r="C82" s="2793"/>
      <c r="D82" s="2793"/>
      <c r="E82" s="2793"/>
      <c r="F82" s="2793"/>
      <c r="G82" s="2793"/>
      <c r="H82" s="2794"/>
      <c r="I82" s="2924"/>
      <c r="J82" s="2906"/>
      <c r="K82" s="2906"/>
      <c r="L82" s="2906"/>
      <c r="M82" s="2906"/>
      <c r="N82" s="2906"/>
      <c r="O82" s="2906"/>
      <c r="P82" s="2906"/>
      <c r="Q82" s="2906"/>
      <c r="R82" s="2906"/>
      <c r="S82" s="2906"/>
      <c r="T82" s="2906"/>
      <c r="U82" s="2906"/>
      <c r="V82" s="2906"/>
      <c r="W82" s="2906"/>
      <c r="X82" s="2906"/>
      <c r="Y82" s="2906"/>
      <c r="Z82" s="2906"/>
      <c r="AA82" s="2921"/>
      <c r="AB82" s="2947"/>
      <c r="AC82" s="2947"/>
      <c r="AD82" s="2947"/>
      <c r="AE82" s="2947"/>
      <c r="AF82" s="2947"/>
      <c r="AG82" s="2947"/>
      <c r="AH82" s="2948"/>
      <c r="AI82" s="1144"/>
      <c r="AJ82" s="2929"/>
      <c r="AK82" s="2930"/>
      <c r="AL82" s="2930"/>
      <c r="AM82" s="2930"/>
      <c r="AN82" s="2930"/>
      <c r="AO82" s="2930"/>
      <c r="AP82" s="2930"/>
      <c r="AQ82" s="2930"/>
      <c r="AR82" s="2930"/>
      <c r="AS82" s="2930"/>
      <c r="AT82" s="2930"/>
      <c r="AU82" s="2930"/>
      <c r="AV82" s="2930"/>
      <c r="AW82" s="2930"/>
      <c r="AX82" s="2930"/>
      <c r="AY82" s="2933"/>
      <c r="AZ82" s="2933"/>
      <c r="BA82" s="2933"/>
      <c r="BB82" s="2934"/>
      <c r="BC82" s="1144"/>
      <c r="BD82" s="1144"/>
      <c r="BE82" s="1150"/>
    </row>
    <row r="83" spans="1:57" ht="15.75" customHeight="1" thickBot="1">
      <c r="A83" s="1144"/>
      <c r="B83" s="2792" t="s">
        <v>2320</v>
      </c>
      <c r="C83" s="2793"/>
      <c r="D83" s="2793"/>
      <c r="E83" s="2793"/>
      <c r="F83" s="2793"/>
      <c r="G83" s="2793"/>
      <c r="H83" s="2794"/>
      <c r="I83" s="2924"/>
      <c r="J83" s="2906"/>
      <c r="K83" s="2906"/>
      <c r="L83" s="2906"/>
      <c r="M83" s="2906"/>
      <c r="N83" s="2906"/>
      <c r="O83" s="2906"/>
      <c r="P83" s="2906"/>
      <c r="Q83" s="2906"/>
      <c r="R83" s="2906"/>
      <c r="S83" s="2906"/>
      <c r="T83" s="2906"/>
      <c r="U83" s="2906"/>
      <c r="V83" s="2906"/>
      <c r="W83" s="2906"/>
      <c r="X83" s="2906"/>
      <c r="Y83" s="2906"/>
      <c r="Z83" s="2906"/>
      <c r="AA83" s="2921"/>
      <c r="AB83" s="2947"/>
      <c r="AC83" s="2947"/>
      <c r="AD83" s="2947"/>
      <c r="AE83" s="2947"/>
      <c r="AF83" s="2947"/>
      <c r="AG83" s="2947"/>
      <c r="AH83" s="2948"/>
      <c r="AI83" s="1144"/>
      <c r="AJ83" s="2908" t="s">
        <v>2340</v>
      </c>
      <c r="AK83" s="2909"/>
      <c r="AL83" s="2909"/>
      <c r="AM83" s="2909"/>
      <c r="AN83" s="2909"/>
      <c r="AO83" s="2909"/>
      <c r="AP83" s="2909"/>
      <c r="AQ83" s="2909"/>
      <c r="AR83" s="2909"/>
      <c r="AS83" s="2909"/>
      <c r="AT83" s="2909"/>
      <c r="AU83" s="2909"/>
      <c r="AV83" s="2909"/>
      <c r="AW83" s="2909"/>
      <c r="AX83" s="2909"/>
      <c r="AY83" s="2909"/>
      <c r="AZ83" s="2909"/>
      <c r="BA83" s="2909"/>
      <c r="BB83" s="2910"/>
      <c r="BC83" s="1144"/>
      <c r="BD83" s="1144"/>
      <c r="BE83" s="1150"/>
    </row>
    <row r="84" spans="1:57" ht="15.75" customHeight="1" thickBot="1">
      <c r="A84" s="1144"/>
      <c r="B84" s="2914" t="s">
        <v>1947</v>
      </c>
      <c r="C84" s="2915"/>
      <c r="D84" s="2915"/>
      <c r="E84" s="2915"/>
      <c r="F84" s="2915"/>
      <c r="G84" s="2915"/>
      <c r="H84" s="2945"/>
      <c r="I84" s="2917"/>
      <c r="J84" s="2887"/>
      <c r="K84" s="2887"/>
      <c r="L84" s="2887"/>
      <c r="M84" s="2887"/>
      <c r="N84" s="2887"/>
      <c r="O84" s="2887"/>
      <c r="P84" s="2887"/>
      <c r="Q84" s="2887"/>
      <c r="R84" s="2887"/>
      <c r="S84" s="2887"/>
      <c r="T84" s="2887"/>
      <c r="U84" s="2887"/>
      <c r="V84" s="2887"/>
      <c r="W84" s="2887"/>
      <c r="X84" s="2887"/>
      <c r="Y84" s="2887"/>
      <c r="Z84" s="2887"/>
      <c r="AA84" s="2918"/>
      <c r="AB84" s="2887"/>
      <c r="AC84" s="2887"/>
      <c r="AD84" s="2887"/>
      <c r="AE84" s="2887"/>
      <c r="AF84" s="2887"/>
      <c r="AG84" s="2887"/>
      <c r="AH84" s="2946"/>
      <c r="AI84" s="1144"/>
      <c r="AJ84" s="2911"/>
      <c r="AK84" s="2912"/>
      <c r="AL84" s="2912"/>
      <c r="AM84" s="2912"/>
      <c r="AN84" s="2912"/>
      <c r="AO84" s="2912"/>
      <c r="AP84" s="2912"/>
      <c r="AQ84" s="2912"/>
      <c r="AR84" s="2912"/>
      <c r="AS84" s="2912"/>
      <c r="AT84" s="2912"/>
      <c r="AU84" s="2912"/>
      <c r="AV84" s="2912"/>
      <c r="AW84" s="2912"/>
      <c r="AX84" s="2912"/>
      <c r="AY84" s="2912"/>
      <c r="AZ84" s="2912"/>
      <c r="BA84" s="2912"/>
      <c r="BB84" s="2913"/>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1948</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798" t="s">
        <v>1949</v>
      </c>
      <c r="C88" s="2799"/>
      <c r="D88" s="2799"/>
      <c r="E88" s="2799"/>
      <c r="F88" s="2799"/>
      <c r="G88" s="2799"/>
      <c r="H88" s="2799"/>
      <c r="I88" s="2799"/>
      <c r="J88" s="2799"/>
      <c r="K88" s="2799"/>
      <c r="L88" s="2799"/>
      <c r="M88" s="2799"/>
      <c r="N88" s="2799"/>
      <c r="O88" s="2799"/>
      <c r="P88" s="2799"/>
      <c r="Q88" s="2799"/>
      <c r="R88" s="2799"/>
      <c r="S88" s="2799"/>
      <c r="T88" s="2799"/>
      <c r="U88" s="2799"/>
      <c r="V88" s="2799"/>
      <c r="W88" s="2799"/>
      <c r="X88" s="2799"/>
      <c r="Y88" s="2799"/>
      <c r="Z88" s="2799"/>
      <c r="AA88" s="2799"/>
      <c r="AB88" s="2799"/>
      <c r="AC88" s="2799"/>
      <c r="AD88" s="2799"/>
      <c r="AE88" s="2799"/>
      <c r="AF88" s="2799"/>
      <c r="AG88" s="2799"/>
      <c r="AH88" s="2800"/>
      <c r="AI88" s="1144"/>
      <c r="AJ88" s="2925" t="s">
        <v>2341</v>
      </c>
      <c r="AK88" s="2926"/>
      <c r="AL88" s="2926"/>
      <c r="AM88" s="2926"/>
      <c r="AN88" s="2926"/>
      <c r="AO88" s="2926"/>
      <c r="AP88" s="2926"/>
      <c r="AQ88" s="2926"/>
      <c r="AR88" s="2926"/>
      <c r="AS88" s="2926"/>
      <c r="AT88" s="2926"/>
      <c r="AU88" s="2926"/>
      <c r="AV88" s="2926"/>
      <c r="AW88" s="2926"/>
      <c r="AX88" s="2926"/>
      <c r="AY88" s="2868" t="s">
        <v>1895</v>
      </c>
      <c r="AZ88" s="2868"/>
      <c r="BA88" s="2868"/>
      <c r="BB88" s="2869"/>
      <c r="BC88" s="1144"/>
      <c r="BD88" s="1144"/>
      <c r="BE88" s="1150"/>
    </row>
    <row r="89" spans="1:57" ht="16.5" customHeight="1">
      <c r="A89" s="1144"/>
      <c r="B89" s="2798"/>
      <c r="C89" s="2799"/>
      <c r="D89" s="2799"/>
      <c r="E89" s="2799"/>
      <c r="F89" s="2799"/>
      <c r="G89" s="2799"/>
      <c r="H89" s="2799"/>
      <c r="I89" s="2935" t="s">
        <v>1944</v>
      </c>
      <c r="J89" s="2936"/>
      <c r="K89" s="2936"/>
      <c r="L89" s="2936"/>
      <c r="M89" s="2936"/>
      <c r="N89" s="2936"/>
      <c r="O89" s="2936" t="s">
        <v>1945</v>
      </c>
      <c r="P89" s="2936"/>
      <c r="Q89" s="2936"/>
      <c r="R89" s="2936"/>
      <c r="S89" s="2936"/>
      <c r="T89" s="2936"/>
      <c r="U89" s="2936"/>
      <c r="V89" s="2939" t="s">
        <v>2339</v>
      </c>
      <c r="W89" s="2939"/>
      <c r="X89" s="2939"/>
      <c r="Y89" s="2939"/>
      <c r="Z89" s="2939"/>
      <c r="AA89" s="2939"/>
      <c r="AB89" s="2941" t="s">
        <v>1946</v>
      </c>
      <c r="AC89" s="2941"/>
      <c r="AD89" s="2941"/>
      <c r="AE89" s="2941"/>
      <c r="AF89" s="2941"/>
      <c r="AG89" s="2941"/>
      <c r="AH89" s="2942"/>
      <c r="AI89" s="1144"/>
      <c r="AJ89" s="2927"/>
      <c r="AK89" s="2928"/>
      <c r="AL89" s="2928"/>
      <c r="AM89" s="2928"/>
      <c r="AN89" s="2928"/>
      <c r="AO89" s="2928"/>
      <c r="AP89" s="2928"/>
      <c r="AQ89" s="2928"/>
      <c r="AR89" s="2928"/>
      <c r="AS89" s="2928"/>
      <c r="AT89" s="2928"/>
      <c r="AU89" s="2928"/>
      <c r="AV89" s="2928"/>
      <c r="AW89" s="2928"/>
      <c r="AX89" s="2928"/>
      <c r="AY89" s="2931"/>
      <c r="AZ89" s="2931"/>
      <c r="BA89" s="2931"/>
      <c r="BB89" s="2932"/>
      <c r="BC89" s="1144"/>
      <c r="BD89" s="1144"/>
      <c r="BE89" s="1150"/>
    </row>
    <row r="90" spans="1:57" ht="16.5" customHeight="1" thickBot="1">
      <c r="A90" s="1144"/>
      <c r="B90" s="2850"/>
      <c r="C90" s="2851"/>
      <c r="D90" s="2851"/>
      <c r="E90" s="2851"/>
      <c r="F90" s="2851"/>
      <c r="G90" s="2851"/>
      <c r="H90" s="2851"/>
      <c r="I90" s="2937"/>
      <c r="J90" s="2938"/>
      <c r="K90" s="2938"/>
      <c r="L90" s="2938"/>
      <c r="M90" s="2938"/>
      <c r="N90" s="2938"/>
      <c r="O90" s="2938"/>
      <c r="P90" s="2938"/>
      <c r="Q90" s="2938"/>
      <c r="R90" s="2938"/>
      <c r="S90" s="2938"/>
      <c r="T90" s="2938"/>
      <c r="U90" s="2938"/>
      <c r="V90" s="2940"/>
      <c r="W90" s="2940"/>
      <c r="X90" s="2940"/>
      <c r="Y90" s="2940"/>
      <c r="Z90" s="2940"/>
      <c r="AA90" s="2940"/>
      <c r="AB90" s="2943"/>
      <c r="AC90" s="2943"/>
      <c r="AD90" s="2943"/>
      <c r="AE90" s="2943"/>
      <c r="AF90" s="2943"/>
      <c r="AG90" s="2943"/>
      <c r="AH90" s="2944"/>
      <c r="AI90" s="1144"/>
      <c r="AJ90" s="2927"/>
      <c r="AK90" s="2928"/>
      <c r="AL90" s="2928"/>
      <c r="AM90" s="2928"/>
      <c r="AN90" s="2928"/>
      <c r="AO90" s="2928"/>
      <c r="AP90" s="2928"/>
      <c r="AQ90" s="2928"/>
      <c r="AR90" s="2928"/>
      <c r="AS90" s="2928"/>
      <c r="AT90" s="2928"/>
      <c r="AU90" s="2928"/>
      <c r="AV90" s="2928"/>
      <c r="AW90" s="2928"/>
      <c r="AX90" s="2928"/>
      <c r="AY90" s="2931"/>
      <c r="AZ90" s="2931"/>
      <c r="BA90" s="2931"/>
      <c r="BB90" s="2932"/>
      <c r="BC90" s="1144"/>
      <c r="BD90" s="1144"/>
      <c r="BE90" s="1150"/>
    </row>
    <row r="91" spans="1:57" ht="15.75" customHeight="1" thickBot="1">
      <c r="A91" s="1144"/>
      <c r="B91" s="2792" t="s">
        <v>2319</v>
      </c>
      <c r="C91" s="2793"/>
      <c r="D91" s="2793"/>
      <c r="E91" s="2793"/>
      <c r="F91" s="2793"/>
      <c r="G91" s="2793"/>
      <c r="H91" s="2793"/>
      <c r="I91" s="2924"/>
      <c r="J91" s="2906"/>
      <c r="K91" s="2906"/>
      <c r="L91" s="2906"/>
      <c r="M91" s="2906"/>
      <c r="N91" s="2906"/>
      <c r="O91" s="2906"/>
      <c r="P91" s="2906"/>
      <c r="Q91" s="2906"/>
      <c r="R91" s="2906"/>
      <c r="S91" s="2906"/>
      <c r="T91" s="2906"/>
      <c r="U91" s="2906"/>
      <c r="V91" s="2906"/>
      <c r="W91" s="2906"/>
      <c r="X91" s="2906"/>
      <c r="Y91" s="2906"/>
      <c r="Z91" s="2906"/>
      <c r="AA91" s="2921"/>
      <c r="AB91" s="2922"/>
      <c r="AC91" s="2922"/>
      <c r="AD91" s="2922"/>
      <c r="AE91" s="2922"/>
      <c r="AF91" s="2922"/>
      <c r="AG91" s="2922"/>
      <c r="AH91" s="2923"/>
      <c r="AI91" s="1144"/>
      <c r="AJ91" s="2929"/>
      <c r="AK91" s="2930"/>
      <c r="AL91" s="2930"/>
      <c r="AM91" s="2930"/>
      <c r="AN91" s="2930"/>
      <c r="AO91" s="2930"/>
      <c r="AP91" s="2930"/>
      <c r="AQ91" s="2930"/>
      <c r="AR91" s="2930"/>
      <c r="AS91" s="2930"/>
      <c r="AT91" s="2930"/>
      <c r="AU91" s="2930"/>
      <c r="AV91" s="2930"/>
      <c r="AW91" s="2930"/>
      <c r="AX91" s="2930"/>
      <c r="AY91" s="2933"/>
      <c r="AZ91" s="2933"/>
      <c r="BA91" s="2933"/>
      <c r="BB91" s="2934"/>
      <c r="BC91" s="1144"/>
      <c r="BD91" s="1144"/>
      <c r="BE91" s="1150"/>
    </row>
    <row r="92" spans="1:57" ht="15.75" customHeight="1" thickBot="1">
      <c r="A92" s="1144"/>
      <c r="B92" s="2792" t="s">
        <v>2320</v>
      </c>
      <c r="C92" s="2793"/>
      <c r="D92" s="2793"/>
      <c r="E92" s="2793"/>
      <c r="F92" s="2793"/>
      <c r="G92" s="2793"/>
      <c r="H92" s="2793"/>
      <c r="I92" s="2924"/>
      <c r="J92" s="2906"/>
      <c r="K92" s="2906"/>
      <c r="L92" s="2906"/>
      <c r="M92" s="2906"/>
      <c r="N92" s="2906"/>
      <c r="O92" s="2906"/>
      <c r="P92" s="2906"/>
      <c r="Q92" s="2906"/>
      <c r="R92" s="2906"/>
      <c r="S92" s="2906"/>
      <c r="T92" s="2906"/>
      <c r="U92" s="2906"/>
      <c r="V92" s="2906"/>
      <c r="W92" s="2906"/>
      <c r="X92" s="2906"/>
      <c r="Y92" s="2906"/>
      <c r="Z92" s="2906"/>
      <c r="AA92" s="2921"/>
      <c r="AB92" s="2922"/>
      <c r="AC92" s="2922"/>
      <c r="AD92" s="2922"/>
      <c r="AE92" s="2922"/>
      <c r="AF92" s="2922"/>
      <c r="AG92" s="2922"/>
      <c r="AH92" s="2923"/>
      <c r="AI92" s="1144"/>
      <c r="AJ92" s="2908" t="s">
        <v>2340</v>
      </c>
      <c r="AK92" s="2909"/>
      <c r="AL92" s="2909"/>
      <c r="AM92" s="2909"/>
      <c r="AN92" s="2909"/>
      <c r="AO92" s="2909"/>
      <c r="AP92" s="2909"/>
      <c r="AQ92" s="2909"/>
      <c r="AR92" s="2909"/>
      <c r="AS92" s="2909"/>
      <c r="AT92" s="2909"/>
      <c r="AU92" s="2909"/>
      <c r="AV92" s="2909"/>
      <c r="AW92" s="2909"/>
      <c r="AX92" s="2909"/>
      <c r="AY92" s="2909"/>
      <c r="AZ92" s="2909"/>
      <c r="BA92" s="2909"/>
      <c r="BB92" s="2910"/>
      <c r="BC92" s="1144"/>
      <c r="BD92" s="1144"/>
      <c r="BE92" s="1150"/>
    </row>
    <row r="93" spans="1:57" ht="15.75" customHeight="1" thickBot="1">
      <c r="A93" s="1144"/>
      <c r="B93" s="2914" t="s">
        <v>1947</v>
      </c>
      <c r="C93" s="2915"/>
      <c r="D93" s="2915"/>
      <c r="E93" s="2915"/>
      <c r="F93" s="2915"/>
      <c r="G93" s="2915"/>
      <c r="H93" s="2916"/>
      <c r="I93" s="2917"/>
      <c r="J93" s="2887"/>
      <c r="K93" s="2887"/>
      <c r="L93" s="2887"/>
      <c r="M93" s="2887"/>
      <c r="N93" s="2887"/>
      <c r="O93" s="2887"/>
      <c r="P93" s="2887"/>
      <c r="Q93" s="2887"/>
      <c r="R93" s="2887"/>
      <c r="S93" s="2887"/>
      <c r="T93" s="2887"/>
      <c r="U93" s="2887"/>
      <c r="V93" s="2887"/>
      <c r="W93" s="2887"/>
      <c r="X93" s="2887"/>
      <c r="Y93" s="2887"/>
      <c r="Z93" s="2887"/>
      <c r="AA93" s="2918"/>
      <c r="AB93" s="2919"/>
      <c r="AC93" s="2919"/>
      <c r="AD93" s="2919"/>
      <c r="AE93" s="2919"/>
      <c r="AF93" s="2919"/>
      <c r="AG93" s="2919"/>
      <c r="AH93" s="2920"/>
      <c r="AI93" s="1144"/>
      <c r="AJ93" s="2911"/>
      <c r="AK93" s="2912"/>
      <c r="AL93" s="2912"/>
      <c r="AM93" s="2912"/>
      <c r="AN93" s="2912"/>
      <c r="AO93" s="2912"/>
      <c r="AP93" s="2912"/>
      <c r="AQ93" s="2912"/>
      <c r="AR93" s="2912"/>
      <c r="AS93" s="2912"/>
      <c r="AT93" s="2912"/>
      <c r="AU93" s="2912"/>
      <c r="AV93" s="2912"/>
      <c r="AW93" s="2912"/>
      <c r="AX93" s="2912"/>
      <c r="AY93" s="2912"/>
      <c r="AZ93" s="2912"/>
      <c r="BA93" s="2912"/>
      <c r="BB93" s="2913"/>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256</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1950</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890" t="s">
        <v>2321</v>
      </c>
      <c r="Y96" s="2891"/>
      <c r="Z96" s="2891"/>
      <c r="AA96" s="2891"/>
      <c r="AB96" s="2891"/>
      <c r="AC96" s="2891"/>
      <c r="AD96" s="2891"/>
      <c r="AE96" s="2891"/>
      <c r="AF96" s="2891"/>
      <c r="AG96" s="2891"/>
      <c r="AH96" s="2891"/>
      <c r="AI96" s="2891"/>
      <c r="AJ96" s="2891"/>
      <c r="AK96" s="2891"/>
      <c r="AL96" s="2891"/>
      <c r="AM96" s="2891"/>
      <c r="AN96" s="2891"/>
      <c r="AO96" s="2891"/>
      <c r="AP96" s="2891"/>
      <c r="AQ96" s="2891"/>
      <c r="AR96" s="2891"/>
      <c r="AS96" s="2891"/>
      <c r="AT96" s="2891"/>
      <c r="AU96" s="2891"/>
      <c r="AV96" s="2891"/>
      <c r="AW96" s="2891"/>
      <c r="AX96" s="2891"/>
      <c r="AY96" s="2891"/>
      <c r="AZ96" s="2891"/>
      <c r="BA96" s="2891"/>
      <c r="BB96" s="2891"/>
      <c r="BC96" s="2891"/>
      <c r="BD96" s="2892"/>
      <c r="BE96" s="1150"/>
    </row>
    <row r="97" spans="1:57" ht="15.75" customHeight="1" thickBot="1">
      <c r="A97" s="1144"/>
      <c r="B97" s="2792" t="s">
        <v>1786</v>
      </c>
      <c r="C97" s="2793"/>
      <c r="D97" s="2793"/>
      <c r="E97" s="2793"/>
      <c r="F97" s="2793"/>
      <c r="G97" s="2793"/>
      <c r="H97" s="2793"/>
      <c r="I97" s="2793"/>
      <c r="J97" s="2793"/>
      <c r="K97" s="2793"/>
      <c r="L97" s="2793"/>
      <c r="M97" s="2793"/>
      <c r="N97" s="2793"/>
      <c r="O97" s="2793"/>
      <c r="P97" s="2793"/>
      <c r="Q97" s="2793"/>
      <c r="R97" s="2793"/>
      <c r="S97" s="2793"/>
      <c r="T97" s="2793"/>
      <c r="U97" s="2794"/>
      <c r="V97" s="1144"/>
      <c r="W97" s="1144"/>
      <c r="X97" s="2893"/>
      <c r="Y97" s="2894"/>
      <c r="Z97" s="2894"/>
      <c r="AA97" s="2894"/>
      <c r="AB97" s="2894"/>
      <c r="AC97" s="2894"/>
      <c r="AD97" s="2894"/>
      <c r="AE97" s="2894"/>
      <c r="AF97" s="2894"/>
      <c r="AG97" s="2894"/>
      <c r="AH97" s="2894"/>
      <c r="AI97" s="2894"/>
      <c r="AJ97" s="2894"/>
      <c r="AK97" s="2894"/>
      <c r="AL97" s="2894"/>
      <c r="AM97" s="2894"/>
      <c r="AN97" s="2894"/>
      <c r="AO97" s="2894"/>
      <c r="AP97" s="2894"/>
      <c r="AQ97" s="2894"/>
      <c r="AR97" s="2894"/>
      <c r="AS97" s="2894"/>
      <c r="AT97" s="2894"/>
      <c r="AU97" s="2894"/>
      <c r="AV97" s="2894"/>
      <c r="AW97" s="2894"/>
      <c r="AX97" s="2894"/>
      <c r="AY97" s="2894"/>
      <c r="AZ97" s="2894"/>
      <c r="BA97" s="2894"/>
      <c r="BB97" s="2894"/>
      <c r="BC97" s="2894"/>
      <c r="BD97" s="2895"/>
      <c r="BE97" s="1150"/>
    </row>
    <row r="98" spans="1:57" ht="15.75" customHeight="1" thickBot="1">
      <c r="A98" s="1144"/>
      <c r="B98" s="2792"/>
      <c r="C98" s="2793"/>
      <c r="D98" s="2793"/>
      <c r="E98" s="2793"/>
      <c r="F98" s="2793"/>
      <c r="G98" s="2793"/>
      <c r="H98" s="2794"/>
      <c r="I98" s="2792" t="s">
        <v>2322</v>
      </c>
      <c r="J98" s="2793"/>
      <c r="K98" s="2793"/>
      <c r="L98" s="2793"/>
      <c r="M98" s="2793"/>
      <c r="N98" s="2794"/>
      <c r="O98" s="2896" t="s">
        <v>2323</v>
      </c>
      <c r="P98" s="2897"/>
      <c r="Q98" s="2897"/>
      <c r="R98" s="2897"/>
      <c r="S98" s="2897"/>
      <c r="T98" s="2897"/>
      <c r="U98" s="2898"/>
      <c r="V98" s="1144"/>
      <c r="W98" s="1144"/>
      <c r="X98" s="2899" t="s">
        <v>2337</v>
      </c>
      <c r="Y98" s="2900"/>
      <c r="Z98" s="2900"/>
      <c r="AA98" s="2900"/>
      <c r="AB98" s="2900"/>
      <c r="AC98" s="2900"/>
      <c r="AD98" s="2900"/>
      <c r="AE98" s="2900"/>
      <c r="AF98" s="2900"/>
      <c r="AG98" s="2900"/>
      <c r="AH98" s="2900"/>
      <c r="AI98" s="2900"/>
      <c r="AJ98" s="2900"/>
      <c r="AK98" s="2900"/>
      <c r="AL98" s="2900"/>
      <c r="AM98" s="2900"/>
      <c r="AN98" s="2900"/>
      <c r="AO98" s="2900"/>
      <c r="AP98" s="2900"/>
      <c r="AQ98" s="2900"/>
      <c r="AR98" s="2900"/>
      <c r="AS98" s="2900"/>
      <c r="AT98" s="2900"/>
      <c r="AU98" s="2900"/>
      <c r="AV98" s="2900"/>
      <c r="AW98" s="2900"/>
      <c r="AX98" s="2900"/>
      <c r="AY98" s="2900"/>
      <c r="AZ98" s="2900"/>
      <c r="BA98" s="2900"/>
      <c r="BB98" s="2900"/>
      <c r="BC98" s="2900"/>
      <c r="BD98" s="2901"/>
      <c r="BE98" s="1150"/>
    </row>
    <row r="99" spans="1:57" ht="15.75" customHeight="1" thickBot="1">
      <c r="A99" s="1144"/>
      <c r="B99" s="2830" t="s">
        <v>2324</v>
      </c>
      <c r="C99" s="2831"/>
      <c r="D99" s="2831"/>
      <c r="E99" s="2831"/>
      <c r="F99" s="2831"/>
      <c r="G99" s="2831"/>
      <c r="H99" s="2832"/>
      <c r="I99" s="2905"/>
      <c r="J99" s="2906"/>
      <c r="K99" s="2906"/>
      <c r="L99" s="2906"/>
      <c r="M99" s="2906"/>
      <c r="N99" s="2906"/>
      <c r="O99" s="2906"/>
      <c r="P99" s="2906"/>
      <c r="Q99" s="2906"/>
      <c r="R99" s="2906"/>
      <c r="S99" s="2906"/>
      <c r="T99" s="2906"/>
      <c r="U99" s="2907"/>
      <c r="V99" s="1144"/>
      <c r="W99" s="1144"/>
      <c r="X99" s="2899"/>
      <c r="Y99" s="2900"/>
      <c r="Z99" s="2900"/>
      <c r="AA99" s="2900"/>
      <c r="AB99" s="2900"/>
      <c r="AC99" s="2900"/>
      <c r="AD99" s="2900"/>
      <c r="AE99" s="2900"/>
      <c r="AF99" s="2900"/>
      <c r="AG99" s="2900"/>
      <c r="AH99" s="2900"/>
      <c r="AI99" s="2900"/>
      <c r="AJ99" s="2900"/>
      <c r="AK99" s="2900"/>
      <c r="AL99" s="2900"/>
      <c r="AM99" s="2900"/>
      <c r="AN99" s="2900"/>
      <c r="AO99" s="2900"/>
      <c r="AP99" s="2900"/>
      <c r="AQ99" s="2900"/>
      <c r="AR99" s="2900"/>
      <c r="AS99" s="2900"/>
      <c r="AT99" s="2900"/>
      <c r="AU99" s="2900"/>
      <c r="AV99" s="2900"/>
      <c r="AW99" s="2900"/>
      <c r="AX99" s="2900"/>
      <c r="AY99" s="2900"/>
      <c r="AZ99" s="2900"/>
      <c r="BA99" s="2900"/>
      <c r="BB99" s="2900"/>
      <c r="BC99" s="2900"/>
      <c r="BD99" s="2901"/>
      <c r="BE99" s="1150"/>
    </row>
    <row r="100" spans="1:57" ht="15.75" customHeight="1" thickBot="1">
      <c r="A100" s="1144"/>
      <c r="B100" s="2830" t="s">
        <v>2325</v>
      </c>
      <c r="C100" s="2831"/>
      <c r="D100" s="2831"/>
      <c r="E100" s="2831"/>
      <c r="F100" s="2831"/>
      <c r="G100" s="2831"/>
      <c r="H100" s="2832"/>
      <c r="I100" s="2886"/>
      <c r="J100" s="2887"/>
      <c r="K100" s="2887"/>
      <c r="L100" s="2887"/>
      <c r="M100" s="2887"/>
      <c r="N100" s="2887"/>
      <c r="O100" s="2888"/>
      <c r="P100" s="2888"/>
      <c r="Q100" s="2888"/>
      <c r="R100" s="2888"/>
      <c r="S100" s="2888"/>
      <c r="T100" s="2888"/>
      <c r="U100" s="2889"/>
      <c r="V100" s="1144"/>
      <c r="W100" s="1144"/>
      <c r="X100" s="2899"/>
      <c r="Y100" s="2900"/>
      <c r="Z100" s="2900"/>
      <c r="AA100" s="2900"/>
      <c r="AB100" s="2900"/>
      <c r="AC100" s="2900"/>
      <c r="AD100" s="2900"/>
      <c r="AE100" s="2900"/>
      <c r="AF100" s="2900"/>
      <c r="AG100" s="2900"/>
      <c r="AH100" s="2900"/>
      <c r="AI100" s="2900"/>
      <c r="AJ100" s="2900"/>
      <c r="AK100" s="2900"/>
      <c r="AL100" s="2900"/>
      <c r="AM100" s="2900"/>
      <c r="AN100" s="2900"/>
      <c r="AO100" s="2900"/>
      <c r="AP100" s="2900"/>
      <c r="AQ100" s="2900"/>
      <c r="AR100" s="2900"/>
      <c r="AS100" s="2900"/>
      <c r="AT100" s="2900"/>
      <c r="AU100" s="2900"/>
      <c r="AV100" s="2900"/>
      <c r="AW100" s="2900"/>
      <c r="AX100" s="2900"/>
      <c r="AY100" s="2900"/>
      <c r="AZ100" s="2900"/>
      <c r="BA100" s="2900"/>
      <c r="BB100" s="2900"/>
      <c r="BC100" s="2900"/>
      <c r="BD100" s="2901"/>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9"/>
      <c r="Y101" s="2900"/>
      <c r="Z101" s="2900"/>
      <c r="AA101" s="2900"/>
      <c r="AB101" s="2900"/>
      <c r="AC101" s="2900"/>
      <c r="AD101" s="2900"/>
      <c r="AE101" s="2900"/>
      <c r="AF101" s="2900"/>
      <c r="AG101" s="2900"/>
      <c r="AH101" s="2900"/>
      <c r="AI101" s="2900"/>
      <c r="AJ101" s="2900"/>
      <c r="AK101" s="2900"/>
      <c r="AL101" s="2900"/>
      <c r="AM101" s="2900"/>
      <c r="AN101" s="2900"/>
      <c r="AO101" s="2900"/>
      <c r="AP101" s="2900"/>
      <c r="AQ101" s="2900"/>
      <c r="AR101" s="2900"/>
      <c r="AS101" s="2900"/>
      <c r="AT101" s="2900"/>
      <c r="AU101" s="2900"/>
      <c r="AV101" s="2900"/>
      <c r="AW101" s="2900"/>
      <c r="AX101" s="2900"/>
      <c r="AY101" s="2900"/>
      <c r="AZ101" s="2900"/>
      <c r="BA101" s="2900"/>
      <c r="BB101" s="2900"/>
      <c r="BC101" s="2900"/>
      <c r="BD101" s="2901"/>
      <c r="BE101" s="1150"/>
    </row>
    <row r="102" spans="1:57" ht="15.75" customHeight="1">
      <c r="A102" s="1144"/>
      <c r="B102" s="1155" t="s">
        <v>1951</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256</v>
      </c>
      <c r="W102" s="1144"/>
      <c r="X102" s="2899"/>
      <c r="Y102" s="2900"/>
      <c r="Z102" s="2900"/>
      <c r="AA102" s="2900"/>
      <c r="AB102" s="2900"/>
      <c r="AC102" s="2900"/>
      <c r="AD102" s="2900"/>
      <c r="AE102" s="2900"/>
      <c r="AF102" s="2900"/>
      <c r="AG102" s="2900"/>
      <c r="AH102" s="2900"/>
      <c r="AI102" s="2900"/>
      <c r="AJ102" s="2900"/>
      <c r="AK102" s="2900"/>
      <c r="AL102" s="2900"/>
      <c r="AM102" s="2900"/>
      <c r="AN102" s="2900"/>
      <c r="AO102" s="2900"/>
      <c r="AP102" s="2900"/>
      <c r="AQ102" s="2900"/>
      <c r="AR102" s="2900"/>
      <c r="AS102" s="2900"/>
      <c r="AT102" s="2900"/>
      <c r="AU102" s="2900"/>
      <c r="AV102" s="2900"/>
      <c r="AW102" s="2900"/>
      <c r="AX102" s="2900"/>
      <c r="AY102" s="2900"/>
      <c r="AZ102" s="2900"/>
      <c r="BA102" s="2900"/>
      <c r="BB102" s="2900"/>
      <c r="BC102" s="2900"/>
      <c r="BD102" s="2901"/>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9"/>
      <c r="Y103" s="2900"/>
      <c r="Z103" s="2900"/>
      <c r="AA103" s="2900"/>
      <c r="AB103" s="2900"/>
      <c r="AC103" s="2900"/>
      <c r="AD103" s="2900"/>
      <c r="AE103" s="2900"/>
      <c r="AF103" s="2900"/>
      <c r="AG103" s="2900"/>
      <c r="AH103" s="2900"/>
      <c r="AI103" s="2900"/>
      <c r="AJ103" s="2900"/>
      <c r="AK103" s="2900"/>
      <c r="AL103" s="2900"/>
      <c r="AM103" s="2900"/>
      <c r="AN103" s="2900"/>
      <c r="AO103" s="2900"/>
      <c r="AP103" s="2900"/>
      <c r="AQ103" s="2900"/>
      <c r="AR103" s="2900"/>
      <c r="AS103" s="2900"/>
      <c r="AT103" s="2900"/>
      <c r="AU103" s="2900"/>
      <c r="AV103" s="2900"/>
      <c r="AW103" s="2900"/>
      <c r="AX103" s="2900"/>
      <c r="AY103" s="2900"/>
      <c r="AZ103" s="2900"/>
      <c r="BA103" s="2900"/>
      <c r="BB103" s="2900"/>
      <c r="BC103" s="2900"/>
      <c r="BD103" s="2901"/>
      <c r="BE103" s="1150"/>
    </row>
    <row r="104" spans="1:57" ht="15.75" customHeight="1">
      <c r="A104" s="1144"/>
      <c r="B104" s="2836" t="s">
        <v>1952</v>
      </c>
      <c r="C104" s="2837"/>
      <c r="D104" s="2837"/>
      <c r="E104" s="2837"/>
      <c r="F104" s="2837"/>
      <c r="G104" s="2837"/>
      <c r="H104" s="2837"/>
      <c r="I104" s="2837"/>
      <c r="J104" s="2837"/>
      <c r="K104" s="2837"/>
      <c r="L104" s="2837"/>
      <c r="M104" s="2837"/>
      <c r="N104" s="2837"/>
      <c r="O104" s="2837"/>
      <c r="P104" s="2837"/>
      <c r="Q104" s="2837"/>
      <c r="R104" s="2837"/>
      <c r="S104" s="2837"/>
      <c r="T104" s="2837"/>
      <c r="U104" s="2885"/>
      <c r="V104" s="1144"/>
      <c r="W104" s="1144"/>
      <c r="X104" s="2899"/>
      <c r="Y104" s="2900"/>
      <c r="Z104" s="2900"/>
      <c r="AA104" s="2900"/>
      <c r="AB104" s="2900"/>
      <c r="AC104" s="2900"/>
      <c r="AD104" s="2900"/>
      <c r="AE104" s="2900"/>
      <c r="AF104" s="2900"/>
      <c r="AG104" s="2900"/>
      <c r="AH104" s="2900"/>
      <c r="AI104" s="2900"/>
      <c r="AJ104" s="2900"/>
      <c r="AK104" s="2900"/>
      <c r="AL104" s="2900"/>
      <c r="AM104" s="2900"/>
      <c r="AN104" s="2900"/>
      <c r="AO104" s="2900"/>
      <c r="AP104" s="2900"/>
      <c r="AQ104" s="2900"/>
      <c r="AR104" s="2900"/>
      <c r="AS104" s="2900"/>
      <c r="AT104" s="2900"/>
      <c r="AU104" s="2900"/>
      <c r="AV104" s="2900"/>
      <c r="AW104" s="2900"/>
      <c r="AX104" s="2900"/>
      <c r="AY104" s="2900"/>
      <c r="AZ104" s="2900"/>
      <c r="BA104" s="2900"/>
      <c r="BB104" s="2900"/>
      <c r="BC104" s="2900"/>
      <c r="BD104" s="2901"/>
      <c r="BE104" s="1150"/>
    </row>
    <row r="105" spans="1:57" ht="15.75" customHeight="1">
      <c r="A105" s="1144"/>
      <c r="B105" s="2847"/>
      <c r="C105" s="2848"/>
      <c r="D105" s="2848"/>
      <c r="E105" s="2848"/>
      <c r="F105" s="2848"/>
      <c r="G105" s="2848"/>
      <c r="H105" s="2849"/>
      <c r="I105" s="2853" t="s">
        <v>1945</v>
      </c>
      <c r="J105" s="2854"/>
      <c r="K105" s="2854"/>
      <c r="L105" s="2854"/>
      <c r="M105" s="2854"/>
      <c r="N105" s="2854"/>
      <c r="O105" s="2855"/>
      <c r="P105" s="2859" t="s">
        <v>2339</v>
      </c>
      <c r="Q105" s="2860"/>
      <c r="R105" s="2860"/>
      <c r="S105" s="2860"/>
      <c r="T105" s="2860"/>
      <c r="U105" s="2861"/>
      <c r="V105" s="1144"/>
      <c r="W105" s="1144"/>
      <c r="X105" s="2899"/>
      <c r="Y105" s="2900"/>
      <c r="Z105" s="2900"/>
      <c r="AA105" s="2900"/>
      <c r="AB105" s="2900"/>
      <c r="AC105" s="2900"/>
      <c r="AD105" s="2900"/>
      <c r="AE105" s="2900"/>
      <c r="AF105" s="2900"/>
      <c r="AG105" s="2900"/>
      <c r="AH105" s="2900"/>
      <c r="AI105" s="2900"/>
      <c r="AJ105" s="2900"/>
      <c r="AK105" s="2900"/>
      <c r="AL105" s="2900"/>
      <c r="AM105" s="2900"/>
      <c r="AN105" s="2900"/>
      <c r="AO105" s="2900"/>
      <c r="AP105" s="2900"/>
      <c r="AQ105" s="2900"/>
      <c r="AR105" s="2900"/>
      <c r="AS105" s="2900"/>
      <c r="AT105" s="2900"/>
      <c r="AU105" s="2900"/>
      <c r="AV105" s="2900"/>
      <c r="AW105" s="2900"/>
      <c r="AX105" s="2900"/>
      <c r="AY105" s="2900"/>
      <c r="AZ105" s="2900"/>
      <c r="BA105" s="2900"/>
      <c r="BB105" s="2900"/>
      <c r="BC105" s="2900"/>
      <c r="BD105" s="2901"/>
      <c r="BE105" s="1150"/>
    </row>
    <row r="106" spans="1:57" ht="15.75" customHeight="1" thickBot="1">
      <c r="A106" s="1144"/>
      <c r="B106" s="2850"/>
      <c r="C106" s="2851"/>
      <c r="D106" s="2851"/>
      <c r="E106" s="2851"/>
      <c r="F106" s="2851"/>
      <c r="G106" s="2851"/>
      <c r="H106" s="2852"/>
      <c r="I106" s="2856"/>
      <c r="J106" s="2857"/>
      <c r="K106" s="2857"/>
      <c r="L106" s="2857"/>
      <c r="M106" s="2857"/>
      <c r="N106" s="2857"/>
      <c r="O106" s="2858"/>
      <c r="P106" s="2862"/>
      <c r="Q106" s="2863"/>
      <c r="R106" s="2863"/>
      <c r="S106" s="2863"/>
      <c r="T106" s="2863"/>
      <c r="U106" s="2864"/>
      <c r="V106" s="1144"/>
      <c r="W106" s="1144"/>
      <c r="X106" s="2899"/>
      <c r="Y106" s="2900"/>
      <c r="Z106" s="2900"/>
      <c r="AA106" s="2900"/>
      <c r="AB106" s="2900"/>
      <c r="AC106" s="2900"/>
      <c r="AD106" s="2900"/>
      <c r="AE106" s="2900"/>
      <c r="AF106" s="2900"/>
      <c r="AG106" s="2900"/>
      <c r="AH106" s="2900"/>
      <c r="AI106" s="2900"/>
      <c r="AJ106" s="2900"/>
      <c r="AK106" s="2900"/>
      <c r="AL106" s="2900"/>
      <c r="AM106" s="2900"/>
      <c r="AN106" s="2900"/>
      <c r="AO106" s="2900"/>
      <c r="AP106" s="2900"/>
      <c r="AQ106" s="2900"/>
      <c r="AR106" s="2900"/>
      <c r="AS106" s="2900"/>
      <c r="AT106" s="2900"/>
      <c r="AU106" s="2900"/>
      <c r="AV106" s="2900"/>
      <c r="AW106" s="2900"/>
      <c r="AX106" s="2900"/>
      <c r="AY106" s="2900"/>
      <c r="AZ106" s="2900"/>
      <c r="BA106" s="2900"/>
      <c r="BB106" s="2900"/>
      <c r="BC106" s="2900"/>
      <c r="BD106" s="2901"/>
      <c r="BE106" s="1150"/>
    </row>
    <row r="107" spans="1:57" ht="15.75" customHeight="1" thickBot="1">
      <c r="A107" s="1144"/>
      <c r="B107" s="2830" t="s">
        <v>2324</v>
      </c>
      <c r="C107" s="2831"/>
      <c r="D107" s="2831"/>
      <c r="E107" s="2831"/>
      <c r="F107" s="2831"/>
      <c r="G107" s="2831"/>
      <c r="H107" s="2832"/>
      <c r="I107" s="2833"/>
      <c r="J107" s="2834"/>
      <c r="K107" s="2834"/>
      <c r="L107" s="2834"/>
      <c r="M107" s="2834"/>
      <c r="N107" s="2834"/>
      <c r="O107" s="2835"/>
      <c r="P107" s="2833"/>
      <c r="Q107" s="2834"/>
      <c r="R107" s="2834"/>
      <c r="S107" s="2834"/>
      <c r="T107" s="2834"/>
      <c r="U107" s="2835"/>
      <c r="V107" s="1144"/>
      <c r="W107" s="1144"/>
      <c r="X107" s="2899"/>
      <c r="Y107" s="2900"/>
      <c r="Z107" s="2900"/>
      <c r="AA107" s="2900"/>
      <c r="AB107" s="2900"/>
      <c r="AC107" s="2900"/>
      <c r="AD107" s="2900"/>
      <c r="AE107" s="2900"/>
      <c r="AF107" s="2900"/>
      <c r="AG107" s="2900"/>
      <c r="AH107" s="2900"/>
      <c r="AI107" s="2900"/>
      <c r="AJ107" s="2900"/>
      <c r="AK107" s="2900"/>
      <c r="AL107" s="2900"/>
      <c r="AM107" s="2900"/>
      <c r="AN107" s="2900"/>
      <c r="AO107" s="2900"/>
      <c r="AP107" s="2900"/>
      <c r="AQ107" s="2900"/>
      <c r="AR107" s="2900"/>
      <c r="AS107" s="2900"/>
      <c r="AT107" s="2900"/>
      <c r="AU107" s="2900"/>
      <c r="AV107" s="2900"/>
      <c r="AW107" s="2900"/>
      <c r="AX107" s="2900"/>
      <c r="AY107" s="2900"/>
      <c r="AZ107" s="2900"/>
      <c r="BA107" s="2900"/>
      <c r="BB107" s="2900"/>
      <c r="BC107" s="2900"/>
      <c r="BD107" s="2901"/>
      <c r="BE107" s="1150"/>
    </row>
    <row r="108" spans="1:57" ht="15.75" customHeight="1" thickBot="1">
      <c r="A108" s="1144"/>
      <c r="B108" s="2830" t="s">
        <v>2325</v>
      </c>
      <c r="C108" s="2831"/>
      <c r="D108" s="2831"/>
      <c r="E108" s="2831"/>
      <c r="F108" s="2831"/>
      <c r="G108" s="2831"/>
      <c r="H108" s="2832"/>
      <c r="I108" s="2833"/>
      <c r="J108" s="2834"/>
      <c r="K108" s="2834"/>
      <c r="L108" s="2834"/>
      <c r="M108" s="2834"/>
      <c r="N108" s="2834"/>
      <c r="O108" s="2835"/>
      <c r="P108" s="2833"/>
      <c r="Q108" s="2834"/>
      <c r="R108" s="2834"/>
      <c r="S108" s="2834"/>
      <c r="T108" s="2834"/>
      <c r="U108" s="2835"/>
      <c r="V108" s="1144"/>
      <c r="W108" s="1144"/>
      <c r="X108" s="2902"/>
      <c r="Y108" s="2903"/>
      <c r="Z108" s="2903"/>
      <c r="AA108" s="2903"/>
      <c r="AB108" s="2903"/>
      <c r="AC108" s="2903"/>
      <c r="AD108" s="2903"/>
      <c r="AE108" s="2903"/>
      <c r="AF108" s="2903"/>
      <c r="AG108" s="2903"/>
      <c r="AH108" s="2903"/>
      <c r="AI108" s="2903"/>
      <c r="AJ108" s="2903"/>
      <c r="AK108" s="2903"/>
      <c r="AL108" s="2903"/>
      <c r="AM108" s="2903"/>
      <c r="AN108" s="2903"/>
      <c r="AO108" s="2903"/>
      <c r="AP108" s="2903"/>
      <c r="AQ108" s="2903"/>
      <c r="AR108" s="2903"/>
      <c r="AS108" s="2903"/>
      <c r="AT108" s="2903"/>
      <c r="AU108" s="2903"/>
      <c r="AV108" s="2903"/>
      <c r="AW108" s="2903"/>
      <c r="AX108" s="2903"/>
      <c r="AY108" s="2903"/>
      <c r="AZ108" s="2903"/>
      <c r="BA108" s="2903"/>
      <c r="BB108" s="2903"/>
      <c r="BC108" s="2903"/>
      <c r="BD108" s="2904"/>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65" t="s">
        <v>1953</v>
      </c>
      <c r="C110" s="2866"/>
      <c r="D110" s="2866"/>
      <c r="E110" s="2866"/>
      <c r="F110" s="2866"/>
      <c r="G110" s="2866"/>
      <c r="H110" s="2866"/>
      <c r="I110" s="2866"/>
      <c r="J110" s="2866"/>
      <c r="K110" s="2866"/>
      <c r="L110" s="2866"/>
      <c r="M110" s="2866"/>
      <c r="N110" s="2866"/>
      <c r="O110" s="2866"/>
      <c r="P110" s="2866"/>
      <c r="Q110" s="2866"/>
      <c r="R110" s="2867"/>
      <c r="S110" s="2867"/>
      <c r="T110" s="2867"/>
      <c r="U110" s="2867"/>
      <c r="V110" s="2867"/>
      <c r="W110" s="2867"/>
      <c r="X110" s="2867"/>
      <c r="Y110" s="2867"/>
      <c r="Z110" s="2867"/>
      <c r="AA110" s="2867"/>
      <c r="AB110" s="2867"/>
      <c r="AC110" s="2867"/>
      <c r="AD110" s="2867"/>
      <c r="AE110" s="2867"/>
      <c r="AF110" s="2867"/>
      <c r="AG110" s="2868" t="s">
        <v>1895</v>
      </c>
      <c r="AH110" s="2868"/>
      <c r="AI110" s="2868"/>
      <c r="AJ110" s="2869"/>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870" t="s">
        <v>1954</v>
      </c>
      <c r="C111" s="2871"/>
      <c r="D111" s="2871"/>
      <c r="E111" s="2871"/>
      <c r="F111" s="2871"/>
      <c r="G111" s="2871"/>
      <c r="H111" s="2871"/>
      <c r="I111" s="2871"/>
      <c r="J111" s="2871"/>
      <c r="K111" s="2871"/>
      <c r="L111" s="2871"/>
      <c r="M111" s="2871"/>
      <c r="N111" s="2871"/>
      <c r="O111" s="2871"/>
      <c r="P111" s="2871"/>
      <c r="Q111" s="2872"/>
      <c r="R111" s="2873" t="s">
        <v>2342</v>
      </c>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144"/>
      <c r="AZ111" s="1144"/>
      <c r="BA111" s="1144"/>
      <c r="BB111" s="1144"/>
      <c r="BC111" s="1144" t="s">
        <v>256</v>
      </c>
      <c r="BD111" s="1144"/>
      <c r="BE111" s="1150"/>
    </row>
    <row r="112" spans="1:57" ht="15.75" customHeight="1">
      <c r="A112" s="1144"/>
      <c r="B112" s="2876" t="s">
        <v>2343</v>
      </c>
      <c r="C112" s="2877"/>
      <c r="D112" s="2877"/>
      <c r="E112" s="2877"/>
      <c r="F112" s="2877"/>
      <c r="G112" s="2877"/>
      <c r="H112" s="2877"/>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7"/>
      <c r="AD112" s="2877"/>
      <c r="AE112" s="2877"/>
      <c r="AF112" s="2877"/>
      <c r="AG112" s="2877"/>
      <c r="AH112" s="2877"/>
      <c r="AI112" s="2877"/>
      <c r="AJ112" s="2877"/>
      <c r="AK112" s="2877"/>
      <c r="AL112" s="2877"/>
      <c r="AM112" s="2877"/>
      <c r="AN112" s="2877"/>
      <c r="AO112" s="2877"/>
      <c r="AP112" s="2877"/>
      <c r="AQ112" s="2877"/>
      <c r="AR112" s="2877"/>
      <c r="AS112" s="2877"/>
      <c r="AT112" s="2877"/>
      <c r="AU112" s="2877"/>
      <c r="AV112" s="2877"/>
      <c r="AW112" s="2877"/>
      <c r="AX112" s="2878"/>
      <c r="AY112" s="1144"/>
      <c r="AZ112" s="1144"/>
      <c r="BA112" s="1144"/>
      <c r="BB112" s="1144"/>
      <c r="BC112" s="1144"/>
      <c r="BD112" s="1144"/>
      <c r="BE112" s="1150"/>
    </row>
    <row r="113" spans="1:57" ht="15.75" customHeight="1">
      <c r="A113" s="1144"/>
      <c r="B113" s="2879"/>
      <c r="C113" s="2880"/>
      <c r="D113" s="2880"/>
      <c r="E113" s="2880"/>
      <c r="F113" s="2880"/>
      <c r="G113" s="2880"/>
      <c r="H113" s="2880"/>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80"/>
      <c r="AD113" s="2880"/>
      <c r="AE113" s="2880"/>
      <c r="AF113" s="2880"/>
      <c r="AG113" s="2880"/>
      <c r="AH113" s="2880"/>
      <c r="AI113" s="2880"/>
      <c r="AJ113" s="2880"/>
      <c r="AK113" s="2880"/>
      <c r="AL113" s="2880"/>
      <c r="AM113" s="2880"/>
      <c r="AN113" s="2880"/>
      <c r="AO113" s="2880"/>
      <c r="AP113" s="2880"/>
      <c r="AQ113" s="2880"/>
      <c r="AR113" s="2880"/>
      <c r="AS113" s="2880"/>
      <c r="AT113" s="2880"/>
      <c r="AU113" s="2880"/>
      <c r="AV113" s="2880"/>
      <c r="AW113" s="2880"/>
      <c r="AX113" s="2881"/>
      <c r="AY113" s="1144"/>
      <c r="AZ113" s="1144"/>
      <c r="BA113" s="1144"/>
      <c r="BB113" s="1144"/>
      <c r="BC113" s="1144"/>
      <c r="BD113" s="1144"/>
      <c r="BE113" s="1150"/>
    </row>
    <row r="114" spans="1:57" ht="15.75" customHeight="1">
      <c r="A114" s="1144"/>
      <c r="B114" s="2879"/>
      <c r="C114" s="2880"/>
      <c r="D114" s="2880"/>
      <c r="E114" s="2880"/>
      <c r="F114" s="2880"/>
      <c r="G114" s="2880"/>
      <c r="H114" s="2880"/>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80"/>
      <c r="AD114" s="2880"/>
      <c r="AE114" s="2880"/>
      <c r="AF114" s="2880"/>
      <c r="AG114" s="2880"/>
      <c r="AH114" s="2880"/>
      <c r="AI114" s="2880"/>
      <c r="AJ114" s="2880"/>
      <c r="AK114" s="2880"/>
      <c r="AL114" s="2880"/>
      <c r="AM114" s="2880"/>
      <c r="AN114" s="2880"/>
      <c r="AO114" s="2880"/>
      <c r="AP114" s="2880"/>
      <c r="AQ114" s="2880"/>
      <c r="AR114" s="2880"/>
      <c r="AS114" s="2880"/>
      <c r="AT114" s="2880"/>
      <c r="AU114" s="2880"/>
      <c r="AV114" s="2880"/>
      <c r="AW114" s="2880"/>
      <c r="AX114" s="2881"/>
      <c r="AY114" s="1144"/>
      <c r="AZ114" s="1144"/>
      <c r="BA114" s="1144"/>
      <c r="BB114" s="1144"/>
      <c r="BC114" s="1144"/>
      <c r="BD114" s="1144"/>
      <c r="BE114" s="1150"/>
    </row>
    <row r="115" spans="1:57" ht="15.75" customHeight="1">
      <c r="A115" s="1144"/>
      <c r="B115" s="2879"/>
      <c r="C115" s="2880"/>
      <c r="D115" s="2880"/>
      <c r="E115" s="2880"/>
      <c r="F115" s="2880"/>
      <c r="G115" s="2880"/>
      <c r="H115" s="2880"/>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80"/>
      <c r="AD115" s="2880"/>
      <c r="AE115" s="2880"/>
      <c r="AF115" s="2880"/>
      <c r="AG115" s="2880"/>
      <c r="AH115" s="2880"/>
      <c r="AI115" s="2880"/>
      <c r="AJ115" s="2880"/>
      <c r="AK115" s="2880"/>
      <c r="AL115" s="2880"/>
      <c r="AM115" s="2880"/>
      <c r="AN115" s="2880"/>
      <c r="AO115" s="2880"/>
      <c r="AP115" s="2880"/>
      <c r="AQ115" s="2880"/>
      <c r="AR115" s="2880"/>
      <c r="AS115" s="2880"/>
      <c r="AT115" s="2880"/>
      <c r="AU115" s="2880"/>
      <c r="AV115" s="2880"/>
      <c r="AW115" s="2880"/>
      <c r="AX115" s="2881"/>
      <c r="AY115" s="1144"/>
      <c r="AZ115" s="1144"/>
      <c r="BA115" s="1144"/>
      <c r="BB115" s="1144"/>
      <c r="BC115" s="1144"/>
      <c r="BD115" s="1144"/>
      <c r="BE115" s="1150"/>
    </row>
    <row r="116" spans="1:57" ht="15.75" customHeight="1">
      <c r="A116" s="1144"/>
      <c r="B116" s="2879"/>
      <c r="C116" s="2880"/>
      <c r="D116" s="2880"/>
      <c r="E116" s="2880"/>
      <c r="F116" s="2880"/>
      <c r="G116" s="2880"/>
      <c r="H116" s="2880"/>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80"/>
      <c r="AD116" s="2880"/>
      <c r="AE116" s="2880"/>
      <c r="AF116" s="2880"/>
      <c r="AG116" s="2880"/>
      <c r="AH116" s="2880"/>
      <c r="AI116" s="2880"/>
      <c r="AJ116" s="2880"/>
      <c r="AK116" s="2880"/>
      <c r="AL116" s="2880"/>
      <c r="AM116" s="2880"/>
      <c r="AN116" s="2880"/>
      <c r="AO116" s="2880"/>
      <c r="AP116" s="2880"/>
      <c r="AQ116" s="2880"/>
      <c r="AR116" s="2880"/>
      <c r="AS116" s="2880"/>
      <c r="AT116" s="2880"/>
      <c r="AU116" s="2880"/>
      <c r="AV116" s="2880"/>
      <c r="AW116" s="2880"/>
      <c r="AX116" s="2881"/>
      <c r="AY116" s="1144"/>
      <c r="AZ116" s="1144"/>
      <c r="BA116" s="1144"/>
      <c r="BB116" s="1144"/>
      <c r="BC116" s="1144"/>
      <c r="BD116" s="1144"/>
      <c r="BE116" s="1150"/>
    </row>
    <row r="117" spans="1:57" ht="15.75" customHeight="1">
      <c r="A117" s="1144"/>
      <c r="B117" s="2879"/>
      <c r="C117" s="2880"/>
      <c r="D117" s="2880"/>
      <c r="E117" s="2880"/>
      <c r="F117" s="2880"/>
      <c r="G117" s="2880"/>
      <c r="H117" s="2880"/>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80"/>
      <c r="AD117" s="2880"/>
      <c r="AE117" s="2880"/>
      <c r="AF117" s="2880"/>
      <c r="AG117" s="2880"/>
      <c r="AH117" s="2880"/>
      <c r="AI117" s="2880"/>
      <c r="AJ117" s="2880"/>
      <c r="AK117" s="2880"/>
      <c r="AL117" s="2880"/>
      <c r="AM117" s="2880"/>
      <c r="AN117" s="2880"/>
      <c r="AO117" s="2880"/>
      <c r="AP117" s="2880"/>
      <c r="AQ117" s="2880"/>
      <c r="AR117" s="2880"/>
      <c r="AS117" s="2880"/>
      <c r="AT117" s="2880"/>
      <c r="AU117" s="2880"/>
      <c r="AV117" s="2880"/>
      <c r="AW117" s="2880"/>
      <c r="AX117" s="2881"/>
      <c r="AY117" s="1144"/>
      <c r="AZ117" s="1144"/>
      <c r="BA117" s="1144"/>
      <c r="BB117" s="1144"/>
      <c r="BC117" s="1144"/>
      <c r="BD117" s="1144"/>
      <c r="BE117" s="1150"/>
    </row>
    <row r="118" spans="1:57" ht="15.75" customHeight="1">
      <c r="A118" s="1144"/>
      <c r="B118" s="2879"/>
      <c r="C118" s="2880"/>
      <c r="D118" s="2880"/>
      <c r="E118" s="2880"/>
      <c r="F118" s="2880"/>
      <c r="G118" s="2880"/>
      <c r="H118" s="2880"/>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80"/>
      <c r="AD118" s="2880"/>
      <c r="AE118" s="2880"/>
      <c r="AF118" s="2880"/>
      <c r="AG118" s="2880"/>
      <c r="AH118" s="2880"/>
      <c r="AI118" s="2880"/>
      <c r="AJ118" s="2880"/>
      <c r="AK118" s="2880"/>
      <c r="AL118" s="2880"/>
      <c r="AM118" s="2880"/>
      <c r="AN118" s="2880"/>
      <c r="AO118" s="2880"/>
      <c r="AP118" s="2880"/>
      <c r="AQ118" s="2880"/>
      <c r="AR118" s="2880"/>
      <c r="AS118" s="2880"/>
      <c r="AT118" s="2880"/>
      <c r="AU118" s="2880"/>
      <c r="AV118" s="2880"/>
      <c r="AW118" s="2880"/>
      <c r="AX118" s="2881"/>
      <c r="AY118" s="1144"/>
      <c r="AZ118" s="1144"/>
      <c r="BA118" s="1144"/>
      <c r="BB118" s="1144"/>
      <c r="BC118" s="1144"/>
      <c r="BD118" s="1144"/>
      <c r="BE118" s="1150"/>
    </row>
    <row r="119" spans="1:57" ht="15.75" customHeight="1">
      <c r="A119" s="1144"/>
      <c r="B119" s="2879"/>
      <c r="C119" s="2880"/>
      <c r="D119" s="2880"/>
      <c r="E119" s="2880"/>
      <c r="F119" s="2880"/>
      <c r="G119" s="2880"/>
      <c r="H119" s="2880"/>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80"/>
      <c r="AD119" s="2880"/>
      <c r="AE119" s="2880"/>
      <c r="AF119" s="2880"/>
      <c r="AG119" s="2880"/>
      <c r="AH119" s="2880"/>
      <c r="AI119" s="2880"/>
      <c r="AJ119" s="2880"/>
      <c r="AK119" s="2880"/>
      <c r="AL119" s="2880"/>
      <c r="AM119" s="2880"/>
      <c r="AN119" s="2880"/>
      <c r="AO119" s="2880"/>
      <c r="AP119" s="2880"/>
      <c r="AQ119" s="2880"/>
      <c r="AR119" s="2880"/>
      <c r="AS119" s="2880"/>
      <c r="AT119" s="2880"/>
      <c r="AU119" s="2880"/>
      <c r="AV119" s="2880"/>
      <c r="AW119" s="2880"/>
      <c r="AX119" s="2881"/>
      <c r="AY119" s="1144"/>
      <c r="AZ119" s="1144"/>
      <c r="BA119" s="1144"/>
      <c r="BB119" s="1144"/>
      <c r="BC119" s="1144"/>
      <c r="BD119" s="1144"/>
      <c r="BE119" s="1150"/>
    </row>
    <row r="120" spans="1:57" ht="15.75" customHeight="1">
      <c r="A120" s="1144"/>
      <c r="B120" s="2879"/>
      <c r="C120" s="2880"/>
      <c r="D120" s="2880"/>
      <c r="E120" s="2880"/>
      <c r="F120" s="2880"/>
      <c r="G120" s="2880"/>
      <c r="H120" s="2880"/>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80"/>
      <c r="AD120" s="2880"/>
      <c r="AE120" s="2880"/>
      <c r="AF120" s="2880"/>
      <c r="AG120" s="2880"/>
      <c r="AH120" s="2880"/>
      <c r="AI120" s="2880"/>
      <c r="AJ120" s="2880"/>
      <c r="AK120" s="2880"/>
      <c r="AL120" s="2880"/>
      <c r="AM120" s="2880"/>
      <c r="AN120" s="2880"/>
      <c r="AO120" s="2880"/>
      <c r="AP120" s="2880"/>
      <c r="AQ120" s="2880"/>
      <c r="AR120" s="2880"/>
      <c r="AS120" s="2880"/>
      <c r="AT120" s="2880"/>
      <c r="AU120" s="2880"/>
      <c r="AV120" s="2880"/>
      <c r="AW120" s="2880"/>
      <c r="AX120" s="2881"/>
      <c r="AY120" s="1144"/>
      <c r="AZ120" s="1144"/>
      <c r="BA120" s="1144"/>
      <c r="BB120" s="1144"/>
      <c r="BC120" s="1144"/>
      <c r="BD120" s="1144"/>
      <c r="BE120" s="1150"/>
    </row>
    <row r="121" spans="1:57" ht="15.75" customHeight="1" thickBot="1">
      <c r="A121" s="1144"/>
      <c r="B121" s="2882"/>
      <c r="C121" s="2883"/>
      <c r="D121" s="2883"/>
      <c r="E121" s="2883"/>
      <c r="F121" s="2883"/>
      <c r="G121" s="2883"/>
      <c r="H121" s="2883"/>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83"/>
      <c r="AD121" s="2883"/>
      <c r="AE121" s="2883"/>
      <c r="AF121" s="2883"/>
      <c r="AG121" s="2883"/>
      <c r="AH121" s="2883"/>
      <c r="AI121" s="2883"/>
      <c r="AJ121" s="2883"/>
      <c r="AK121" s="2883"/>
      <c r="AL121" s="2883"/>
      <c r="AM121" s="2883"/>
      <c r="AN121" s="2883"/>
      <c r="AO121" s="2883"/>
      <c r="AP121" s="2883"/>
      <c r="AQ121" s="2883"/>
      <c r="AR121" s="2883"/>
      <c r="AS121" s="2883"/>
      <c r="AT121" s="2883"/>
      <c r="AU121" s="2883"/>
      <c r="AV121" s="2883"/>
      <c r="AW121" s="2883"/>
      <c r="AX121" s="2884"/>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1955</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2344</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836" t="s">
        <v>1956</v>
      </c>
      <c r="C125" s="2837"/>
      <c r="D125" s="2837"/>
      <c r="E125" s="2837"/>
      <c r="F125" s="2837"/>
      <c r="G125" s="2837"/>
      <c r="H125" s="2837"/>
      <c r="I125" s="2837"/>
      <c r="J125" s="2837"/>
      <c r="K125" s="2837"/>
      <c r="L125" s="2837"/>
      <c r="M125" s="2837"/>
      <c r="N125" s="2837"/>
      <c r="O125" s="2837"/>
      <c r="P125" s="2837"/>
      <c r="Q125" s="2837"/>
      <c r="R125" s="2837"/>
      <c r="S125" s="2837"/>
      <c r="T125" s="2837"/>
      <c r="U125" s="2885"/>
      <c r="V125" s="1144"/>
      <c r="W125" s="1146"/>
      <c r="X125" s="2836" t="s">
        <v>2345</v>
      </c>
      <c r="Y125" s="2837"/>
      <c r="Z125" s="2837"/>
      <c r="AA125" s="2837"/>
      <c r="AB125" s="2837"/>
      <c r="AC125" s="2837"/>
      <c r="AD125" s="2837"/>
      <c r="AE125" s="2837"/>
      <c r="AF125" s="2837"/>
      <c r="AG125" s="2837"/>
      <c r="AH125" s="2837"/>
      <c r="AI125" s="2837"/>
      <c r="AJ125" s="2837"/>
      <c r="AK125" s="2837"/>
      <c r="AL125" s="2837"/>
      <c r="AM125" s="2837"/>
      <c r="AN125" s="2837"/>
      <c r="AO125" s="2837"/>
      <c r="AP125" s="2837"/>
      <c r="AQ125" s="2885"/>
      <c r="AR125" s="1144"/>
      <c r="AS125" s="1144"/>
      <c r="AT125" s="1144"/>
      <c r="AU125" s="1144"/>
      <c r="AV125" s="1144"/>
      <c r="AW125" s="1144"/>
      <c r="AX125" s="1144"/>
      <c r="AY125" s="1144"/>
      <c r="AZ125" s="1144"/>
      <c r="BA125" s="1144"/>
      <c r="BB125" s="1144"/>
      <c r="BC125" s="1144"/>
      <c r="BD125" s="1144"/>
      <c r="BE125" s="1150"/>
    </row>
    <row r="126" spans="1:57" ht="15.75" customHeight="1">
      <c r="A126" s="1144"/>
      <c r="B126" s="2847"/>
      <c r="C126" s="2848"/>
      <c r="D126" s="2848"/>
      <c r="E126" s="2848"/>
      <c r="F126" s="2848"/>
      <c r="G126" s="2848"/>
      <c r="H126" s="2849"/>
      <c r="I126" s="2853" t="s">
        <v>1945</v>
      </c>
      <c r="J126" s="2854"/>
      <c r="K126" s="2854"/>
      <c r="L126" s="2854"/>
      <c r="M126" s="2854"/>
      <c r="N126" s="2854"/>
      <c r="O126" s="2855"/>
      <c r="P126" s="2859" t="s">
        <v>2346</v>
      </c>
      <c r="Q126" s="2860"/>
      <c r="R126" s="2860"/>
      <c r="S126" s="2860"/>
      <c r="T126" s="2860"/>
      <c r="U126" s="2861"/>
      <c r="V126" s="1144"/>
      <c r="W126" s="1144"/>
      <c r="X126" s="2847"/>
      <c r="Y126" s="2848"/>
      <c r="Z126" s="2848"/>
      <c r="AA126" s="2848"/>
      <c r="AB126" s="2848"/>
      <c r="AC126" s="2848"/>
      <c r="AD126" s="2849"/>
      <c r="AE126" s="2853" t="s">
        <v>1945</v>
      </c>
      <c r="AF126" s="2854"/>
      <c r="AG126" s="2854"/>
      <c r="AH126" s="2854"/>
      <c r="AI126" s="2854"/>
      <c r="AJ126" s="2854"/>
      <c r="AK126" s="2855"/>
      <c r="AL126" s="2859" t="s">
        <v>2339</v>
      </c>
      <c r="AM126" s="2860"/>
      <c r="AN126" s="2860"/>
      <c r="AO126" s="2860"/>
      <c r="AP126" s="2860"/>
      <c r="AQ126" s="2861"/>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850"/>
      <c r="C127" s="2851"/>
      <c r="D127" s="2851"/>
      <c r="E127" s="2851"/>
      <c r="F127" s="2851"/>
      <c r="G127" s="2851"/>
      <c r="H127" s="2852"/>
      <c r="I127" s="2856"/>
      <c r="J127" s="2857"/>
      <c r="K127" s="2857"/>
      <c r="L127" s="2857"/>
      <c r="M127" s="2857"/>
      <c r="N127" s="2857"/>
      <c r="O127" s="2858"/>
      <c r="P127" s="2862"/>
      <c r="Q127" s="2863"/>
      <c r="R127" s="2863"/>
      <c r="S127" s="2863"/>
      <c r="T127" s="2863"/>
      <c r="U127" s="2864"/>
      <c r="V127" s="1144"/>
      <c r="W127" s="1144"/>
      <c r="X127" s="2850"/>
      <c r="Y127" s="2851"/>
      <c r="Z127" s="2851"/>
      <c r="AA127" s="2851"/>
      <c r="AB127" s="2851"/>
      <c r="AC127" s="2851"/>
      <c r="AD127" s="2852"/>
      <c r="AE127" s="2856"/>
      <c r="AF127" s="2857"/>
      <c r="AG127" s="2857"/>
      <c r="AH127" s="2857"/>
      <c r="AI127" s="2857"/>
      <c r="AJ127" s="2857"/>
      <c r="AK127" s="2858"/>
      <c r="AL127" s="2862"/>
      <c r="AM127" s="2863"/>
      <c r="AN127" s="2863"/>
      <c r="AO127" s="2863"/>
      <c r="AP127" s="2863"/>
      <c r="AQ127" s="2864"/>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830" t="s">
        <v>2324</v>
      </c>
      <c r="C128" s="2831"/>
      <c r="D128" s="2831"/>
      <c r="E128" s="2831"/>
      <c r="F128" s="2831"/>
      <c r="G128" s="2831"/>
      <c r="H128" s="2832"/>
      <c r="I128" s="2833"/>
      <c r="J128" s="2834"/>
      <c r="K128" s="2834"/>
      <c r="L128" s="2834"/>
      <c r="M128" s="2834"/>
      <c r="N128" s="2834"/>
      <c r="O128" s="2835"/>
      <c r="P128" s="2833"/>
      <c r="Q128" s="2834"/>
      <c r="R128" s="2834"/>
      <c r="S128" s="2834"/>
      <c r="T128" s="2834"/>
      <c r="U128" s="2835"/>
      <c r="V128" s="1144"/>
      <c r="W128" s="1144"/>
      <c r="X128" s="2830" t="s">
        <v>2324</v>
      </c>
      <c r="Y128" s="2831"/>
      <c r="Z128" s="2831"/>
      <c r="AA128" s="2831"/>
      <c r="AB128" s="2831"/>
      <c r="AC128" s="2831"/>
      <c r="AD128" s="2832"/>
      <c r="AE128" s="2833"/>
      <c r="AF128" s="2834"/>
      <c r="AG128" s="2834"/>
      <c r="AH128" s="2834"/>
      <c r="AI128" s="2834"/>
      <c r="AJ128" s="2834"/>
      <c r="AK128" s="2835"/>
      <c r="AL128" s="2833"/>
      <c r="AM128" s="2834"/>
      <c r="AN128" s="2834"/>
      <c r="AO128" s="2834"/>
      <c r="AP128" s="2834"/>
      <c r="AQ128" s="2835"/>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830" t="s">
        <v>2325</v>
      </c>
      <c r="C129" s="2831"/>
      <c r="D129" s="2831"/>
      <c r="E129" s="2831"/>
      <c r="F129" s="2831"/>
      <c r="G129" s="2831"/>
      <c r="H129" s="2832"/>
      <c r="I129" s="2833"/>
      <c r="J129" s="2834"/>
      <c r="K129" s="2834"/>
      <c r="L129" s="2834"/>
      <c r="M129" s="2834"/>
      <c r="N129" s="2834"/>
      <c r="O129" s="2835"/>
      <c r="P129" s="2833"/>
      <c r="Q129" s="2834"/>
      <c r="R129" s="2834"/>
      <c r="S129" s="2834"/>
      <c r="T129" s="2834"/>
      <c r="U129" s="2835"/>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836" t="s">
        <v>2326</v>
      </c>
      <c r="D131" s="2837"/>
      <c r="E131" s="2837"/>
      <c r="F131" s="2837"/>
      <c r="G131" s="2837"/>
      <c r="H131" s="2837"/>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37"/>
      <c r="AD131" s="2837"/>
      <c r="AE131" s="2837"/>
      <c r="AF131" s="2837"/>
      <c r="AG131" s="2838"/>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2760" t="s">
        <v>1957</v>
      </c>
      <c r="D132" s="2761"/>
      <c r="E132" s="2761"/>
      <c r="F132" s="2761"/>
      <c r="G132" s="2761"/>
      <c r="H132" s="2761"/>
      <c r="I132" s="2761"/>
      <c r="J132" s="2761"/>
      <c r="K132" s="2761"/>
      <c r="L132" s="2761"/>
      <c r="M132" s="2761"/>
      <c r="N132" s="2761"/>
      <c r="O132" s="2761"/>
      <c r="P132" s="2839"/>
      <c r="Q132" s="2840" t="s">
        <v>1958</v>
      </c>
      <c r="R132" s="2761"/>
      <c r="S132" s="2839"/>
      <c r="T132" s="2841" t="s">
        <v>2327</v>
      </c>
      <c r="U132" s="2842"/>
      <c r="V132" s="2842"/>
      <c r="W132" s="2842"/>
      <c r="X132" s="2842"/>
      <c r="Y132" s="2842"/>
      <c r="Z132" s="2842"/>
      <c r="AA132" s="2843"/>
      <c r="AB132" s="2844" t="s">
        <v>1959</v>
      </c>
      <c r="AC132" s="2845"/>
      <c r="AD132" s="2845"/>
      <c r="AE132" s="2845"/>
      <c r="AF132" s="2845"/>
      <c r="AG132" s="2846"/>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2748" t="s">
        <v>1960</v>
      </c>
      <c r="D133" s="2749"/>
      <c r="E133" s="2749"/>
      <c r="F133" s="2749"/>
      <c r="G133" s="2749"/>
      <c r="H133" s="2749"/>
      <c r="I133" s="2749"/>
      <c r="J133" s="2749"/>
      <c r="K133" s="2749"/>
      <c r="L133" s="2749"/>
      <c r="M133" s="2749"/>
      <c r="N133" s="2749"/>
      <c r="O133" s="2749"/>
      <c r="P133" s="2765"/>
      <c r="Q133" s="2822">
        <v>55</v>
      </c>
      <c r="R133" s="2823"/>
      <c r="S133" s="2824"/>
      <c r="T133" s="2825"/>
      <c r="U133" s="2826"/>
      <c r="V133" s="2826"/>
      <c r="W133" s="2826"/>
      <c r="X133" s="2826"/>
      <c r="Y133" s="2826"/>
      <c r="Z133" s="2826"/>
      <c r="AA133" s="2826"/>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2748" t="s">
        <v>1961</v>
      </c>
      <c r="D134" s="2749"/>
      <c r="E134" s="2749"/>
      <c r="F134" s="2749"/>
      <c r="G134" s="2749"/>
      <c r="H134" s="2749"/>
      <c r="I134" s="2749"/>
      <c r="J134" s="2749"/>
      <c r="K134" s="2749"/>
      <c r="L134" s="2749"/>
      <c r="M134" s="2749"/>
      <c r="N134" s="2749"/>
      <c r="O134" s="2749"/>
      <c r="P134" s="2765"/>
      <c r="Q134" s="2822">
        <v>55</v>
      </c>
      <c r="R134" s="2823"/>
      <c r="S134" s="2824"/>
      <c r="T134" s="2828"/>
      <c r="U134" s="2829"/>
      <c r="V134" s="2829"/>
      <c r="W134" s="2829"/>
      <c r="X134" s="2829"/>
      <c r="Y134" s="2829"/>
      <c r="Z134" s="2829"/>
      <c r="AA134" s="2829"/>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2748" t="s">
        <v>1962</v>
      </c>
      <c r="D135" s="2749"/>
      <c r="E135" s="2749"/>
      <c r="F135" s="2749"/>
      <c r="G135" s="2749"/>
      <c r="H135" s="2749"/>
      <c r="I135" s="2749"/>
      <c r="J135" s="2749"/>
      <c r="K135" s="2749"/>
      <c r="L135" s="2749"/>
      <c r="M135" s="2749"/>
      <c r="N135" s="2749"/>
      <c r="O135" s="2749"/>
      <c r="P135" s="2765"/>
      <c r="Q135" s="2822">
        <v>55</v>
      </c>
      <c r="R135" s="2823"/>
      <c r="S135" s="2824"/>
      <c r="T135" s="2825"/>
      <c r="U135" s="2826"/>
      <c r="V135" s="2826"/>
      <c r="W135" s="2826"/>
      <c r="X135" s="2826"/>
      <c r="Y135" s="2826"/>
      <c r="Z135" s="2826"/>
      <c r="AA135" s="2826"/>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2748" t="s">
        <v>1925</v>
      </c>
      <c r="D136" s="2749"/>
      <c r="E136" s="2749"/>
      <c r="F136" s="2749"/>
      <c r="G136" s="2749"/>
      <c r="H136" s="2749"/>
      <c r="I136" s="2749"/>
      <c r="J136" s="2749"/>
      <c r="K136" s="2749"/>
      <c r="L136" s="2749"/>
      <c r="M136" s="2749"/>
      <c r="N136" s="2749"/>
      <c r="O136" s="2749"/>
      <c r="P136" s="2765"/>
      <c r="Q136" s="2822">
        <v>55</v>
      </c>
      <c r="R136" s="2823"/>
      <c r="S136" s="2824"/>
      <c r="T136" s="2825"/>
      <c r="U136" s="2826"/>
      <c r="V136" s="2826"/>
      <c r="W136" s="2826"/>
      <c r="X136" s="2826"/>
      <c r="Y136" s="2826"/>
      <c r="Z136" s="2826"/>
      <c r="AA136" s="2827"/>
      <c r="AB136" s="2819">
        <v>0</v>
      </c>
      <c r="AC136" s="2820"/>
      <c r="AD136" s="2820"/>
      <c r="AE136" s="2820"/>
      <c r="AF136" s="2820"/>
      <c r="AG136" s="2821"/>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807" t="s">
        <v>175</v>
      </c>
      <c r="D137" s="2808"/>
      <c r="E137" s="2808"/>
      <c r="F137" s="2739" t="s">
        <v>1963</v>
      </c>
      <c r="G137" s="2739"/>
      <c r="H137" s="2739"/>
      <c r="I137" s="2739"/>
      <c r="J137" s="2739"/>
      <c r="K137" s="2739"/>
      <c r="L137" s="2739"/>
      <c r="M137" s="2739"/>
      <c r="N137" s="2739"/>
      <c r="O137" s="2739"/>
      <c r="P137" s="2739"/>
      <c r="Q137" s="2809">
        <v>55</v>
      </c>
      <c r="R137" s="2809"/>
      <c r="S137" s="2809"/>
      <c r="T137" s="2810"/>
      <c r="U137" s="2810"/>
      <c r="V137" s="2810"/>
      <c r="W137" s="2810"/>
      <c r="X137" s="2810"/>
      <c r="Y137" s="2810"/>
      <c r="Z137" s="2810"/>
      <c r="AA137" s="2810"/>
      <c r="AB137" s="2811">
        <v>0</v>
      </c>
      <c r="AC137" s="2812"/>
      <c r="AD137" s="2812"/>
      <c r="AE137" s="2812"/>
      <c r="AF137" s="2812"/>
      <c r="AG137" s="2813"/>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807" t="s">
        <v>175</v>
      </c>
      <c r="D138" s="2808"/>
      <c r="E138" s="2808"/>
      <c r="F138" s="2739" t="s">
        <v>1963</v>
      </c>
      <c r="G138" s="2739"/>
      <c r="H138" s="2739"/>
      <c r="I138" s="2739"/>
      <c r="J138" s="2739"/>
      <c r="K138" s="2739"/>
      <c r="L138" s="2739"/>
      <c r="M138" s="2739"/>
      <c r="N138" s="2739"/>
      <c r="O138" s="2739"/>
      <c r="P138" s="2739"/>
      <c r="Q138" s="2809">
        <v>55</v>
      </c>
      <c r="R138" s="2809"/>
      <c r="S138" s="2809"/>
      <c r="T138" s="2810"/>
      <c r="U138" s="2810"/>
      <c r="V138" s="2810"/>
      <c r="W138" s="2810"/>
      <c r="X138" s="2810"/>
      <c r="Y138" s="2810"/>
      <c r="Z138" s="2810"/>
      <c r="AA138" s="2810"/>
      <c r="AB138" s="2811">
        <v>0</v>
      </c>
      <c r="AC138" s="2812"/>
      <c r="AD138" s="2812"/>
      <c r="AE138" s="2812"/>
      <c r="AF138" s="2812"/>
      <c r="AG138" s="2813"/>
      <c r="AH138" s="1144"/>
      <c r="AI138" s="1144"/>
      <c r="AJ138" s="1144"/>
      <c r="AK138" s="1144" t="s">
        <v>256</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807" t="s">
        <v>175</v>
      </c>
      <c r="D139" s="2808"/>
      <c r="E139" s="2808"/>
      <c r="F139" s="2730" t="s">
        <v>1963</v>
      </c>
      <c r="G139" s="2730"/>
      <c r="H139" s="2730"/>
      <c r="I139" s="2730"/>
      <c r="J139" s="2730"/>
      <c r="K139" s="2730"/>
      <c r="L139" s="2730"/>
      <c r="M139" s="2730"/>
      <c r="N139" s="2730"/>
      <c r="O139" s="2730"/>
      <c r="P139" s="2730"/>
      <c r="Q139" s="2814">
        <v>55</v>
      </c>
      <c r="R139" s="2814"/>
      <c r="S139" s="2814"/>
      <c r="T139" s="2815"/>
      <c r="U139" s="2815"/>
      <c r="V139" s="2815"/>
      <c r="W139" s="2815"/>
      <c r="X139" s="2815"/>
      <c r="Y139" s="2815"/>
      <c r="Z139" s="2815"/>
      <c r="AA139" s="2815"/>
      <c r="AB139" s="2816">
        <v>0</v>
      </c>
      <c r="AC139" s="2817"/>
      <c r="AD139" s="2817"/>
      <c r="AE139" s="2817"/>
      <c r="AF139" s="2817"/>
      <c r="AG139" s="2818"/>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92" t="s">
        <v>1964</v>
      </c>
      <c r="D141" s="2793"/>
      <c r="E141" s="2793"/>
      <c r="F141" s="2793"/>
      <c r="G141" s="2793"/>
      <c r="H141" s="2793"/>
      <c r="I141" s="2793"/>
      <c r="J141" s="2793"/>
      <c r="K141" s="2793"/>
      <c r="L141" s="2793"/>
      <c r="M141" s="2793"/>
      <c r="N141" s="2794"/>
      <c r="O141" s="1144"/>
      <c r="P141" s="2795" t="s">
        <v>1965</v>
      </c>
      <c r="Q141" s="2796"/>
      <c r="R141" s="2796"/>
      <c r="S141" s="2796"/>
      <c r="T141" s="2796"/>
      <c r="U141" s="2796"/>
      <c r="V141" s="2796"/>
      <c r="W141" s="2796"/>
      <c r="X141" s="2796"/>
      <c r="Y141" s="2796"/>
      <c r="Z141" s="2796"/>
      <c r="AA141" s="2796"/>
      <c r="AB141" s="2796"/>
      <c r="AC141" s="2796"/>
      <c r="AD141" s="2796"/>
      <c r="AE141" s="2796"/>
      <c r="AF141" s="2796"/>
      <c r="AG141" s="2796"/>
      <c r="AH141" s="2796"/>
      <c r="AI141" s="2796"/>
      <c r="AJ141" s="2796"/>
      <c r="AK141" s="2796"/>
      <c r="AL141" s="2796"/>
      <c r="AM141" s="2796"/>
      <c r="AN141" s="2796"/>
      <c r="AO141" s="2797"/>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798" t="s">
        <v>1966</v>
      </c>
      <c r="D142" s="2799"/>
      <c r="E142" s="2799"/>
      <c r="F142" s="2799"/>
      <c r="G142" s="2799"/>
      <c r="H142" s="2800"/>
      <c r="I142" s="2798" t="s">
        <v>1967</v>
      </c>
      <c r="J142" s="2799"/>
      <c r="K142" s="2799"/>
      <c r="L142" s="2799"/>
      <c r="M142" s="2799"/>
      <c r="N142" s="2800"/>
      <c r="O142" s="1144"/>
      <c r="P142" s="2801" t="s">
        <v>2337</v>
      </c>
      <c r="Q142" s="2802"/>
      <c r="R142" s="2802"/>
      <c r="S142" s="2802"/>
      <c r="T142" s="2802"/>
      <c r="U142" s="2802"/>
      <c r="V142" s="2802"/>
      <c r="W142" s="2802"/>
      <c r="X142" s="2802"/>
      <c r="Y142" s="2802"/>
      <c r="Z142" s="2802"/>
      <c r="AA142" s="2802"/>
      <c r="AB142" s="2802"/>
      <c r="AC142" s="2802"/>
      <c r="AD142" s="2802"/>
      <c r="AE142" s="2802"/>
      <c r="AF142" s="2802"/>
      <c r="AG142" s="2802"/>
      <c r="AH142" s="2802"/>
      <c r="AI142" s="2802"/>
      <c r="AJ142" s="2802"/>
      <c r="AK142" s="2802"/>
      <c r="AL142" s="2802"/>
      <c r="AM142" s="2802"/>
      <c r="AN142" s="2802"/>
      <c r="AO142" s="2803"/>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782"/>
      <c r="D143" s="2782"/>
      <c r="E143" s="2782"/>
      <c r="F143" s="2782"/>
      <c r="G143" s="2782"/>
      <c r="H143" s="2782"/>
      <c r="I143" s="2783"/>
      <c r="J143" s="2783"/>
      <c r="K143" s="2783"/>
      <c r="L143" s="2783"/>
      <c r="M143" s="2783"/>
      <c r="N143" s="2783"/>
      <c r="O143" s="1144"/>
      <c r="P143" s="2801"/>
      <c r="Q143" s="2802"/>
      <c r="R143" s="2802"/>
      <c r="S143" s="2802"/>
      <c r="T143" s="2802"/>
      <c r="U143" s="2802"/>
      <c r="V143" s="2802"/>
      <c r="W143" s="2802"/>
      <c r="X143" s="2802"/>
      <c r="Y143" s="2802"/>
      <c r="Z143" s="2802"/>
      <c r="AA143" s="2802"/>
      <c r="AB143" s="2802"/>
      <c r="AC143" s="2802"/>
      <c r="AD143" s="2802"/>
      <c r="AE143" s="2802"/>
      <c r="AF143" s="2802"/>
      <c r="AG143" s="2802"/>
      <c r="AH143" s="2802"/>
      <c r="AI143" s="2802"/>
      <c r="AJ143" s="2802"/>
      <c r="AK143" s="2802"/>
      <c r="AL143" s="2802"/>
      <c r="AM143" s="2802"/>
      <c r="AN143" s="2802"/>
      <c r="AO143" s="2803"/>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782"/>
      <c r="D144" s="2782"/>
      <c r="E144" s="2782"/>
      <c r="F144" s="2782"/>
      <c r="G144" s="2782"/>
      <c r="H144" s="2782"/>
      <c r="I144" s="2783"/>
      <c r="J144" s="2783"/>
      <c r="K144" s="2783"/>
      <c r="L144" s="2783"/>
      <c r="M144" s="2783"/>
      <c r="N144" s="2783"/>
      <c r="O144" s="1144"/>
      <c r="P144" s="2801"/>
      <c r="Q144" s="2802"/>
      <c r="R144" s="2802"/>
      <c r="S144" s="2802"/>
      <c r="T144" s="2802"/>
      <c r="U144" s="2802"/>
      <c r="V144" s="2802"/>
      <c r="W144" s="2802"/>
      <c r="X144" s="2802"/>
      <c r="Y144" s="2802"/>
      <c r="Z144" s="2802"/>
      <c r="AA144" s="2802"/>
      <c r="AB144" s="2802"/>
      <c r="AC144" s="2802"/>
      <c r="AD144" s="2802"/>
      <c r="AE144" s="2802"/>
      <c r="AF144" s="2802"/>
      <c r="AG144" s="2802"/>
      <c r="AH144" s="2802"/>
      <c r="AI144" s="2802"/>
      <c r="AJ144" s="2802"/>
      <c r="AK144" s="2802"/>
      <c r="AL144" s="2802"/>
      <c r="AM144" s="2802"/>
      <c r="AN144" s="2802"/>
      <c r="AO144" s="2803"/>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782"/>
      <c r="D145" s="2782"/>
      <c r="E145" s="2782"/>
      <c r="F145" s="2782"/>
      <c r="G145" s="2782"/>
      <c r="H145" s="2782"/>
      <c r="I145" s="2783"/>
      <c r="J145" s="2783"/>
      <c r="K145" s="2783"/>
      <c r="L145" s="2783"/>
      <c r="M145" s="2783"/>
      <c r="N145" s="2783"/>
      <c r="O145" s="1144"/>
      <c r="P145" s="2801"/>
      <c r="Q145" s="2802"/>
      <c r="R145" s="2802"/>
      <c r="S145" s="2802"/>
      <c r="T145" s="2802"/>
      <c r="U145" s="2802"/>
      <c r="V145" s="2802"/>
      <c r="W145" s="2802"/>
      <c r="X145" s="2802"/>
      <c r="Y145" s="2802"/>
      <c r="Z145" s="2802"/>
      <c r="AA145" s="2802"/>
      <c r="AB145" s="2802"/>
      <c r="AC145" s="2802"/>
      <c r="AD145" s="2802"/>
      <c r="AE145" s="2802"/>
      <c r="AF145" s="2802"/>
      <c r="AG145" s="2802"/>
      <c r="AH145" s="2802"/>
      <c r="AI145" s="2802"/>
      <c r="AJ145" s="2802"/>
      <c r="AK145" s="2802"/>
      <c r="AL145" s="2802"/>
      <c r="AM145" s="2802"/>
      <c r="AN145" s="2802"/>
      <c r="AO145" s="2803"/>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782"/>
      <c r="D146" s="2782"/>
      <c r="E146" s="2782"/>
      <c r="F146" s="2782"/>
      <c r="G146" s="2782"/>
      <c r="H146" s="2782"/>
      <c r="I146" s="2783"/>
      <c r="J146" s="2783"/>
      <c r="K146" s="2783"/>
      <c r="L146" s="2783"/>
      <c r="M146" s="2783"/>
      <c r="N146" s="2783"/>
      <c r="O146" s="1144"/>
      <c r="P146" s="2801"/>
      <c r="Q146" s="2802"/>
      <c r="R146" s="2802"/>
      <c r="S146" s="2802"/>
      <c r="T146" s="2802"/>
      <c r="U146" s="2802"/>
      <c r="V146" s="2802"/>
      <c r="W146" s="2802"/>
      <c r="X146" s="2802"/>
      <c r="Y146" s="2802"/>
      <c r="Z146" s="2802"/>
      <c r="AA146" s="2802"/>
      <c r="AB146" s="2802"/>
      <c r="AC146" s="2802"/>
      <c r="AD146" s="2802"/>
      <c r="AE146" s="2802"/>
      <c r="AF146" s="2802"/>
      <c r="AG146" s="2802"/>
      <c r="AH146" s="2802"/>
      <c r="AI146" s="2802"/>
      <c r="AJ146" s="2802"/>
      <c r="AK146" s="2802"/>
      <c r="AL146" s="2802"/>
      <c r="AM146" s="2802"/>
      <c r="AN146" s="2802"/>
      <c r="AO146" s="2803"/>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782"/>
      <c r="D147" s="2782"/>
      <c r="E147" s="2782"/>
      <c r="F147" s="2782"/>
      <c r="G147" s="2782"/>
      <c r="H147" s="2782"/>
      <c r="I147" s="2783"/>
      <c r="J147" s="2783"/>
      <c r="K147" s="2783"/>
      <c r="L147" s="2783"/>
      <c r="M147" s="2783"/>
      <c r="N147" s="2783"/>
      <c r="O147" s="1144"/>
      <c r="P147" s="2801"/>
      <c r="Q147" s="2802"/>
      <c r="R147" s="2802"/>
      <c r="S147" s="2802"/>
      <c r="T147" s="2802"/>
      <c r="U147" s="2802"/>
      <c r="V147" s="2802"/>
      <c r="W147" s="2802"/>
      <c r="X147" s="2802"/>
      <c r="Y147" s="2802"/>
      <c r="Z147" s="2802"/>
      <c r="AA147" s="2802"/>
      <c r="AB147" s="2802"/>
      <c r="AC147" s="2802"/>
      <c r="AD147" s="2802"/>
      <c r="AE147" s="2802"/>
      <c r="AF147" s="2802"/>
      <c r="AG147" s="2802"/>
      <c r="AH147" s="2802"/>
      <c r="AI147" s="2802"/>
      <c r="AJ147" s="2802"/>
      <c r="AK147" s="2802"/>
      <c r="AL147" s="2802"/>
      <c r="AM147" s="2802"/>
      <c r="AN147" s="2802"/>
      <c r="AO147" s="2803"/>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782"/>
      <c r="D148" s="2782"/>
      <c r="E148" s="2782"/>
      <c r="F148" s="2782"/>
      <c r="G148" s="2782"/>
      <c r="H148" s="2782"/>
      <c r="I148" s="2783"/>
      <c r="J148" s="2783"/>
      <c r="K148" s="2783"/>
      <c r="L148" s="2783"/>
      <c r="M148" s="2783"/>
      <c r="N148" s="2783"/>
      <c r="O148" s="1144"/>
      <c r="P148" s="2801"/>
      <c r="Q148" s="2802"/>
      <c r="R148" s="2802"/>
      <c r="S148" s="2802"/>
      <c r="T148" s="2802"/>
      <c r="U148" s="2802"/>
      <c r="V148" s="2802"/>
      <c r="W148" s="2802"/>
      <c r="X148" s="2802"/>
      <c r="Y148" s="2802"/>
      <c r="Z148" s="2802"/>
      <c r="AA148" s="2802"/>
      <c r="AB148" s="2802"/>
      <c r="AC148" s="2802"/>
      <c r="AD148" s="2802"/>
      <c r="AE148" s="2802"/>
      <c r="AF148" s="2802"/>
      <c r="AG148" s="2802"/>
      <c r="AH148" s="2802"/>
      <c r="AI148" s="2802"/>
      <c r="AJ148" s="2802"/>
      <c r="AK148" s="2802"/>
      <c r="AL148" s="2802"/>
      <c r="AM148" s="2802"/>
      <c r="AN148" s="2802"/>
      <c r="AO148" s="2803"/>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782"/>
      <c r="D149" s="2782"/>
      <c r="E149" s="2782"/>
      <c r="F149" s="2782"/>
      <c r="G149" s="2782"/>
      <c r="H149" s="2782"/>
      <c r="I149" s="2783"/>
      <c r="J149" s="2783"/>
      <c r="K149" s="2783"/>
      <c r="L149" s="2783"/>
      <c r="M149" s="2783"/>
      <c r="N149" s="2783"/>
      <c r="O149" s="1144"/>
      <c r="P149" s="2804"/>
      <c r="Q149" s="2805"/>
      <c r="R149" s="2805"/>
      <c r="S149" s="2805"/>
      <c r="T149" s="2805"/>
      <c r="U149" s="2805"/>
      <c r="V149" s="2805"/>
      <c r="W149" s="2805"/>
      <c r="X149" s="2805"/>
      <c r="Y149" s="2805"/>
      <c r="Z149" s="2805"/>
      <c r="AA149" s="2805"/>
      <c r="AB149" s="2805"/>
      <c r="AC149" s="2805"/>
      <c r="AD149" s="2805"/>
      <c r="AE149" s="2805"/>
      <c r="AF149" s="2805"/>
      <c r="AG149" s="2805"/>
      <c r="AH149" s="2805"/>
      <c r="AI149" s="2805"/>
      <c r="AJ149" s="2805"/>
      <c r="AK149" s="2805"/>
      <c r="AL149" s="2805"/>
      <c r="AM149" s="2805"/>
      <c r="AN149" s="2805"/>
      <c r="AO149" s="2806"/>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2328</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2784"/>
      <c r="D153" s="2785"/>
      <c r="E153" s="2785"/>
      <c r="F153" s="2785"/>
      <c r="G153" s="2785"/>
      <c r="H153" s="2785"/>
      <c r="I153" s="2785"/>
      <c r="J153" s="2785"/>
      <c r="K153" s="2785"/>
      <c r="L153" s="2785"/>
      <c r="M153" s="2786"/>
      <c r="N153" s="2787" t="s">
        <v>1968</v>
      </c>
      <c r="O153" s="2787"/>
      <c r="P153" s="2787"/>
      <c r="Q153" s="2787"/>
      <c r="R153" s="2787"/>
      <c r="S153" s="2787"/>
      <c r="T153" s="2788"/>
      <c r="U153" s="2789" t="s">
        <v>1957</v>
      </c>
      <c r="V153" s="2790"/>
      <c r="W153" s="2790"/>
      <c r="X153" s="2790"/>
      <c r="Y153" s="2790"/>
      <c r="Z153" s="2790"/>
      <c r="AA153" s="2790"/>
      <c r="AB153" s="2790"/>
      <c r="AC153" s="2790"/>
      <c r="AD153" s="2790"/>
      <c r="AE153" s="2791"/>
      <c r="AF153" s="1144"/>
      <c r="AG153" s="1144"/>
      <c r="AH153" s="2751" t="s">
        <v>1969</v>
      </c>
      <c r="AI153" s="2752"/>
      <c r="AJ153" s="2752"/>
      <c r="AK153" s="2752"/>
      <c r="AL153" s="2752"/>
      <c r="AM153" s="2752"/>
      <c r="AN153" s="2752"/>
      <c r="AO153" s="2752"/>
      <c r="AP153" s="2752"/>
      <c r="AQ153" s="2752"/>
      <c r="AR153" s="2752"/>
      <c r="AS153" s="2766">
        <v>6500000</v>
      </c>
      <c r="AT153" s="2766"/>
      <c r="AU153" s="2766"/>
      <c r="AV153" s="2766"/>
      <c r="AW153" s="2766"/>
      <c r="AX153" s="1144"/>
      <c r="AY153" s="1144"/>
      <c r="AZ153" s="1144"/>
      <c r="BA153" s="1144"/>
      <c r="BB153" s="1144"/>
      <c r="BC153" s="1144"/>
      <c r="BD153" s="1144"/>
      <c r="BE153" s="1150"/>
    </row>
    <row r="154" spans="1:57" ht="15.75" customHeight="1">
      <c r="A154" s="1144"/>
      <c r="B154" s="1144"/>
      <c r="C154" s="2760" t="s">
        <v>1970</v>
      </c>
      <c r="D154" s="2761"/>
      <c r="E154" s="2761"/>
      <c r="F154" s="2761"/>
      <c r="G154" s="2761"/>
      <c r="H154" s="2761"/>
      <c r="I154" s="2761"/>
      <c r="J154" s="2761"/>
      <c r="K154" s="2761"/>
      <c r="L154" s="2761"/>
      <c r="M154" s="2762"/>
      <c r="N154" s="2763">
        <f>'Sources and Uses Budget'!B105</f>
        <v>62669479</v>
      </c>
      <c r="O154" s="2763"/>
      <c r="P154" s="2763"/>
      <c r="Q154" s="2763"/>
      <c r="R154" s="2763"/>
      <c r="S154" s="2763"/>
      <c r="T154" s="2764"/>
      <c r="U154" s="2773"/>
      <c r="V154" s="2774"/>
      <c r="W154" s="2774"/>
      <c r="X154" s="2774"/>
      <c r="Y154" s="2774"/>
      <c r="Z154" s="2774"/>
      <c r="AA154" s="2774"/>
      <c r="AB154" s="2774"/>
      <c r="AC154" s="2774"/>
      <c r="AD154" s="2774"/>
      <c r="AE154" s="2779"/>
      <c r="AF154" s="1144"/>
      <c r="AG154" s="1144"/>
      <c r="AH154" s="2780" t="s">
        <v>1971</v>
      </c>
      <c r="AI154" s="2781"/>
      <c r="AJ154" s="2781"/>
      <c r="AK154" s="2781"/>
      <c r="AL154" s="2781"/>
      <c r="AM154" s="2781"/>
      <c r="AN154" s="2781"/>
      <c r="AO154" s="2781"/>
      <c r="AP154" s="2781"/>
      <c r="AQ154" s="2781"/>
      <c r="AR154" s="2781"/>
      <c r="AS154" s="2766">
        <v>0</v>
      </c>
      <c r="AT154" s="2766"/>
      <c r="AU154" s="2766"/>
      <c r="AV154" s="2766"/>
      <c r="AW154" s="2766"/>
      <c r="AX154" s="1144"/>
      <c r="AY154" s="1144"/>
      <c r="AZ154" s="1144"/>
      <c r="BA154" s="1144"/>
      <c r="BB154" s="1144"/>
      <c r="BC154" s="1144"/>
      <c r="BD154" s="1144"/>
      <c r="BE154" s="1150"/>
    </row>
    <row r="155" spans="1:57" ht="15.75" customHeight="1">
      <c r="A155" s="1144"/>
      <c r="B155" s="1144"/>
      <c r="C155" s="2760" t="s">
        <v>1972</v>
      </c>
      <c r="D155" s="2761"/>
      <c r="E155" s="2761"/>
      <c r="F155" s="2761"/>
      <c r="G155" s="2761"/>
      <c r="H155" s="2761"/>
      <c r="I155" s="2761"/>
      <c r="J155" s="2761"/>
      <c r="K155" s="2761"/>
      <c r="L155" s="2761"/>
      <c r="M155" s="2762"/>
      <c r="N155" s="2763">
        <f>N154/J29</f>
        <v>377526.98192771082</v>
      </c>
      <c r="O155" s="2763"/>
      <c r="P155" s="2763"/>
      <c r="Q155" s="2763"/>
      <c r="R155" s="2763"/>
      <c r="S155" s="2763"/>
      <c r="T155" s="2764"/>
      <c r="U155" s="1167"/>
      <c r="V155" s="1167"/>
      <c r="W155" s="1167"/>
      <c r="X155" s="1167"/>
      <c r="Y155" s="1167"/>
      <c r="Z155" s="1167"/>
      <c r="AA155" s="1167"/>
      <c r="AB155" s="1167"/>
      <c r="AC155" s="1167"/>
      <c r="AD155" s="1167"/>
      <c r="AE155" s="1168"/>
      <c r="AF155" s="1144"/>
      <c r="AG155" s="1144"/>
      <c r="AH155" s="2748" t="s">
        <v>1973</v>
      </c>
      <c r="AI155" s="2749"/>
      <c r="AJ155" s="2749"/>
      <c r="AK155" s="2749"/>
      <c r="AL155" s="2749"/>
      <c r="AM155" s="2749"/>
      <c r="AN155" s="2749"/>
      <c r="AO155" s="2749"/>
      <c r="AP155" s="2749"/>
      <c r="AQ155" s="2749"/>
      <c r="AR155" s="2765"/>
      <c r="AS155" s="2766">
        <v>2500000</v>
      </c>
      <c r="AT155" s="2766"/>
      <c r="AU155" s="2766"/>
      <c r="AV155" s="2766"/>
      <c r="AW155" s="2766"/>
      <c r="AX155" s="1144"/>
      <c r="AY155" s="1144"/>
      <c r="AZ155" s="1144"/>
      <c r="BA155" s="1144"/>
      <c r="BB155" s="1144"/>
      <c r="BC155" s="1144"/>
      <c r="BD155" s="1144"/>
      <c r="BE155" s="1150"/>
    </row>
    <row r="156" spans="1:57" ht="15.75" customHeight="1">
      <c r="A156" s="1144"/>
      <c r="B156" s="1144"/>
      <c r="C156" s="2767" t="s">
        <v>1974</v>
      </c>
      <c r="D156" s="2768"/>
      <c r="E156" s="2768"/>
      <c r="F156" s="2768"/>
      <c r="G156" s="2768"/>
      <c r="H156" s="2768"/>
      <c r="I156" s="2768"/>
      <c r="J156" s="2768"/>
      <c r="K156" s="2768"/>
      <c r="L156" s="2768"/>
      <c r="M156" s="2769"/>
      <c r="N156" s="2770">
        <v>0</v>
      </c>
      <c r="O156" s="2770"/>
      <c r="P156" s="2770"/>
      <c r="Q156" s="2770"/>
      <c r="R156" s="2770"/>
      <c r="S156" s="2770"/>
      <c r="T156" s="2771"/>
      <c r="U156" s="2737"/>
      <c r="V156" s="2738"/>
      <c r="W156" s="2738"/>
      <c r="X156" s="2738"/>
      <c r="Y156" s="2738"/>
      <c r="Z156" s="2738"/>
      <c r="AA156" s="2738"/>
      <c r="AB156" s="2738"/>
      <c r="AC156" s="2738"/>
      <c r="AD156" s="2738"/>
      <c r="AE156" s="2772"/>
      <c r="AF156" s="1144"/>
      <c r="AG156" s="1144"/>
      <c r="AH156" s="2773"/>
      <c r="AI156" s="2774"/>
      <c r="AJ156" s="2774"/>
      <c r="AK156" s="2774"/>
      <c r="AL156" s="2774"/>
      <c r="AM156" s="2774"/>
      <c r="AN156" s="2774"/>
      <c r="AO156" s="2774"/>
      <c r="AP156" s="2774"/>
      <c r="AQ156" s="2774"/>
      <c r="AR156" s="2775"/>
      <c r="AS156" s="2776"/>
      <c r="AT156" s="2777"/>
      <c r="AU156" s="2777"/>
      <c r="AV156" s="2777"/>
      <c r="AW156" s="2778"/>
      <c r="AX156" s="1144"/>
      <c r="AY156" s="1144"/>
      <c r="AZ156" s="1144"/>
      <c r="BA156" s="1144"/>
      <c r="BB156" s="1144"/>
      <c r="BC156" s="1144"/>
      <c r="BD156" s="1144"/>
      <c r="BE156" s="1150"/>
    </row>
    <row r="157" spans="1:57" ht="15.75" customHeight="1" thickBot="1">
      <c r="A157" s="1144"/>
      <c r="B157" s="1144"/>
      <c r="C157" s="2748" t="s">
        <v>1975</v>
      </c>
      <c r="D157" s="2749"/>
      <c r="E157" s="2749"/>
      <c r="F157" s="2749"/>
      <c r="G157" s="2749"/>
      <c r="H157" s="2749"/>
      <c r="I157" s="2749"/>
      <c r="J157" s="2749"/>
      <c r="K157" s="2749"/>
      <c r="L157" s="2749"/>
      <c r="M157" s="2750"/>
      <c r="N157" s="2755">
        <f>SUM('Sources and Uses Budget'!B85:B86)</f>
        <v>4838531</v>
      </c>
      <c r="O157" s="2755"/>
      <c r="P157" s="2755"/>
      <c r="Q157" s="2755"/>
      <c r="R157" s="2755"/>
      <c r="S157" s="2755"/>
      <c r="T157" s="2756"/>
      <c r="U157" s="2743"/>
      <c r="V157" s="2744"/>
      <c r="W157" s="2744"/>
      <c r="X157" s="2744"/>
      <c r="Y157" s="2744"/>
      <c r="Z157" s="2744"/>
      <c r="AA157" s="2744"/>
      <c r="AB157" s="2744"/>
      <c r="AC157" s="2744"/>
      <c r="AD157" s="2744"/>
      <c r="AE157" s="2745"/>
      <c r="AF157" s="1144"/>
      <c r="AG157" s="1144"/>
      <c r="AH157" s="2757" t="s">
        <v>2347</v>
      </c>
      <c r="AI157" s="2758"/>
      <c r="AJ157" s="2758"/>
      <c r="AK157" s="2758"/>
      <c r="AL157" s="2758"/>
      <c r="AM157" s="2758"/>
      <c r="AN157" s="2758"/>
      <c r="AO157" s="2758"/>
      <c r="AP157" s="2758"/>
      <c r="AQ157" s="2758"/>
      <c r="AR157" s="2758"/>
      <c r="AS157" s="2759">
        <f>SUM(AS153:AW155)</f>
        <v>9000000</v>
      </c>
      <c r="AT157" s="2759"/>
      <c r="AU157" s="2759"/>
      <c r="AV157" s="2759"/>
      <c r="AW157" s="2759"/>
      <c r="AX157" s="1144"/>
      <c r="AY157" s="1144"/>
      <c r="AZ157" s="1144"/>
      <c r="BA157" s="1144"/>
      <c r="BB157" s="1144"/>
      <c r="BC157" s="1144"/>
      <c r="BD157" s="1144"/>
      <c r="BE157" s="1150"/>
    </row>
    <row r="158" spans="1:57" ht="15.75" customHeight="1" thickBot="1">
      <c r="A158" s="1144"/>
      <c r="B158" s="1144"/>
      <c r="C158" s="2748" t="s">
        <v>1977</v>
      </c>
      <c r="D158" s="2749"/>
      <c r="E158" s="2749"/>
      <c r="F158" s="2749"/>
      <c r="G158" s="2749"/>
      <c r="H158" s="2749"/>
      <c r="I158" s="2749"/>
      <c r="J158" s="2749"/>
      <c r="K158" s="2749"/>
      <c r="L158" s="2749"/>
      <c r="M158" s="2750"/>
      <c r="N158" s="2755">
        <f>'Sources and Uses Budget'!B8</f>
        <v>550000</v>
      </c>
      <c r="O158" s="2755"/>
      <c r="P158" s="2755"/>
      <c r="Q158" s="2755"/>
      <c r="R158" s="2755"/>
      <c r="S158" s="2755"/>
      <c r="T158" s="2756"/>
      <c r="U158" s="2743"/>
      <c r="V158" s="2744"/>
      <c r="W158" s="2744"/>
      <c r="X158" s="2744"/>
      <c r="Y158" s="2744"/>
      <c r="Z158" s="2744"/>
      <c r="AA158" s="2744"/>
      <c r="AB158" s="2744"/>
      <c r="AC158" s="2744"/>
      <c r="AD158" s="2744"/>
      <c r="AE158" s="2745"/>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2748" t="s">
        <v>1978</v>
      </c>
      <c r="D159" s="2749"/>
      <c r="E159" s="2749"/>
      <c r="F159" s="2749"/>
      <c r="G159" s="2749"/>
      <c r="H159" s="2749"/>
      <c r="I159" s="2749"/>
      <c r="J159" s="2749"/>
      <c r="K159" s="2749"/>
      <c r="L159" s="2749"/>
      <c r="M159" s="2750"/>
      <c r="N159" s="2741">
        <v>0</v>
      </c>
      <c r="O159" s="2741"/>
      <c r="P159" s="2741"/>
      <c r="Q159" s="2741"/>
      <c r="R159" s="2741"/>
      <c r="S159" s="2741"/>
      <c r="T159" s="2742"/>
      <c r="U159" s="2743"/>
      <c r="V159" s="2744"/>
      <c r="W159" s="2744"/>
      <c r="X159" s="2744"/>
      <c r="Y159" s="2744"/>
      <c r="Z159" s="2744"/>
      <c r="AA159" s="2744"/>
      <c r="AB159" s="2744"/>
      <c r="AC159" s="2744"/>
      <c r="AD159" s="2744"/>
      <c r="AE159" s="2745"/>
      <c r="AF159" s="1144"/>
      <c r="AG159" s="1144"/>
      <c r="AH159" s="2751" t="s">
        <v>2348</v>
      </c>
      <c r="AI159" s="2752"/>
      <c r="AJ159" s="2752"/>
      <c r="AK159" s="2752"/>
      <c r="AL159" s="2752"/>
      <c r="AM159" s="2752"/>
      <c r="AN159" s="2752"/>
      <c r="AO159" s="2752"/>
      <c r="AP159" s="2752"/>
      <c r="AQ159" s="2752"/>
      <c r="AR159" s="2752"/>
      <c r="AS159" s="2753" t="s">
        <v>2349</v>
      </c>
      <c r="AT159" s="2753"/>
      <c r="AU159" s="2753"/>
      <c r="AV159" s="2753"/>
      <c r="AW159" s="2753"/>
      <c r="AX159" s="2753"/>
      <c r="AY159" s="2753" t="s">
        <v>2350</v>
      </c>
      <c r="AZ159" s="2753"/>
      <c r="BA159" s="2753"/>
      <c r="BB159" s="2753"/>
      <c r="BC159" s="2753"/>
      <c r="BD159" s="2754"/>
      <c r="BE159" s="1150"/>
    </row>
    <row r="160" spans="1:57" ht="15.75" customHeight="1">
      <c r="A160" s="1144"/>
      <c r="B160" s="1144"/>
      <c r="C160" s="2748" t="s">
        <v>1971</v>
      </c>
      <c r="D160" s="2749"/>
      <c r="E160" s="2749"/>
      <c r="F160" s="2749"/>
      <c r="G160" s="2749"/>
      <c r="H160" s="2749"/>
      <c r="I160" s="2749"/>
      <c r="J160" s="2749"/>
      <c r="K160" s="2749"/>
      <c r="L160" s="2749"/>
      <c r="M160" s="2750"/>
      <c r="N160" s="2741">
        <v>0</v>
      </c>
      <c r="O160" s="2741"/>
      <c r="P160" s="2741"/>
      <c r="Q160" s="2741"/>
      <c r="R160" s="2741"/>
      <c r="S160" s="2741"/>
      <c r="T160" s="2742"/>
      <c r="U160" s="2743"/>
      <c r="V160" s="2744"/>
      <c r="W160" s="2744"/>
      <c r="X160" s="2744"/>
      <c r="Y160" s="2744"/>
      <c r="Z160" s="2744"/>
      <c r="AA160" s="2744"/>
      <c r="AB160" s="2744"/>
      <c r="AC160" s="2744"/>
      <c r="AD160" s="2744"/>
      <c r="AE160" s="2745"/>
      <c r="AF160" s="1144"/>
      <c r="AG160" s="1144"/>
      <c r="AH160" s="2714" t="s">
        <v>2351</v>
      </c>
      <c r="AI160" s="2715"/>
      <c r="AJ160" s="2715"/>
      <c r="AK160" s="2715"/>
      <c r="AL160" s="2715"/>
      <c r="AM160" s="2715"/>
      <c r="AN160" s="2715"/>
      <c r="AO160" s="2715"/>
      <c r="AP160" s="2715"/>
      <c r="AQ160" s="2715"/>
      <c r="AR160" s="2715"/>
      <c r="AS160" s="2716">
        <v>1000000</v>
      </c>
      <c r="AT160" s="2716"/>
      <c r="AU160" s="2716"/>
      <c r="AV160" s="2716"/>
      <c r="AW160" s="2716"/>
      <c r="AX160" s="2716"/>
      <c r="AY160" s="2716">
        <v>500000</v>
      </c>
      <c r="AZ160" s="2716"/>
      <c r="BA160" s="2716"/>
      <c r="BB160" s="2716"/>
      <c r="BC160" s="2716"/>
      <c r="BD160" s="2717"/>
      <c r="BE160" s="1150"/>
    </row>
    <row r="161" spans="1:57" ht="15.75" customHeight="1">
      <c r="A161" s="1144"/>
      <c r="B161" s="1144"/>
      <c r="C161" s="2746" t="s">
        <v>306</v>
      </c>
      <c r="D161" s="2747"/>
      <c r="E161" s="2739" t="s">
        <v>1963</v>
      </c>
      <c r="F161" s="2739"/>
      <c r="G161" s="2739"/>
      <c r="H161" s="2739"/>
      <c r="I161" s="2739"/>
      <c r="J161" s="2739"/>
      <c r="K161" s="2739"/>
      <c r="L161" s="2739"/>
      <c r="M161" s="2740"/>
      <c r="N161" s="2741">
        <v>0</v>
      </c>
      <c r="O161" s="2741"/>
      <c r="P161" s="2741"/>
      <c r="Q161" s="2741"/>
      <c r="R161" s="2741"/>
      <c r="S161" s="2741"/>
      <c r="T161" s="2742"/>
      <c r="U161" s="2743"/>
      <c r="V161" s="2744"/>
      <c r="W161" s="2744"/>
      <c r="X161" s="2744"/>
      <c r="Y161" s="2744"/>
      <c r="Z161" s="2744"/>
      <c r="AA161" s="2744"/>
      <c r="AB161" s="2744"/>
      <c r="AC161" s="2744"/>
      <c r="AD161" s="2744"/>
      <c r="AE161" s="2745"/>
      <c r="AF161" s="1144"/>
      <c r="AG161" s="1144"/>
      <c r="AH161" s="2714" t="s">
        <v>2352</v>
      </c>
      <c r="AI161" s="2715"/>
      <c r="AJ161" s="2715"/>
      <c r="AK161" s="2715"/>
      <c r="AL161" s="2715"/>
      <c r="AM161" s="2715"/>
      <c r="AN161" s="2715"/>
      <c r="AO161" s="2715"/>
      <c r="AP161" s="2715"/>
      <c r="AQ161" s="2715"/>
      <c r="AR161" s="2715"/>
      <c r="AS161" s="2716">
        <v>2000000</v>
      </c>
      <c r="AT161" s="2716"/>
      <c r="AU161" s="2716"/>
      <c r="AV161" s="2716"/>
      <c r="AW161" s="2716"/>
      <c r="AX161" s="2716"/>
      <c r="AY161" s="2716">
        <v>250000</v>
      </c>
      <c r="AZ161" s="2716"/>
      <c r="BA161" s="2716"/>
      <c r="BB161" s="2716"/>
      <c r="BC161" s="2716"/>
      <c r="BD161" s="2717"/>
      <c r="BE161" s="1150"/>
    </row>
    <row r="162" spans="1:57" ht="15.75" customHeight="1">
      <c r="A162" s="1144"/>
      <c r="B162" s="1144"/>
      <c r="C162" s="2737" t="s">
        <v>306</v>
      </c>
      <c r="D162" s="2738"/>
      <c r="E162" s="2739" t="s">
        <v>1963</v>
      </c>
      <c r="F162" s="2739"/>
      <c r="G162" s="2739"/>
      <c r="H162" s="2739"/>
      <c r="I162" s="2739"/>
      <c r="J162" s="2739"/>
      <c r="K162" s="2739"/>
      <c r="L162" s="2739"/>
      <c r="M162" s="2740"/>
      <c r="N162" s="2741">
        <v>0</v>
      </c>
      <c r="O162" s="2741"/>
      <c r="P162" s="2741"/>
      <c r="Q162" s="2741"/>
      <c r="R162" s="2741"/>
      <c r="S162" s="2741"/>
      <c r="T162" s="2742"/>
      <c r="U162" s="2743"/>
      <c r="V162" s="2744"/>
      <c r="W162" s="2744"/>
      <c r="X162" s="2744"/>
      <c r="Y162" s="2744"/>
      <c r="Z162" s="2744"/>
      <c r="AA162" s="2744"/>
      <c r="AB162" s="2744"/>
      <c r="AC162" s="2744"/>
      <c r="AD162" s="2744"/>
      <c r="AE162" s="2745"/>
      <c r="AF162" s="1144"/>
      <c r="AG162" s="1144"/>
      <c r="AH162" s="2714" t="s">
        <v>2353</v>
      </c>
      <c r="AI162" s="2715"/>
      <c r="AJ162" s="2715"/>
      <c r="AK162" s="2715"/>
      <c r="AL162" s="2715"/>
      <c r="AM162" s="2715"/>
      <c r="AN162" s="2715"/>
      <c r="AO162" s="2715"/>
      <c r="AP162" s="2715"/>
      <c r="AQ162" s="2715"/>
      <c r="AR162" s="2715"/>
      <c r="AS162" s="2716">
        <v>25000000</v>
      </c>
      <c r="AT162" s="2716"/>
      <c r="AU162" s="2716"/>
      <c r="AV162" s="2716"/>
      <c r="AW162" s="2716"/>
      <c r="AX162" s="2716"/>
      <c r="AY162" s="2716">
        <v>1500000</v>
      </c>
      <c r="AZ162" s="2716"/>
      <c r="BA162" s="2716"/>
      <c r="BB162" s="2716"/>
      <c r="BC162" s="2716"/>
      <c r="BD162" s="2717"/>
      <c r="BE162" s="1150"/>
    </row>
    <row r="163" spans="1:57" ht="15.75" customHeight="1" thickBot="1">
      <c r="A163" s="1144"/>
      <c r="B163" s="1144"/>
      <c r="C163" s="2728" t="s">
        <v>306</v>
      </c>
      <c r="D163" s="2729"/>
      <c r="E163" s="2730" t="s">
        <v>1963</v>
      </c>
      <c r="F163" s="2730"/>
      <c r="G163" s="2730"/>
      <c r="H163" s="2730"/>
      <c r="I163" s="2730"/>
      <c r="J163" s="2730"/>
      <c r="K163" s="2730"/>
      <c r="L163" s="2730"/>
      <c r="M163" s="2731"/>
      <c r="N163" s="2732">
        <v>0</v>
      </c>
      <c r="O163" s="2732"/>
      <c r="P163" s="2732"/>
      <c r="Q163" s="2732"/>
      <c r="R163" s="2732"/>
      <c r="S163" s="2732"/>
      <c r="T163" s="2733"/>
      <c r="U163" s="2734"/>
      <c r="V163" s="2735"/>
      <c r="W163" s="2735"/>
      <c r="X163" s="2735"/>
      <c r="Y163" s="2735"/>
      <c r="Z163" s="2735"/>
      <c r="AA163" s="2735"/>
      <c r="AB163" s="2735"/>
      <c r="AC163" s="2735"/>
      <c r="AD163" s="2735"/>
      <c r="AE163" s="2736"/>
      <c r="AF163" s="1144"/>
      <c r="AG163" s="1144"/>
      <c r="AH163" s="2714" t="s">
        <v>2354</v>
      </c>
      <c r="AI163" s="2715"/>
      <c r="AJ163" s="2715"/>
      <c r="AK163" s="2715"/>
      <c r="AL163" s="2715"/>
      <c r="AM163" s="2715"/>
      <c r="AN163" s="2715"/>
      <c r="AO163" s="2715"/>
      <c r="AP163" s="2715"/>
      <c r="AQ163" s="2715"/>
      <c r="AR163" s="2715"/>
      <c r="AS163" s="2716">
        <v>1500000</v>
      </c>
      <c r="AT163" s="2716"/>
      <c r="AU163" s="2716"/>
      <c r="AV163" s="2716"/>
      <c r="AW163" s="2716"/>
      <c r="AX163" s="2716"/>
      <c r="AY163" s="2716">
        <v>250000</v>
      </c>
      <c r="AZ163" s="2716"/>
      <c r="BA163" s="2716"/>
      <c r="BB163" s="2716"/>
      <c r="BC163" s="2716"/>
      <c r="BD163" s="2717"/>
      <c r="BE163" s="1150"/>
    </row>
    <row r="164" spans="1:57" ht="15.75" customHeight="1">
      <c r="A164" s="1144"/>
      <c r="B164" s="1144"/>
      <c r="C164" s="2722" t="s">
        <v>1979</v>
      </c>
      <c r="D164" s="2723"/>
      <c r="E164" s="2723"/>
      <c r="F164" s="2723"/>
      <c r="G164" s="2723"/>
      <c r="H164" s="2723"/>
      <c r="I164" s="2723"/>
      <c r="J164" s="2723"/>
      <c r="K164" s="2723"/>
      <c r="L164" s="2723"/>
      <c r="M164" s="2724"/>
      <c r="N164" s="2725">
        <f>SUM(N156:T163)</f>
        <v>5388531</v>
      </c>
      <c r="O164" s="2726"/>
      <c r="P164" s="2726"/>
      <c r="Q164" s="2726"/>
      <c r="R164" s="2726"/>
      <c r="S164" s="2726"/>
      <c r="T164" s="2727"/>
      <c r="U164" s="1144"/>
      <c r="V164" s="1144"/>
      <c r="W164" s="1144"/>
      <c r="X164" s="1144"/>
      <c r="Y164" s="1144"/>
      <c r="Z164" s="1144"/>
      <c r="AA164" s="1144"/>
      <c r="AB164" s="1144"/>
      <c r="AC164" s="1144"/>
      <c r="AD164" s="1144"/>
      <c r="AE164" s="1144"/>
      <c r="AF164" s="1144"/>
      <c r="AG164" s="1144"/>
      <c r="AH164" s="2714" t="s">
        <v>2355</v>
      </c>
      <c r="AI164" s="2715"/>
      <c r="AJ164" s="2715"/>
      <c r="AK164" s="2715"/>
      <c r="AL164" s="2715"/>
      <c r="AM164" s="2715"/>
      <c r="AN164" s="2715"/>
      <c r="AO164" s="2715"/>
      <c r="AP164" s="2715"/>
      <c r="AQ164" s="2715"/>
      <c r="AR164" s="2715"/>
      <c r="AS164" s="2716">
        <v>500000</v>
      </c>
      <c r="AT164" s="2716"/>
      <c r="AU164" s="2716"/>
      <c r="AV164" s="2716"/>
      <c r="AW164" s="2716"/>
      <c r="AX164" s="2716"/>
      <c r="AY164" s="2716">
        <v>0</v>
      </c>
      <c r="AZ164" s="2716"/>
      <c r="BA164" s="2716"/>
      <c r="BB164" s="2716"/>
      <c r="BC164" s="2716"/>
      <c r="BD164" s="2717"/>
      <c r="BE164" s="1150"/>
    </row>
    <row r="165" spans="1:57" ht="15.75" customHeight="1" thickBot="1">
      <c r="A165" s="1144"/>
      <c r="B165" s="1144"/>
      <c r="C165" s="2710" t="s">
        <v>1980</v>
      </c>
      <c r="D165" s="2711"/>
      <c r="E165" s="2711"/>
      <c r="F165" s="2711"/>
      <c r="G165" s="2711"/>
      <c r="H165" s="2711"/>
      <c r="I165" s="2711"/>
      <c r="J165" s="2711"/>
      <c r="K165" s="2711"/>
      <c r="L165" s="2711"/>
      <c r="M165" s="2711"/>
      <c r="N165" s="2712">
        <f>(N154-N164)/J29</f>
        <v>345065.95180722891</v>
      </c>
      <c r="O165" s="2712"/>
      <c r="P165" s="2712"/>
      <c r="Q165" s="2712"/>
      <c r="R165" s="2712"/>
      <c r="S165" s="2712"/>
      <c r="T165" s="2713"/>
      <c r="U165" s="1151"/>
      <c r="V165" s="1144"/>
      <c r="W165" s="1144"/>
      <c r="X165" s="1144"/>
      <c r="Y165" s="1144"/>
      <c r="Z165" s="1144"/>
      <c r="AA165" s="1144"/>
      <c r="AB165" s="1144"/>
      <c r="AC165" s="1144"/>
      <c r="AD165" s="1144"/>
      <c r="AE165" s="1144"/>
      <c r="AF165" s="1144"/>
      <c r="AG165" s="1144"/>
      <c r="AH165" s="2714" t="s">
        <v>2356</v>
      </c>
      <c r="AI165" s="2715"/>
      <c r="AJ165" s="2715"/>
      <c r="AK165" s="2715"/>
      <c r="AL165" s="2715"/>
      <c r="AM165" s="2715"/>
      <c r="AN165" s="2715"/>
      <c r="AO165" s="2715"/>
      <c r="AP165" s="2715"/>
      <c r="AQ165" s="2715"/>
      <c r="AR165" s="2715"/>
      <c r="AS165" s="2716">
        <v>0</v>
      </c>
      <c r="AT165" s="2716"/>
      <c r="AU165" s="2716"/>
      <c r="AV165" s="2716"/>
      <c r="AW165" s="2716"/>
      <c r="AX165" s="2716"/>
      <c r="AY165" s="2716">
        <v>0</v>
      </c>
      <c r="AZ165" s="2716"/>
      <c r="BA165" s="2716"/>
      <c r="BB165" s="2716"/>
      <c r="BC165" s="2716"/>
      <c r="BD165" s="2717"/>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718" t="s">
        <v>1976</v>
      </c>
      <c r="AI166" s="2719"/>
      <c r="AJ166" s="2719"/>
      <c r="AK166" s="2719"/>
      <c r="AL166" s="2719"/>
      <c r="AM166" s="2719"/>
      <c r="AN166" s="2719"/>
      <c r="AO166" s="2719"/>
      <c r="AP166" s="2719"/>
      <c r="AQ166" s="2719"/>
      <c r="AR166" s="2719"/>
      <c r="AS166" s="2720">
        <f>SUM(AS160:AX165)</f>
        <v>30000000</v>
      </c>
      <c r="AT166" s="2720"/>
      <c r="AU166" s="2720"/>
      <c r="AV166" s="2720"/>
      <c r="AW166" s="2720"/>
      <c r="AX166" s="2720"/>
      <c r="AY166" s="2720">
        <f>SUM(AY160:BD165)</f>
        <v>2500000</v>
      </c>
      <c r="AZ166" s="2720"/>
      <c r="BA166" s="2720"/>
      <c r="BB166" s="2720"/>
      <c r="BC166" s="2720"/>
      <c r="BD166" s="2721"/>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2697" t="s">
        <v>1981</v>
      </c>
      <c r="C168" s="2698"/>
      <c r="D168" s="2698"/>
      <c r="E168" s="2698"/>
      <c r="F168" s="2698"/>
      <c r="G168" s="2698"/>
      <c r="H168" s="2698"/>
      <c r="I168" s="2698"/>
      <c r="J168" s="2698"/>
      <c r="K168" s="2698"/>
      <c r="L168" s="2698"/>
      <c r="M168" s="2698"/>
      <c r="N168" s="2698"/>
      <c r="O168" s="2698"/>
      <c r="P168" s="2698"/>
      <c r="Q168" s="2698"/>
      <c r="R168" s="2698"/>
      <c r="S168" s="2698"/>
      <c r="T168" s="2698"/>
      <c r="U168" s="2698"/>
      <c r="V168" s="2698"/>
      <c r="W168" s="2698"/>
      <c r="X168" s="2698"/>
      <c r="Y168" s="2698"/>
      <c r="Z168" s="2698"/>
      <c r="AA168" s="2698"/>
      <c r="AB168" s="2698"/>
      <c r="AC168" s="2698"/>
      <c r="AD168" s="2698"/>
      <c r="AE168" s="2698"/>
      <c r="AF168" s="2698"/>
      <c r="AG168" s="2698"/>
      <c r="AH168" s="2698"/>
      <c r="AI168" s="2698"/>
      <c r="AJ168" s="2698"/>
      <c r="AK168" s="2698"/>
      <c r="AL168" s="2698"/>
      <c r="AM168" s="2698"/>
      <c r="AN168" s="2698"/>
      <c r="AO168" s="2698"/>
      <c r="AP168" s="2698"/>
      <c r="AQ168" s="2698"/>
      <c r="AR168" s="2698"/>
      <c r="AS168" s="2698"/>
      <c r="AT168" s="2698"/>
      <c r="AU168" s="2698"/>
      <c r="AV168" s="2698"/>
      <c r="AW168" s="2698"/>
      <c r="AX168" s="2698"/>
      <c r="AY168" s="2698"/>
      <c r="AZ168" s="2698"/>
      <c r="BA168" s="2698"/>
      <c r="BB168" s="2698"/>
      <c r="BC168" s="2698"/>
      <c r="BD168" s="2699"/>
      <c r="BE168" s="1150"/>
    </row>
    <row r="169" spans="1:57" ht="15.75" customHeight="1">
      <c r="A169" s="1144"/>
      <c r="B169" s="2700"/>
      <c r="C169" s="2701"/>
      <c r="D169" s="2701"/>
      <c r="E169" s="2701"/>
      <c r="F169" s="2701"/>
      <c r="G169" s="2701"/>
      <c r="H169" s="2701"/>
      <c r="I169" s="2701"/>
      <c r="J169" s="2701"/>
      <c r="K169" s="2701"/>
      <c r="L169" s="2701"/>
      <c r="M169" s="2701"/>
      <c r="N169" s="2701"/>
      <c r="O169" s="2701"/>
      <c r="P169" s="2701"/>
      <c r="Q169" s="2701"/>
      <c r="R169" s="2701"/>
      <c r="S169" s="2701"/>
      <c r="T169" s="2701"/>
      <c r="U169" s="2701"/>
      <c r="V169" s="2701"/>
      <c r="W169" s="2701"/>
      <c r="X169" s="2701"/>
      <c r="Y169" s="2701"/>
      <c r="Z169" s="2701"/>
      <c r="AA169" s="2701"/>
      <c r="AB169" s="2701"/>
      <c r="AC169" s="2701"/>
      <c r="AD169" s="2701"/>
      <c r="AE169" s="2701"/>
      <c r="AF169" s="2701"/>
      <c r="AG169" s="2701"/>
      <c r="AH169" s="2701"/>
      <c r="AI169" s="2701"/>
      <c r="AJ169" s="2701"/>
      <c r="AK169" s="2701"/>
      <c r="AL169" s="2701"/>
      <c r="AM169" s="2701"/>
      <c r="AN169" s="2701"/>
      <c r="AO169" s="2701"/>
      <c r="AP169" s="2701"/>
      <c r="AQ169" s="2701"/>
      <c r="AR169" s="2701"/>
      <c r="AS169" s="2701"/>
      <c r="AT169" s="2701"/>
      <c r="AU169" s="2701"/>
      <c r="AV169" s="2701"/>
      <c r="AW169" s="2701"/>
      <c r="AX169" s="2701"/>
      <c r="AY169" s="2701"/>
      <c r="AZ169" s="2701"/>
      <c r="BA169" s="2701"/>
      <c r="BB169" s="2701"/>
      <c r="BC169" s="2701"/>
      <c r="BD169" s="2702"/>
      <c r="BE169" s="1150"/>
    </row>
    <row r="170" spans="1:57" ht="15.75" customHeight="1">
      <c r="A170" s="1144"/>
      <c r="B170" s="2703" t="s">
        <v>1982</v>
      </c>
      <c r="C170" s="2704"/>
      <c r="D170" s="2704"/>
      <c r="E170" s="2704"/>
      <c r="F170" s="2704"/>
      <c r="G170" s="2704"/>
      <c r="H170" s="2704"/>
      <c r="I170" s="2704"/>
      <c r="J170" s="2704"/>
      <c r="K170" s="2704"/>
      <c r="L170" s="2704"/>
      <c r="M170" s="2704"/>
      <c r="N170" s="2704"/>
      <c r="O170" s="2704"/>
      <c r="P170" s="2704"/>
      <c r="Q170" s="2704"/>
      <c r="R170" s="2704"/>
      <c r="S170" s="2704"/>
      <c r="T170" s="2704"/>
      <c r="U170" s="2704"/>
      <c r="V170" s="2704"/>
      <c r="W170" s="2704"/>
      <c r="X170" s="2704"/>
      <c r="Y170" s="2704"/>
      <c r="Z170" s="2704"/>
      <c r="AA170" s="2704"/>
      <c r="AB170" s="2704"/>
      <c r="AC170" s="2704"/>
      <c r="AD170" s="2704"/>
      <c r="AE170" s="2704"/>
      <c r="AF170" s="2704"/>
      <c r="AG170" s="2704"/>
      <c r="AH170" s="2704"/>
      <c r="AI170" s="2704"/>
      <c r="AJ170" s="2704"/>
      <c r="AK170" s="2704"/>
      <c r="AL170" s="2704"/>
      <c r="AM170" s="2704"/>
      <c r="AN170" s="2704"/>
      <c r="AO170" s="2704"/>
      <c r="AP170" s="2704"/>
      <c r="AQ170" s="2704"/>
      <c r="AR170" s="2704"/>
      <c r="AS170" s="2704"/>
      <c r="AT170" s="2704"/>
      <c r="AU170" s="2704"/>
      <c r="AV170" s="2704"/>
      <c r="AW170" s="2704"/>
      <c r="AX170" s="2704"/>
      <c r="AY170" s="2704"/>
      <c r="AZ170" s="2704"/>
      <c r="BA170" s="2704"/>
      <c r="BB170" s="2704"/>
      <c r="BC170" s="2704"/>
      <c r="BD170" s="2705"/>
      <c r="BE170" s="1150"/>
    </row>
    <row r="171" spans="1:57" ht="15.75" customHeight="1">
      <c r="A171" s="1144"/>
      <c r="B171" s="2703" t="s">
        <v>1983</v>
      </c>
      <c r="C171" s="2704"/>
      <c r="D171" s="2704"/>
      <c r="E171" s="2704"/>
      <c r="F171" s="2704"/>
      <c r="G171" s="2704"/>
      <c r="H171" s="2704"/>
      <c r="I171" s="2704"/>
      <c r="J171" s="2704"/>
      <c r="K171" s="2704"/>
      <c r="L171" s="2704"/>
      <c r="M171" s="2704"/>
      <c r="N171" s="2704"/>
      <c r="O171" s="2704"/>
      <c r="P171" s="2704"/>
      <c r="Q171" s="2704"/>
      <c r="R171" s="2704"/>
      <c r="S171" s="2704"/>
      <c r="T171" s="2704"/>
      <c r="U171" s="2704"/>
      <c r="V171" s="2704"/>
      <c r="W171" s="2704"/>
      <c r="X171" s="2704"/>
      <c r="Y171" s="2704"/>
      <c r="Z171" s="2704"/>
      <c r="AA171" s="2704"/>
      <c r="AB171" s="2704"/>
      <c r="AC171" s="2704"/>
      <c r="AD171" s="2704"/>
      <c r="AE171" s="2704"/>
      <c r="AF171" s="2704"/>
      <c r="AG171" s="2704"/>
      <c r="AH171" s="2704"/>
      <c r="AI171" s="2704"/>
      <c r="AJ171" s="2704"/>
      <c r="AK171" s="2704"/>
      <c r="AL171" s="2704"/>
      <c r="AM171" s="2704"/>
      <c r="AN171" s="2704"/>
      <c r="AO171" s="2704"/>
      <c r="AP171" s="2704"/>
      <c r="AQ171" s="2704"/>
      <c r="AR171" s="2704"/>
      <c r="AS171" s="2704"/>
      <c r="AT171" s="2704"/>
      <c r="AU171" s="2704"/>
      <c r="AV171" s="2704"/>
      <c r="AW171" s="2704"/>
      <c r="AX171" s="2704"/>
      <c r="AY171" s="2704"/>
      <c r="AZ171" s="2704"/>
      <c r="BA171" s="2704"/>
      <c r="BB171" s="2704"/>
      <c r="BC171" s="2704"/>
      <c r="BD171" s="2705"/>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2706" t="s">
        <v>1984</v>
      </c>
      <c r="C173" s="2707"/>
      <c r="D173" s="2707"/>
      <c r="E173" s="2707"/>
      <c r="F173" s="2707"/>
      <c r="G173" s="2707"/>
      <c r="H173" s="2707"/>
      <c r="I173" s="2707"/>
      <c r="J173" s="2707"/>
      <c r="K173" s="2707"/>
      <c r="L173" s="2707"/>
      <c r="M173" s="2707"/>
      <c r="N173" s="2707"/>
      <c r="O173" s="2707"/>
      <c r="P173" s="2707"/>
      <c r="Q173" s="2707"/>
      <c r="R173" s="2707"/>
      <c r="S173" s="2707"/>
      <c r="T173" s="2707"/>
      <c r="U173" s="2707"/>
      <c r="V173" s="2707"/>
      <c r="W173" s="2707"/>
      <c r="X173" s="2707"/>
      <c r="Y173" s="2707"/>
      <c r="Z173" s="2707"/>
      <c r="AA173" s="2707"/>
      <c r="AB173" s="2707"/>
      <c r="AC173" s="2707"/>
      <c r="AD173" s="2707"/>
      <c r="AE173" s="2707"/>
      <c r="AF173" s="2707"/>
      <c r="AG173" s="2707"/>
      <c r="AH173" s="2707"/>
      <c r="AI173" s="2707"/>
      <c r="AJ173" s="2707"/>
      <c r="AK173" s="2707"/>
      <c r="AL173" s="2707"/>
      <c r="AM173" s="2707"/>
      <c r="AN173" s="2707"/>
      <c r="AO173" s="2707"/>
      <c r="AP173" s="2707"/>
      <c r="AQ173" s="2707"/>
      <c r="AR173" s="2707"/>
      <c r="AS173" s="2707"/>
      <c r="AT173" s="2707"/>
      <c r="AU173" s="2707"/>
      <c r="AV173" s="2707"/>
      <c r="AW173" s="2707"/>
      <c r="AX173" s="2707"/>
      <c r="AY173" s="2707"/>
      <c r="AZ173" s="2707"/>
      <c r="BA173" s="2707"/>
      <c r="BB173" s="2707"/>
      <c r="BC173" s="2707"/>
      <c r="BD173" s="2708"/>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1985</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2709" t="s">
        <v>1986</v>
      </c>
      <c r="I177" s="2709"/>
      <c r="J177" s="2709"/>
      <c r="K177" s="2709"/>
      <c r="L177" s="2709"/>
      <c r="M177" s="2709"/>
      <c r="N177" s="2709"/>
      <c r="O177" s="2709"/>
      <c r="P177" s="2709"/>
      <c r="Q177" s="2709"/>
      <c r="R177" s="2709"/>
      <c r="S177" s="2709"/>
      <c r="T177" s="2709"/>
      <c r="U177" s="2709"/>
      <c r="V177" s="2709"/>
      <c r="W177" s="2709"/>
      <c r="X177" s="2709"/>
      <c r="Y177" s="2709"/>
      <c r="Z177" s="2709"/>
      <c r="AA177" s="2709"/>
      <c r="AB177" s="2709"/>
      <c r="AC177" s="2709"/>
      <c r="AD177" s="2709"/>
      <c r="AE177" s="2709"/>
      <c r="AF177" s="2709"/>
      <c r="AG177" s="2709"/>
      <c r="AH177" s="2709"/>
      <c r="AI177" s="2709"/>
      <c r="AJ177" s="2709"/>
      <c r="AK177" s="2709"/>
      <c r="AL177" s="2709"/>
      <c r="AM177" s="2709"/>
      <c r="AN177" s="2709"/>
      <c r="AO177" s="2709"/>
      <c r="AP177" s="2709"/>
      <c r="AQ177" s="2709"/>
      <c r="AR177" s="2709"/>
      <c r="AS177" s="2709"/>
      <c r="AT177" s="2709"/>
      <c r="AU177" s="2709"/>
      <c r="AV177" s="2709"/>
      <c r="AW177" s="2709"/>
      <c r="AX177" s="2709"/>
      <c r="AY177" s="2709"/>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2695" t="s">
        <v>2657</v>
      </c>
      <c r="I179" s="2695"/>
      <c r="J179" s="2695"/>
      <c r="K179" s="2695"/>
      <c r="L179" s="2695"/>
      <c r="M179" s="2695"/>
      <c r="N179" s="2695"/>
      <c r="O179" s="2695"/>
      <c r="P179" s="2695"/>
      <c r="Q179" s="2695"/>
      <c r="R179" s="2695"/>
      <c r="S179" s="2695"/>
      <c r="T179" s="2695"/>
      <c r="U179" s="2695"/>
      <c r="V179" s="2695"/>
      <c r="W179" s="2695"/>
      <c r="X179" s="2695"/>
      <c r="Y179" s="2695"/>
      <c r="Z179" s="2695"/>
      <c r="AA179" s="2695"/>
      <c r="AB179" s="2695"/>
      <c r="AC179" s="2695"/>
      <c r="AD179" s="2695"/>
      <c r="AE179" s="2695"/>
      <c r="AF179" s="2695"/>
      <c r="AG179" s="2695"/>
      <c r="AH179" s="2695"/>
      <c r="AI179" s="2695"/>
      <c r="AJ179" s="2695"/>
      <c r="AK179" s="2695"/>
      <c r="AL179" s="2695"/>
      <c r="AM179" s="2695"/>
      <c r="AN179" s="2695"/>
      <c r="AO179" s="2695"/>
      <c r="AP179" s="2695"/>
      <c r="AQ179" s="2695"/>
      <c r="AR179" s="2695"/>
      <c r="AS179" s="2695"/>
      <c r="AT179" s="2695"/>
      <c r="AU179" s="2695"/>
      <c r="AV179" s="2695"/>
      <c r="AW179" s="2695"/>
      <c r="AX179" s="2695"/>
      <c r="AY179" s="2695"/>
      <c r="AZ179" s="2695"/>
      <c r="BA179" s="1144"/>
      <c r="BB179" s="1144"/>
      <c r="BC179" s="1144"/>
      <c r="BD179" s="1150"/>
      <c r="BE179" s="1150"/>
    </row>
    <row r="180" spans="1:57" ht="15.75" customHeight="1">
      <c r="A180" s="1144"/>
      <c r="B180" s="1143"/>
      <c r="C180" s="1144"/>
      <c r="D180" s="1144"/>
      <c r="E180" s="1144"/>
      <c r="F180" s="1144"/>
      <c r="G180" s="1144"/>
      <c r="H180" s="2695"/>
      <c r="I180" s="2695"/>
      <c r="J180" s="2695"/>
      <c r="K180" s="2695"/>
      <c r="L180" s="2695"/>
      <c r="M180" s="2695"/>
      <c r="N180" s="2695"/>
      <c r="O180" s="2695"/>
      <c r="P180" s="2695"/>
      <c r="Q180" s="2695"/>
      <c r="R180" s="2695"/>
      <c r="S180" s="2695"/>
      <c r="T180" s="2695"/>
      <c r="U180" s="2695"/>
      <c r="V180" s="2695"/>
      <c r="W180" s="2695"/>
      <c r="X180" s="2695"/>
      <c r="Y180" s="2695"/>
      <c r="Z180" s="2695"/>
      <c r="AA180" s="2695"/>
      <c r="AB180" s="2695"/>
      <c r="AC180" s="2695"/>
      <c r="AD180" s="2695"/>
      <c r="AE180" s="2695"/>
      <c r="AF180" s="2695"/>
      <c r="AG180" s="2695"/>
      <c r="AH180" s="2695"/>
      <c r="AI180" s="2695"/>
      <c r="AJ180" s="2695"/>
      <c r="AK180" s="2695"/>
      <c r="AL180" s="2695"/>
      <c r="AM180" s="2695"/>
      <c r="AN180" s="2695"/>
      <c r="AO180" s="2695"/>
      <c r="AP180" s="2695"/>
      <c r="AQ180" s="2695"/>
      <c r="AR180" s="2695"/>
      <c r="AS180" s="2695"/>
      <c r="AT180" s="2695"/>
      <c r="AU180" s="2695"/>
      <c r="AV180" s="2695"/>
      <c r="AW180" s="2695"/>
      <c r="AX180" s="2695"/>
      <c r="AY180" s="2695"/>
      <c r="AZ180" s="2695"/>
      <c r="BA180" s="1144"/>
      <c r="BB180" s="1144"/>
      <c r="BC180" s="1144"/>
      <c r="BD180" s="1150"/>
      <c r="BE180" s="1150"/>
    </row>
    <row r="181" spans="1:57" ht="15.75" customHeight="1">
      <c r="A181" s="1144"/>
      <c r="B181" s="1143"/>
      <c r="C181" s="1144"/>
      <c r="D181" s="1144"/>
      <c r="E181" s="1144"/>
      <c r="F181" s="1144"/>
      <c r="G181" s="1144"/>
      <c r="H181" s="2695"/>
      <c r="I181" s="2695"/>
      <c r="J181" s="2695"/>
      <c r="K181" s="2695"/>
      <c r="L181" s="2695"/>
      <c r="M181" s="2695"/>
      <c r="N181" s="2695"/>
      <c r="O181" s="2695"/>
      <c r="P181" s="2695"/>
      <c r="Q181" s="2695"/>
      <c r="R181" s="2695"/>
      <c r="S181" s="2695"/>
      <c r="T181" s="2695"/>
      <c r="U181" s="2695"/>
      <c r="V181" s="2695"/>
      <c r="W181" s="2695"/>
      <c r="X181" s="2695"/>
      <c r="Y181" s="2695"/>
      <c r="Z181" s="2695"/>
      <c r="AA181" s="2695"/>
      <c r="AB181" s="2695"/>
      <c r="AC181" s="2695"/>
      <c r="AD181" s="2695"/>
      <c r="AE181" s="2695"/>
      <c r="AF181" s="2695"/>
      <c r="AG181" s="2695"/>
      <c r="AH181" s="2695"/>
      <c r="AI181" s="2695"/>
      <c r="AJ181" s="2695"/>
      <c r="AK181" s="2695"/>
      <c r="AL181" s="2695"/>
      <c r="AM181" s="2695"/>
      <c r="AN181" s="2695"/>
      <c r="AO181" s="2695"/>
      <c r="AP181" s="2695"/>
      <c r="AQ181" s="2695"/>
      <c r="AR181" s="2695"/>
      <c r="AS181" s="2695"/>
      <c r="AT181" s="2695"/>
      <c r="AU181" s="2695"/>
      <c r="AV181" s="2695"/>
      <c r="AW181" s="2695"/>
      <c r="AX181" s="2695"/>
      <c r="AY181" s="2695"/>
      <c r="AZ181" s="2695"/>
      <c r="BA181" s="1144"/>
      <c r="BB181" s="1144"/>
      <c r="BC181" s="1144"/>
      <c r="BD181" s="1150"/>
      <c r="BE181" s="1150"/>
    </row>
    <row r="182" spans="1:57" ht="15.75" customHeight="1">
      <c r="A182" s="1144"/>
      <c r="B182" s="1143"/>
      <c r="C182" s="1144"/>
      <c r="D182" s="1144"/>
      <c r="E182" s="1144"/>
      <c r="F182" s="1144"/>
      <c r="G182" s="1144"/>
      <c r="H182" s="1171"/>
      <c r="I182" s="1171"/>
      <c r="J182" s="1171"/>
      <c r="K182" s="1171"/>
      <c r="L182" s="1171"/>
      <c r="M182" s="1171"/>
      <c r="N182" s="1171"/>
      <c r="O182" s="1171"/>
      <c r="P182" s="1171"/>
      <c r="Q182" s="1171"/>
      <c r="R182" s="1171"/>
      <c r="S182" s="1171"/>
      <c r="T182" s="1171"/>
      <c r="U182" s="1171"/>
      <c r="V182" s="1171"/>
      <c r="W182" s="1171"/>
      <c r="X182" s="1171"/>
      <c r="Y182" s="1171"/>
      <c r="Z182" s="1171"/>
      <c r="AA182" s="1171"/>
      <c r="AB182" s="1171"/>
      <c r="AC182" s="1171"/>
      <c r="AD182" s="1171"/>
      <c r="AE182" s="1171"/>
      <c r="AF182" s="1171"/>
      <c r="AG182" s="1171"/>
      <c r="AH182" s="1171"/>
      <c r="AI182" s="1171"/>
      <c r="AJ182" s="1171"/>
      <c r="AK182" s="1171"/>
      <c r="AL182" s="1171"/>
      <c r="AM182" s="1171"/>
      <c r="AN182" s="1171"/>
      <c r="AO182" s="1171"/>
      <c r="AP182" s="1171"/>
      <c r="AQ182" s="1171"/>
      <c r="AR182" s="1171"/>
      <c r="AS182" s="1171"/>
      <c r="AT182" s="1171"/>
      <c r="AU182" s="1171"/>
      <c r="AV182" s="1171"/>
      <c r="AW182" s="1171"/>
      <c r="AX182" s="1171"/>
      <c r="AY182" s="1171"/>
      <c r="AZ182" s="114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2"/>
      <c r="C184" s="1173"/>
      <c r="D184" s="1173"/>
      <c r="E184" s="1173"/>
      <c r="F184" s="1173"/>
      <c r="G184" s="1173"/>
      <c r="H184" s="2696" t="s">
        <v>1987</v>
      </c>
      <c r="I184" s="2696"/>
      <c r="J184" s="2696"/>
      <c r="K184" s="2696"/>
      <c r="L184" s="2696"/>
      <c r="M184" s="2696"/>
      <c r="N184" s="2696"/>
      <c r="O184" s="2696"/>
      <c r="P184" s="2696"/>
      <c r="Q184" s="2696"/>
      <c r="R184" s="2696"/>
      <c r="S184" s="2696"/>
      <c r="T184" s="2696"/>
      <c r="U184" s="2696"/>
      <c r="V184" s="2696"/>
      <c r="W184" s="2696"/>
      <c r="X184" s="2696"/>
      <c r="Y184" s="2696"/>
      <c r="Z184" s="2696"/>
      <c r="AA184" s="2696"/>
      <c r="AB184" s="2696"/>
      <c r="AC184" s="2696"/>
      <c r="AD184" s="2696"/>
      <c r="AE184" s="2696"/>
      <c r="AF184" s="2696"/>
      <c r="AG184" s="2696"/>
      <c r="AH184" s="2696"/>
      <c r="AI184" s="2696"/>
      <c r="AJ184" s="2696"/>
      <c r="AK184" s="2696"/>
      <c r="AL184" s="2696"/>
      <c r="AM184" s="2696"/>
      <c r="AN184" s="2696"/>
      <c r="AO184" s="2696"/>
      <c r="AP184" s="2696"/>
      <c r="AQ184" s="2696"/>
      <c r="AR184" s="2696"/>
      <c r="AS184" s="2696"/>
      <c r="AT184" s="2696"/>
      <c r="AU184" s="2696"/>
      <c r="AV184" s="2696"/>
      <c r="AW184" s="1173"/>
      <c r="AX184" s="1173"/>
      <c r="AY184" s="1173"/>
      <c r="AZ184" s="1173"/>
      <c r="BA184" s="1173"/>
      <c r="BB184" s="1173"/>
      <c r="BC184" s="1173"/>
      <c r="BD184" s="1174"/>
      <c r="BE184" s="1150"/>
    </row>
    <row r="185" spans="1:57" ht="15.75" customHeight="1" thickBot="1">
      <c r="A185" s="1144"/>
      <c r="B185" s="1175"/>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6"/>
      <c r="BE185" s="1150"/>
    </row>
    <row r="186" spans="1:57" ht="30" customHeight="1" thickBot="1">
      <c r="A186" s="1144"/>
      <c r="B186" s="1175"/>
      <c r="C186" s="1156"/>
      <c r="D186" s="1156"/>
      <c r="E186" s="1156"/>
      <c r="F186" s="1156"/>
      <c r="G186" s="1156"/>
      <c r="H186" s="2689" t="s">
        <v>1988</v>
      </c>
      <c r="I186" s="2689"/>
      <c r="J186" s="2689"/>
      <c r="K186" s="2689"/>
      <c r="L186" s="1156"/>
      <c r="M186" s="1156"/>
      <c r="N186" s="1156"/>
      <c r="O186" s="1156"/>
      <c r="P186" s="1156"/>
      <c r="Q186" s="1156"/>
      <c r="R186" s="1156"/>
      <c r="S186" s="2690"/>
      <c r="T186" s="2691"/>
      <c r="U186" s="2691"/>
      <c r="V186" s="2691"/>
      <c r="W186" s="2691"/>
      <c r="X186" s="2691"/>
      <c r="Y186" s="2691"/>
      <c r="Z186" s="2691"/>
      <c r="AA186" s="2691"/>
      <c r="AB186" s="2691"/>
      <c r="AC186" s="2691"/>
      <c r="AD186" s="2691"/>
      <c r="AE186" s="2691"/>
      <c r="AF186" s="2691"/>
      <c r="AG186" s="2691"/>
      <c r="AH186" s="2691"/>
      <c r="AI186" s="2691"/>
      <c r="AJ186" s="2692"/>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6"/>
      <c r="BE186" s="1150"/>
    </row>
    <row r="187" spans="1:57" ht="15.75" customHeight="1" thickBot="1">
      <c r="A187" s="1144"/>
      <c r="B187" s="1175"/>
      <c r="C187" s="1156"/>
      <c r="D187" s="1156"/>
      <c r="E187" s="1156"/>
      <c r="F187" s="1156"/>
      <c r="G187" s="1156"/>
      <c r="H187" s="1177"/>
      <c r="I187" s="1177"/>
      <c r="J187" s="1177"/>
      <c r="K187" s="1177"/>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6"/>
      <c r="BE187" s="1150"/>
    </row>
    <row r="188" spans="1:57" ht="15.75" customHeight="1" thickBot="1">
      <c r="A188" s="1144"/>
      <c r="B188" s="1175"/>
      <c r="C188" s="1156"/>
      <c r="D188" s="1156"/>
      <c r="E188" s="1156"/>
      <c r="F188" s="1156"/>
      <c r="G188" s="1156"/>
      <c r="H188" s="2689" t="s">
        <v>1989</v>
      </c>
      <c r="I188" s="2689"/>
      <c r="J188" s="2689"/>
      <c r="K188" s="1177"/>
      <c r="L188" s="1156"/>
      <c r="M188" s="1156"/>
      <c r="N188" s="1156"/>
      <c r="O188" s="1156"/>
      <c r="P188" s="1156"/>
      <c r="Q188" s="1156"/>
      <c r="R188" s="1156"/>
      <c r="S188" s="2690"/>
      <c r="T188" s="2691"/>
      <c r="U188" s="2691"/>
      <c r="V188" s="2691"/>
      <c r="W188" s="2691"/>
      <c r="X188" s="2691"/>
      <c r="Y188" s="2691"/>
      <c r="Z188" s="2691"/>
      <c r="AA188" s="2691"/>
      <c r="AB188" s="2691"/>
      <c r="AC188" s="2691"/>
      <c r="AD188" s="2691"/>
      <c r="AE188" s="2691"/>
      <c r="AF188" s="2691"/>
      <c r="AG188" s="2691"/>
      <c r="AH188" s="2691"/>
      <c r="AI188" s="2691"/>
      <c r="AJ188" s="2692"/>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6"/>
      <c r="BE188" s="1150"/>
    </row>
    <row r="189" spans="1:57" ht="15.75" customHeight="1" thickBot="1">
      <c r="A189" s="1144"/>
      <c r="B189" s="1175"/>
      <c r="C189" s="1156"/>
      <c r="D189" s="1156"/>
      <c r="E189" s="1156"/>
      <c r="F189" s="1156"/>
      <c r="G189" s="1156"/>
      <c r="H189" s="1177"/>
      <c r="I189" s="1177"/>
      <c r="J189" s="1177"/>
      <c r="K189" s="1177"/>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6"/>
      <c r="BE189" s="1150"/>
    </row>
    <row r="190" spans="1:57" ht="15.75" customHeight="1" thickBot="1">
      <c r="A190" s="1144"/>
      <c r="B190" s="1175"/>
      <c r="C190" s="1156"/>
      <c r="D190" s="1156"/>
      <c r="E190" s="1156"/>
      <c r="F190" s="1156"/>
      <c r="G190" s="1156"/>
      <c r="H190" s="2689" t="s">
        <v>460</v>
      </c>
      <c r="I190" s="2689"/>
      <c r="J190" s="1177"/>
      <c r="K190" s="1177"/>
      <c r="L190" s="1156"/>
      <c r="M190" s="1156"/>
      <c r="N190" s="1156"/>
      <c r="O190" s="1156"/>
      <c r="P190" s="1156"/>
      <c r="Q190" s="1156"/>
      <c r="R190" s="1156"/>
      <c r="S190" s="2690"/>
      <c r="T190" s="2691"/>
      <c r="U190" s="2691"/>
      <c r="V190" s="2691"/>
      <c r="W190" s="2691"/>
      <c r="X190" s="2691"/>
      <c r="Y190" s="2691"/>
      <c r="Z190" s="2691"/>
      <c r="AA190" s="2691"/>
      <c r="AB190" s="2691"/>
      <c r="AC190" s="2691"/>
      <c r="AD190" s="2691"/>
      <c r="AE190" s="2691"/>
      <c r="AF190" s="2691"/>
      <c r="AG190" s="2691"/>
      <c r="AH190" s="2691"/>
      <c r="AI190" s="2691"/>
      <c r="AJ190" s="2692"/>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6"/>
      <c r="BE190" s="1150"/>
    </row>
    <row r="191" spans="1:57" ht="15.75" customHeight="1" thickBot="1">
      <c r="A191" s="1144"/>
      <c r="B191" s="1175"/>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6"/>
      <c r="BE191" s="1150"/>
    </row>
    <row r="192" spans="1:57" ht="15.75" customHeight="1" thickBot="1">
      <c r="A192" s="1144"/>
      <c r="B192" s="1175"/>
      <c r="C192" s="1156"/>
      <c r="D192" s="1156"/>
      <c r="E192" s="1156"/>
      <c r="F192" s="1156"/>
      <c r="G192" s="1156"/>
      <c r="H192" s="2693" t="s">
        <v>1990</v>
      </c>
      <c r="I192" s="2693"/>
      <c r="J192" s="2693"/>
      <c r="K192" s="2693"/>
      <c r="L192" s="2693"/>
      <c r="M192" s="2693"/>
      <c r="N192" s="2693"/>
      <c r="O192" s="2693"/>
      <c r="P192" s="1156"/>
      <c r="Q192" s="1156"/>
      <c r="R192" s="1156"/>
      <c r="S192" s="2690"/>
      <c r="T192" s="2691"/>
      <c r="U192" s="2691"/>
      <c r="V192" s="2691"/>
      <c r="W192" s="2691"/>
      <c r="X192" s="2691"/>
      <c r="Y192" s="2691"/>
      <c r="Z192" s="2691"/>
      <c r="AA192" s="2691"/>
      <c r="AB192" s="2691"/>
      <c r="AC192" s="2691"/>
      <c r="AD192" s="2691"/>
      <c r="AE192" s="2691"/>
      <c r="AF192" s="2691"/>
      <c r="AG192" s="2691"/>
      <c r="AH192" s="2691"/>
      <c r="AI192" s="2691"/>
      <c r="AJ192" s="2692"/>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6"/>
      <c r="BE192" s="1150"/>
    </row>
    <row r="193" spans="1:57" ht="15.75" customHeight="1" thickBot="1">
      <c r="A193" s="1144"/>
      <c r="B193" s="1175"/>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6"/>
      <c r="BE193" s="1150"/>
    </row>
    <row r="194" spans="1:57" ht="15.75" customHeight="1" thickBot="1">
      <c r="A194" s="1144"/>
      <c r="B194" s="1175"/>
      <c r="C194" s="1156"/>
      <c r="D194" s="1156"/>
      <c r="E194" s="1156"/>
      <c r="F194" s="1156"/>
      <c r="G194" s="1156"/>
      <c r="H194" s="2694" t="s">
        <v>1991</v>
      </c>
      <c r="I194" s="2694"/>
      <c r="J194" s="1156"/>
      <c r="K194" s="1156"/>
      <c r="L194" s="1156"/>
      <c r="M194" s="1156"/>
      <c r="N194" s="1156"/>
      <c r="O194" s="1156"/>
      <c r="P194" s="1156"/>
      <c r="Q194" s="1156"/>
      <c r="R194" s="1156"/>
      <c r="S194" s="2690"/>
      <c r="T194" s="2691"/>
      <c r="U194" s="2691"/>
      <c r="V194" s="2691"/>
      <c r="W194" s="2691"/>
      <c r="X194" s="2691"/>
      <c r="Y194" s="2691"/>
      <c r="Z194" s="2691"/>
      <c r="AA194" s="2691"/>
      <c r="AB194" s="2691"/>
      <c r="AC194" s="2691"/>
      <c r="AD194" s="2691"/>
      <c r="AE194" s="2691"/>
      <c r="AF194" s="2691"/>
      <c r="AG194" s="2691"/>
      <c r="AH194" s="2691"/>
      <c r="AI194" s="2691"/>
      <c r="AJ194" s="2692"/>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6"/>
      <c r="BE194" s="1150"/>
    </row>
    <row r="195" spans="1:57" ht="15.75" customHeight="1" thickBot="1">
      <c r="A195" s="1144"/>
      <c r="B195" s="1178"/>
      <c r="C195" s="1179"/>
      <c r="D195" s="1179"/>
      <c r="E195" s="1179"/>
      <c r="F195" s="1179"/>
      <c r="G195" s="1179"/>
      <c r="H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c r="AH195" s="1179"/>
      <c r="AI195" s="1179"/>
      <c r="AJ195" s="1179"/>
      <c r="AK195" s="1179"/>
      <c r="AL195" s="1179"/>
      <c r="AM195" s="1179"/>
      <c r="AN195" s="1179"/>
      <c r="AO195" s="1179"/>
      <c r="AP195" s="1179"/>
      <c r="AQ195" s="1179"/>
      <c r="AR195" s="1179"/>
      <c r="AS195" s="1179"/>
      <c r="AT195" s="1179"/>
      <c r="AU195" s="1179"/>
      <c r="AV195" s="1179"/>
      <c r="AW195" s="1179"/>
      <c r="AX195" s="1179"/>
      <c r="AY195" s="1179"/>
      <c r="AZ195" s="1179"/>
      <c r="BA195" s="1179"/>
      <c r="BB195" s="1179"/>
      <c r="BC195" s="1179"/>
      <c r="BD195" s="1180"/>
      <c r="BE195" s="1150"/>
    </row>
    <row r="196" spans="1:57" ht="15.75" customHeight="1" thickBot="1">
      <c r="A196" s="1173"/>
      <c r="B196" s="1173"/>
      <c r="C196" s="1173"/>
      <c r="D196" s="1173"/>
      <c r="E196" s="1173"/>
      <c r="F196" s="1173"/>
      <c r="G196" s="1173"/>
      <c r="H196" s="1173"/>
      <c r="I196" s="1173"/>
      <c r="J196" s="1173"/>
      <c r="K196" s="1173"/>
      <c r="L196" s="1173"/>
      <c r="M196" s="1173"/>
      <c r="N196" s="1173"/>
      <c r="O196" s="1173"/>
      <c r="P196" s="1173"/>
      <c r="Q196" s="1173"/>
      <c r="R196" s="1173"/>
      <c r="S196" s="1173"/>
      <c r="T196" s="1173"/>
      <c r="U196" s="1173"/>
      <c r="V196" s="1173"/>
      <c r="W196" s="1173"/>
      <c r="X196" s="1173"/>
      <c r="Y196" s="1173"/>
      <c r="Z196" s="1173"/>
      <c r="AA196" s="1173"/>
      <c r="AB196" s="1173"/>
      <c r="AC196" s="1173"/>
      <c r="AD196" s="1173"/>
      <c r="AE196" s="1173"/>
      <c r="AF196" s="1173"/>
      <c r="AG196" s="1173"/>
      <c r="AH196" s="1173"/>
      <c r="AI196" s="1173"/>
      <c r="AJ196" s="1173"/>
      <c r="AK196" s="1173"/>
      <c r="AL196" s="1173"/>
      <c r="AM196" s="1173"/>
      <c r="AN196" s="1173"/>
      <c r="AO196" s="1173"/>
      <c r="AP196" s="1173"/>
      <c r="AQ196" s="1173"/>
      <c r="AR196" s="1173"/>
      <c r="AS196" s="1173"/>
      <c r="AT196" s="1173"/>
      <c r="AU196" s="1173"/>
      <c r="AV196" s="1173"/>
      <c r="AW196" s="1173"/>
      <c r="AX196" s="1173"/>
      <c r="AY196" s="1173"/>
      <c r="AZ196" s="1173"/>
      <c r="BA196" s="1173"/>
      <c r="BB196" s="1173"/>
      <c r="BC196" s="1173"/>
      <c r="BD196" s="1173"/>
      <c r="BE196" s="1174"/>
    </row>
    <row r="199" spans="1:57" ht="15.75" customHeight="1">
      <c r="D199" s="1142"/>
    </row>
    <row r="200" spans="1:57" ht="15.75" customHeight="1">
      <c r="D200" s="1181"/>
    </row>
    <row r="201" spans="1:57" ht="15.75" customHeight="1">
      <c r="D201" s="1142"/>
    </row>
    <row r="202" spans="1:57" ht="15.75" customHeight="1">
      <c r="D202" s="1142"/>
    </row>
    <row r="203" spans="1:57" ht="15.75" customHeight="1">
      <c r="R203" s="1141" t="s">
        <v>256</v>
      </c>
    </row>
  </sheetData>
  <sheetProtection algorithmName="SHA-512" hashValue="lj24T0AyaNm+hqzYg48WPrZJ90gMG+TscDg/bD4vkko4u7EoOmv/XIf3Xf2g2Al23xLl49/UZgJG+4lAqMp8VA==" saltValue="mnxp37himYabm5euuvPEF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D11161-60C9-4CF4-AEDF-9A6179481EA1}">
  <ds:schemaRefs>
    <ds:schemaRef ds:uri="http://schemas.microsoft.com/sharepoint/events"/>
  </ds:schemaRefs>
</ds:datastoreItem>
</file>

<file path=customXml/itemProps2.xml><?xml version="1.0" encoding="utf-8"?>
<ds:datastoreItem xmlns:ds="http://schemas.openxmlformats.org/officeDocument/2006/customXml" ds:itemID="{90A1FB2A-285E-4E19-A993-5FAF523AB0AC}">
  <ds:schemaRefs>
    <ds:schemaRef ds:uri="http://schemas.microsoft.com/sharepoint/v3/contenttype/forms"/>
  </ds:schemaRefs>
</ds:datastoreItem>
</file>

<file path=customXml/itemProps3.xml><?xml version="1.0" encoding="utf-8"?>
<ds:datastoreItem xmlns:ds="http://schemas.openxmlformats.org/officeDocument/2006/customXml" ds:itemID="{30E799BB-6356-4DB7-A2E6-F9E51A27DF2D}">
  <ds:schemaRefs>
    <ds:schemaRef ds:uri="http://purl.org/dc/elements/1.1/"/>
    <ds:schemaRef ds:uri="http://schemas.microsoft.com/office/2006/documentManagement/types"/>
    <ds:schemaRef ds:uri="http://schemas.microsoft.com/sharepoint/v4"/>
    <ds:schemaRef ds:uri="http://purl.org/dc/terms/"/>
    <ds:schemaRef ds:uri="http://schemas.openxmlformats.org/package/2006/metadata/core-properties"/>
    <ds:schemaRef ds:uri="http://purl.org/dc/dcmitype/"/>
    <ds:schemaRef ds:uri="http://schemas.microsoft.com/office/infopath/2007/PartnerControls"/>
    <ds:schemaRef ds:uri="12787784-bee3-4f4c-b8c2-408b19805a85"/>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4326528D-25BD-41A6-8A89-A877D36732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Points System</vt:lpstr>
      <vt:lpstr>Sources and Uses Budget</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Janelle Ingle</cp:lastModifiedBy>
  <cp:lastPrinted>2022-06-02T00:41:49Z</cp:lastPrinted>
  <dcterms:created xsi:type="dcterms:W3CDTF">2007-12-27T18:26:28Z</dcterms:created>
  <dcterms:modified xsi:type="dcterms:W3CDTF">2022-08-05T17:25:30Z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